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22CC5691-B3FD-4D64-9E28-3E85D2EC56F3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Effectif" sheetId="1" r:id="rId1"/>
    <sheet name="Argent de poche" sheetId="2" state="hidden" r:id="rId2"/>
    <sheet name="ASE" sheetId="3" state="hidden" r:id="rId3"/>
    <sheet name="CAPS" sheetId="4" state="hidden" r:id="rId4"/>
    <sheet name="Statistiques" sheetId="5" r:id="rId5"/>
    <sheet name="Archives" sheetId="6" r:id="rId6"/>
    <sheet name="Feuille Classeur" sheetId="7" r:id="rId7"/>
    <sheet name="Veilleurs" sheetId="9" state="hidden" r:id="rId8"/>
    <sheet name="Impression" sheetId="10" state="hidden" r:id="rId9"/>
    <sheet name="Paramètres" sheetId="11" r:id="rId10"/>
  </sheets>
  <definedNames>
    <definedName name="_xlnm._FilterDatabase" localSheetId="0" hidden="1">Effectif!$A$1:$AY$64</definedName>
    <definedName name="_xlnm._FilterDatabase" localSheetId="7" hidden="1">Veilleurs!$B$1:$I$62</definedName>
    <definedName name="A._BRIAND">Paramètres!$E$26:$E$28</definedName>
    <definedName name="A._FRERET">Paramètres!$C$2:$C$3</definedName>
    <definedName name="A._HEBERT">Paramètres!$E$32:$E$34</definedName>
    <definedName name="Abonnement">Paramètres!#REF!</definedName>
    <definedName name="Accueil" localSheetId="4">Paramètres!$G$47:$G$48</definedName>
    <definedName name="Accueil">Paramètres!$G$47:$G$48</definedName>
    <definedName name="Apprentissage">Paramètres!$A$35</definedName>
    <definedName name="ATJM" localSheetId="4">Paramètres!$I$45:$I$47</definedName>
    <definedName name="ATJM">Paramètres!$I$45:$I$47</definedName>
    <definedName name="CFA">Paramètres!$G$25:$G$38</definedName>
    <definedName name="Choix" localSheetId="4">Paramètres!$L$2:$L$3</definedName>
    <definedName name="Choix">Paramètres!$L$2:$L$3</definedName>
    <definedName name="Classe_de_CFA">Paramètres!$G$26:$G$37</definedName>
    <definedName name="Collectif">Paramètres!$G$42:$G$43</definedName>
    <definedName name="College">Paramètres!$A$20:$A$25</definedName>
    <definedName name="_xlnm.Criteria" localSheetId="7">Veilleurs!$D$2:$D$62</definedName>
    <definedName name="D._CHAHARANE">Paramètres!$D$2:$D$3</definedName>
    <definedName name="E._MOULINET">Paramètres!$E$2:$E$3</definedName>
    <definedName name="EDUCATEUR" localSheetId="4">Paramètres!$J$2:$J$6</definedName>
    <definedName name="EDUCATEUR">Paramètres!$J$2:$J$6</definedName>
    <definedName name="FRERET">Paramètres!$C$2:$C$3</definedName>
    <definedName name="G._POLITZER">Paramètres!$C$21:$C$24</definedName>
    <definedName name="H._DUNANT">Paramètres!$C$28:$C$31</definedName>
    <definedName name="HORTICOLE">Paramètres!$E$38:$E$40</definedName>
    <definedName name="IEF" localSheetId="4">Paramètres!$A$2:$A$7</definedName>
    <definedName name="IEF">Paramètres!$A$2:$A$7</definedName>
    <definedName name="_xlnm.Print_Titles" localSheetId="2">ASE!$1:$1</definedName>
    <definedName name="_xlnm.Print_Titles" localSheetId="8">Impression!$1:$1</definedName>
    <definedName name="J._CADIN">Paramètres!$F$2:$F$4</definedName>
    <definedName name="J._JAURES">Paramètres!$C$35:$C$38</definedName>
    <definedName name="L._SEDAR_SENGHOR">Paramètres!$E$44:$E$46</definedName>
    <definedName name="liste_jeune" localSheetId="4">Effectif!$C$5:$C$62</definedName>
    <definedName name="liste_jeune">Effectif!$C$5:$C$62</definedName>
    <definedName name="Lycee" localSheetId="4">Paramètres!$A$28:$A$32</definedName>
    <definedName name="Lycee">Paramètres!$A$28:$A$32</definedName>
    <definedName name="M._LEROY">Paramètres!$E$50:$E$52</definedName>
    <definedName name="Mesure" localSheetId="4">Paramètres!$I$36:$I$37</definedName>
    <definedName name="Mesure">Paramètres!$I$36:$I$37</definedName>
    <definedName name="Mois">Paramètres!#REF!</definedName>
    <definedName name="NAVARRE">Paramètres!$C$42:$C$45</definedName>
    <definedName name="P._BERT">Paramètres!$C$49:$C$52</definedName>
    <definedName name="PAMIE" localSheetId="4">Paramètres!$J$10:$J$17</definedName>
    <definedName name="PAMIE">Paramètres!$I$25:$I$32</definedName>
    <definedName name="S._LACOSTE">Paramètres!$G$2:$G$3</definedName>
    <definedName name="SCOLAIRE">Paramètres!$N$2:$N$5</definedName>
    <definedName name="Scolarite" localSheetId="4">Paramètres!$A$11:$A$16</definedName>
    <definedName name="Scolarite">Paramètres!$A$12:$A$16</definedName>
    <definedName name="Semi_autonomie">Paramètres!$I$41</definedName>
    <definedName name="St_MICHEL">Paramètres!$C$55:$C$56</definedName>
    <definedName name="Titre" localSheetId="4">Paramètres!$C$7:$C$11</definedName>
    <definedName name="Titre">Paramètres!$C$7:$C$11</definedName>
    <definedName name="Trimestre">Paramètres!#REF!</definedName>
    <definedName name="V._LECUYER">Paramètres!$H$2:$H$4</definedName>
    <definedName name="Z_23892BE3_6C12_4C60_B754_ED0B7FB9276C_.wvu.Cols" localSheetId="5" hidden="1">Archives!$AW:$AW</definedName>
    <definedName name="Z_23892BE3_6C12_4C60_B754_ED0B7FB9276C_.wvu.Cols" localSheetId="0" hidden="1">Effectif!$C:$C,Effectif!$X:$Y,Effectif!#REF!,Effectif!$AX:$AX</definedName>
    <definedName name="Z_23892BE3_6C12_4C60_B754_ED0B7FB9276C_.wvu.FilterData" localSheetId="0" hidden="1">Effectif!$A$1:$AY$64</definedName>
    <definedName name="Z_23892BE3_6C12_4C60_B754_ED0B7FB9276C_.wvu.FilterData" localSheetId="7" hidden="1">Veilleurs!$B$1:$I$62</definedName>
    <definedName name="Z_23892BE3_6C12_4C60_B754_ED0B7FB9276C_.wvu.PrintArea" localSheetId="1" hidden="1">'Argent de poche'!$A$1:$E$64</definedName>
    <definedName name="Z_23892BE3_6C12_4C60_B754_ED0B7FB9276C_.wvu.PrintArea" localSheetId="6" hidden="1">'Feuille Classeur'!$A$51:$H$92,'Feuille Classeur'!$J$1:$L$48,'Feuille Classeur'!$A$1:$G$50</definedName>
    <definedName name="Z_23892BE3_6C12_4C60_B754_ED0B7FB9276C_.wvu.PrintArea" localSheetId="8" hidden="1">Impression!$A$1:$H$59</definedName>
    <definedName name="Z_23892BE3_6C12_4C60_B754_ED0B7FB9276C_.wvu.PrintArea" localSheetId="4" hidden="1">Statistiques!$A$1:$H$27</definedName>
    <definedName name="Z_23892BE3_6C12_4C60_B754_ED0B7FB9276C_.wvu.PrintArea" localSheetId="7" hidden="1">Veilleurs!$A$1:$I$62</definedName>
    <definedName name="Z_23892BE3_6C12_4C60_B754_ED0B7FB9276C_.wvu.PrintTitles" localSheetId="2" hidden="1">ASE!$1:$1</definedName>
    <definedName name="Z_23892BE3_6C12_4C60_B754_ED0B7FB9276C_.wvu.PrintTitles" localSheetId="8" hidden="1">Impression!$1:$1</definedName>
    <definedName name="Z_B79754BA_48D4_409F_8EEF_31EA32084753_.wvu.FilterData" localSheetId="0" hidden="1">Effectif!$A$1:$AY$64</definedName>
    <definedName name="Z_EE943BA9_0B80_4629_8DFD_5400001CD553_.wvu.Cols" localSheetId="5" hidden="1">Archives!$AW:$AW</definedName>
    <definedName name="Z_EE943BA9_0B80_4629_8DFD_5400001CD553_.wvu.Cols" localSheetId="0" hidden="1">Effectif!$C:$C,Effectif!$X:$Y,Effectif!$AH:$AH,Effectif!$AX:$AX</definedName>
    <definedName name="Z_EE943BA9_0B80_4629_8DFD_5400001CD553_.wvu.FilterData" localSheetId="0" hidden="1">Effectif!$A$1:$AY$64</definedName>
    <definedName name="Z_EE943BA9_0B80_4629_8DFD_5400001CD553_.wvu.FilterData" localSheetId="7" hidden="1">Veilleurs!$B$1:$I$62</definedName>
    <definedName name="Z_EE943BA9_0B80_4629_8DFD_5400001CD553_.wvu.PrintArea" localSheetId="1" hidden="1">'Argent de poche'!$A$1:$E$64</definedName>
    <definedName name="Z_EE943BA9_0B80_4629_8DFD_5400001CD553_.wvu.PrintArea" localSheetId="6" hidden="1">'Feuille Classeur'!$A$51:$H$92,'Feuille Classeur'!$J$1:$L$48,'Feuille Classeur'!$A$1:$G$50</definedName>
    <definedName name="Z_EE943BA9_0B80_4629_8DFD_5400001CD553_.wvu.PrintArea" localSheetId="8" hidden="1">Impression!$A$1:$H$59</definedName>
    <definedName name="Z_EE943BA9_0B80_4629_8DFD_5400001CD553_.wvu.PrintArea" localSheetId="4" hidden="1">Statistiques!$A$1:$H$27</definedName>
    <definedName name="Z_EE943BA9_0B80_4629_8DFD_5400001CD553_.wvu.PrintArea" localSheetId="7" hidden="1">Veilleurs!$A$1:$I$62</definedName>
    <definedName name="Z_EE943BA9_0B80_4629_8DFD_5400001CD553_.wvu.PrintTitles" localSheetId="2" hidden="1">ASE!$1:$1</definedName>
    <definedName name="Z_EE943BA9_0B80_4629_8DFD_5400001CD553_.wvu.PrintTitles" localSheetId="8" hidden="1">Impression!$1:$1</definedName>
    <definedName name="_xlnm.Print_Area" localSheetId="1">'Argent de poche'!$A$1:$E$64</definedName>
    <definedName name="_xlnm.Print_Area" localSheetId="6">'Feuille Classeur'!$A$51:$H$92,'Feuille Classeur'!$J$1:$L$48,'Feuille Classeur'!$A$1:$G$50</definedName>
    <definedName name="_xlnm.Print_Area" localSheetId="8">Impression!$A$1:$H$59</definedName>
    <definedName name="_xlnm.Print_Area" localSheetId="4">Statistiques!$A$1:$H$30</definedName>
    <definedName name="_xlnm.Print_Area" localSheetId="7">Veilleurs!$A$1:$I$62</definedName>
  </definedNames>
  <calcPr calcId="191029"/>
  <customWorkbookViews>
    <customWorkbookView name="Harold LETESSIER - Association l'Abri - Affichage personnalisé" guid="{EE943BA9-0B80-4629-8DFD-5400001CD553}" mergeInterval="0" personalView="1" maximized="1" xWindow="-8" yWindow="-8" windowWidth="1382" windowHeight="744" activeSheetId="1"/>
    <customWorkbookView name="Sandrine BELLENGER - Association l'Abri - Affichage personnalisé" guid="{23892BE3-6C12-4C60-B754-ED0B7FB9276C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5" i="5" l="1"/>
  <c r="H24" i="5"/>
  <c r="AH2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I64" i="1"/>
  <c r="A59" i="10" l="1"/>
  <c r="B59" i="10"/>
  <c r="C59" i="10"/>
  <c r="E59" i="10"/>
  <c r="F59" i="10"/>
  <c r="G59" i="10"/>
  <c r="H59" i="10"/>
  <c r="B63" i="4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A64" i="4"/>
  <c r="B64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A63" i="2"/>
  <c r="B63" i="2"/>
  <c r="C63" i="2"/>
  <c r="D63" i="2"/>
  <c r="E63" i="2"/>
  <c r="A64" i="2"/>
  <c r="B64" i="2"/>
  <c r="C64" i="2"/>
  <c r="D64" i="2"/>
  <c r="E64" i="2"/>
  <c r="B63" i="3"/>
  <c r="C63" i="3"/>
  <c r="D63" i="3"/>
  <c r="E63" i="3"/>
  <c r="F63" i="3"/>
  <c r="G63" i="3"/>
  <c r="H63" i="3"/>
  <c r="I63" i="3"/>
  <c r="J63" i="3"/>
  <c r="A64" i="3"/>
  <c r="B64" i="3"/>
  <c r="C64" i="3"/>
  <c r="D64" i="3"/>
  <c r="E64" i="3"/>
  <c r="F64" i="3"/>
  <c r="G64" i="3"/>
  <c r="H64" i="3"/>
  <c r="I64" i="3"/>
  <c r="J64" i="3"/>
  <c r="L47" i="1" l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F21" i="11" l="1"/>
  <c r="AI2" i="1" l="1"/>
  <c r="AI6" i="1"/>
  <c r="AI30" i="1"/>
  <c r="AI34" i="1"/>
  <c r="AI42" i="1"/>
  <c r="AI3" i="1"/>
  <c r="AI7" i="1"/>
  <c r="AI11" i="1"/>
  <c r="AI23" i="1"/>
  <c r="AI35" i="1"/>
  <c r="AI39" i="1"/>
  <c r="AI47" i="1"/>
  <c r="AI28" i="1"/>
  <c r="AI56" i="1"/>
  <c r="AI4" i="1"/>
  <c r="AI8" i="1"/>
  <c r="AI16" i="1"/>
  <c r="AI24" i="1"/>
  <c r="AI40" i="1"/>
  <c r="AI48" i="1"/>
  <c r="AI9" i="1"/>
  <c r="AI25" i="1"/>
  <c r="AI41" i="1"/>
  <c r="AI45" i="1"/>
  <c r="AI49" i="1"/>
  <c r="AI53" i="1"/>
  <c r="AI61" i="1"/>
  <c r="F22" i="11"/>
  <c r="AI26" i="1" l="1"/>
  <c r="AI50" i="1"/>
  <c r="AI62" i="1"/>
  <c r="AI10" i="1"/>
  <c r="AI14" i="1"/>
  <c r="AI18" i="1"/>
  <c r="AI22" i="1"/>
  <c r="AI38" i="1"/>
  <c r="AI46" i="1"/>
  <c r="AI54" i="1"/>
  <c r="AI58" i="1"/>
  <c r="AI31" i="1"/>
  <c r="AI55" i="1"/>
  <c r="AI15" i="1"/>
  <c r="AI19" i="1"/>
  <c r="AI27" i="1"/>
  <c r="AI43" i="1"/>
  <c r="AI51" i="1"/>
  <c r="AI59" i="1"/>
  <c r="AI63" i="1"/>
  <c r="AI12" i="1"/>
  <c r="AI20" i="1"/>
  <c r="AI32" i="1"/>
  <c r="AI36" i="1"/>
  <c r="AI44" i="1"/>
  <c r="AI52" i="1"/>
  <c r="AI60" i="1"/>
  <c r="AI5" i="1"/>
  <c r="AI13" i="1"/>
  <c r="AI17" i="1"/>
  <c r="AI21" i="1"/>
  <c r="AI29" i="1"/>
  <c r="AI33" i="1"/>
  <c r="AI37" i="1"/>
  <c r="AI57" i="1"/>
  <c r="F24" i="11"/>
  <c r="W22" i="1"/>
  <c r="W30" i="1"/>
  <c r="W32" i="1"/>
  <c r="W40" i="1"/>
  <c r="W43" i="1"/>
  <c r="W47" i="1"/>
  <c r="W54" i="1"/>
  <c r="W58" i="1"/>
  <c r="W6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E3" i="1"/>
  <c r="W3" i="1" s="1"/>
  <c r="E4" i="1"/>
  <c r="W4" i="1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W35" i="1" s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D59" i="10" s="1"/>
  <c r="E64" i="1"/>
  <c r="C64" i="4" s="1"/>
  <c r="W63" i="1" l="1"/>
  <c r="C63" i="4"/>
  <c r="W50" i="1"/>
  <c r="W42" i="1"/>
  <c r="W34" i="1"/>
  <c r="W26" i="1"/>
  <c r="W18" i="1"/>
  <c r="W10" i="1"/>
  <c r="W57" i="1"/>
  <c r="W49" i="1"/>
  <c r="W41" i="1"/>
  <c r="W33" i="1"/>
  <c r="W25" i="1"/>
  <c r="W17" i="1"/>
  <c r="W9" i="1"/>
  <c r="W61" i="1"/>
  <c r="W8" i="1"/>
  <c r="W48" i="1"/>
  <c r="W24" i="1"/>
  <c r="W31" i="1"/>
  <c r="W15" i="1"/>
  <c r="W7" i="1"/>
  <c r="W56" i="1"/>
  <c r="W16" i="1"/>
  <c r="W55" i="1"/>
  <c r="W39" i="1"/>
  <c r="W23" i="1"/>
  <c r="W62" i="1"/>
  <c r="W46" i="1"/>
  <c r="W38" i="1"/>
  <c r="W14" i="1"/>
  <c r="W6" i="1"/>
  <c r="W53" i="1"/>
  <c r="W29" i="1"/>
  <c r="W21" i="1"/>
  <c r="W13" i="1"/>
  <c r="W5" i="1"/>
  <c r="W45" i="1"/>
  <c r="W52" i="1"/>
  <c r="W36" i="1"/>
  <c r="W28" i="1"/>
  <c r="W20" i="1"/>
  <c r="W12" i="1"/>
  <c r="W37" i="1"/>
  <c r="W60" i="1"/>
  <c r="W44" i="1"/>
  <c r="W59" i="1"/>
  <c r="W51" i="1"/>
  <c r="W27" i="1"/>
  <c r="W19" i="1"/>
  <c r="W11" i="1"/>
  <c r="C47" i="1"/>
  <c r="AG3" i="11" l="1"/>
  <c r="H67" i="11"/>
  <c r="H69" i="11" l="1"/>
  <c r="H28" i="5" l="1"/>
  <c r="A80" i="7"/>
  <c r="C81" i="7"/>
  <c r="H29" i="5" l="1"/>
  <c r="H30" i="5" s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X47" i="1" l="1"/>
  <c r="C2" i="1" l="1"/>
  <c r="AX5" i="1" l="1"/>
  <c r="AX4" i="1"/>
  <c r="AX6" i="1"/>
  <c r="AX7" i="1"/>
  <c r="AX8" i="1"/>
  <c r="AX9" i="1"/>
  <c r="AX10" i="1"/>
  <c r="AX11" i="1"/>
  <c r="AX13" i="1"/>
  <c r="AX12" i="1"/>
  <c r="AX14" i="1"/>
  <c r="AX15" i="1"/>
  <c r="AX16" i="1"/>
  <c r="AX20" i="1"/>
  <c r="AX17" i="1"/>
  <c r="AX19" i="1"/>
  <c r="AX18" i="1"/>
  <c r="AX21" i="1"/>
  <c r="AX22" i="1"/>
  <c r="AX25" i="1"/>
  <c r="AX26" i="1"/>
  <c r="AX24" i="1"/>
  <c r="AX23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8" i="1"/>
  <c r="AX3" i="1"/>
  <c r="AX49" i="1"/>
  <c r="AX50" i="1"/>
  <c r="AX51" i="1"/>
  <c r="AX52" i="1"/>
  <c r="AX53" i="1"/>
  <c r="AX54" i="1"/>
  <c r="AX55" i="1"/>
  <c r="AX56" i="1"/>
  <c r="AX60" i="1"/>
  <c r="AX57" i="1"/>
  <c r="AX58" i="1"/>
  <c r="AX59" i="1"/>
  <c r="AX61" i="1"/>
  <c r="AX62" i="1"/>
  <c r="AX63" i="1"/>
  <c r="AX2" i="1"/>
  <c r="X14" i="1"/>
  <c r="X15" i="1"/>
  <c r="X20" i="1"/>
  <c r="X17" i="1"/>
  <c r="X19" i="1"/>
  <c r="X18" i="1"/>
  <c r="X21" i="1"/>
  <c r="X22" i="1"/>
  <c r="X26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8" i="1"/>
  <c r="X3" i="1"/>
  <c r="X49" i="1"/>
  <c r="X50" i="1"/>
  <c r="X51" i="1"/>
  <c r="X52" i="1"/>
  <c r="X53" i="1"/>
  <c r="X54" i="1"/>
  <c r="X55" i="1"/>
  <c r="X56" i="1"/>
  <c r="X60" i="1"/>
  <c r="X57" i="1"/>
  <c r="X58" i="1"/>
  <c r="X59" i="1"/>
  <c r="X61" i="1"/>
  <c r="X62" i="1"/>
  <c r="X63" i="1"/>
  <c r="K2" i="1"/>
  <c r="F2" i="1"/>
  <c r="L2" i="1" l="1"/>
  <c r="E2" i="1"/>
  <c r="W2" i="1" l="1"/>
  <c r="B29" i="5"/>
  <c r="E13" i="5"/>
  <c r="E12" i="5"/>
  <c r="E11" i="5"/>
  <c r="E27" i="5"/>
  <c r="E26" i="5"/>
  <c r="E25" i="5"/>
  <c r="B26" i="5"/>
  <c r="B25" i="5"/>
  <c r="E22" i="5"/>
  <c r="H20" i="5"/>
  <c r="E21" i="5"/>
  <c r="H19" i="5"/>
  <c r="E20" i="5"/>
  <c r="B21" i="5"/>
  <c r="H18" i="5"/>
  <c r="E19" i="5"/>
  <c r="B20" i="5"/>
  <c r="H17" i="5"/>
  <c r="B19" i="5"/>
  <c r="B18" i="5"/>
  <c r="E16" i="5"/>
  <c r="B17" i="5"/>
  <c r="H14" i="5"/>
  <c r="B16" i="5"/>
  <c r="H13" i="5"/>
  <c r="B15" i="5"/>
  <c r="H12" i="5"/>
  <c r="B14" i="5"/>
  <c r="H11" i="5"/>
  <c r="B13" i="5"/>
  <c r="H10" i="5"/>
  <c r="E10" i="5"/>
  <c r="B12" i="5"/>
  <c r="E9" i="5"/>
  <c r="B11" i="5"/>
  <c r="E8" i="5"/>
  <c r="H7" i="5"/>
  <c r="H6" i="5"/>
  <c r="B8" i="5"/>
  <c r="H5" i="5"/>
  <c r="E5" i="5"/>
  <c r="B7" i="5"/>
  <c r="H4" i="5"/>
  <c r="E4" i="5"/>
  <c r="H3" i="5"/>
  <c r="E3" i="5"/>
  <c r="H2" i="5"/>
  <c r="E2" i="5"/>
  <c r="B2" i="5"/>
  <c r="H21" i="5" l="1"/>
  <c r="B22" i="5"/>
  <c r="C36" i="1" l="1"/>
  <c r="B29" i="9" l="1"/>
  <c r="C29" i="9"/>
  <c r="D29" i="9"/>
  <c r="B10" i="9"/>
  <c r="C10" i="9"/>
  <c r="D10" i="9"/>
  <c r="B6" i="9"/>
  <c r="C6" i="9"/>
  <c r="D6" i="9"/>
  <c r="B12" i="9"/>
  <c r="C12" i="9"/>
  <c r="D12" i="9"/>
  <c r="B13" i="9"/>
  <c r="C13" i="9"/>
  <c r="D13" i="9"/>
  <c r="B60" i="9"/>
  <c r="C60" i="9"/>
  <c r="D60" i="9"/>
  <c r="B50" i="9"/>
  <c r="C50" i="9"/>
  <c r="D50" i="9"/>
  <c r="B54" i="9"/>
  <c r="C54" i="9"/>
  <c r="D54" i="9"/>
  <c r="B57" i="9"/>
  <c r="C57" i="9"/>
  <c r="D57" i="9"/>
  <c r="B59" i="9"/>
  <c r="C59" i="9"/>
  <c r="D59" i="9"/>
  <c r="B42" i="9"/>
  <c r="C42" i="9"/>
  <c r="D42" i="9"/>
  <c r="B9" i="9"/>
  <c r="C9" i="9"/>
  <c r="D9" i="9"/>
  <c r="B24" i="9"/>
  <c r="C24" i="9"/>
  <c r="D24" i="9"/>
  <c r="B44" i="9"/>
  <c r="C44" i="9"/>
  <c r="D44" i="9"/>
  <c r="B26" i="9"/>
  <c r="C26" i="9"/>
  <c r="D26" i="9"/>
  <c r="B56" i="9"/>
  <c r="C56" i="9"/>
  <c r="D56" i="9"/>
  <c r="B38" i="9"/>
  <c r="C38" i="9"/>
  <c r="D38" i="9"/>
  <c r="B8" i="9"/>
  <c r="C8" i="9"/>
  <c r="D8" i="9"/>
  <c r="B33" i="9"/>
  <c r="C33" i="9"/>
  <c r="D33" i="9"/>
  <c r="B62" i="9"/>
  <c r="C62" i="9"/>
  <c r="D62" i="9"/>
  <c r="B53" i="9"/>
  <c r="C53" i="9"/>
  <c r="D53" i="9"/>
  <c r="B41" i="9"/>
  <c r="C41" i="9"/>
  <c r="D41" i="9"/>
  <c r="B30" i="9"/>
  <c r="C30" i="9"/>
  <c r="D30" i="9"/>
  <c r="B40" i="9"/>
  <c r="C40" i="9"/>
  <c r="D40" i="9"/>
  <c r="B49" i="9"/>
  <c r="C49" i="9"/>
  <c r="D49" i="9"/>
  <c r="B14" i="9"/>
  <c r="C14" i="9"/>
  <c r="D14" i="9"/>
  <c r="B35" i="9"/>
  <c r="C35" i="9"/>
  <c r="D35" i="9"/>
  <c r="B43" i="9"/>
  <c r="C43" i="9"/>
  <c r="D43" i="9"/>
  <c r="B22" i="9"/>
  <c r="C22" i="9"/>
  <c r="D22" i="9"/>
  <c r="B37" i="9"/>
  <c r="C37" i="9"/>
  <c r="D37" i="9"/>
  <c r="B4" i="9"/>
  <c r="C4" i="9"/>
  <c r="D4" i="9"/>
  <c r="B47" i="9"/>
  <c r="C47" i="9"/>
  <c r="D47" i="9"/>
  <c r="B45" i="9"/>
  <c r="C45" i="9"/>
  <c r="D45" i="9"/>
  <c r="B31" i="9"/>
  <c r="C31" i="9"/>
  <c r="D31" i="9"/>
  <c r="B16" i="9"/>
  <c r="C16" i="9"/>
  <c r="D16" i="9"/>
  <c r="B61" i="9"/>
  <c r="C61" i="9"/>
  <c r="D61" i="9"/>
  <c r="B5" i="9"/>
  <c r="C5" i="9"/>
  <c r="D5" i="9"/>
  <c r="B48" i="9"/>
  <c r="C48" i="9"/>
  <c r="D48" i="9"/>
  <c r="B17" i="9"/>
  <c r="C17" i="9"/>
  <c r="D17" i="9"/>
  <c r="B15" i="9"/>
  <c r="C15" i="9"/>
  <c r="D15" i="9"/>
  <c r="B36" i="9"/>
  <c r="C36" i="9"/>
  <c r="D36" i="9"/>
  <c r="B28" i="9"/>
  <c r="C28" i="9"/>
  <c r="D28" i="9"/>
  <c r="B23" i="9"/>
  <c r="C23" i="9"/>
  <c r="D23" i="9"/>
  <c r="B25" i="9"/>
  <c r="C25" i="9"/>
  <c r="D25" i="9"/>
  <c r="B19" i="9"/>
  <c r="C19" i="9"/>
  <c r="D19" i="9"/>
  <c r="B7" i="9"/>
  <c r="C7" i="9"/>
  <c r="D7" i="9"/>
  <c r="B3" i="9"/>
  <c r="C3" i="9"/>
  <c r="D3" i="9"/>
  <c r="B39" i="9"/>
  <c r="C39" i="9"/>
  <c r="D39" i="9"/>
  <c r="B20" i="9"/>
  <c r="C20" i="9"/>
  <c r="D20" i="9"/>
  <c r="B32" i="9"/>
  <c r="C32" i="9"/>
  <c r="D32" i="9"/>
  <c r="B11" i="9"/>
  <c r="C11" i="9"/>
  <c r="D11" i="9"/>
  <c r="B34" i="9"/>
  <c r="C34" i="9"/>
  <c r="D34" i="9"/>
  <c r="B51" i="9"/>
  <c r="C51" i="9"/>
  <c r="D51" i="9"/>
  <c r="B58" i="9"/>
  <c r="C58" i="9"/>
  <c r="D58" i="9"/>
  <c r="B27" i="9"/>
  <c r="C27" i="9"/>
  <c r="D27" i="9"/>
  <c r="B46" i="9"/>
  <c r="C46" i="9"/>
  <c r="D46" i="9"/>
  <c r="B55" i="9"/>
  <c r="C55" i="9"/>
  <c r="D55" i="9"/>
  <c r="B2" i="9"/>
  <c r="C2" i="9"/>
  <c r="D2" i="9"/>
  <c r="B18" i="9"/>
  <c r="C18" i="9"/>
  <c r="D18" i="9"/>
  <c r="B52" i="9"/>
  <c r="C52" i="9"/>
  <c r="D52" i="9"/>
  <c r="D21" i="9"/>
  <c r="C21" i="9"/>
  <c r="B21" i="9"/>
  <c r="B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B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B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B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B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B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B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B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B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B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B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B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B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B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B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B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B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B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B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B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B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B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B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B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B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B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B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B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B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B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B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B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B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B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B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B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B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B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B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B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B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B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B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B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B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B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B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B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B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B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B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B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B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B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B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B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B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B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B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B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B2" i="4"/>
  <c r="B3" i="3"/>
  <c r="C3" i="3"/>
  <c r="D3" i="3"/>
  <c r="E3" i="3"/>
  <c r="F3" i="3"/>
  <c r="G3" i="3"/>
  <c r="H3" i="3"/>
  <c r="I3" i="3"/>
  <c r="J3" i="3"/>
  <c r="B4" i="3"/>
  <c r="C4" i="3"/>
  <c r="D4" i="3"/>
  <c r="E4" i="3"/>
  <c r="F4" i="3"/>
  <c r="G4" i="3"/>
  <c r="H4" i="3"/>
  <c r="I4" i="3"/>
  <c r="J4" i="3"/>
  <c r="B5" i="3"/>
  <c r="C5" i="3"/>
  <c r="D5" i="3"/>
  <c r="E5" i="3"/>
  <c r="F5" i="3"/>
  <c r="G5" i="3"/>
  <c r="H5" i="3"/>
  <c r="I5" i="3"/>
  <c r="J5" i="3"/>
  <c r="B6" i="3"/>
  <c r="C6" i="3"/>
  <c r="D6" i="3"/>
  <c r="E6" i="3"/>
  <c r="F6" i="3"/>
  <c r="G6" i="3"/>
  <c r="H6" i="3"/>
  <c r="I6" i="3"/>
  <c r="J6" i="3"/>
  <c r="B7" i="3"/>
  <c r="C7" i="3"/>
  <c r="D7" i="3"/>
  <c r="E7" i="3"/>
  <c r="F7" i="3"/>
  <c r="G7" i="3"/>
  <c r="H7" i="3"/>
  <c r="I7" i="3"/>
  <c r="J7" i="3"/>
  <c r="B8" i="3"/>
  <c r="C8" i="3"/>
  <c r="D8" i="3"/>
  <c r="E8" i="3"/>
  <c r="F8" i="3"/>
  <c r="G8" i="3"/>
  <c r="H8" i="3"/>
  <c r="I8" i="3"/>
  <c r="J8" i="3"/>
  <c r="B9" i="3"/>
  <c r="C9" i="3"/>
  <c r="D9" i="3"/>
  <c r="E9" i="3"/>
  <c r="F9" i="3"/>
  <c r="G9" i="3"/>
  <c r="H9" i="3"/>
  <c r="I9" i="3"/>
  <c r="J9" i="3"/>
  <c r="B10" i="3"/>
  <c r="C10" i="3"/>
  <c r="D10" i="3"/>
  <c r="E10" i="3"/>
  <c r="F10" i="3"/>
  <c r="G10" i="3"/>
  <c r="H10" i="3"/>
  <c r="I10" i="3"/>
  <c r="J10" i="3"/>
  <c r="B11" i="3"/>
  <c r="C11" i="3"/>
  <c r="D11" i="3"/>
  <c r="E11" i="3"/>
  <c r="F11" i="3"/>
  <c r="G11" i="3"/>
  <c r="H11" i="3"/>
  <c r="I11" i="3"/>
  <c r="J11" i="3"/>
  <c r="B12" i="3"/>
  <c r="C12" i="3"/>
  <c r="D12" i="3"/>
  <c r="E12" i="3"/>
  <c r="F12" i="3"/>
  <c r="G12" i="3"/>
  <c r="H12" i="3"/>
  <c r="I12" i="3"/>
  <c r="J12" i="3"/>
  <c r="B13" i="3"/>
  <c r="C13" i="3"/>
  <c r="D13" i="3"/>
  <c r="E13" i="3"/>
  <c r="F13" i="3"/>
  <c r="G13" i="3"/>
  <c r="H13" i="3"/>
  <c r="I13" i="3"/>
  <c r="J13" i="3"/>
  <c r="B14" i="3"/>
  <c r="C14" i="3"/>
  <c r="D14" i="3"/>
  <c r="E14" i="3"/>
  <c r="F14" i="3"/>
  <c r="G14" i="3"/>
  <c r="H14" i="3"/>
  <c r="I14" i="3"/>
  <c r="J14" i="3"/>
  <c r="B15" i="3"/>
  <c r="C15" i="3"/>
  <c r="D15" i="3"/>
  <c r="E15" i="3"/>
  <c r="F15" i="3"/>
  <c r="G15" i="3"/>
  <c r="H15" i="3"/>
  <c r="I15" i="3"/>
  <c r="J15" i="3"/>
  <c r="B16" i="3"/>
  <c r="C16" i="3"/>
  <c r="D16" i="3"/>
  <c r="E16" i="3"/>
  <c r="F16" i="3"/>
  <c r="G16" i="3"/>
  <c r="H16" i="3"/>
  <c r="I16" i="3"/>
  <c r="J16" i="3"/>
  <c r="B17" i="3"/>
  <c r="C17" i="3"/>
  <c r="D17" i="3"/>
  <c r="E17" i="3"/>
  <c r="F17" i="3"/>
  <c r="G17" i="3"/>
  <c r="H17" i="3"/>
  <c r="I17" i="3"/>
  <c r="J17" i="3"/>
  <c r="B18" i="3"/>
  <c r="C18" i="3"/>
  <c r="D18" i="3"/>
  <c r="E18" i="3"/>
  <c r="F18" i="3"/>
  <c r="G18" i="3"/>
  <c r="H18" i="3"/>
  <c r="I18" i="3"/>
  <c r="J18" i="3"/>
  <c r="B19" i="3"/>
  <c r="C19" i="3"/>
  <c r="D19" i="3"/>
  <c r="E19" i="3"/>
  <c r="F19" i="3"/>
  <c r="G19" i="3"/>
  <c r="H19" i="3"/>
  <c r="I19" i="3"/>
  <c r="J19" i="3"/>
  <c r="B20" i="3"/>
  <c r="C20" i="3"/>
  <c r="D20" i="3"/>
  <c r="E20" i="3"/>
  <c r="F20" i="3"/>
  <c r="G20" i="3"/>
  <c r="H20" i="3"/>
  <c r="I20" i="3"/>
  <c r="J20" i="3"/>
  <c r="B21" i="3"/>
  <c r="C21" i="3"/>
  <c r="D21" i="3"/>
  <c r="E21" i="3"/>
  <c r="F21" i="3"/>
  <c r="G21" i="3"/>
  <c r="H21" i="3"/>
  <c r="I21" i="3"/>
  <c r="J21" i="3"/>
  <c r="B22" i="3"/>
  <c r="C22" i="3"/>
  <c r="D22" i="3"/>
  <c r="E22" i="3"/>
  <c r="F22" i="3"/>
  <c r="G22" i="3"/>
  <c r="H22" i="3"/>
  <c r="I22" i="3"/>
  <c r="J22" i="3"/>
  <c r="B23" i="3"/>
  <c r="C23" i="3"/>
  <c r="D23" i="3"/>
  <c r="E23" i="3"/>
  <c r="F23" i="3"/>
  <c r="G23" i="3"/>
  <c r="H23" i="3"/>
  <c r="I23" i="3"/>
  <c r="J23" i="3"/>
  <c r="B24" i="3"/>
  <c r="C24" i="3"/>
  <c r="D24" i="3"/>
  <c r="E24" i="3"/>
  <c r="F24" i="3"/>
  <c r="G24" i="3"/>
  <c r="H24" i="3"/>
  <c r="I24" i="3"/>
  <c r="J24" i="3"/>
  <c r="B25" i="3"/>
  <c r="C25" i="3"/>
  <c r="D25" i="3"/>
  <c r="E25" i="3"/>
  <c r="F25" i="3"/>
  <c r="G25" i="3"/>
  <c r="H25" i="3"/>
  <c r="I25" i="3"/>
  <c r="J25" i="3"/>
  <c r="B26" i="3"/>
  <c r="C26" i="3"/>
  <c r="D26" i="3"/>
  <c r="E26" i="3"/>
  <c r="F26" i="3"/>
  <c r="G26" i="3"/>
  <c r="H26" i="3"/>
  <c r="I26" i="3"/>
  <c r="J26" i="3"/>
  <c r="B27" i="3"/>
  <c r="C27" i="3"/>
  <c r="D27" i="3"/>
  <c r="E27" i="3"/>
  <c r="F27" i="3"/>
  <c r="G27" i="3"/>
  <c r="H27" i="3"/>
  <c r="I27" i="3"/>
  <c r="J27" i="3"/>
  <c r="B28" i="3"/>
  <c r="C28" i="3"/>
  <c r="D28" i="3"/>
  <c r="E28" i="3"/>
  <c r="F28" i="3"/>
  <c r="G28" i="3"/>
  <c r="H28" i="3"/>
  <c r="I28" i="3"/>
  <c r="J28" i="3"/>
  <c r="B29" i="3"/>
  <c r="C29" i="3"/>
  <c r="D29" i="3"/>
  <c r="E29" i="3"/>
  <c r="F29" i="3"/>
  <c r="G29" i="3"/>
  <c r="H29" i="3"/>
  <c r="I29" i="3"/>
  <c r="J29" i="3"/>
  <c r="B30" i="3"/>
  <c r="C30" i="3"/>
  <c r="D30" i="3"/>
  <c r="E30" i="3"/>
  <c r="F30" i="3"/>
  <c r="G30" i="3"/>
  <c r="H30" i="3"/>
  <c r="I30" i="3"/>
  <c r="J30" i="3"/>
  <c r="B31" i="3"/>
  <c r="C31" i="3"/>
  <c r="D31" i="3"/>
  <c r="E31" i="3"/>
  <c r="F31" i="3"/>
  <c r="G31" i="3"/>
  <c r="H31" i="3"/>
  <c r="I31" i="3"/>
  <c r="J31" i="3"/>
  <c r="B32" i="3"/>
  <c r="C32" i="3"/>
  <c r="D32" i="3"/>
  <c r="E32" i="3"/>
  <c r="F32" i="3"/>
  <c r="G32" i="3"/>
  <c r="H32" i="3"/>
  <c r="I32" i="3"/>
  <c r="J32" i="3"/>
  <c r="B33" i="3"/>
  <c r="C33" i="3"/>
  <c r="D33" i="3"/>
  <c r="E33" i="3"/>
  <c r="F33" i="3"/>
  <c r="G33" i="3"/>
  <c r="H33" i="3"/>
  <c r="I33" i="3"/>
  <c r="J33" i="3"/>
  <c r="B34" i="3"/>
  <c r="C34" i="3"/>
  <c r="D34" i="3"/>
  <c r="E34" i="3"/>
  <c r="F34" i="3"/>
  <c r="G34" i="3"/>
  <c r="H34" i="3"/>
  <c r="I34" i="3"/>
  <c r="J34" i="3"/>
  <c r="B35" i="3"/>
  <c r="C35" i="3"/>
  <c r="D35" i="3"/>
  <c r="E35" i="3"/>
  <c r="F35" i="3"/>
  <c r="G35" i="3"/>
  <c r="H35" i="3"/>
  <c r="I35" i="3"/>
  <c r="J35" i="3"/>
  <c r="B36" i="3"/>
  <c r="C36" i="3"/>
  <c r="D36" i="3"/>
  <c r="E36" i="3"/>
  <c r="F36" i="3"/>
  <c r="G36" i="3"/>
  <c r="H36" i="3"/>
  <c r="I36" i="3"/>
  <c r="J36" i="3"/>
  <c r="B37" i="3"/>
  <c r="C37" i="3"/>
  <c r="D37" i="3"/>
  <c r="E37" i="3"/>
  <c r="F37" i="3"/>
  <c r="G37" i="3"/>
  <c r="H37" i="3"/>
  <c r="I37" i="3"/>
  <c r="J37" i="3"/>
  <c r="B38" i="3"/>
  <c r="C38" i="3"/>
  <c r="D38" i="3"/>
  <c r="E38" i="3"/>
  <c r="F38" i="3"/>
  <c r="G38" i="3"/>
  <c r="H38" i="3"/>
  <c r="I38" i="3"/>
  <c r="J38" i="3"/>
  <c r="B39" i="3"/>
  <c r="C39" i="3"/>
  <c r="D39" i="3"/>
  <c r="E39" i="3"/>
  <c r="F39" i="3"/>
  <c r="G39" i="3"/>
  <c r="H39" i="3"/>
  <c r="I39" i="3"/>
  <c r="J39" i="3"/>
  <c r="B40" i="3"/>
  <c r="C40" i="3"/>
  <c r="D40" i="3"/>
  <c r="E40" i="3"/>
  <c r="F40" i="3"/>
  <c r="G40" i="3"/>
  <c r="H40" i="3"/>
  <c r="I40" i="3"/>
  <c r="J40" i="3"/>
  <c r="B41" i="3"/>
  <c r="C41" i="3"/>
  <c r="D41" i="3"/>
  <c r="E41" i="3"/>
  <c r="F41" i="3"/>
  <c r="G41" i="3"/>
  <c r="H41" i="3"/>
  <c r="I41" i="3"/>
  <c r="J41" i="3"/>
  <c r="B42" i="3"/>
  <c r="C42" i="3"/>
  <c r="D42" i="3"/>
  <c r="E42" i="3"/>
  <c r="F42" i="3"/>
  <c r="G42" i="3"/>
  <c r="H42" i="3"/>
  <c r="I42" i="3"/>
  <c r="J42" i="3"/>
  <c r="B43" i="3"/>
  <c r="C43" i="3"/>
  <c r="D43" i="3"/>
  <c r="E43" i="3"/>
  <c r="F43" i="3"/>
  <c r="G43" i="3"/>
  <c r="H43" i="3"/>
  <c r="I43" i="3"/>
  <c r="J43" i="3"/>
  <c r="B44" i="3"/>
  <c r="C44" i="3"/>
  <c r="D44" i="3"/>
  <c r="E44" i="3"/>
  <c r="F44" i="3"/>
  <c r="G44" i="3"/>
  <c r="H44" i="3"/>
  <c r="I44" i="3"/>
  <c r="J44" i="3"/>
  <c r="B45" i="3"/>
  <c r="C45" i="3"/>
  <c r="D45" i="3"/>
  <c r="E45" i="3"/>
  <c r="F45" i="3"/>
  <c r="G45" i="3"/>
  <c r="H45" i="3"/>
  <c r="I45" i="3"/>
  <c r="J45" i="3"/>
  <c r="B46" i="3"/>
  <c r="C46" i="3"/>
  <c r="D46" i="3"/>
  <c r="E46" i="3"/>
  <c r="F46" i="3"/>
  <c r="G46" i="3"/>
  <c r="H46" i="3"/>
  <c r="I46" i="3"/>
  <c r="J46" i="3"/>
  <c r="B47" i="3"/>
  <c r="C47" i="3"/>
  <c r="D47" i="3"/>
  <c r="E47" i="3"/>
  <c r="F47" i="3"/>
  <c r="G47" i="3"/>
  <c r="H47" i="3"/>
  <c r="I47" i="3"/>
  <c r="J47" i="3"/>
  <c r="B48" i="3"/>
  <c r="C48" i="3"/>
  <c r="D48" i="3"/>
  <c r="E48" i="3"/>
  <c r="F48" i="3"/>
  <c r="G48" i="3"/>
  <c r="H48" i="3"/>
  <c r="I48" i="3"/>
  <c r="J48" i="3"/>
  <c r="B49" i="3"/>
  <c r="C49" i="3"/>
  <c r="D49" i="3"/>
  <c r="E49" i="3"/>
  <c r="F49" i="3"/>
  <c r="G49" i="3"/>
  <c r="H49" i="3"/>
  <c r="I49" i="3"/>
  <c r="J49" i="3"/>
  <c r="B50" i="3"/>
  <c r="C50" i="3"/>
  <c r="D50" i="3"/>
  <c r="E50" i="3"/>
  <c r="F50" i="3"/>
  <c r="G50" i="3"/>
  <c r="H50" i="3"/>
  <c r="I50" i="3"/>
  <c r="J50" i="3"/>
  <c r="B51" i="3"/>
  <c r="C51" i="3"/>
  <c r="D51" i="3"/>
  <c r="E51" i="3"/>
  <c r="F51" i="3"/>
  <c r="G51" i="3"/>
  <c r="H51" i="3"/>
  <c r="I51" i="3"/>
  <c r="J51" i="3"/>
  <c r="B52" i="3"/>
  <c r="C52" i="3"/>
  <c r="D52" i="3"/>
  <c r="E52" i="3"/>
  <c r="F52" i="3"/>
  <c r="G52" i="3"/>
  <c r="H52" i="3"/>
  <c r="I52" i="3"/>
  <c r="J52" i="3"/>
  <c r="B53" i="3"/>
  <c r="C53" i="3"/>
  <c r="D53" i="3"/>
  <c r="E53" i="3"/>
  <c r="F53" i="3"/>
  <c r="G53" i="3"/>
  <c r="H53" i="3"/>
  <c r="I53" i="3"/>
  <c r="J53" i="3"/>
  <c r="B54" i="3"/>
  <c r="C54" i="3"/>
  <c r="D54" i="3"/>
  <c r="E54" i="3"/>
  <c r="F54" i="3"/>
  <c r="G54" i="3"/>
  <c r="H54" i="3"/>
  <c r="I54" i="3"/>
  <c r="J54" i="3"/>
  <c r="B55" i="3"/>
  <c r="C55" i="3"/>
  <c r="D55" i="3"/>
  <c r="E55" i="3"/>
  <c r="F55" i="3"/>
  <c r="G55" i="3"/>
  <c r="H55" i="3"/>
  <c r="I55" i="3"/>
  <c r="J55" i="3"/>
  <c r="B56" i="3"/>
  <c r="C56" i="3"/>
  <c r="D56" i="3"/>
  <c r="E56" i="3"/>
  <c r="F56" i="3"/>
  <c r="G56" i="3"/>
  <c r="H56" i="3"/>
  <c r="I56" i="3"/>
  <c r="J56" i="3"/>
  <c r="B57" i="3"/>
  <c r="C57" i="3"/>
  <c r="D57" i="3"/>
  <c r="E57" i="3"/>
  <c r="F57" i="3"/>
  <c r="G57" i="3"/>
  <c r="H57" i="3"/>
  <c r="I57" i="3"/>
  <c r="J57" i="3"/>
  <c r="B58" i="3"/>
  <c r="C58" i="3"/>
  <c r="D58" i="3"/>
  <c r="E58" i="3"/>
  <c r="F58" i="3"/>
  <c r="G58" i="3"/>
  <c r="H58" i="3"/>
  <c r="I58" i="3"/>
  <c r="J58" i="3"/>
  <c r="B59" i="3"/>
  <c r="C59" i="3"/>
  <c r="D59" i="3"/>
  <c r="E59" i="3"/>
  <c r="F59" i="3"/>
  <c r="G59" i="3"/>
  <c r="H59" i="3"/>
  <c r="I59" i="3"/>
  <c r="J59" i="3"/>
  <c r="B60" i="3"/>
  <c r="C60" i="3"/>
  <c r="D60" i="3"/>
  <c r="E60" i="3"/>
  <c r="F60" i="3"/>
  <c r="G60" i="3"/>
  <c r="H60" i="3"/>
  <c r="I60" i="3"/>
  <c r="J60" i="3"/>
  <c r="B61" i="3"/>
  <c r="C61" i="3"/>
  <c r="D61" i="3"/>
  <c r="E61" i="3"/>
  <c r="F61" i="3"/>
  <c r="G61" i="3"/>
  <c r="H61" i="3"/>
  <c r="I61" i="3"/>
  <c r="J61" i="3"/>
  <c r="B62" i="3"/>
  <c r="C62" i="3"/>
  <c r="D62" i="3"/>
  <c r="E62" i="3"/>
  <c r="F62" i="3"/>
  <c r="G62" i="3"/>
  <c r="H62" i="3"/>
  <c r="I62" i="3"/>
  <c r="J62" i="3"/>
  <c r="J2" i="3"/>
  <c r="I2" i="3"/>
  <c r="H2" i="3"/>
  <c r="G2" i="3"/>
  <c r="F2" i="3"/>
  <c r="E2" i="3"/>
  <c r="D2" i="3"/>
  <c r="C2" i="3"/>
  <c r="B2" i="3"/>
  <c r="A3" i="2"/>
  <c r="B3" i="2"/>
  <c r="C3" i="2"/>
  <c r="D3" i="2"/>
  <c r="E3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  <c r="A27" i="2"/>
  <c r="B27" i="2"/>
  <c r="C27" i="2"/>
  <c r="D27" i="2"/>
  <c r="E27" i="2"/>
  <c r="A28" i="2"/>
  <c r="B28" i="2"/>
  <c r="C28" i="2"/>
  <c r="D28" i="2"/>
  <c r="E28" i="2"/>
  <c r="A29" i="2"/>
  <c r="B29" i="2"/>
  <c r="C29" i="2"/>
  <c r="D29" i="2"/>
  <c r="E29" i="2"/>
  <c r="A30" i="2"/>
  <c r="B30" i="2"/>
  <c r="C30" i="2"/>
  <c r="D30" i="2"/>
  <c r="E30" i="2"/>
  <c r="A31" i="2"/>
  <c r="B31" i="2"/>
  <c r="C31" i="2"/>
  <c r="D31" i="2"/>
  <c r="E31" i="2"/>
  <c r="A32" i="2"/>
  <c r="B32" i="2"/>
  <c r="C32" i="2"/>
  <c r="D32" i="2"/>
  <c r="E32" i="2"/>
  <c r="A33" i="2"/>
  <c r="B33" i="2"/>
  <c r="C33" i="2"/>
  <c r="D33" i="2"/>
  <c r="E33" i="2"/>
  <c r="A34" i="2"/>
  <c r="B34" i="2"/>
  <c r="C34" i="2"/>
  <c r="D34" i="2"/>
  <c r="E34" i="2"/>
  <c r="A35" i="2"/>
  <c r="B35" i="2"/>
  <c r="C35" i="2"/>
  <c r="D35" i="2"/>
  <c r="E35" i="2"/>
  <c r="A36" i="2"/>
  <c r="B36" i="2"/>
  <c r="C36" i="2"/>
  <c r="D36" i="2"/>
  <c r="E36" i="2"/>
  <c r="A37" i="2"/>
  <c r="B37" i="2"/>
  <c r="C37" i="2"/>
  <c r="D37" i="2"/>
  <c r="E37" i="2"/>
  <c r="A38" i="2"/>
  <c r="B38" i="2"/>
  <c r="C38" i="2"/>
  <c r="D38" i="2"/>
  <c r="E38" i="2"/>
  <c r="A39" i="2"/>
  <c r="B39" i="2"/>
  <c r="C39" i="2"/>
  <c r="D39" i="2"/>
  <c r="E39" i="2"/>
  <c r="A40" i="2"/>
  <c r="B40" i="2"/>
  <c r="C40" i="2"/>
  <c r="D40" i="2"/>
  <c r="E40" i="2"/>
  <c r="A41" i="2"/>
  <c r="B41" i="2"/>
  <c r="C41" i="2"/>
  <c r="D41" i="2"/>
  <c r="E41" i="2"/>
  <c r="A42" i="2"/>
  <c r="B42" i="2"/>
  <c r="C42" i="2"/>
  <c r="D42" i="2"/>
  <c r="E42" i="2"/>
  <c r="A43" i="2"/>
  <c r="B43" i="2"/>
  <c r="C43" i="2"/>
  <c r="D43" i="2"/>
  <c r="E43" i="2"/>
  <c r="A44" i="2"/>
  <c r="B44" i="2"/>
  <c r="C44" i="2"/>
  <c r="D44" i="2"/>
  <c r="E44" i="2"/>
  <c r="A45" i="2"/>
  <c r="B45" i="2"/>
  <c r="C45" i="2"/>
  <c r="D45" i="2"/>
  <c r="E45" i="2"/>
  <c r="A46" i="2"/>
  <c r="B46" i="2"/>
  <c r="C46" i="2"/>
  <c r="D46" i="2"/>
  <c r="E46" i="2"/>
  <c r="A47" i="2"/>
  <c r="B47" i="2"/>
  <c r="C47" i="2"/>
  <c r="D47" i="2"/>
  <c r="E47" i="2"/>
  <c r="A48" i="2"/>
  <c r="B48" i="2"/>
  <c r="C48" i="2"/>
  <c r="D48" i="2"/>
  <c r="E48" i="2"/>
  <c r="A49" i="2"/>
  <c r="B49" i="2"/>
  <c r="C49" i="2"/>
  <c r="D49" i="2"/>
  <c r="E49" i="2"/>
  <c r="A50" i="2"/>
  <c r="B50" i="2"/>
  <c r="C50" i="2"/>
  <c r="D50" i="2"/>
  <c r="E50" i="2"/>
  <c r="A51" i="2"/>
  <c r="B51" i="2"/>
  <c r="C51" i="2"/>
  <c r="D51" i="2"/>
  <c r="E51" i="2"/>
  <c r="A52" i="2"/>
  <c r="B52" i="2"/>
  <c r="C52" i="2"/>
  <c r="D52" i="2"/>
  <c r="E52" i="2"/>
  <c r="A53" i="2"/>
  <c r="B53" i="2"/>
  <c r="C53" i="2"/>
  <c r="D53" i="2"/>
  <c r="E53" i="2"/>
  <c r="A54" i="2"/>
  <c r="B54" i="2"/>
  <c r="C54" i="2"/>
  <c r="D54" i="2"/>
  <c r="E54" i="2"/>
  <c r="A55" i="2"/>
  <c r="B55" i="2"/>
  <c r="C55" i="2"/>
  <c r="D55" i="2"/>
  <c r="E55" i="2"/>
  <c r="A56" i="2"/>
  <c r="B56" i="2"/>
  <c r="C56" i="2"/>
  <c r="D56" i="2"/>
  <c r="E56" i="2"/>
  <c r="A57" i="2"/>
  <c r="B57" i="2"/>
  <c r="C57" i="2"/>
  <c r="D57" i="2"/>
  <c r="E57" i="2"/>
  <c r="A58" i="2"/>
  <c r="B58" i="2"/>
  <c r="C58" i="2"/>
  <c r="D58" i="2"/>
  <c r="E58" i="2"/>
  <c r="A59" i="2"/>
  <c r="B59" i="2"/>
  <c r="C59" i="2"/>
  <c r="D59" i="2"/>
  <c r="E59" i="2"/>
  <c r="A60" i="2"/>
  <c r="B60" i="2"/>
  <c r="C60" i="2"/>
  <c r="D60" i="2"/>
  <c r="E60" i="2"/>
  <c r="A61" i="2"/>
  <c r="B61" i="2"/>
  <c r="C61" i="2"/>
  <c r="D61" i="2"/>
  <c r="E61" i="2"/>
  <c r="A62" i="2"/>
  <c r="B62" i="2"/>
  <c r="C62" i="2"/>
  <c r="D62" i="2"/>
  <c r="E62" i="2"/>
  <c r="E2" i="2"/>
  <c r="D2" i="2"/>
  <c r="C2" i="2"/>
  <c r="B2" i="2"/>
  <c r="A2" i="2"/>
  <c r="X2" i="1" l="1"/>
  <c r="X6" i="1"/>
  <c r="C6" i="1" l="1"/>
  <c r="C43" i="4" l="1"/>
  <c r="C46" i="4"/>
  <c r="C2" i="4"/>
  <c r="C44" i="4"/>
  <c r="C62" i="4"/>
  <c r="C38" i="4"/>
  <c r="C29" i="4"/>
  <c r="C42" i="4"/>
  <c r="C41" i="4"/>
  <c r="C22" i="4"/>
  <c r="C23" i="4"/>
  <c r="C26" i="4"/>
  <c r="C59" i="4"/>
  <c r="C34" i="4"/>
  <c r="C49" i="4"/>
  <c r="C32" i="4"/>
  <c r="C24" i="4"/>
  <c r="C17" i="4"/>
  <c r="C21" i="4"/>
  <c r="C55" i="4"/>
  <c r="C47" i="4"/>
  <c r="C39" i="4"/>
  <c r="C30" i="4"/>
  <c r="C51" i="4"/>
  <c r="C16" i="4"/>
  <c r="C57" i="4"/>
  <c r="C8" i="4"/>
  <c r="C48" i="4"/>
  <c r="C40" i="4"/>
  <c r="C31" i="4"/>
  <c r="C54" i="4"/>
  <c r="C52" i="4"/>
  <c r="C19" i="4"/>
  <c r="C11" i="4"/>
  <c r="C10" i="4"/>
  <c r="C58" i="4"/>
  <c r="C33" i="4"/>
  <c r="C18" i="4"/>
  <c r="C50" i="4"/>
  <c r="C25" i="4"/>
  <c r="C35" i="4"/>
  <c r="C9" i="4"/>
  <c r="C56" i="4"/>
  <c r="C15" i="4"/>
  <c r="C5" i="4"/>
  <c r="C14" i="4"/>
  <c r="C6" i="4"/>
  <c r="C13" i="4"/>
  <c r="C4" i="4"/>
  <c r="C61" i="4"/>
  <c r="C53" i="4"/>
  <c r="C45" i="4"/>
  <c r="C37" i="4"/>
  <c r="C28" i="4"/>
  <c r="C20" i="4"/>
  <c r="C12" i="4"/>
  <c r="C7" i="4"/>
  <c r="C60" i="4"/>
  <c r="C36" i="4"/>
  <c r="C27" i="4"/>
  <c r="C3" i="4"/>
  <c r="C5" i="1" l="1"/>
  <c r="C4" i="1"/>
  <c r="X4" i="1"/>
  <c r="C7" i="1"/>
  <c r="X7" i="1"/>
  <c r="C8" i="1"/>
  <c r="C9" i="1"/>
  <c r="X9" i="1"/>
  <c r="C10" i="1"/>
  <c r="C11" i="1"/>
  <c r="C13" i="1"/>
  <c r="X13" i="1"/>
  <c r="C12" i="1"/>
  <c r="C14" i="1"/>
  <c r="C15" i="1"/>
  <c r="C16" i="1"/>
  <c r="C20" i="1"/>
  <c r="C17" i="1"/>
  <c r="C19" i="1"/>
  <c r="C18" i="1"/>
  <c r="C21" i="1"/>
  <c r="C22" i="1"/>
  <c r="C25" i="1"/>
  <c r="C26" i="1"/>
  <c r="C24" i="1"/>
  <c r="C23" i="1"/>
  <c r="C27" i="1"/>
  <c r="C28" i="1"/>
  <c r="C29" i="1"/>
  <c r="C30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45" i="1"/>
  <c r="C46" i="1"/>
  <c r="C48" i="1"/>
  <c r="C3" i="1"/>
  <c r="C49" i="1"/>
  <c r="C50" i="1"/>
  <c r="C51" i="1"/>
  <c r="C52" i="1"/>
  <c r="C53" i="1"/>
  <c r="C54" i="1"/>
  <c r="C55" i="1"/>
  <c r="C56" i="1"/>
  <c r="C60" i="1"/>
  <c r="C57" i="1"/>
  <c r="C58" i="1"/>
  <c r="C59" i="1"/>
  <c r="C61" i="1"/>
  <c r="C62" i="1"/>
  <c r="C63" i="1"/>
  <c r="G19" i="7" l="1"/>
  <c r="E19" i="7"/>
  <c r="C31" i="7"/>
  <c r="C30" i="7"/>
  <c r="C29" i="7"/>
  <c r="E20" i="7"/>
  <c r="A63" i="4"/>
  <c r="A63" i="3"/>
  <c r="F75" i="7"/>
  <c r="C75" i="7"/>
  <c r="C77" i="7"/>
  <c r="A12" i="3"/>
  <c r="E36" i="7"/>
  <c r="E14" i="7"/>
  <c r="C14" i="7"/>
  <c r="C27" i="7"/>
  <c r="B20" i="7"/>
  <c r="F1" i="7"/>
  <c r="B36" i="7"/>
  <c r="C13" i="7"/>
  <c r="C26" i="7"/>
  <c r="C9" i="7"/>
  <c r="C8" i="7"/>
  <c r="B49" i="7"/>
  <c r="J1" i="7"/>
  <c r="B48" i="7"/>
  <c r="C25" i="7"/>
  <c r="E48" i="7"/>
  <c r="A35" i="3"/>
  <c r="A35" i="4"/>
  <c r="A2" i="3"/>
  <c r="A2" i="4"/>
  <c r="A3" i="4"/>
  <c r="A3" i="3"/>
  <c r="A39" i="4"/>
  <c r="A39" i="3"/>
  <c r="A59" i="3"/>
  <c r="A59" i="4"/>
  <c r="A43" i="3"/>
  <c r="A43" i="4"/>
  <c r="A26" i="4"/>
  <c r="A26" i="3"/>
  <c r="A61" i="3"/>
  <c r="A61" i="4"/>
  <c r="A53" i="3"/>
  <c r="A53" i="4"/>
  <c r="A45" i="3"/>
  <c r="A45" i="4"/>
  <c r="A37" i="3"/>
  <c r="A37" i="4"/>
  <c r="A62" i="4"/>
  <c r="A62" i="3"/>
  <c r="A54" i="4"/>
  <c r="A54" i="3"/>
  <c r="A46" i="4"/>
  <c r="A46" i="3"/>
  <c r="A38" i="4"/>
  <c r="A38" i="3"/>
  <c r="A29" i="3"/>
  <c r="A29" i="4"/>
  <c r="A21" i="3"/>
  <c r="A21" i="4"/>
  <c r="A13" i="3"/>
  <c r="A13" i="4"/>
  <c r="A4" i="4"/>
  <c r="A4" i="3"/>
  <c r="A47" i="4"/>
  <c r="A47" i="3"/>
  <c r="A30" i="4"/>
  <c r="A30" i="3"/>
  <c r="A23" i="4"/>
  <c r="A23" i="3"/>
  <c r="A14" i="4"/>
  <c r="A14" i="3"/>
  <c r="A6" i="4"/>
  <c r="A6" i="3"/>
  <c r="A15" i="4"/>
  <c r="A15" i="3"/>
  <c r="A5" i="3"/>
  <c r="A5" i="4"/>
  <c r="A55" i="4"/>
  <c r="A55" i="3"/>
  <c r="A56" i="3"/>
  <c r="A56" i="4"/>
  <c r="A49" i="3"/>
  <c r="A49" i="4"/>
  <c r="A41" i="3"/>
  <c r="A41" i="4"/>
  <c r="A17" i="3"/>
  <c r="A17" i="4"/>
  <c r="A48" i="4"/>
  <c r="A48" i="3"/>
  <c r="A57" i="3"/>
  <c r="A57" i="4"/>
  <c r="A32" i="4"/>
  <c r="A32" i="3"/>
  <c r="A24" i="3"/>
  <c r="A24" i="4"/>
  <c r="A8" i="3"/>
  <c r="A8" i="4"/>
  <c r="A58" i="4"/>
  <c r="A58" i="3"/>
  <c r="A50" i="4"/>
  <c r="A50" i="3"/>
  <c r="A42" i="4"/>
  <c r="A42" i="3"/>
  <c r="A33" i="3"/>
  <c r="A33" i="4"/>
  <c r="A25" i="3"/>
  <c r="A25" i="4"/>
  <c r="A18" i="4"/>
  <c r="A18" i="3"/>
  <c r="A9" i="3"/>
  <c r="A9" i="4"/>
  <c r="A22" i="4"/>
  <c r="A22" i="3"/>
  <c r="A51" i="3"/>
  <c r="A51" i="4"/>
  <c r="A16" i="3"/>
  <c r="A16" i="4"/>
  <c r="A10" i="4"/>
  <c r="A10" i="3"/>
  <c r="A40" i="4"/>
  <c r="A40" i="3"/>
  <c r="A31" i="4"/>
  <c r="A31" i="3"/>
  <c r="A34" i="4"/>
  <c r="A34" i="3"/>
  <c r="A60" i="4"/>
  <c r="A60" i="3"/>
  <c r="A52" i="3"/>
  <c r="A52" i="4"/>
  <c r="A44" i="4"/>
  <c r="A44" i="3"/>
  <c r="A36" i="3"/>
  <c r="A36" i="4"/>
  <c r="A27" i="3"/>
  <c r="A27" i="4"/>
  <c r="A19" i="3"/>
  <c r="A19" i="4"/>
  <c r="A11" i="3"/>
  <c r="A11" i="4"/>
  <c r="A28" i="4"/>
  <c r="A28" i="3"/>
  <c r="A20" i="4"/>
  <c r="A20" i="3"/>
  <c r="A12" i="4"/>
  <c r="A7" i="4"/>
  <c r="A7" i="3"/>
  <c r="H58" i="10" l="1"/>
  <c r="G58" i="10"/>
  <c r="F58" i="10"/>
  <c r="E58" i="10"/>
  <c r="C58" i="10"/>
  <c r="B58" i="10"/>
  <c r="A58" i="10"/>
  <c r="H57" i="10"/>
  <c r="G57" i="10"/>
  <c r="F57" i="10"/>
  <c r="E57" i="10"/>
  <c r="C57" i="10"/>
  <c r="B57" i="10"/>
  <c r="A57" i="10"/>
  <c r="H56" i="10"/>
  <c r="G56" i="10"/>
  <c r="F56" i="10"/>
  <c r="E56" i="10"/>
  <c r="C56" i="10"/>
  <c r="B56" i="10"/>
  <c r="A56" i="10"/>
  <c r="H55" i="10"/>
  <c r="G55" i="10"/>
  <c r="F55" i="10"/>
  <c r="E55" i="10"/>
  <c r="C55" i="10"/>
  <c r="B55" i="10"/>
  <c r="A55" i="10"/>
  <c r="H54" i="10"/>
  <c r="G54" i="10"/>
  <c r="F54" i="10"/>
  <c r="E54" i="10"/>
  <c r="C54" i="10"/>
  <c r="B54" i="10"/>
  <c r="A54" i="10"/>
  <c r="H53" i="10"/>
  <c r="G53" i="10"/>
  <c r="F53" i="10"/>
  <c r="E53" i="10"/>
  <c r="C53" i="10"/>
  <c r="B53" i="10"/>
  <c r="A53" i="10"/>
  <c r="H52" i="10"/>
  <c r="G52" i="10"/>
  <c r="F52" i="10"/>
  <c r="E52" i="10"/>
  <c r="C52" i="10"/>
  <c r="B52" i="10"/>
  <c r="A52" i="10"/>
  <c r="H51" i="10"/>
  <c r="G51" i="10"/>
  <c r="F51" i="10"/>
  <c r="E51" i="10"/>
  <c r="C51" i="10"/>
  <c r="B51" i="10"/>
  <c r="A51" i="10"/>
  <c r="H50" i="10"/>
  <c r="G50" i="10"/>
  <c r="F50" i="10"/>
  <c r="E50" i="10"/>
  <c r="C50" i="10"/>
  <c r="B50" i="10"/>
  <c r="A50" i="10"/>
  <c r="H49" i="10"/>
  <c r="G49" i="10"/>
  <c r="F49" i="10"/>
  <c r="E49" i="10"/>
  <c r="C49" i="10"/>
  <c r="B49" i="10"/>
  <c r="A49" i="10"/>
  <c r="H48" i="10"/>
  <c r="G48" i="10"/>
  <c r="F48" i="10"/>
  <c r="E48" i="10"/>
  <c r="C48" i="10"/>
  <c r="B48" i="10"/>
  <c r="A48" i="10"/>
  <c r="H47" i="10"/>
  <c r="G47" i="10"/>
  <c r="F47" i="10"/>
  <c r="E47" i="10"/>
  <c r="C47" i="10"/>
  <c r="B47" i="10"/>
  <c r="A47" i="10"/>
  <c r="H46" i="10"/>
  <c r="G46" i="10"/>
  <c r="F46" i="10"/>
  <c r="E46" i="10"/>
  <c r="C46" i="10"/>
  <c r="B46" i="10"/>
  <c r="A46" i="10"/>
  <c r="H45" i="10"/>
  <c r="G45" i="10"/>
  <c r="F45" i="10"/>
  <c r="E45" i="10"/>
  <c r="C45" i="10"/>
  <c r="B45" i="10"/>
  <c r="A45" i="10"/>
  <c r="H44" i="10"/>
  <c r="G44" i="10"/>
  <c r="F44" i="10"/>
  <c r="E44" i="10"/>
  <c r="C44" i="10"/>
  <c r="B44" i="10"/>
  <c r="A44" i="10"/>
  <c r="H43" i="10"/>
  <c r="G43" i="10"/>
  <c r="F43" i="10"/>
  <c r="E43" i="10"/>
  <c r="C43" i="10"/>
  <c r="B43" i="10"/>
  <c r="A43" i="10"/>
  <c r="H42" i="10"/>
  <c r="G42" i="10"/>
  <c r="F42" i="10"/>
  <c r="E42" i="10"/>
  <c r="C42" i="10"/>
  <c r="B42" i="10"/>
  <c r="A42" i="10"/>
  <c r="H41" i="10"/>
  <c r="G41" i="10"/>
  <c r="F41" i="10"/>
  <c r="E41" i="10"/>
  <c r="C41" i="10"/>
  <c r="B41" i="10"/>
  <c r="A41" i="10"/>
  <c r="H40" i="10"/>
  <c r="G40" i="10"/>
  <c r="F40" i="10"/>
  <c r="E40" i="10"/>
  <c r="C40" i="10"/>
  <c r="B40" i="10"/>
  <c r="A40" i="10"/>
  <c r="H39" i="10"/>
  <c r="G39" i="10"/>
  <c r="F39" i="10"/>
  <c r="E39" i="10"/>
  <c r="C39" i="10"/>
  <c r="B39" i="10"/>
  <c r="A39" i="10"/>
  <c r="H38" i="10"/>
  <c r="G38" i="10"/>
  <c r="F38" i="10"/>
  <c r="E38" i="10"/>
  <c r="C38" i="10"/>
  <c r="B38" i="10"/>
  <c r="A38" i="10"/>
  <c r="H37" i="10"/>
  <c r="G37" i="10"/>
  <c r="F37" i="10"/>
  <c r="E37" i="10"/>
  <c r="C37" i="10"/>
  <c r="B37" i="10"/>
  <c r="A37" i="10"/>
  <c r="H36" i="10"/>
  <c r="G36" i="10"/>
  <c r="F36" i="10"/>
  <c r="E36" i="10"/>
  <c r="C36" i="10"/>
  <c r="B36" i="10"/>
  <c r="A36" i="10"/>
  <c r="H35" i="10"/>
  <c r="G35" i="10"/>
  <c r="F35" i="10"/>
  <c r="E35" i="10"/>
  <c r="C35" i="10"/>
  <c r="B35" i="10"/>
  <c r="A35" i="10"/>
  <c r="H34" i="10"/>
  <c r="G34" i="10"/>
  <c r="F34" i="10"/>
  <c r="E34" i="10"/>
  <c r="C34" i="10"/>
  <c r="B34" i="10"/>
  <c r="A34" i="10"/>
  <c r="H33" i="10"/>
  <c r="G33" i="10"/>
  <c r="F33" i="10"/>
  <c r="E33" i="10"/>
  <c r="C33" i="10"/>
  <c r="B33" i="10"/>
  <c r="A33" i="10"/>
  <c r="H32" i="10"/>
  <c r="G32" i="10"/>
  <c r="F32" i="10"/>
  <c r="E32" i="10"/>
  <c r="C32" i="10"/>
  <c r="B32" i="10"/>
  <c r="A32" i="10"/>
  <c r="H31" i="10"/>
  <c r="G31" i="10"/>
  <c r="F31" i="10"/>
  <c r="E31" i="10"/>
  <c r="C31" i="10"/>
  <c r="B31" i="10"/>
  <c r="A31" i="10"/>
  <c r="H30" i="10"/>
  <c r="G30" i="10"/>
  <c r="F30" i="10"/>
  <c r="E30" i="10"/>
  <c r="C30" i="10"/>
  <c r="B30" i="10"/>
  <c r="A30" i="10"/>
  <c r="H29" i="10"/>
  <c r="G29" i="10"/>
  <c r="F29" i="10"/>
  <c r="E29" i="10"/>
  <c r="C29" i="10"/>
  <c r="B29" i="10"/>
  <c r="A29" i="10"/>
  <c r="H28" i="10"/>
  <c r="G28" i="10"/>
  <c r="F28" i="10"/>
  <c r="E28" i="10"/>
  <c r="C28" i="10"/>
  <c r="B28" i="10"/>
  <c r="A28" i="10"/>
  <c r="H27" i="10"/>
  <c r="G27" i="10"/>
  <c r="F27" i="10"/>
  <c r="E27" i="10"/>
  <c r="C27" i="10"/>
  <c r="B27" i="10"/>
  <c r="A27" i="10"/>
  <c r="H26" i="10"/>
  <c r="G26" i="10"/>
  <c r="F26" i="10"/>
  <c r="E26" i="10"/>
  <c r="C26" i="10"/>
  <c r="B26" i="10"/>
  <c r="A26" i="10"/>
  <c r="H25" i="10"/>
  <c r="G25" i="10"/>
  <c r="F25" i="10"/>
  <c r="E25" i="10"/>
  <c r="C25" i="10"/>
  <c r="B25" i="10"/>
  <c r="A25" i="10"/>
  <c r="H24" i="10"/>
  <c r="G24" i="10"/>
  <c r="F24" i="10"/>
  <c r="E24" i="10"/>
  <c r="C24" i="10"/>
  <c r="B24" i="10"/>
  <c r="A24" i="10"/>
  <c r="H23" i="10"/>
  <c r="G23" i="10"/>
  <c r="F23" i="10"/>
  <c r="E23" i="10"/>
  <c r="C23" i="10"/>
  <c r="B23" i="10"/>
  <c r="A23" i="10"/>
  <c r="H22" i="10"/>
  <c r="G22" i="10"/>
  <c r="F22" i="10"/>
  <c r="E22" i="10"/>
  <c r="C22" i="10"/>
  <c r="B22" i="10"/>
  <c r="A22" i="10"/>
  <c r="H21" i="10"/>
  <c r="G21" i="10"/>
  <c r="F21" i="10"/>
  <c r="E21" i="10"/>
  <c r="C21" i="10"/>
  <c r="B21" i="10"/>
  <c r="A21" i="10"/>
  <c r="H20" i="10"/>
  <c r="G20" i="10"/>
  <c r="F20" i="10"/>
  <c r="E20" i="10"/>
  <c r="C20" i="10"/>
  <c r="B20" i="10"/>
  <c r="A20" i="10"/>
  <c r="H19" i="10"/>
  <c r="G19" i="10"/>
  <c r="F19" i="10"/>
  <c r="E19" i="10"/>
  <c r="C19" i="10"/>
  <c r="B19" i="10"/>
  <c r="A19" i="10"/>
  <c r="H18" i="10"/>
  <c r="G18" i="10"/>
  <c r="F18" i="10"/>
  <c r="E18" i="10"/>
  <c r="C18" i="10"/>
  <c r="B18" i="10"/>
  <c r="A18" i="10"/>
  <c r="H17" i="10"/>
  <c r="G17" i="10"/>
  <c r="F17" i="10"/>
  <c r="E17" i="10"/>
  <c r="C17" i="10"/>
  <c r="B17" i="10"/>
  <c r="A17" i="10"/>
  <c r="H16" i="10"/>
  <c r="G16" i="10"/>
  <c r="F16" i="10"/>
  <c r="E16" i="10"/>
  <c r="C16" i="10"/>
  <c r="B16" i="10"/>
  <c r="A16" i="10"/>
  <c r="H15" i="10"/>
  <c r="G15" i="10"/>
  <c r="F15" i="10"/>
  <c r="E15" i="10"/>
  <c r="C15" i="10"/>
  <c r="B15" i="10"/>
  <c r="A15" i="10"/>
  <c r="H14" i="10"/>
  <c r="G14" i="10"/>
  <c r="F14" i="10"/>
  <c r="E14" i="10"/>
  <c r="C14" i="10"/>
  <c r="B14" i="10"/>
  <c r="A14" i="10"/>
  <c r="H13" i="10"/>
  <c r="G13" i="10"/>
  <c r="F13" i="10"/>
  <c r="E13" i="10"/>
  <c r="C13" i="10"/>
  <c r="B13" i="10"/>
  <c r="A13" i="10"/>
  <c r="H12" i="10"/>
  <c r="G12" i="10"/>
  <c r="F12" i="10"/>
  <c r="E12" i="10"/>
  <c r="C12" i="10"/>
  <c r="B12" i="10"/>
  <c r="A12" i="10"/>
  <c r="H11" i="10"/>
  <c r="G11" i="10"/>
  <c r="F11" i="10"/>
  <c r="E11" i="10"/>
  <c r="C11" i="10"/>
  <c r="B11" i="10"/>
  <c r="A11" i="10"/>
  <c r="H10" i="10"/>
  <c r="G10" i="10"/>
  <c r="F10" i="10"/>
  <c r="E10" i="10"/>
  <c r="C10" i="10"/>
  <c r="B10" i="10"/>
  <c r="A10" i="10"/>
  <c r="H9" i="10"/>
  <c r="G9" i="10"/>
  <c r="F9" i="10"/>
  <c r="E9" i="10"/>
  <c r="C9" i="10"/>
  <c r="B9" i="10"/>
  <c r="A9" i="10"/>
  <c r="H8" i="10"/>
  <c r="G8" i="10"/>
  <c r="F8" i="10"/>
  <c r="E8" i="10"/>
  <c r="C8" i="10"/>
  <c r="B8" i="10"/>
  <c r="A8" i="10"/>
  <c r="H7" i="10"/>
  <c r="G7" i="10"/>
  <c r="F7" i="10"/>
  <c r="E7" i="10"/>
  <c r="C7" i="10"/>
  <c r="B7" i="10"/>
  <c r="A7" i="10"/>
  <c r="H6" i="10"/>
  <c r="G6" i="10"/>
  <c r="F6" i="10"/>
  <c r="E6" i="10"/>
  <c r="C6" i="10"/>
  <c r="B6" i="10"/>
  <c r="A6" i="10"/>
  <c r="H5" i="10"/>
  <c r="G5" i="10"/>
  <c r="F5" i="10"/>
  <c r="E5" i="10"/>
  <c r="C5" i="10"/>
  <c r="B5" i="10"/>
  <c r="A5" i="10"/>
  <c r="H4" i="10"/>
  <c r="G4" i="10"/>
  <c r="F4" i="10"/>
  <c r="E4" i="10"/>
  <c r="C4" i="10"/>
  <c r="B4" i="10"/>
  <c r="A4" i="10"/>
  <c r="H3" i="10"/>
  <c r="G3" i="10"/>
  <c r="F3" i="10"/>
  <c r="E3" i="10"/>
  <c r="C3" i="10"/>
  <c r="B3" i="10"/>
  <c r="A3" i="10"/>
  <c r="H2" i="10"/>
  <c r="G2" i="10"/>
  <c r="F2" i="10"/>
  <c r="E2" i="10"/>
  <c r="C2" i="10"/>
  <c r="B2" i="10"/>
  <c r="A2" i="10"/>
  <c r="D42" i="10" l="1"/>
  <c r="D9" i="10"/>
  <c r="D21" i="10"/>
  <c r="D31" i="10"/>
  <c r="D11" i="10"/>
  <c r="D33" i="10"/>
  <c r="D35" i="10"/>
  <c r="D37" i="10"/>
  <c r="D43" i="10"/>
  <c r="D49" i="10"/>
  <c r="D51" i="10"/>
  <c r="D58" i="10"/>
  <c r="D25" i="10"/>
  <c r="D39" i="10"/>
  <c r="D19" i="10"/>
  <c r="D17" i="10"/>
  <c r="D27" i="10"/>
  <c r="D13" i="10"/>
  <c r="D5" i="10"/>
  <c r="D15" i="10"/>
  <c r="D7" i="10"/>
  <c r="D29" i="10"/>
  <c r="D57" i="10"/>
  <c r="D23" i="10"/>
  <c r="D36" i="10"/>
  <c r="D40" i="10"/>
  <c r="D50" i="10"/>
  <c r="D54" i="10"/>
  <c r="D45" i="10"/>
  <c r="D46" i="10"/>
  <c r="D12" i="10"/>
  <c r="D24" i="10"/>
  <c r="D28" i="10"/>
  <c r="D32" i="10"/>
  <c r="D41" i="10"/>
  <c r="D16" i="10"/>
  <c r="D47" i="10"/>
  <c r="D55" i="10"/>
  <c r="D8" i="10"/>
  <c r="D2" i="10"/>
  <c r="D38" i="10"/>
  <c r="D52" i="10"/>
  <c r="D20" i="10"/>
  <c r="D56" i="10"/>
  <c r="D4" i="10"/>
  <c r="D34" i="10"/>
  <c r="D44" i="10"/>
  <c r="D48" i="10"/>
  <c r="D3" i="10"/>
  <c r="D6" i="10"/>
  <c r="D10" i="10"/>
  <c r="D14" i="10"/>
  <c r="D18" i="10"/>
  <c r="D22" i="10"/>
  <c r="D26" i="10"/>
  <c r="D30" i="10"/>
  <c r="D53" i="10"/>
  <c r="B3" i="5" l="1"/>
</calcChain>
</file>

<file path=xl/sharedStrings.xml><?xml version="1.0" encoding="utf-8"?>
<sst xmlns="http://schemas.openxmlformats.org/spreadsheetml/2006/main" count="1466" uniqueCount="325">
  <si>
    <t>Nom</t>
  </si>
  <si>
    <t>Prénom</t>
  </si>
  <si>
    <t>Date de naissance</t>
  </si>
  <si>
    <t>Âge</t>
  </si>
  <si>
    <t>IEF</t>
  </si>
  <si>
    <t>AG</t>
  </si>
  <si>
    <t>CMU</t>
  </si>
  <si>
    <t>Collège</t>
  </si>
  <si>
    <t>CFA</t>
  </si>
  <si>
    <t>Lycée</t>
  </si>
  <si>
    <t>Lieu d'apprentissage</t>
  </si>
  <si>
    <t>Passeport</t>
  </si>
  <si>
    <t>Jugement supplétif</t>
  </si>
  <si>
    <t>Chambre</t>
  </si>
  <si>
    <t>Date de majorité</t>
  </si>
  <si>
    <t>A._FRERET</t>
  </si>
  <si>
    <t>D._CHAHARANE</t>
  </si>
  <si>
    <t>E._MOULINET</t>
  </si>
  <si>
    <t>J._CADIN</t>
  </si>
  <si>
    <t>S._LACOSTE</t>
  </si>
  <si>
    <t>V._LECUYER</t>
  </si>
  <si>
    <t>Educateurs</t>
  </si>
  <si>
    <t>Educateur(trice)</t>
  </si>
  <si>
    <t>Choix</t>
  </si>
  <si>
    <t>Oui</t>
  </si>
  <si>
    <t>Non</t>
  </si>
  <si>
    <t>Statut</t>
  </si>
  <si>
    <t>Date d'arrivée en France</t>
  </si>
  <si>
    <t>Scolaire</t>
  </si>
  <si>
    <t>Autre</t>
  </si>
  <si>
    <t>Scolarité</t>
  </si>
  <si>
    <t>Demande de titre</t>
  </si>
  <si>
    <t>Titre de séjour</t>
  </si>
  <si>
    <t>Travailleur temporaire</t>
  </si>
  <si>
    <t>Nationalité</t>
  </si>
  <si>
    <t>Asile</t>
  </si>
  <si>
    <t>Vie privée et familiale</t>
  </si>
  <si>
    <t>Etudiant</t>
  </si>
  <si>
    <t>Date d'arrivée au DAMA</t>
  </si>
  <si>
    <t>Mail</t>
  </si>
  <si>
    <t>Mail AG</t>
  </si>
  <si>
    <t>Carte consulaire</t>
  </si>
  <si>
    <t>Envoyer mail</t>
  </si>
  <si>
    <t>ATJM</t>
  </si>
  <si>
    <t>Date de fin d'ATJM</t>
  </si>
  <si>
    <t>Etablissement</t>
  </si>
  <si>
    <t>Fin d'autorisation de travail</t>
  </si>
  <si>
    <t>Fin CMU</t>
  </si>
  <si>
    <t>SCOLARITE</t>
  </si>
  <si>
    <t>Lycee_Professionnel</t>
  </si>
  <si>
    <t>Lycee</t>
  </si>
  <si>
    <t>College</t>
  </si>
  <si>
    <t>NAVARRE</t>
  </si>
  <si>
    <t>HORTICOLE</t>
  </si>
  <si>
    <t>Carte de bus</t>
  </si>
  <si>
    <t>Fin de validité</t>
  </si>
  <si>
    <t>Bus</t>
  </si>
  <si>
    <t>Au mois</t>
  </si>
  <si>
    <t>Au trimestre</t>
  </si>
  <si>
    <t>Date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</si>
  <si>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</si>
  <si>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</si>
  <si>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</si>
  <si>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</si>
  <si>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</si>
  <si>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</si>
  <si>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</si>
  <si>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</si>
  <si>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</si>
  <si>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</si>
  <si>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</si>
  <si>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</si>
  <si>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</si>
  <si>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</si>
  <si>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</si>
  <si>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</si>
  <si>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</si>
  <si>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</si>
  <si>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</si>
  <si>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</si>
  <si>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</si>
  <si>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</si>
  <si>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</si>
  <si>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</si>
  <si>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</si>
  <si>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</si>
  <si>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</si>
  <si>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</si>
  <si>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</si>
  <si>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</si>
  <si>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</si>
  <si>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Classe</t>
  </si>
  <si>
    <t>Date Renouvellement d'ATJM</t>
  </si>
  <si>
    <t>Clat</t>
  </si>
  <si>
    <t>Né le :</t>
  </si>
  <si>
    <t>Nationnalité :</t>
  </si>
  <si>
    <t>Sexe</t>
  </si>
  <si>
    <t>Entrée en France :</t>
  </si>
  <si>
    <t>Entrée au DAMA :</t>
  </si>
  <si>
    <t>Adresse actuelle :</t>
  </si>
  <si>
    <t>DAMA</t>
  </si>
  <si>
    <t>61, rue Saint GERMAIN</t>
  </si>
  <si>
    <t>27000 EVREUX</t>
  </si>
  <si>
    <t>Educateur référant :</t>
  </si>
  <si>
    <t>Formation :</t>
  </si>
  <si>
    <t>RESPONSABLE LEGAL</t>
  </si>
  <si>
    <t>Réfèrent PAMIE :</t>
  </si>
  <si>
    <t>Mail :</t>
  </si>
  <si>
    <t>Téléphone :</t>
  </si>
  <si>
    <t>Assistante de gestion :</t>
  </si>
  <si>
    <t>IEF :</t>
  </si>
  <si>
    <t>MESURE DE PROTECTION</t>
  </si>
  <si>
    <t>AUTORISATION</t>
  </si>
  <si>
    <t>Autorisation d'opérer :</t>
  </si>
  <si>
    <t>Autorisation à l'image :</t>
  </si>
  <si>
    <t>Autorisation de sortie :</t>
  </si>
  <si>
    <t>SANTE</t>
  </si>
  <si>
    <t>CMU :</t>
  </si>
  <si>
    <t>Nom Prénom</t>
  </si>
  <si>
    <t>MNA</t>
  </si>
  <si>
    <t>Masculin</t>
  </si>
  <si>
    <t>Référent PAMIE</t>
  </si>
  <si>
    <t>RIB / Compte</t>
  </si>
  <si>
    <t>21h</t>
  </si>
  <si>
    <t>00h</t>
  </si>
  <si>
    <t>03h</t>
  </si>
  <si>
    <t>06h</t>
  </si>
  <si>
    <t>REZ DE CHAUSSEE</t>
  </si>
  <si>
    <t>1ER ETAGE</t>
  </si>
  <si>
    <t>2EME ETAGE</t>
  </si>
  <si>
    <t>3EME ETAGE</t>
  </si>
  <si>
    <t>Observation</t>
  </si>
  <si>
    <t>Age d'arrivée</t>
  </si>
  <si>
    <t>Parcours 4</t>
  </si>
  <si>
    <t>Acte de naissance</t>
  </si>
  <si>
    <t>Apprentissage</t>
  </si>
  <si>
    <t>Nationnalité</t>
  </si>
  <si>
    <t>Mobilité</t>
  </si>
  <si>
    <t>Scooter</t>
  </si>
  <si>
    <t>Vélo</t>
  </si>
  <si>
    <t>Téléphone</t>
  </si>
  <si>
    <t>CV</t>
  </si>
  <si>
    <t>Argent de poche</t>
  </si>
  <si>
    <t>Type d'acceuil</t>
  </si>
  <si>
    <t>Collectif</t>
  </si>
  <si>
    <t>Semi_autonomie</t>
  </si>
  <si>
    <t>O €</t>
  </si>
  <si>
    <t>Type d'accueil</t>
  </si>
  <si>
    <t>Mail PAMIE</t>
  </si>
  <si>
    <t>au</t>
  </si>
  <si>
    <t>Mesure de protection</t>
  </si>
  <si>
    <t>Tutelle</t>
  </si>
  <si>
    <t>Mesure</t>
  </si>
  <si>
    <t>ASE</t>
  </si>
  <si>
    <t>Fin :</t>
  </si>
  <si>
    <t>Ordonnance de placement</t>
  </si>
  <si>
    <t>Mesure :</t>
  </si>
  <si>
    <t>comme</t>
  </si>
  <si>
    <t>Accueil en :</t>
  </si>
  <si>
    <t>ATJM à faire</t>
  </si>
  <si>
    <t>ATJM en réalisation</t>
  </si>
  <si>
    <t>ATJM accordé</t>
  </si>
  <si>
    <t>Date demande CMU/RIB</t>
  </si>
  <si>
    <t>CIO</t>
  </si>
  <si>
    <t>Colonne1</t>
  </si>
  <si>
    <t>Accueil :</t>
  </si>
  <si>
    <t>Numéro CMU</t>
  </si>
  <si>
    <t>Archiver</t>
  </si>
  <si>
    <t>31/11/2018</t>
  </si>
  <si>
    <t>Téléphone PAMIE</t>
  </si>
  <si>
    <t>Date de départ</t>
  </si>
  <si>
    <t>Jeunes</t>
  </si>
  <si>
    <t>Nombre de jeunes</t>
  </si>
  <si>
    <t>Référence Bill</t>
  </si>
  <si>
    <t xml:space="preserve">Référence de M. CHAHARANE </t>
  </si>
  <si>
    <t>Age moyen</t>
  </si>
  <si>
    <t>Référence Laura</t>
  </si>
  <si>
    <t>Référence de Mme. CADIN</t>
  </si>
  <si>
    <t>Référence Harold</t>
  </si>
  <si>
    <t>Référence de Mme. FRERET</t>
  </si>
  <si>
    <t>Nombre de numéros de téléphone</t>
  </si>
  <si>
    <t>Référence ES</t>
  </si>
  <si>
    <t>Référence de Mme. LACOSTE</t>
  </si>
  <si>
    <t>Nombre de mails</t>
  </si>
  <si>
    <t>Référence de Mme. LECUYER</t>
  </si>
  <si>
    <t>Référence de Mme. MOULINET</t>
  </si>
  <si>
    <t>Origine</t>
  </si>
  <si>
    <t>Afghanistan</t>
  </si>
  <si>
    <t>Plus recente arrivée en France</t>
  </si>
  <si>
    <t>Placement</t>
  </si>
  <si>
    <t>Arménie</t>
  </si>
  <si>
    <t>Plus ancienne arrivée France</t>
  </si>
  <si>
    <t>Nombre de placement</t>
  </si>
  <si>
    <t>Bangladesh</t>
  </si>
  <si>
    <t>Plus rencente arrivée au DAMA</t>
  </si>
  <si>
    <t>Nombre de tutelle</t>
  </si>
  <si>
    <t>Burkina Faso</t>
  </si>
  <si>
    <t>Plus ancienne arrivée au DAMA</t>
  </si>
  <si>
    <t>Nombre d'ATJM accordés</t>
  </si>
  <si>
    <t>Congo</t>
  </si>
  <si>
    <t>Côte d'Ivoire</t>
  </si>
  <si>
    <t>CAPS</t>
  </si>
  <si>
    <t>Nombre d'ATJM à faire</t>
  </si>
  <si>
    <t>Gambie</t>
  </si>
  <si>
    <t xml:space="preserve">Référence </t>
  </si>
  <si>
    <t>Guinée</t>
  </si>
  <si>
    <t>Mali</t>
  </si>
  <si>
    <t>Papiers en possession</t>
  </si>
  <si>
    <t>Pakistan</t>
  </si>
  <si>
    <t>Nombre d'extraits d'acte de naissance</t>
  </si>
  <si>
    <t>Tunisie</t>
  </si>
  <si>
    <t>Nombre d'extraits de jugement supplétif</t>
  </si>
  <si>
    <t>Lycée professionnel</t>
  </si>
  <si>
    <t>Nombre de cartes consulaires</t>
  </si>
  <si>
    <t>Nombre de passeport</t>
  </si>
  <si>
    <t>Soin</t>
  </si>
  <si>
    <t>Nombre de CMU</t>
  </si>
  <si>
    <t>Régularisation</t>
  </si>
  <si>
    <t>Nombre de suivi CLAT</t>
  </si>
  <si>
    <t>Nombre d'abonnements mensuels</t>
  </si>
  <si>
    <t>Nombre d'abonnements trimestriels</t>
  </si>
  <si>
    <t>Banque</t>
  </si>
  <si>
    <t>Nombre de comptes ouverts</t>
  </si>
  <si>
    <t>Date moyenne d'arrivée en France</t>
  </si>
  <si>
    <t>Date moyenne d'arrivée au DAMA</t>
  </si>
  <si>
    <t>1</t>
  </si>
  <si>
    <t>Communication</t>
  </si>
  <si>
    <t>Fait</t>
  </si>
  <si>
    <t>11.5.2020</t>
  </si>
  <si>
    <t>Lycee_professionnel</t>
  </si>
  <si>
    <t>St_MICHEL</t>
  </si>
  <si>
    <t>Attestation d'hébergement</t>
  </si>
  <si>
    <t>Je, soussigné Sabrina ODIFREDI, Directrice Adjointe de l'Association l'ABRI, atteste sur l'honneur que :</t>
  </si>
  <si>
    <t>Monsieur</t>
  </si>
  <si>
    <t>Numéro :</t>
  </si>
  <si>
    <t>, né le</t>
  </si>
  <si>
    <t>depuis le</t>
  </si>
  <si>
    <t>Pour servir et faire ce que de droit</t>
  </si>
  <si>
    <t>Fait à EVREUX, le</t>
  </si>
  <si>
    <t>est hébérgé au DAMA, dont l'adresse se situe au 61 rue Saint Germain 27000 EVREUX,</t>
  </si>
  <si>
    <t>Numéro</t>
  </si>
  <si>
    <t>Mois</t>
  </si>
  <si>
    <t>Trimestre</t>
  </si>
  <si>
    <t>Abonnement bus</t>
  </si>
  <si>
    <t>1er trimestre</t>
  </si>
  <si>
    <t>Accueil</t>
  </si>
  <si>
    <t>Prix</t>
  </si>
  <si>
    <t>Abonnements</t>
  </si>
  <si>
    <t>si CMU + Sco</t>
  </si>
  <si>
    <t>Sco</t>
  </si>
  <si>
    <t>Impossible</t>
  </si>
  <si>
    <t>2eme trimestre</t>
  </si>
  <si>
    <t>3eme trimestre</t>
  </si>
  <si>
    <t>Trimestre en cours</t>
  </si>
  <si>
    <t>Rien</t>
  </si>
  <si>
    <t>CMU + Sco</t>
  </si>
  <si>
    <t>18/07/2004</t>
  </si>
  <si>
    <t>08/04/2003</t>
  </si>
  <si>
    <t>15/11/2003</t>
  </si>
  <si>
    <t>06/06/2004</t>
  </si>
  <si>
    <t>10/09/2003</t>
  </si>
  <si>
    <t>30/10/2003</t>
  </si>
  <si>
    <t>15/04/2003</t>
  </si>
  <si>
    <t>13/05/2003</t>
  </si>
  <si>
    <t>23/11/2002</t>
  </si>
  <si>
    <t>16/07/2002</t>
  </si>
  <si>
    <t>25/01/2004</t>
  </si>
  <si>
    <t>15/12/2002</t>
  </si>
  <si>
    <t>10/12/2002</t>
  </si>
  <si>
    <t>02/04/2004</t>
  </si>
  <si>
    <t>10/10/2002</t>
  </si>
  <si>
    <t>23/02/2004</t>
  </si>
  <si>
    <t>14/11/2003</t>
  </si>
  <si>
    <t>10/12/2003</t>
  </si>
  <si>
    <t>01/01/2004</t>
  </si>
  <si>
    <t>04/09/2003</t>
  </si>
  <si>
    <t>31/12/2002</t>
  </si>
  <si>
    <t>30/10/2001</t>
  </si>
  <si>
    <t>20/03/2002</t>
  </si>
  <si>
    <t>17/11/2004</t>
  </si>
  <si>
    <t>14/06/2003</t>
  </si>
  <si>
    <t>22/08/2003</t>
  </si>
  <si>
    <t>27/07/2004</t>
  </si>
  <si>
    <t>08/04/2004</t>
  </si>
  <si>
    <t>06/03/2002</t>
  </si>
  <si>
    <t>01/05/2002</t>
  </si>
  <si>
    <t>05/05/2003</t>
  </si>
  <si>
    <t>10/12/2001</t>
  </si>
  <si>
    <t>31/12/2003</t>
  </si>
  <si>
    <t>15/09/2003</t>
  </si>
  <si>
    <t>19/06/2004</t>
  </si>
  <si>
    <t>03/03/2003</t>
  </si>
  <si>
    <t>29/08/2004</t>
  </si>
  <si>
    <t>23/12/2002</t>
  </si>
  <si>
    <t>16/07/2003</t>
  </si>
  <si>
    <t>24/12/2001</t>
  </si>
  <si>
    <t>20/06/2002</t>
  </si>
  <si>
    <t>13/02/2003</t>
  </si>
  <si>
    <t>15/11/2001</t>
  </si>
  <si>
    <t>15/09/2001</t>
  </si>
  <si>
    <t>02/06/2003</t>
  </si>
  <si>
    <t>02/01/2003</t>
  </si>
  <si>
    <t>01/01/2003</t>
  </si>
  <si>
    <t>06/07/2002</t>
  </si>
  <si>
    <t>10/05/2002</t>
  </si>
  <si>
    <t>02/10/2002</t>
  </si>
  <si>
    <t>07/02/2003</t>
  </si>
  <si>
    <t>08/05/2003</t>
  </si>
  <si>
    <t>01/12/2001</t>
  </si>
  <si>
    <t>05/03/2003</t>
  </si>
  <si>
    <t>09/07/2002</t>
  </si>
  <si>
    <t>31/10/2003</t>
  </si>
  <si>
    <t>31/12/2004</t>
  </si>
  <si>
    <t>Divers</t>
  </si>
  <si>
    <t>Tarif</t>
  </si>
  <si>
    <t>Cout bus</t>
  </si>
  <si>
    <t>Abonnements mensuels</t>
  </si>
  <si>
    <t>Abonnement trimestriels</t>
  </si>
  <si>
    <t>Total</t>
  </si>
  <si>
    <t>DIALLO Ibrahim</t>
  </si>
  <si>
    <t>Nombre d'ATJM en attente d'une réponse</t>
  </si>
  <si>
    <t>15,45</t>
  </si>
  <si>
    <t>azerty</t>
  </si>
  <si>
    <t>azertty</t>
  </si>
  <si>
    <t>44,50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</si>
</sst>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\ &quot;€&quot;"/>
    <numFmt numFmtId="165" formatCode="dd/mm/yy;@"/>
    <numFmt numFmtId="166" formatCode="0#&quot; &quot;##&quot; &quot;##&quot; &quot;##&quot; &quot;##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6"/>
      <color theme="1"/>
      <name val="Cooper Black"/>
      <family val="1"/>
    </font>
    <font>
      <b/>
      <sz val="10"/>
      <name val="Wingdings"/>
      <charset val="2"/>
    </font>
    <font>
      <sz val="11"/>
      <name val="Calibri Light"/>
      <family val="2"/>
    </font>
    <font>
      <sz val="11"/>
      <color theme="4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8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/>
      <diagonal/>
    </border>
    <border>
      <left style="dashed">
        <color auto="1"/>
      </left>
      <right style="dashed">
        <color auto="1"/>
      </right>
      <top style="thick">
        <color auto="1"/>
      </top>
      <bottom/>
      <diagonal/>
    </border>
    <border>
      <left style="dashed">
        <color auto="1"/>
      </left>
      <right/>
      <top style="thick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dash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 style="thick">
        <color auto="1"/>
      </right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 style="thick">
        <color auto="1"/>
      </bottom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 diagonalUp="1" diagonalDown="1">
      <left style="thick">
        <color auto="1"/>
      </left>
      <right style="thick">
        <color auto="1"/>
      </right>
      <top style="thick">
        <color auto="1"/>
      </top>
      <bottom/>
      <diagonal style="thick">
        <color auto="1"/>
      </diagonal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 diagonalUp="1" diagonalDown="1">
      <left style="thick">
        <color auto="1"/>
      </left>
      <right style="thin">
        <color auto="1"/>
      </right>
      <top style="thin">
        <color auto="1"/>
      </top>
      <bottom/>
      <diagonal style="thick">
        <color auto="1"/>
      </diagonal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2" borderId="2" applyNumberFormat="0" applyAlignment="0" applyProtection="0"/>
  </cellStyleXfs>
  <cellXfs count="2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1" xfId="1" applyBorder="1" applyAlignment="1">
      <alignment horizontal="left"/>
    </xf>
    <xf numFmtId="49" fontId="0" fillId="0" borderId="1" xfId="0" quotePrefix="1" applyNumberForma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0" fillId="0" borderId="0" xfId="0" quotePrefix="1" applyNumberFormat="1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textRotation="180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49" fontId="0" fillId="0" borderId="1" xfId="0" quotePrefix="1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6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0" fillId="0" borderId="15" xfId="0" applyNumberFormat="1" applyBorder="1" applyAlignment="1">
      <alignment horizontal="left" vertical="center" shrinkToFit="1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11" fillId="0" borderId="17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vertical="center"/>
    </xf>
    <xf numFmtId="0" fontId="12" fillId="0" borderId="17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0" fillId="0" borderId="1" xfId="0" quotePrefix="1" applyNumberFormat="1" applyBorder="1" applyAlignment="1">
      <alignment horizontal="left"/>
    </xf>
    <xf numFmtId="0" fontId="1" fillId="0" borderId="13" xfId="0" applyFont="1" applyBorder="1" applyAlignment="1">
      <alignment horizontal="left" vertical="center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8" borderId="0" xfId="0" applyFont="1" applyFill="1" applyBorder="1" applyAlignment="1" applyProtection="1">
      <alignment horizontal="left" vertical="center" wrapText="1"/>
      <protection hidden="1"/>
    </xf>
    <xf numFmtId="166" fontId="17" fillId="0" borderId="1" xfId="0" applyNumberFormat="1" applyFont="1" applyBorder="1"/>
    <xf numFmtId="0" fontId="4" fillId="3" borderId="11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1" fillId="9" borderId="43" xfId="0" applyFont="1" applyFill="1" applyBorder="1" applyAlignment="1">
      <alignment horizontal="center" vertical="center"/>
    </xf>
    <xf numFmtId="165" fontId="0" fillId="9" borderId="37" xfId="0" applyNumberFormat="1" applyFont="1" applyFill="1" applyBorder="1" applyAlignment="1">
      <alignment horizontal="center" vertical="center"/>
    </xf>
    <xf numFmtId="0" fontId="0" fillId="9" borderId="37" xfId="0" applyFont="1" applyFill="1" applyBorder="1" applyAlignment="1">
      <alignment horizontal="center" vertical="center"/>
    </xf>
    <xf numFmtId="0" fontId="1" fillId="10" borderId="43" xfId="0" applyFont="1" applyFill="1" applyBorder="1" applyAlignment="1">
      <alignment horizontal="center" vertical="center"/>
    </xf>
    <xf numFmtId="165" fontId="0" fillId="10" borderId="37" xfId="0" applyNumberFormat="1" applyFont="1" applyFill="1" applyBorder="1" applyAlignment="1">
      <alignment horizontal="center" vertical="center"/>
    </xf>
    <xf numFmtId="0" fontId="0" fillId="10" borderId="37" xfId="0" applyFont="1" applyFill="1" applyBorder="1" applyAlignment="1">
      <alignment horizontal="center" vertical="center"/>
    </xf>
    <xf numFmtId="0" fontId="0" fillId="9" borderId="44" xfId="0" applyFont="1" applyFill="1" applyBorder="1" applyAlignment="1">
      <alignment horizontal="center" vertical="center"/>
    </xf>
    <xf numFmtId="0" fontId="0" fillId="10" borderId="4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/>
    </xf>
    <xf numFmtId="0" fontId="1" fillId="9" borderId="47" xfId="0" applyFont="1" applyFill="1" applyBorder="1" applyAlignment="1">
      <alignment horizontal="center" vertical="center"/>
    </xf>
    <xf numFmtId="14" fontId="0" fillId="9" borderId="47" xfId="0" applyNumberFormat="1" applyFont="1" applyFill="1" applyBorder="1" applyAlignment="1">
      <alignment horizontal="center" vertical="center"/>
    </xf>
    <xf numFmtId="0" fontId="0" fillId="9" borderId="47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47" xfId="0" applyFont="1" applyFill="1" applyBorder="1" applyAlignment="1">
      <alignment horizontal="center" vertical="center"/>
    </xf>
    <xf numFmtId="14" fontId="0" fillId="10" borderId="47" xfId="0" applyNumberFormat="1" applyFont="1" applyFill="1" applyBorder="1" applyAlignment="1">
      <alignment horizontal="center" vertical="center"/>
    </xf>
    <xf numFmtId="0" fontId="0" fillId="10" borderId="47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14" fontId="0" fillId="9" borderId="49" xfId="0" applyNumberFormat="1" applyFont="1" applyFill="1" applyBorder="1" applyAlignment="1">
      <alignment horizontal="center" vertical="center"/>
    </xf>
    <xf numFmtId="0" fontId="0" fillId="9" borderId="49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164" fontId="0" fillId="9" borderId="52" xfId="0" applyNumberFormat="1" applyFont="1" applyFill="1" applyBorder="1" applyAlignment="1">
      <alignment horizontal="center" vertical="center"/>
    </xf>
    <xf numFmtId="164" fontId="0" fillId="10" borderId="52" xfId="0" applyNumberFormat="1" applyFont="1" applyFill="1" applyBorder="1" applyAlignment="1">
      <alignment horizontal="center" vertical="center"/>
    </xf>
    <xf numFmtId="0" fontId="0" fillId="9" borderId="48" xfId="0" applyFont="1" applyFill="1" applyBorder="1" applyAlignment="1">
      <alignment horizontal="center" vertical="center"/>
    </xf>
    <xf numFmtId="0" fontId="0" fillId="10" borderId="48" xfId="0" applyFont="1" applyFill="1" applyBorder="1" applyAlignment="1">
      <alignment horizontal="center" vertical="center"/>
    </xf>
    <xf numFmtId="0" fontId="0" fillId="9" borderId="45" xfId="0" applyFont="1" applyFill="1" applyBorder="1" applyAlignment="1">
      <alignment horizontal="center" vertical="center"/>
    </xf>
    <xf numFmtId="0" fontId="0" fillId="0" borderId="0" xfId="0" applyFont="1"/>
    <xf numFmtId="0" fontId="1" fillId="0" borderId="0" xfId="0" applyFont="1"/>
    <xf numFmtId="14" fontId="0" fillId="0" borderId="0" xfId="0" applyNumberFormat="1" applyFont="1" applyBorder="1"/>
    <xf numFmtId="0" fontId="1" fillId="0" borderId="57" xfId="0" applyFont="1" applyBorder="1"/>
    <xf numFmtId="0" fontId="0" fillId="0" borderId="4" xfId="0" applyFont="1" applyBorder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0" fillId="9" borderId="53" xfId="0" applyFont="1" applyFill="1" applyBorder="1"/>
    <xf numFmtId="0" fontId="0" fillId="10" borderId="53" xfId="0" applyFont="1" applyFill="1" applyBorder="1"/>
    <xf numFmtId="0" fontId="0" fillId="10" borderId="54" xfId="0" applyFont="1" applyFill="1" applyBorder="1"/>
    <xf numFmtId="0" fontId="0" fillId="9" borderId="54" xfId="0" applyFont="1" applyFill="1" applyBorder="1"/>
    <xf numFmtId="0" fontId="20" fillId="11" borderId="59" xfId="0" applyFont="1" applyFill="1" applyBorder="1"/>
    <xf numFmtId="0" fontId="1" fillId="9" borderId="56" xfId="0" applyFont="1" applyFill="1" applyBorder="1"/>
    <xf numFmtId="0" fontId="0" fillId="9" borderId="60" xfId="0" applyFont="1" applyFill="1" applyBorder="1"/>
    <xf numFmtId="0" fontId="1" fillId="10" borderId="56" xfId="0" applyFont="1" applyFill="1" applyBorder="1"/>
    <xf numFmtId="168" fontId="0" fillId="10" borderId="54" xfId="0" applyNumberFormat="1" applyFont="1" applyFill="1" applyBorder="1"/>
    <xf numFmtId="0" fontId="0" fillId="8" borderId="4" xfId="0" applyFont="1" applyFill="1" applyBorder="1"/>
    <xf numFmtId="0" fontId="0" fillId="8" borderId="61" xfId="0" applyFont="1" applyFill="1" applyBorder="1"/>
    <xf numFmtId="0" fontId="0" fillId="8" borderId="62" xfId="0" applyFont="1" applyFill="1" applyBorder="1"/>
    <xf numFmtId="0" fontId="0" fillId="8" borderId="63" xfId="0" applyFont="1" applyFill="1" applyBorder="1"/>
    <xf numFmtId="0" fontId="18" fillId="11" borderId="59" xfId="0" applyFont="1" applyFill="1" applyBorder="1"/>
    <xf numFmtId="0" fontId="1" fillId="10" borderId="64" xfId="0" applyFont="1" applyFill="1" applyBorder="1"/>
    <xf numFmtId="0" fontId="0" fillId="10" borderId="60" xfId="0" applyFont="1" applyFill="1" applyBorder="1"/>
    <xf numFmtId="0" fontId="1" fillId="9" borderId="55" xfId="0" applyFont="1" applyFill="1" applyBorder="1"/>
    <xf numFmtId="0" fontId="0" fillId="6" borderId="7" xfId="0" applyFont="1" applyFill="1" applyBorder="1" applyAlignment="1">
      <alignment horizontal="center" vertical="center" shrinkToFit="1"/>
    </xf>
    <xf numFmtId="0" fontId="9" fillId="3" borderId="50" xfId="0" applyFont="1" applyFill="1" applyBorder="1" applyAlignment="1">
      <alignment horizontal="center" vertical="center" shrinkToFit="1"/>
    </xf>
    <xf numFmtId="0" fontId="9" fillId="3" borderId="51" xfId="0" applyFont="1" applyFill="1" applyBorder="1" applyAlignment="1">
      <alignment horizontal="center" vertical="center" shrinkToFit="1"/>
    </xf>
    <xf numFmtId="0" fontId="1" fillId="6" borderId="47" xfId="0" applyFont="1" applyFill="1" applyBorder="1" applyAlignment="1">
      <alignment horizontal="center" vertical="center" shrinkToFit="1"/>
    </xf>
    <xf numFmtId="0" fontId="0" fillId="6" borderId="47" xfId="0" applyFont="1" applyFill="1" applyBorder="1" applyAlignment="1">
      <alignment horizontal="center" vertical="center" shrinkToFit="1"/>
    </xf>
    <xf numFmtId="0" fontId="0" fillId="6" borderId="52" xfId="0" applyFont="1" applyFill="1" applyBorder="1" applyAlignment="1">
      <alignment horizontal="center" vertical="center" shrinkToFit="1"/>
    </xf>
    <xf numFmtId="0" fontId="1" fillId="6" borderId="5" xfId="0" applyFont="1" applyFill="1" applyBorder="1" applyAlignment="1">
      <alignment horizontal="center" vertical="center" shrinkToFit="1"/>
    </xf>
    <xf numFmtId="0" fontId="0" fillId="6" borderId="5" xfId="0" applyFont="1" applyFill="1" applyBorder="1" applyAlignment="1">
      <alignment horizontal="center" vertical="center" shrinkToFit="1"/>
    </xf>
    <xf numFmtId="0" fontId="1" fillId="9" borderId="64" xfId="0" applyFont="1" applyFill="1" applyBorder="1"/>
    <xf numFmtId="0" fontId="1" fillId="10" borderId="55" xfId="0" applyFont="1" applyFill="1" applyBorder="1"/>
    <xf numFmtId="0" fontId="4" fillId="3" borderId="56" xfId="0" applyFont="1" applyFill="1" applyBorder="1" applyAlignment="1">
      <alignment horizontal="center" vertical="center" wrapText="1"/>
    </xf>
    <xf numFmtId="0" fontId="20" fillId="11" borderId="65" xfId="0" applyFont="1" applyFill="1" applyBorder="1"/>
    <xf numFmtId="14" fontId="0" fillId="9" borderId="60" xfId="0" applyNumberFormat="1" applyFont="1" applyFill="1" applyBorder="1"/>
    <xf numFmtId="14" fontId="0" fillId="10" borderId="54" xfId="0" applyNumberFormat="1" applyFont="1" applyFill="1" applyBorder="1"/>
    <xf numFmtId="14" fontId="0" fillId="9" borderId="54" xfId="0" applyNumberFormat="1" applyFont="1" applyFill="1" applyBorder="1"/>
    <xf numFmtId="14" fontId="0" fillId="10" borderId="53" xfId="0" applyNumberFormat="1" applyFont="1" applyFill="1" applyBorder="1"/>
    <xf numFmtId="0" fontId="1" fillId="9" borderId="66" xfId="0" applyFont="1" applyFill="1" applyBorder="1"/>
    <xf numFmtId="0" fontId="0" fillId="9" borderId="67" xfId="0" applyFont="1" applyFill="1" applyBorder="1"/>
    <xf numFmtId="0" fontId="8" fillId="2" borderId="71" xfId="2" applyFont="1" applyFill="1" applyBorder="1" applyAlignment="1">
      <alignment horizontal="center" vertical="center" wrapText="1"/>
    </xf>
    <xf numFmtId="0" fontId="8" fillId="2" borderId="58" xfId="2" applyFont="1" applyFill="1" applyBorder="1" applyAlignment="1">
      <alignment horizontal="center" vertical="center" wrapText="1"/>
    </xf>
    <xf numFmtId="0" fontId="8" fillId="2" borderId="58" xfId="2" applyNumberFormat="1" applyFont="1" applyFill="1" applyBorder="1" applyAlignment="1">
      <alignment horizontal="center" vertical="center" wrapText="1"/>
    </xf>
    <xf numFmtId="14" fontId="6" fillId="10" borderId="58" xfId="0" applyNumberFormat="1" applyFont="1" applyFill="1" applyBorder="1" applyAlignment="1">
      <alignment horizontal="center" vertical="center" wrapText="1"/>
    </xf>
    <xf numFmtId="0" fontId="6" fillId="10" borderId="58" xfId="0" applyFont="1" applyFill="1" applyBorder="1" applyAlignment="1">
      <alignment horizontal="center" vertical="center" wrapText="1"/>
    </xf>
    <xf numFmtId="166" fontId="6" fillId="10" borderId="58" xfId="0" applyNumberFormat="1" applyFont="1" applyFill="1" applyBorder="1" applyAlignment="1">
      <alignment horizontal="center" vertical="center" wrapText="1"/>
    </xf>
    <xf numFmtId="0" fontId="6" fillId="10" borderId="58" xfId="0" applyNumberFormat="1" applyFont="1" applyFill="1" applyBorder="1" applyAlignment="1">
      <alignment horizontal="center" vertical="center" wrapText="1"/>
    </xf>
    <xf numFmtId="164" fontId="6" fillId="10" borderId="58" xfId="0" applyNumberFormat="1" applyFont="1" applyFill="1" applyBorder="1" applyAlignment="1">
      <alignment horizontal="center" vertical="center" wrapText="1"/>
    </xf>
    <xf numFmtId="167" fontId="6" fillId="10" borderId="58" xfId="0" applyNumberFormat="1" applyFont="1" applyFill="1" applyBorder="1" applyAlignment="1">
      <alignment horizontal="center" vertical="center" wrapText="1"/>
    </xf>
    <xf numFmtId="49" fontId="6" fillId="10" borderId="58" xfId="0" applyNumberFormat="1" applyFont="1" applyFill="1" applyBorder="1" applyAlignment="1">
      <alignment horizontal="center" vertical="center" wrapText="1"/>
    </xf>
    <xf numFmtId="0" fontId="6" fillId="8" borderId="58" xfId="0" applyNumberFormat="1" applyFont="1" applyFill="1" applyBorder="1" applyAlignment="1">
      <alignment horizontal="center" vertical="center" wrapText="1"/>
    </xf>
    <xf numFmtId="0" fontId="6" fillId="10" borderId="72" xfId="0" applyFont="1" applyFill="1" applyBorder="1" applyAlignment="1">
      <alignment horizontal="center" vertical="center" wrapText="1"/>
    </xf>
    <xf numFmtId="14" fontId="6" fillId="0" borderId="58" xfId="0" applyNumberFormat="1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166" fontId="6" fillId="0" borderId="58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164" fontId="6" fillId="0" borderId="58" xfId="0" applyNumberFormat="1" applyFont="1" applyBorder="1" applyAlignment="1">
      <alignment horizontal="center" vertical="center" wrapText="1"/>
    </xf>
    <xf numFmtId="167" fontId="6" fillId="0" borderId="58" xfId="0" applyNumberFormat="1" applyFont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14" fontId="2" fillId="0" borderId="58" xfId="1" applyNumberFormat="1" applyFont="1" applyBorder="1" applyAlignment="1">
      <alignment horizontal="center" vertical="center" wrapText="1"/>
    </xf>
    <xf numFmtId="165" fontId="6" fillId="0" borderId="58" xfId="0" applyNumberFormat="1" applyFont="1" applyBorder="1" applyAlignment="1">
      <alignment horizontal="center" vertical="center" wrapText="1"/>
    </xf>
    <xf numFmtId="0" fontId="0" fillId="10" borderId="58" xfId="0" applyFont="1" applyFill="1" applyBorder="1" applyAlignment="1">
      <alignment horizontal="center" vertical="center"/>
    </xf>
    <xf numFmtId="0" fontId="19" fillId="10" borderId="72" xfId="0" applyFont="1" applyFill="1" applyBorder="1" applyAlignment="1">
      <alignment horizontal="center" vertical="center" wrapText="1"/>
    </xf>
    <xf numFmtId="0" fontId="8" fillId="2" borderId="73" xfId="2" applyNumberFormat="1" applyFont="1" applyFill="1" applyBorder="1" applyAlignment="1">
      <alignment horizontal="center" vertical="center" wrapText="1"/>
    </xf>
    <xf numFmtId="14" fontId="6" fillId="10" borderId="73" xfId="0" applyNumberFormat="1" applyFont="1" applyFill="1" applyBorder="1" applyAlignment="1">
      <alignment horizontal="center" vertical="center" wrapText="1"/>
    </xf>
    <xf numFmtId="0" fontId="6" fillId="10" borderId="73" xfId="0" applyFont="1" applyFill="1" applyBorder="1" applyAlignment="1">
      <alignment horizontal="center" vertical="center" wrapText="1"/>
    </xf>
    <xf numFmtId="166" fontId="6" fillId="10" borderId="73" xfId="0" applyNumberFormat="1" applyFont="1" applyFill="1" applyBorder="1" applyAlignment="1">
      <alignment horizontal="center" vertical="center" wrapText="1"/>
    </xf>
    <xf numFmtId="164" fontId="6" fillId="10" borderId="73" xfId="0" applyNumberFormat="1" applyFont="1" applyFill="1" applyBorder="1" applyAlignment="1">
      <alignment horizontal="center" vertical="center" wrapText="1"/>
    </xf>
    <xf numFmtId="0" fontId="6" fillId="0" borderId="73" xfId="0" applyNumberFormat="1" applyFont="1" applyBorder="1" applyAlignment="1">
      <alignment horizontal="center" vertical="center" wrapText="1"/>
    </xf>
    <xf numFmtId="167" fontId="6" fillId="10" borderId="73" xfId="0" applyNumberFormat="1" applyFont="1" applyFill="1" applyBorder="1" applyAlignment="1">
      <alignment horizontal="center" vertical="center" wrapText="1"/>
    </xf>
    <xf numFmtId="0" fontId="6" fillId="10" borderId="73" xfId="0" applyNumberFormat="1" applyFont="1" applyFill="1" applyBorder="1" applyAlignment="1">
      <alignment horizontal="center" vertical="center" wrapText="1"/>
    </xf>
    <xf numFmtId="165" fontId="6" fillId="10" borderId="73" xfId="0" applyNumberFormat="1" applyFont="1" applyFill="1" applyBorder="1" applyAlignment="1">
      <alignment horizontal="center" vertical="center" wrapText="1"/>
    </xf>
    <xf numFmtId="0" fontId="6" fillId="8" borderId="73" xfId="0" applyNumberFormat="1" applyFont="1" applyFill="1" applyBorder="1" applyAlignment="1">
      <alignment horizontal="center" vertical="center" wrapText="1"/>
    </xf>
    <xf numFmtId="0" fontId="8" fillId="2" borderId="74" xfId="2" applyFont="1" applyFill="1" applyBorder="1" applyAlignment="1">
      <alignment horizontal="center" vertical="center" wrapText="1"/>
    </xf>
    <xf numFmtId="14" fontId="6" fillId="10" borderId="74" xfId="0" applyNumberFormat="1" applyFont="1" applyFill="1" applyBorder="1" applyAlignment="1">
      <alignment horizontal="center" vertical="center" wrapText="1"/>
    </xf>
    <xf numFmtId="0" fontId="6" fillId="10" borderId="74" xfId="0" applyFont="1" applyFill="1" applyBorder="1" applyAlignment="1">
      <alignment horizontal="center" vertical="center" wrapText="1"/>
    </xf>
    <xf numFmtId="166" fontId="6" fillId="10" borderId="74" xfId="0" applyNumberFormat="1" applyFont="1" applyFill="1" applyBorder="1" applyAlignment="1">
      <alignment horizontal="center" vertical="center" wrapText="1"/>
    </xf>
    <xf numFmtId="0" fontId="6" fillId="0" borderId="74" xfId="0" applyNumberFormat="1" applyFont="1" applyBorder="1" applyAlignment="1">
      <alignment horizontal="center" vertical="center" wrapText="1"/>
    </xf>
    <xf numFmtId="167" fontId="6" fillId="10" borderId="74" xfId="0" applyNumberFormat="1" applyFont="1" applyFill="1" applyBorder="1" applyAlignment="1">
      <alignment horizontal="center" vertical="center" wrapText="1"/>
    </xf>
    <xf numFmtId="0" fontId="16" fillId="10" borderId="3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justify" wrapText="1"/>
    </xf>
    <xf numFmtId="14" fontId="0" fillId="0" borderId="0" xfId="0" applyNumberFormat="1" applyAlignment="1">
      <alignment horizontal="left" vertical="center"/>
    </xf>
    <xf numFmtId="0" fontId="0" fillId="0" borderId="0" xfId="0"/>
    <xf numFmtId="14" fontId="1" fillId="0" borderId="0" xfId="0" applyNumberFormat="1" applyFont="1" applyAlignment="1">
      <alignment horizontal="left"/>
    </xf>
    <xf numFmtId="44" fontId="0" fillId="0" borderId="1" xfId="0" applyNumberFormat="1" applyBorder="1" applyAlignment="1">
      <alignment horizontal="left"/>
    </xf>
    <xf numFmtId="44" fontId="6" fillId="10" borderId="58" xfId="0" applyNumberFormat="1" applyFont="1" applyFill="1" applyBorder="1" applyAlignment="1">
      <alignment horizontal="center" vertical="center" wrapText="1"/>
    </xf>
    <xf numFmtId="44" fontId="6" fillId="10" borderId="73" xfId="0" applyNumberFormat="1" applyFont="1" applyFill="1" applyBorder="1" applyAlignment="1">
      <alignment horizontal="center" vertical="center" wrapText="1"/>
    </xf>
    <xf numFmtId="165" fontId="6" fillId="10" borderId="58" xfId="0" applyNumberFormat="1" applyFont="1" applyFill="1" applyBorder="1" applyAlignment="1">
      <alignment horizontal="center" vertical="center" wrapText="1"/>
    </xf>
    <xf numFmtId="0" fontId="4" fillId="3" borderId="68" xfId="0" applyFont="1" applyFill="1" applyBorder="1" applyAlignment="1">
      <alignment horizontal="center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0" borderId="0" xfId="0" applyFont="1" applyBorder="1" applyAlignment="1" applyProtection="1">
      <alignment horizontal="center" wrapText="1"/>
    </xf>
    <xf numFmtId="166" fontId="6" fillId="10" borderId="58" xfId="0" applyNumberFormat="1" applyFont="1" applyFill="1" applyBorder="1" applyAlignment="1">
      <alignment vertical="center" wrapText="1"/>
    </xf>
    <xf numFmtId="165" fontId="6" fillId="10" borderId="74" xfId="0" applyNumberFormat="1" applyFont="1" applyFill="1" applyBorder="1" applyAlignment="1">
      <alignment horizontal="center" vertical="center" wrapText="1"/>
    </xf>
    <xf numFmtId="49" fontId="6" fillId="10" borderId="73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left"/>
    </xf>
    <xf numFmtId="0" fontId="0" fillId="9" borderId="54" xfId="0" applyNumberFormat="1" applyFont="1" applyFill="1" applyBorder="1"/>
    <xf numFmtId="0" fontId="0" fillId="10" borderId="56" xfId="0" applyFont="1" applyFill="1" applyBorder="1"/>
    <xf numFmtId="0" fontId="1" fillId="9" borderId="78" xfId="0" applyFont="1" applyFill="1" applyBorder="1" applyAlignment="1">
      <alignment horizontal="center" vertical="center"/>
    </xf>
    <xf numFmtId="0" fontId="1" fillId="9" borderId="49" xfId="0" applyFont="1" applyFill="1" applyBorder="1" applyAlignment="1">
      <alignment horizontal="center" vertical="center"/>
    </xf>
    <xf numFmtId="164" fontId="0" fillId="9" borderId="79" xfId="0" applyNumberFormat="1" applyFont="1" applyFill="1" applyBorder="1" applyAlignment="1">
      <alignment horizontal="center" vertical="center"/>
    </xf>
    <xf numFmtId="166" fontId="0" fillId="0" borderId="0" xfId="0" applyNumberFormat="1" applyBorder="1" applyAlignment="1">
      <alignment horizontal="left" vertical="center"/>
    </xf>
    <xf numFmtId="4" fontId="0" fillId="0" borderId="0" xfId="0" applyNumberFormat="1" applyFont="1" applyAlignment="1">
      <alignment horizontal="left"/>
    </xf>
    <xf numFmtId="2" fontId="6" fillId="10" borderId="58" xfId="0" applyNumberFormat="1" applyFont="1" applyFill="1" applyBorder="1" applyAlignment="1">
      <alignment horizontal="center" vertical="center" wrapText="1"/>
    </xf>
    <xf numFmtId="2" fontId="6" fillId="10" borderId="73" xfId="0" applyNumberFormat="1" applyFont="1" applyFill="1" applyBorder="1" applyAlignment="1">
      <alignment horizontal="center" vertical="center" wrapText="1"/>
    </xf>
    <xf numFmtId="0" fontId="15" fillId="0" borderId="26" xfId="0" applyFont="1" applyBorder="1" applyAlignment="1" applyProtection="1">
      <alignment horizontal="center" vertical="center" textRotation="255" shrinkToFit="1"/>
    </xf>
    <xf numFmtId="0" fontId="15" fillId="0" borderId="27" xfId="0" applyFont="1" applyBorder="1" applyAlignment="1" applyProtection="1">
      <alignment horizontal="center" vertical="center" textRotation="255" shrinkToFit="1"/>
    </xf>
    <xf numFmtId="0" fontId="15" fillId="0" borderId="28" xfId="0" applyFont="1" applyBorder="1" applyAlignment="1" applyProtection="1">
      <alignment horizontal="center" vertical="center" textRotation="255" shrinkToFit="1"/>
    </xf>
    <xf numFmtId="0" fontId="15" fillId="0" borderId="29" xfId="0" applyFont="1" applyBorder="1" applyAlignment="1" applyProtection="1">
      <alignment horizontal="center" vertical="center" textRotation="255" shrinkToFit="1"/>
    </xf>
    <xf numFmtId="0" fontId="15" fillId="0" borderId="0" xfId="0" applyFont="1" applyBorder="1" applyAlignment="1" applyProtection="1">
      <alignment horizontal="center" vertical="center" textRotation="255" shrinkToFit="1"/>
    </xf>
    <xf numFmtId="0" fontId="15" fillId="0" borderId="30" xfId="0" applyFont="1" applyBorder="1" applyAlignment="1" applyProtection="1">
      <alignment horizontal="center" vertical="center" textRotation="255" shrinkToFit="1"/>
    </xf>
    <xf numFmtId="0" fontId="15" fillId="0" borderId="31" xfId="0" applyFont="1" applyBorder="1" applyAlignment="1" applyProtection="1">
      <alignment horizontal="center" vertical="center" textRotation="255" shrinkToFit="1"/>
    </xf>
    <xf numFmtId="0" fontId="15" fillId="0" borderId="32" xfId="0" applyFont="1" applyBorder="1" applyAlignment="1" applyProtection="1">
      <alignment horizontal="center" vertical="center" textRotation="255" shrinkToFit="1"/>
    </xf>
    <xf numFmtId="0" fontId="15" fillId="0" borderId="33" xfId="0" applyFont="1" applyBorder="1" applyAlignment="1" applyProtection="1">
      <alignment horizontal="center" vertical="center" textRotation="255" shrinkToFit="1"/>
    </xf>
    <xf numFmtId="0" fontId="0" fillId="0" borderId="0" xfId="0" applyBorder="1" applyAlignment="1">
      <alignment horizontal="left" vertical="center"/>
    </xf>
    <xf numFmtId="0" fontId="14" fillId="4" borderId="11" xfId="0" applyFont="1" applyFill="1" applyBorder="1" applyAlignment="1">
      <alignment horizontal="center" vertical="center" shrinkToFit="1"/>
    </xf>
    <xf numFmtId="0" fontId="14" fillId="4" borderId="12" xfId="0" applyFont="1" applyFill="1" applyBorder="1" applyAlignment="1">
      <alignment horizontal="center" vertical="center" shrinkToFit="1"/>
    </xf>
    <xf numFmtId="0" fontId="14" fillId="4" borderId="13" xfId="0" applyFont="1" applyFill="1" applyBorder="1" applyAlignment="1">
      <alignment horizontal="center" vertical="center" shrinkToFit="1"/>
    </xf>
    <xf numFmtId="0" fontId="14" fillId="4" borderId="0" xfId="0" applyFont="1" applyFill="1" applyBorder="1" applyAlignment="1">
      <alignment horizontal="center" vertical="center" shrinkToFit="1"/>
    </xf>
    <xf numFmtId="0" fontId="14" fillId="4" borderId="16" xfId="0" applyFont="1" applyFill="1" applyBorder="1" applyAlignment="1">
      <alignment horizontal="center" vertical="center" shrinkToFit="1"/>
    </xf>
    <xf numFmtId="0" fontId="14" fillId="4" borderId="17" xfId="0" applyFont="1" applyFill="1" applyBorder="1" applyAlignment="1">
      <alignment horizontal="center" vertical="center" shrinkToFit="1"/>
    </xf>
    <xf numFmtId="0" fontId="12" fillId="4" borderId="12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3" fillId="4" borderId="12" xfId="0" applyNumberFormat="1" applyFont="1" applyFill="1" applyBorder="1" applyAlignment="1">
      <alignment horizontal="center" vertical="center"/>
    </xf>
    <xf numFmtId="0" fontId="13" fillId="4" borderId="14" xfId="0" applyNumberFormat="1" applyFont="1" applyFill="1" applyBorder="1" applyAlignment="1">
      <alignment horizontal="center" vertical="center"/>
    </xf>
    <xf numFmtId="0" fontId="13" fillId="4" borderId="0" xfId="0" applyNumberFormat="1" applyFont="1" applyFill="1" applyBorder="1" applyAlignment="1">
      <alignment horizontal="center" vertical="center"/>
    </xf>
    <xf numFmtId="0" fontId="13" fillId="4" borderId="15" xfId="0" applyNumberFormat="1" applyFont="1" applyFill="1" applyBorder="1" applyAlignment="1">
      <alignment horizontal="center" vertical="center"/>
    </xf>
    <xf numFmtId="0" fontId="13" fillId="4" borderId="17" xfId="0" applyNumberFormat="1" applyFont="1" applyFill="1" applyBorder="1" applyAlignment="1">
      <alignment horizontal="center" vertical="center"/>
    </xf>
    <xf numFmtId="0" fontId="13" fillId="4" borderId="18" xfId="0" applyNumberFormat="1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left" vertical="center"/>
    </xf>
    <xf numFmtId="0" fontId="1" fillId="4" borderId="24" xfId="0" applyFont="1" applyFill="1" applyBorder="1" applyAlignment="1">
      <alignment horizontal="left" vertical="center"/>
    </xf>
    <xf numFmtId="0" fontId="1" fillId="4" borderId="25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NumberFormat="1" applyFont="1" applyAlignment="1">
      <alignment vertical="center" wrapText="1"/>
    </xf>
    <xf numFmtId="0" fontId="0" fillId="0" borderId="0" xfId="0" applyAlignment="1">
      <alignment vertical="justify" wrapText="1"/>
    </xf>
    <xf numFmtId="166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justify" vertical="justify" wrapText="1"/>
    </xf>
    <xf numFmtId="0" fontId="21" fillId="0" borderId="0" xfId="0" applyFont="1" applyAlignment="1">
      <alignment horizontal="center"/>
    </xf>
    <xf numFmtId="14" fontId="0" fillId="0" borderId="0" xfId="0" applyNumberFormat="1" applyBorder="1" applyAlignment="1">
      <alignment horizontal="left" vertical="center"/>
    </xf>
    <xf numFmtId="167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0" fillId="5" borderId="8" xfId="0" applyFill="1" applyBorder="1" applyAlignment="1">
      <alignment horizontal="center" vertical="center" textRotation="255" shrinkToFit="1"/>
    </xf>
    <xf numFmtId="0" fontId="0" fillId="5" borderId="9" xfId="0" applyFill="1" applyBorder="1" applyAlignment="1">
      <alignment horizontal="center" vertical="center" textRotation="255" shrinkToFit="1"/>
    </xf>
    <xf numFmtId="0" fontId="0" fillId="7" borderId="9" xfId="0" applyFill="1" applyBorder="1" applyAlignment="1">
      <alignment horizontal="center" vertical="center" textRotation="255" shrinkToFit="1"/>
    </xf>
    <xf numFmtId="0" fontId="0" fillId="7" borderId="10" xfId="0" applyFill="1" applyBorder="1" applyAlignment="1">
      <alignment horizontal="center" vertical="center" textRotation="255" shrinkToFit="1"/>
    </xf>
    <xf numFmtId="0" fontId="7" fillId="6" borderId="9" xfId="0" applyFont="1" applyFill="1" applyBorder="1" applyAlignment="1">
      <alignment horizontal="center" vertical="center" textRotation="255" shrinkToFit="1"/>
    </xf>
    <xf numFmtId="0" fontId="0" fillId="6" borderId="9" xfId="0" applyFont="1" applyFill="1" applyBorder="1" applyAlignment="1">
      <alignment horizontal="center" vertical="center" textRotation="255" shrinkToFit="1"/>
    </xf>
    <xf numFmtId="0" fontId="0" fillId="0" borderId="75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Sortie" xfId="2" builtinId="21"/>
  </cellStyles>
  <dxfs count="17"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Medium9"/>
  <colors>
    <mruColors>
      <color rgb="FFE94A03"/>
      <color rgb="FFFF33CC"/>
      <color rgb="FF6EDF41"/>
      <color rgb="FF00FF00"/>
      <color rgb="FFCC0000"/>
      <color rgb="FF66FF99"/>
      <color rgb="FFFF66FF"/>
      <color rgb="FF66FFFF"/>
      <color rgb="FFFF7C80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466725</xdr:colOff>
      <xdr:row>0</xdr:row>
      <xdr:rowOff>0</xdr:rowOff>
    </xdr:from>
    <xdr:to>
      <xdr:col>9</xdr:col>
      <xdr:colOff>27075</xdr:colOff>
      <xdr:row>0</xdr:row>
      <xdr:rowOff>476250</xdr:rowOff>
    </xdr:to>
    <xdr:sp macro="[0]!EnvoiPag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143750" y="0"/>
          <a:ext cx="1332000" cy="4762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Effectif DAMA</a:t>
          </a:r>
        </a:p>
      </xdr:txBody>
    </xdr:sp>
    <xdr:clientData fPrintsWithSheet="0"/>
  </xdr:twoCellAnchor>
  <xdr:twoCellAnchor editAs="absolute">
    <xdr:from>
      <xdr:col>1</xdr:col>
      <xdr:colOff>133350</xdr:colOff>
      <xdr:row>0</xdr:row>
      <xdr:rowOff>0</xdr:rowOff>
    </xdr:from>
    <xdr:to>
      <xdr:col>1</xdr:col>
      <xdr:colOff>1465350</xdr:colOff>
      <xdr:row>0</xdr:row>
      <xdr:rowOff>476250</xdr:rowOff>
    </xdr:to>
    <xdr:sp macro="[0]!Alerte.Alertes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476375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Alertes à venir</a:t>
          </a:r>
        </a:p>
      </xdr:txBody>
    </xdr:sp>
    <xdr:clientData fPrintsWithSheet="0"/>
  </xdr:twoCellAnchor>
  <xdr:twoCellAnchor editAs="absolute">
    <xdr:from>
      <xdr:col>5</xdr:col>
      <xdr:colOff>57150</xdr:colOff>
      <xdr:row>0</xdr:row>
      <xdr:rowOff>0</xdr:rowOff>
    </xdr:from>
    <xdr:to>
      <xdr:col>7</xdr:col>
      <xdr:colOff>17550</xdr:colOff>
      <xdr:row>0</xdr:row>
      <xdr:rowOff>476250</xdr:rowOff>
    </xdr:to>
    <xdr:sp macro="[0]!Mail_argent_de_poche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391025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Argent poche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0</xdr:rowOff>
    </xdr:from>
    <xdr:to>
      <xdr:col>8</xdr:col>
      <xdr:colOff>427125</xdr:colOff>
      <xdr:row>0</xdr:row>
      <xdr:rowOff>476250</xdr:rowOff>
    </xdr:to>
    <xdr:sp macro="[0]!MailCAP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772150" y="0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Effectif CAPS</a:t>
          </a:r>
        </a:p>
      </xdr:txBody>
    </xdr:sp>
    <xdr:clientData fPrintsWithSheet="0"/>
  </xdr:twoCellAnchor>
  <xdr:twoCellAnchor editAs="absolute">
    <xdr:from>
      <xdr:col>9</xdr:col>
      <xdr:colOff>76200</xdr:colOff>
      <xdr:row>0</xdr:row>
      <xdr:rowOff>0</xdr:rowOff>
    </xdr:from>
    <xdr:to>
      <xdr:col>10</xdr:col>
      <xdr:colOff>560475</xdr:colOff>
      <xdr:row>0</xdr:row>
      <xdr:rowOff>475200</xdr:rowOff>
    </xdr:to>
    <xdr:sp macro="[0]!MailAG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524875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Mail AG</a:t>
          </a:r>
        </a:p>
      </xdr:txBody>
    </xdr:sp>
    <xdr:clientData fPrintsWithSheet="0"/>
  </xdr:twoCellAnchor>
  <xdr:twoCellAnchor editAs="absolute">
    <xdr:from>
      <xdr:col>1</xdr:col>
      <xdr:colOff>1533525</xdr:colOff>
      <xdr:row>0</xdr:row>
      <xdr:rowOff>0</xdr:rowOff>
    </xdr:from>
    <xdr:to>
      <xdr:col>4</xdr:col>
      <xdr:colOff>198525</xdr:colOff>
      <xdr:row>0</xdr:row>
      <xdr:rowOff>475200</xdr:rowOff>
    </xdr:to>
    <xdr:sp macro="[0]!Anniversaires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876550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Anniversaires</a:t>
          </a:r>
        </a:p>
      </xdr:txBody>
    </xdr:sp>
    <xdr:clientData fPrintsWithSheet="0"/>
  </xdr:twoCellAnchor>
  <xdr:twoCellAnchor editAs="absolute">
    <xdr:from>
      <xdr:col>14</xdr:col>
      <xdr:colOff>438150</xdr:colOff>
      <xdr:row>0</xdr:row>
      <xdr:rowOff>0</xdr:rowOff>
    </xdr:from>
    <xdr:to>
      <xdr:col>15</xdr:col>
      <xdr:colOff>639850</xdr:colOff>
      <xdr:row>0</xdr:row>
      <xdr:rowOff>475200</xdr:rowOff>
    </xdr:to>
    <xdr:sp macro="[0]!Veilleurs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347787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veilleur</a:t>
          </a:r>
        </a:p>
      </xdr:txBody>
    </xdr:sp>
    <xdr:clientData fPrintsWithSheet="0"/>
  </xdr:twoCellAnchor>
  <xdr:twoCellAnchor editAs="absolute">
    <xdr:from>
      <xdr:col>10</xdr:col>
      <xdr:colOff>612775</xdr:colOff>
      <xdr:row>0</xdr:row>
      <xdr:rowOff>0</xdr:rowOff>
    </xdr:from>
    <xdr:to>
      <xdr:col>12</xdr:col>
      <xdr:colOff>312825</xdr:colOff>
      <xdr:row>0</xdr:row>
      <xdr:rowOff>475200</xdr:rowOff>
    </xdr:to>
    <xdr:sp macro="[0]!Statistiques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9915525" y="0"/>
          <a:ext cx="133200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Statistiques</a:t>
          </a:r>
        </a:p>
      </xdr:txBody>
    </xdr:sp>
    <xdr:clientData fPrintsWithSheet="0"/>
  </xdr:twoCellAnchor>
  <xdr:twoCellAnchor editAs="absolute">
    <xdr:from>
      <xdr:col>12</xdr:col>
      <xdr:colOff>800100</xdr:colOff>
      <xdr:row>0</xdr:row>
      <xdr:rowOff>0</xdr:rowOff>
    </xdr:from>
    <xdr:to>
      <xdr:col>14</xdr:col>
      <xdr:colOff>39775</xdr:colOff>
      <xdr:row>0</xdr:row>
      <xdr:rowOff>475200</xdr:rowOff>
    </xdr:to>
    <xdr:sp macro="[0]!Word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1744325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Fiche d'entretien</a:t>
          </a:r>
        </a:p>
      </xdr:txBody>
    </xdr:sp>
    <xdr:clientData fPrintsWithSheet="0"/>
  </xdr:twoCellAnchor>
  <xdr:twoCellAnchor editAs="absolute">
    <xdr:from>
      <xdr:col>16</xdr:col>
      <xdr:colOff>76200</xdr:colOff>
      <xdr:row>0</xdr:row>
      <xdr:rowOff>0</xdr:rowOff>
    </xdr:from>
    <xdr:to>
      <xdr:col>17</xdr:col>
      <xdr:colOff>744625</xdr:colOff>
      <xdr:row>0</xdr:row>
      <xdr:rowOff>475200</xdr:rowOff>
    </xdr:to>
    <xdr:sp macro="[0]!Lettrebus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4897100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Bus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51</xdr:row>
      <xdr:rowOff>0</xdr:rowOff>
    </xdr:from>
    <xdr:to>
      <xdr:col>1</xdr:col>
      <xdr:colOff>866775</xdr:colOff>
      <xdr:row>60</xdr:row>
      <xdr:rowOff>13316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34575"/>
          <a:ext cx="2057400" cy="1727816"/>
        </a:xfrm>
        <a:prstGeom prst="rect">
          <a:avLst/>
        </a:prstGeom>
      </xdr:spPr>
    </xdr:pic>
    <xdr:clientData/>
  </xdr:twoCellAnchor>
  <xdr:twoCellAnchor>
    <xdr:from>
      <xdr:col>3</xdr:col>
      <xdr:colOff>1628776</xdr:colOff>
      <xdr:row>80</xdr:row>
      <xdr:rowOff>180975</xdr:rowOff>
    </xdr:from>
    <xdr:to>
      <xdr:col>7</xdr:col>
      <xdr:colOff>18046</xdr:colOff>
      <xdr:row>91</xdr:row>
      <xdr:rowOff>180975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6" y="14306550"/>
          <a:ext cx="2704095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4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Z70"/>
  <sheetViews>
    <sheetView tabSelected="1" zoomScaleNormal="100" workbookViewId="0">
      <pane xSplit="3" ySplit="1" topLeftCell="X44" activePane="bottomRight" state="frozen"/>
      <selection pane="topRight" activeCell="D1" sqref="D1"/>
      <selection pane="bottomLeft" activeCell="A3" sqref="A3"/>
      <selection pane="bottomRight" activeCell="Z63" sqref="Z63"/>
    </sheetView>
  </sheetViews>
  <sheetFormatPr baseColWidth="10" defaultColWidth="5.7109375" defaultRowHeight="15" customHeight="1" x14ac:dyDescent="0.25"/>
  <cols>
    <col min="1" max="1" width="20.140625" style="60" bestFit="1" customWidth="1"/>
    <col min="2" max="2" width="28.140625" style="24" customWidth="1"/>
    <col min="3" max="3" width="36" style="60" hidden="1" customWidth="1"/>
    <col min="4" max="4" width="11.85546875" style="60" bestFit="1" customWidth="1"/>
    <col min="5" max="5" width="4.85546875" style="60" bestFit="1" customWidth="1"/>
    <col min="6" max="6" width="8.28515625" style="60" bestFit="1" customWidth="1"/>
    <col min="7" max="7" width="12.28515625" style="60" bestFit="1" customWidth="1"/>
    <col min="8" max="8" width="14.7109375" style="101" bestFit="1" customWidth="1"/>
    <col min="9" max="9" width="26.5703125" style="102" bestFit="1" customWidth="1"/>
    <col min="10" max="10" width="12.7109375" style="60" bestFit="1" customWidth="1"/>
    <col min="11" max="11" width="15" style="60" bestFit="1" customWidth="1"/>
    <col min="12" max="12" width="9.5703125" style="60" bestFit="1" customWidth="1"/>
    <col min="13" max="13" width="14.85546875" style="60" bestFit="1" customWidth="1"/>
    <col min="14" max="14" width="16.5703125" style="102" bestFit="1" customWidth="1"/>
    <col min="15" max="15" width="17" style="102" bestFit="1" customWidth="1"/>
    <col min="16" max="16" width="9.7109375" style="60" bestFit="1" customWidth="1"/>
    <col min="17" max="17" width="10" style="60" bestFit="1" customWidth="1"/>
    <col min="18" max="18" width="16.140625" style="60" bestFit="1" customWidth="1"/>
    <col min="19" max="19" width="23.7109375" style="60" bestFit="1" customWidth="1"/>
    <col min="20" max="20" width="28" style="60" bestFit="1" customWidth="1"/>
    <col min="21" max="21" width="25.7109375" style="60" customWidth="1"/>
    <col min="22" max="22" width="11.7109375" style="60" customWidth="1"/>
    <col min="23" max="23" width="17.140625" style="60" customWidth="1"/>
    <col min="24" max="24" width="13.7109375" style="60" customWidth="1"/>
    <col min="25" max="25" width="15.28515625" style="60" customWidth="1"/>
    <col min="26" max="26" width="5.5703125" style="60" customWidth="1"/>
    <col min="27" max="27" width="23.42578125" style="60" customWidth="1"/>
    <col min="28" max="28" width="11.85546875" style="101" bestFit="1" customWidth="1"/>
    <col min="29" max="29" width="4.7109375" style="101" bestFit="1" customWidth="1"/>
    <col min="30" max="30" width="25.85546875" style="102" customWidth="1"/>
    <col min="31" max="31" width="10.5703125" style="102" customWidth="1"/>
    <col min="32" max="32" width="11.85546875" style="102" bestFit="1" customWidth="1"/>
    <col min="33" max="33" width="9.5703125" style="102" bestFit="1" customWidth="1"/>
    <col min="34" max="34" width="15.140625" style="102" hidden="1" customWidth="1"/>
    <col min="35" max="35" width="9.5703125" style="102" bestFit="1" customWidth="1"/>
    <col min="36" max="36" width="10.28515625" style="60" bestFit="1" customWidth="1"/>
    <col min="37" max="37" width="10.42578125" style="102" bestFit="1" customWidth="1"/>
    <col min="38" max="38" width="11" style="102" bestFit="1" customWidth="1"/>
    <col min="39" max="39" width="10.5703125" style="102" bestFit="1" customWidth="1"/>
    <col min="40" max="40" width="21.85546875" style="102" bestFit="1" customWidth="1"/>
    <col min="41" max="41" width="18.42578125" style="102" bestFit="1" customWidth="1"/>
    <col min="42" max="42" width="22.5703125" style="60" bestFit="1" customWidth="1"/>
    <col min="43" max="43" width="11.5703125" style="60" bestFit="1" customWidth="1"/>
    <col min="44" max="44" width="4.7109375" style="60" bestFit="1" customWidth="1"/>
    <col min="45" max="45" width="14.28515625" style="60" bestFit="1" customWidth="1"/>
    <col min="46" max="46" width="20.42578125" style="60" bestFit="1" customWidth="1"/>
    <col min="47" max="47" width="17.28515625" style="60" bestFit="1" customWidth="1"/>
    <col min="48" max="48" width="14.85546875" style="60" bestFit="1" customWidth="1"/>
    <col min="49" max="49" width="24" style="60" bestFit="1" customWidth="1"/>
    <col min="50" max="50" width="34.42578125" style="61" hidden="1" customWidth="1"/>
    <col min="51" max="51" width="9.28515625" style="60" bestFit="1" customWidth="1"/>
    <col min="52" max="52" width="11.85546875" style="60" bestFit="1" customWidth="1"/>
    <col min="53" max="53" width="25.85546875" style="60" bestFit="1" customWidth="1"/>
    <col min="54" max="54" width="23" style="60" bestFit="1" customWidth="1"/>
    <col min="55" max="55" width="25.85546875" style="60" bestFit="1" customWidth="1"/>
    <col min="56" max="56" width="17.28515625" style="60" customWidth="1"/>
    <col min="57" max="57" width="19.42578125" style="60" bestFit="1" customWidth="1"/>
    <col min="58" max="58" width="25.85546875" style="60" bestFit="1" customWidth="1"/>
    <col min="59" max="16384" width="5.7109375" style="60"/>
  </cols>
  <sheetData>
    <row r="1" spans="1:52" s="198" customFormat="1" ht="80.25" customHeight="1" thickTop="1" x14ac:dyDescent="0.25">
      <c r="A1" s="195" t="s">
        <v>0</v>
      </c>
      <c r="B1" s="196" t="s">
        <v>1</v>
      </c>
      <c r="C1" s="196" t="s">
        <v>118</v>
      </c>
      <c r="D1" s="196" t="s">
        <v>2</v>
      </c>
      <c r="E1" s="196" t="s">
        <v>3</v>
      </c>
      <c r="F1" s="196" t="s">
        <v>26</v>
      </c>
      <c r="G1" s="196" t="s">
        <v>34</v>
      </c>
      <c r="H1" s="196" t="s">
        <v>140</v>
      </c>
      <c r="I1" s="196" t="s">
        <v>39</v>
      </c>
      <c r="J1" s="196" t="s">
        <v>27</v>
      </c>
      <c r="K1" s="196" t="s">
        <v>132</v>
      </c>
      <c r="L1" s="196" t="s">
        <v>14</v>
      </c>
      <c r="M1" s="196" t="s">
        <v>38</v>
      </c>
      <c r="N1" s="196" t="s">
        <v>147</v>
      </c>
      <c r="O1" s="196" t="s">
        <v>22</v>
      </c>
      <c r="P1" s="196" t="s">
        <v>13</v>
      </c>
      <c r="Q1" s="196" t="s">
        <v>142</v>
      </c>
      <c r="R1" s="196" t="s">
        <v>4</v>
      </c>
      <c r="S1" s="196" t="s">
        <v>5</v>
      </c>
      <c r="T1" s="196" t="s">
        <v>40</v>
      </c>
      <c r="U1" s="196" t="s">
        <v>150</v>
      </c>
      <c r="V1" s="196" t="s">
        <v>44</v>
      </c>
      <c r="W1" s="196" t="s">
        <v>92</v>
      </c>
      <c r="X1" s="196" t="s">
        <v>42</v>
      </c>
      <c r="Y1" s="196" t="s">
        <v>162</v>
      </c>
      <c r="Z1" s="196" t="s">
        <v>6</v>
      </c>
      <c r="AA1" s="196" t="s">
        <v>166</v>
      </c>
      <c r="AB1" s="196" t="s">
        <v>47</v>
      </c>
      <c r="AC1" s="196" t="s">
        <v>93</v>
      </c>
      <c r="AD1" s="196" t="s">
        <v>122</v>
      </c>
      <c r="AE1" s="196" t="s">
        <v>243</v>
      </c>
      <c r="AF1" s="196" t="s">
        <v>240</v>
      </c>
      <c r="AG1" s="196" t="s">
        <v>246</v>
      </c>
      <c r="AH1" s="196" t="s">
        <v>314</v>
      </c>
      <c r="AI1" s="196" t="s">
        <v>55</v>
      </c>
      <c r="AJ1" s="196" t="s">
        <v>134</v>
      </c>
      <c r="AK1" s="196" t="s">
        <v>12</v>
      </c>
      <c r="AL1" s="196" t="s">
        <v>41</v>
      </c>
      <c r="AM1" s="196" t="s">
        <v>11</v>
      </c>
      <c r="AN1" s="196" t="s">
        <v>121</v>
      </c>
      <c r="AO1" s="196" t="s">
        <v>169</v>
      </c>
      <c r="AP1" s="196" t="s">
        <v>148</v>
      </c>
      <c r="AQ1" s="196" t="s">
        <v>31</v>
      </c>
      <c r="AR1" s="196" t="s">
        <v>163</v>
      </c>
      <c r="AS1" s="196" t="s">
        <v>30</v>
      </c>
      <c r="AT1" s="196" t="s">
        <v>45</v>
      </c>
      <c r="AU1" s="196" t="s">
        <v>91</v>
      </c>
      <c r="AV1" s="196" t="s">
        <v>46</v>
      </c>
      <c r="AW1" s="196" t="s">
        <v>10</v>
      </c>
      <c r="AX1" s="196" t="s">
        <v>313</v>
      </c>
      <c r="AY1" s="197" t="s">
        <v>167</v>
      </c>
    </row>
    <row r="2" spans="1:52" s="22" customFormat="1" ht="15.75" x14ac:dyDescent="0.25">
      <c r="A2" s="138" t="s">
        <v>322</v>
      </c>
      <c r="B2" s="139" t="s">
        <v>323</v>
      </c>
      <c r="C2" s="140" t="str">
        <f t="shared" ref="C2:C33" si="0">CONCATENATE(A2," ",B2)</f>
        <v>azerty azertty</v>
      </c>
      <c r="D2" s="147" t="s">
        <v>256</v>
      </c>
      <c r="E2" s="142">
        <f ca="1">IF(Effectif!$D2&gt;0,IF(DATE(YEAR(TODAY()),MONTH(Effectif!$D2),DAY(Effectif!$D2))&lt;=TODAY(),YEAR(TODAY())-YEAR(Effectif!$D2),YEAR(TODAY())-YEAR(Effectif!$D2)-1),"Inconnu")</f>
        <v>15</v>
      </c>
      <c r="F2" s="142" t="str">
        <f ca="1">IF(Effectif!$D2&gt;0,(IF(DATEDIF(Effectif!$D2,TODAY(),"y")&gt;=18,"Majeur","Mineur")),"Inconnu")</f>
        <v>Mineur</v>
      </c>
      <c r="G2" s="142"/>
      <c r="H2" s="143"/>
      <c r="I2" s="141"/>
      <c r="J2" s="194">
        <v>43866</v>
      </c>
      <c r="K2" s="144" t="str">
        <f>IF(ISBLANK(Effectif!$J2),"Inconnu",INT((Effectif!$J2-Effectif!$D2)/365.25)&amp;" ans "&amp;MONTH(Effectif!$J2-Effectif!$D2)-1&amp;" mois ")</f>
        <v xml:space="preserve">15 ans 6 mois </v>
      </c>
      <c r="L2" s="194">
        <f>IF(Effectif!$D2&gt;0,DATE(YEAR(Effectif!$D2)+18,MONTH(Effectif!$D2),DAY(Effectif!$D2)),"")</f>
        <v>44760</v>
      </c>
      <c r="M2" s="194">
        <v>43907</v>
      </c>
      <c r="N2" s="142" t="s">
        <v>144</v>
      </c>
      <c r="O2" s="141"/>
      <c r="P2" s="142"/>
      <c r="Q2" s="145"/>
      <c r="R2" s="142"/>
      <c r="S2" s="142"/>
      <c r="T2" s="147"/>
      <c r="U2" s="141" t="s">
        <v>155</v>
      </c>
      <c r="V2" s="194"/>
      <c r="W2" s="141" t="str">
        <f>IF(Effectif!$S2&gt;0,IF(Effectif!$U2="ATJM à faire","En attente",IF(Effectif!$U2="ATJM en réalisation","En attente",(IF(Effectif!$E2&lt;18,"Pas d'ATJM",EDATE(Effectif!$V2,-2))))),"Inconnu")</f>
        <v>Inconnu</v>
      </c>
      <c r="X2" s="144" t="str">
        <f>IF(OR(Effectif!$Z2="Non",Effectif!$AD2="Non"),"Oui","Fait")</f>
        <v>Fait</v>
      </c>
      <c r="Y2" s="141"/>
      <c r="Z2" s="142" t="s">
        <v>24</v>
      </c>
      <c r="AA2" s="146"/>
      <c r="AB2" s="141"/>
      <c r="AC2" s="142" t="s">
        <v>25</v>
      </c>
      <c r="AD2" s="142" t="s">
        <v>24</v>
      </c>
      <c r="AE2" s="144" t="s">
        <v>241</v>
      </c>
      <c r="AF2" s="141"/>
      <c r="AG2" s="144" t="s">
        <v>321</v>
      </c>
      <c r="AH2" s="192" t="str">
        <f t="shared" ref="AH2:AH33" si="1">IF(AND(Z2="Oui",AS2&lt;&gt;""),"Scolaire avec CMU",IF(AND(Z2="Oui",AS2=""),"Avec CMU",IF(AND(Z2="Non",AS2&lt;&gt;""),"Scolaire sans CMU",IF(AND(Z2="Non",AS2=""),"Sans réduction","Erreur"))))</f>
        <v>Avec CMU</v>
      </c>
      <c r="AI2" s="194" t="str">
        <f ca="1">IF(Effectif!$AE2="Néant","Néant",IF(Effectif!$AE2&lt;&gt;"",VLOOKUP(TEXT(Effectif!$AE2,"@"),Paramètres!$E$21:$F$23,2,0)))</f>
        <v>31/05/20</v>
      </c>
      <c r="AJ2" s="142" t="s">
        <v>24</v>
      </c>
      <c r="AK2" s="142" t="s">
        <v>25</v>
      </c>
      <c r="AL2" s="142" t="s">
        <v>25</v>
      </c>
      <c r="AM2" s="142" t="s">
        <v>25</v>
      </c>
      <c r="AN2" s="142"/>
      <c r="AO2" s="143"/>
      <c r="AP2" s="142"/>
      <c r="AQ2" s="142"/>
      <c r="AR2" s="142" t="s">
        <v>25</v>
      </c>
      <c r="AS2" s="142"/>
      <c r="AT2" s="142"/>
      <c r="AU2" s="142"/>
      <c r="AV2" s="194"/>
      <c r="AW2" s="142"/>
      <c r="AX2" s="148" t="str">
        <f t="shared" ref="AX2:AX33" si="2">IF(AND(Z2="Oui",AD2="Non"),"d'un compte bancaire et de son RIB",IF(AND(Z2="Non",AD2="Oui"),"de sa CMU",IF(AND(Z2="Non",AD2="Non"),"de sa CM, d'un compte bancaire et de son RIB","")))</f>
        <v/>
      </c>
      <c r="AY2" s="149"/>
      <c r="AZ2" s="24"/>
    </row>
    <row r="3" spans="1:52" s="24" customFormat="1" ht="15" customHeight="1" x14ac:dyDescent="0.25">
      <c r="A3" s="138" t="s">
        <v>322</v>
      </c>
      <c r="B3" s="139" t="s">
        <v>323</v>
      </c>
      <c r="C3" s="139" t="str">
        <f t="shared" si="0"/>
        <v>azerty azertty</v>
      </c>
      <c r="D3" s="147" t="s">
        <v>257</v>
      </c>
      <c r="E3" s="142">
        <f ca="1">IF(Effectif!$D3&gt;0,IF(DATE(YEAR(TODAY()),MONTH(Effectif!$D3),DAY(Effectif!$D3))&lt;=TODAY(),YEAR(TODAY())-YEAR(Effectif!$D3),YEAR(TODAY())-YEAR(Effectif!$D3)-1),"Inconnu")</f>
        <v>17</v>
      </c>
      <c r="F3" s="142" t="str">
        <f ca="1">IF(Effectif!$D3&gt;0,(IF(DATEDIF(Effectif!$D3,TODAY(),"y")&gt;=18,"Majeur","Mineur")),"Inconnu")</f>
        <v>Mineur</v>
      </c>
      <c r="G3" s="151"/>
      <c r="H3" s="152"/>
      <c r="I3" s="150"/>
      <c r="J3" s="194">
        <v>43637</v>
      </c>
      <c r="K3" s="144" t="str">
        <f>IF(ISBLANK(Effectif!$J3),"Inconnu",INT((Effectif!$J3-Effectif!$D3)/365.25)&amp;" ans "&amp;MONTH(Effectif!$J3-Effectif!$D3)-1&amp;" mois ")</f>
        <v xml:space="preserve">16 ans 2 mois </v>
      </c>
      <c r="L3" s="194">
        <f>IF(Effectif!$D3&gt;0,DATE(YEAR(Effectif!$D3)+18,MONTH(Effectif!$D3),DAY(Effectif!$D3)),"")</f>
        <v>44294</v>
      </c>
      <c r="M3" s="194">
        <v>43833</v>
      </c>
      <c r="N3" s="151" t="s">
        <v>144</v>
      </c>
      <c r="O3" s="150"/>
      <c r="P3" s="151"/>
      <c r="Q3" s="154"/>
      <c r="R3" s="151"/>
      <c r="S3" s="151"/>
      <c r="T3" s="147"/>
      <c r="U3" s="150" t="s">
        <v>155</v>
      </c>
      <c r="V3" s="159"/>
      <c r="W3" s="141" t="str">
        <f>IF(Effectif!$S3&gt;0,IF(Effectif!$U3="ATJM à faire","En attente",IF(Effectif!$U3="ATJM en réalisation","En attente",(IF(Effectif!$E3&lt;18,"Pas d'ATJM",EDATE(Effectif!$V3,-2))))),"Inconnu")</f>
        <v>Inconnu</v>
      </c>
      <c r="X3" s="153" t="str">
        <f>IF(OR(Effectif!$Z47="Non",Effectif!$AD47="Non"),"Oui","Fait")</f>
        <v>Oui</v>
      </c>
      <c r="Y3" s="150"/>
      <c r="Z3" s="151" t="s">
        <v>25</v>
      </c>
      <c r="AA3" s="155"/>
      <c r="AB3" s="141"/>
      <c r="AC3" s="151" t="s">
        <v>25</v>
      </c>
      <c r="AD3" s="151" t="s">
        <v>24</v>
      </c>
      <c r="AE3" s="144" t="s">
        <v>241</v>
      </c>
      <c r="AF3" s="141"/>
      <c r="AG3" s="144">
        <v>30.9</v>
      </c>
      <c r="AH3" s="192" t="str">
        <f t="shared" si="1"/>
        <v>Sans réduction</v>
      </c>
      <c r="AI3" s="194" t="str">
        <f ca="1">IF(Effectif!$AE3="Néant","Néant",IF(Effectif!$AE3&lt;&gt;"",VLOOKUP(TEXT(Effectif!$AE3,"@"),Paramètres!$E$21:$F$23,2,0)))</f>
        <v>31/05/20</v>
      </c>
      <c r="AJ3" s="142" t="s">
        <v>24</v>
      </c>
      <c r="AK3" s="151" t="s">
        <v>25</v>
      </c>
      <c r="AL3" s="151" t="s">
        <v>25</v>
      </c>
      <c r="AM3" s="151" t="s">
        <v>25</v>
      </c>
      <c r="AN3" s="151"/>
      <c r="AO3" s="143"/>
      <c r="AP3" s="142"/>
      <c r="AQ3" s="151"/>
      <c r="AR3" s="151" t="s">
        <v>25</v>
      </c>
      <c r="AS3" s="151"/>
      <c r="AT3" s="151"/>
      <c r="AU3" s="151"/>
      <c r="AV3" s="159"/>
      <c r="AW3" s="151"/>
      <c r="AX3" s="148" t="str">
        <f t="shared" si="2"/>
        <v>de sa CMU</v>
      </c>
      <c r="AY3" s="157"/>
    </row>
    <row r="4" spans="1:52" s="24" customFormat="1" ht="15" customHeight="1" x14ac:dyDescent="0.25">
      <c r="A4" s="138" t="s">
        <v>322</v>
      </c>
      <c r="B4" s="139" t="s">
        <v>323</v>
      </c>
      <c r="C4" s="140" t="str">
        <f t="shared" si="0"/>
        <v>azerty azertty</v>
      </c>
      <c r="D4" s="147" t="s">
        <v>258</v>
      </c>
      <c r="E4" s="142">
        <f ca="1">IF(Effectif!$D4&gt;0,IF(DATE(YEAR(TODAY()),MONTH(Effectif!$D4),DAY(Effectif!$D4))&lt;=TODAY(),YEAR(TODAY())-YEAR(Effectif!$D4),YEAR(TODAY())-YEAR(Effectif!$D4)-1),"Inconnu")</f>
        <v>16</v>
      </c>
      <c r="F4" s="142" t="str">
        <f ca="1">IF(Effectif!$D4&gt;0,(IF(DATEDIF(Effectif!$D4,TODAY(),"y")&gt;=18,"Majeur","Mineur")),"Inconnu")</f>
        <v>Mineur</v>
      </c>
      <c r="G4" s="142"/>
      <c r="H4" s="143"/>
      <c r="I4" s="141"/>
      <c r="J4" s="194">
        <v>43815</v>
      </c>
      <c r="K4" s="144" t="str">
        <f>IF(ISBLANK(Effectif!$J4),"Inconnu",INT((Effectif!$J4-Effectif!$D4)/365.25)&amp;" ans "&amp;MONTH(Effectif!$J4-Effectif!$D4)-1&amp;" mois ")</f>
        <v xml:space="preserve">16 ans 0 mois </v>
      </c>
      <c r="L4" s="194">
        <f>IF(Effectif!$D4&gt;0,DATE(YEAR(Effectif!$D4)+18,MONTH(Effectif!$D4),DAY(Effectif!$D4)),"")</f>
        <v>44515</v>
      </c>
      <c r="M4" s="194">
        <v>43839</v>
      </c>
      <c r="N4" s="142" t="s">
        <v>144</v>
      </c>
      <c r="O4" s="141"/>
      <c r="P4" s="142"/>
      <c r="Q4" s="145"/>
      <c r="R4" s="142"/>
      <c r="S4" s="142"/>
      <c r="T4" s="147"/>
      <c r="U4" s="141" t="s">
        <v>155</v>
      </c>
      <c r="V4" s="194"/>
      <c r="W4" s="141" t="str">
        <f>IF(Effectif!$S4&gt;0,IF(Effectif!$U4="ATJM à faire","En attente",IF(Effectif!$U4="ATJM en réalisation","En attente",(IF(Effectif!$E4&lt;18,"Pas d'ATJM",EDATE(Effectif!$V4,-2))))),"Inconnu")</f>
        <v>Inconnu</v>
      </c>
      <c r="X4" s="144" t="str">
        <f>IF(OR(Effectif!$Z4="Non",Effectif!$AD4="Non"),"Oui","Fait")</f>
        <v>Fait</v>
      </c>
      <c r="Y4" s="141"/>
      <c r="Z4" s="142" t="s">
        <v>24</v>
      </c>
      <c r="AA4" s="146"/>
      <c r="AB4" s="141"/>
      <c r="AC4" s="142" t="s">
        <v>25</v>
      </c>
      <c r="AD4" s="142" t="s">
        <v>24</v>
      </c>
      <c r="AE4" s="144" t="s">
        <v>241</v>
      </c>
      <c r="AF4" s="141"/>
      <c r="AG4" s="144">
        <v>15.45</v>
      </c>
      <c r="AH4" s="192" t="str">
        <f t="shared" si="1"/>
        <v>Avec CMU</v>
      </c>
      <c r="AI4" s="194" t="str">
        <f ca="1">IF(Effectif!$AE4="Néant","Néant",IF(Effectif!$AE4&lt;&gt;"",VLOOKUP(TEXT(Effectif!$AE4,"@"),Paramètres!$E$21:$F$23,2,0)))</f>
        <v>31/05/20</v>
      </c>
      <c r="AJ4" s="142" t="s">
        <v>24</v>
      </c>
      <c r="AK4" s="142" t="s">
        <v>25</v>
      </c>
      <c r="AL4" s="142" t="s">
        <v>25</v>
      </c>
      <c r="AM4" s="142" t="s">
        <v>25</v>
      </c>
      <c r="AN4" s="142"/>
      <c r="AO4" s="143"/>
      <c r="AP4" s="142"/>
      <c r="AQ4" s="142"/>
      <c r="AR4" s="142" t="s">
        <v>24</v>
      </c>
      <c r="AS4" s="142"/>
      <c r="AT4" s="142"/>
      <c r="AU4" s="142"/>
      <c r="AV4" s="194"/>
      <c r="AW4" s="142"/>
      <c r="AX4" s="148" t="str">
        <f t="shared" si="2"/>
        <v/>
      </c>
      <c r="AY4" s="149"/>
    </row>
    <row r="5" spans="1:52" s="24" customFormat="1" ht="15" customHeight="1" x14ac:dyDescent="0.25">
      <c r="A5" s="138" t="s">
        <v>322</v>
      </c>
      <c r="B5" s="139" t="s">
        <v>323</v>
      </c>
      <c r="C5" s="139" t="str">
        <f t="shared" si="0"/>
        <v>azerty azertty</v>
      </c>
      <c r="D5" s="147" t="s">
        <v>259</v>
      </c>
      <c r="E5" s="142">
        <f ca="1">IF(Effectif!$D5&gt;0,IF(DATE(YEAR(TODAY()),MONTH(Effectif!$D5),DAY(Effectif!$D5))&lt;=TODAY(),YEAR(TODAY())-YEAR(Effectif!$D5),YEAR(TODAY())-YEAR(Effectif!$D5)-1),"Inconnu")</f>
        <v>15</v>
      </c>
      <c r="F5" s="142" t="str">
        <f ca="1">IF(Effectif!$D5&gt;0,(IF(DATEDIF(Effectif!$D5,TODAY(),"y")&gt;=18,"Majeur","Mineur")),"Inconnu")</f>
        <v>Mineur</v>
      </c>
      <c r="G5" s="151"/>
      <c r="H5" s="152"/>
      <c r="I5" s="150"/>
      <c r="J5" s="194">
        <v>43734</v>
      </c>
      <c r="K5" s="144" t="str">
        <f>IF(ISBLANK(Effectif!$J5),"Inconnu",INT((Effectif!$J5-Effectif!$D5)/365.25)&amp;" ans "&amp;MONTH(Effectif!$J5-Effectif!$D5)-1&amp;" mois ")</f>
        <v xml:space="preserve">15 ans 3 mois </v>
      </c>
      <c r="L5" s="194">
        <f>IF(Effectif!$D5&gt;0,DATE(YEAR(Effectif!$D5)+18,MONTH(Effectif!$D5),DAY(Effectif!$D5)),"")</f>
        <v>44718</v>
      </c>
      <c r="M5" s="194">
        <v>43825</v>
      </c>
      <c r="N5" s="151" t="s">
        <v>144</v>
      </c>
      <c r="O5" s="150"/>
      <c r="P5" s="151"/>
      <c r="Q5" s="154"/>
      <c r="R5" s="151"/>
      <c r="S5" s="151"/>
      <c r="T5" s="147"/>
      <c r="U5" s="150" t="s">
        <v>151</v>
      </c>
      <c r="V5" s="159"/>
      <c r="W5" s="141" t="str">
        <f>IF(Effectif!$S5&gt;0,IF(Effectif!$U5="ATJM à faire","En attente",IF(Effectif!$U5="ATJM en réalisation","En attente",(IF(Effectif!$E5&lt;18,"Pas d'ATJM",EDATE(Effectif!$V5,-2))))),"Inconnu")</f>
        <v>Inconnu</v>
      </c>
      <c r="X5" s="153" t="s">
        <v>227</v>
      </c>
      <c r="Y5" s="150" t="s">
        <v>228</v>
      </c>
      <c r="Z5" s="151" t="s">
        <v>24</v>
      </c>
      <c r="AA5" s="155"/>
      <c r="AB5" s="141"/>
      <c r="AC5" s="151" t="s">
        <v>24</v>
      </c>
      <c r="AD5" s="151" t="s">
        <v>24</v>
      </c>
      <c r="AE5" s="144" t="s">
        <v>242</v>
      </c>
      <c r="AF5" s="141"/>
      <c r="AG5" s="144">
        <v>22.25</v>
      </c>
      <c r="AH5" s="192" t="str">
        <f t="shared" si="1"/>
        <v>Scolaire avec CMU</v>
      </c>
      <c r="AI5" s="194" t="str">
        <f ca="1">IF(Effectif!$AE5="Néant","Néant",IF(Effectif!$AE5&lt;&gt;"",VLOOKUP(TEXT(Effectif!$AE5,"@"),Paramètres!$E$21:$F$23,2,0)))</f>
        <v>31/08/20</v>
      </c>
      <c r="AJ5" s="142" t="s">
        <v>24</v>
      </c>
      <c r="AK5" s="151" t="s">
        <v>25</v>
      </c>
      <c r="AL5" s="151" t="s">
        <v>25</v>
      </c>
      <c r="AM5" s="151" t="s">
        <v>25</v>
      </c>
      <c r="AN5" s="151"/>
      <c r="AO5" s="143"/>
      <c r="AP5" s="142"/>
      <c r="AQ5" s="151"/>
      <c r="AR5" s="151" t="s">
        <v>24</v>
      </c>
      <c r="AS5" s="151" t="s">
        <v>51</v>
      </c>
      <c r="AT5" s="151" t="s">
        <v>80</v>
      </c>
      <c r="AU5" s="151" t="s">
        <v>60</v>
      </c>
      <c r="AV5" s="159"/>
      <c r="AW5" s="151"/>
      <c r="AX5" s="148" t="str">
        <f t="shared" si="2"/>
        <v/>
      </c>
      <c r="AY5" s="156"/>
    </row>
    <row r="6" spans="1:52" s="24" customFormat="1" ht="15" customHeight="1" x14ac:dyDescent="0.25">
      <c r="A6" s="138" t="s">
        <v>322</v>
      </c>
      <c r="B6" s="139" t="s">
        <v>323</v>
      </c>
      <c r="C6" s="140" t="str">
        <f t="shared" si="0"/>
        <v>azerty azertty</v>
      </c>
      <c r="D6" s="147" t="s">
        <v>260</v>
      </c>
      <c r="E6" s="142">
        <f ca="1">IF(Effectif!$D6&gt;0,IF(DATE(YEAR(TODAY()),MONTH(Effectif!$D6),DAY(Effectif!$D6))&lt;=TODAY(),YEAR(TODAY())-YEAR(Effectif!$D6),YEAR(TODAY())-YEAR(Effectif!$D6)-1),"Inconnu")</f>
        <v>16</v>
      </c>
      <c r="F6" s="142" t="str">
        <f ca="1">IF(Effectif!$D6&gt;0,(IF(DATEDIF(Effectif!$D6,TODAY(),"y")&gt;=18,"Majeur","Mineur")),"Inconnu")</f>
        <v>Mineur</v>
      </c>
      <c r="G6" s="151"/>
      <c r="H6" s="152"/>
      <c r="I6" s="150"/>
      <c r="J6" s="194">
        <v>43678</v>
      </c>
      <c r="K6" s="144" t="str">
        <f>IF(ISBLANK(Effectif!$J6),"Inconnu",INT((Effectif!$J6-Effectif!$D6)/365.25)&amp;" ans "&amp;MONTH(Effectif!$J6-Effectif!$D6)-1&amp;" mois ")</f>
        <v xml:space="preserve">15 ans 10 mois </v>
      </c>
      <c r="L6" s="194">
        <f>IF(Effectif!$D6&gt;0,DATE(YEAR(Effectif!$D6)+18,MONTH(Effectif!$D6),DAY(Effectif!$D6)),"")</f>
        <v>44449</v>
      </c>
      <c r="M6" s="194">
        <v>43797</v>
      </c>
      <c r="N6" s="151" t="s">
        <v>144</v>
      </c>
      <c r="O6" s="150"/>
      <c r="P6" s="151"/>
      <c r="Q6" s="154"/>
      <c r="R6" s="151"/>
      <c r="S6" s="151"/>
      <c r="T6" s="147"/>
      <c r="U6" s="150" t="s">
        <v>155</v>
      </c>
      <c r="V6" s="159"/>
      <c r="W6" s="141" t="str">
        <f>IF(Effectif!$S6&gt;0,IF(Effectif!$U6="ATJM à faire","En attente",IF(Effectif!$U6="ATJM en réalisation","En attente",(IF(Effectif!$E6&lt;18,"Pas d'ATJM",EDATE(Effectif!$V6,-2))))),"Inconnu")</f>
        <v>Inconnu</v>
      </c>
      <c r="X6" s="153" t="str">
        <f>IF(OR(Effectif!$Z3="Non",Effectif!$AD3="Non"),"Oui","Fait")</f>
        <v>Oui</v>
      </c>
      <c r="Y6" s="150"/>
      <c r="Z6" s="151" t="s">
        <v>24</v>
      </c>
      <c r="AA6" s="155"/>
      <c r="AB6" s="141"/>
      <c r="AC6" s="151" t="s">
        <v>24</v>
      </c>
      <c r="AD6" s="151" t="s">
        <v>25</v>
      </c>
      <c r="AE6" s="144" t="s">
        <v>241</v>
      </c>
      <c r="AF6" s="141"/>
      <c r="AG6" s="210">
        <v>15.45</v>
      </c>
      <c r="AH6" s="192" t="str">
        <f t="shared" si="1"/>
        <v>Avec CMU</v>
      </c>
      <c r="AI6" s="194" t="str">
        <f ca="1">IF(Effectif!$AE6="Néant","Néant",IF(Effectif!$AE6&lt;&gt;"",VLOOKUP(TEXT(Effectif!$AE6,"@"),Paramètres!$E$21:$F$23,2,0)))</f>
        <v>31/05/20</v>
      </c>
      <c r="AJ6" s="142" t="s">
        <v>24</v>
      </c>
      <c r="AK6" s="151" t="s">
        <v>25</v>
      </c>
      <c r="AL6" s="151" t="s">
        <v>25</v>
      </c>
      <c r="AM6" s="151" t="s">
        <v>25</v>
      </c>
      <c r="AN6" s="151"/>
      <c r="AO6" s="143"/>
      <c r="AP6" s="142"/>
      <c r="AQ6" s="151"/>
      <c r="AR6" s="151" t="s">
        <v>24</v>
      </c>
      <c r="AS6" s="151"/>
      <c r="AT6" s="151"/>
      <c r="AU6" s="151"/>
      <c r="AV6" s="159"/>
      <c r="AW6" s="151"/>
      <c r="AX6" s="148" t="str">
        <f t="shared" si="2"/>
        <v>d'un compte bancaire et de son RIB</v>
      </c>
      <c r="AY6" s="157"/>
    </row>
    <row r="7" spans="1:52" s="24" customFormat="1" ht="15" customHeight="1" x14ac:dyDescent="0.25">
      <c r="A7" s="138" t="s">
        <v>322</v>
      </c>
      <c r="B7" s="139" t="s">
        <v>323</v>
      </c>
      <c r="C7" s="139" t="str">
        <f t="shared" si="0"/>
        <v>azerty azertty</v>
      </c>
      <c r="D7" s="147" t="s">
        <v>261</v>
      </c>
      <c r="E7" s="142">
        <f ca="1">IF(Effectif!$D7&gt;0,IF(DATE(YEAR(TODAY()),MONTH(Effectif!$D7),DAY(Effectif!$D7))&lt;=TODAY(),YEAR(TODAY())-YEAR(Effectif!$D7),YEAR(TODAY())-YEAR(Effectif!$D7)-1),"Inconnu")</f>
        <v>16</v>
      </c>
      <c r="F7" s="142" t="str">
        <f ca="1">IF(Effectif!$D7&gt;0,(IF(DATEDIF(Effectif!$D7,TODAY(),"y")&gt;=18,"Majeur","Mineur")),"Inconnu")</f>
        <v>Mineur</v>
      </c>
      <c r="G7" s="142"/>
      <c r="H7" s="143"/>
      <c r="I7" s="141"/>
      <c r="J7" s="194"/>
      <c r="K7" s="144" t="str">
        <f>IF(ISBLANK(Effectif!$J7),"Inconnu",INT((Effectif!$J7-Effectif!$D7)/365.25)&amp;" ans "&amp;MONTH(Effectif!$J7-Effectif!$D7)-1&amp;" mois ")</f>
        <v>Inconnu</v>
      </c>
      <c r="L7" s="194">
        <f>IF(Effectif!$D7&gt;0,DATE(YEAR(Effectif!$D7)+18,MONTH(Effectif!$D7),DAY(Effectif!$D7)),"")</f>
        <v>44499</v>
      </c>
      <c r="M7" s="194">
        <v>43797</v>
      </c>
      <c r="N7" s="142" t="s">
        <v>144</v>
      </c>
      <c r="O7" s="141"/>
      <c r="P7" s="142"/>
      <c r="Q7" s="145"/>
      <c r="R7" s="142"/>
      <c r="S7" s="142"/>
      <c r="T7" s="147"/>
      <c r="U7" s="141" t="s">
        <v>155</v>
      </c>
      <c r="V7" s="194"/>
      <c r="W7" s="141" t="str">
        <f>IF(Effectif!$S7&gt;0,IF(Effectif!$U7="ATJM à faire","En attente",IF(Effectif!$U7="ATJM en réalisation","En attente",(IF(Effectif!$E7&lt;18,"Pas d'ATJM",EDATE(Effectif!$V7,-2))))),"Inconnu")</f>
        <v>Inconnu</v>
      </c>
      <c r="X7" s="144" t="str">
        <f>IF(OR(Effectif!$Z6="Non",Effectif!$AD6="Non"),"Oui","Fait")</f>
        <v>Oui</v>
      </c>
      <c r="Y7" s="141"/>
      <c r="Z7" s="142" t="s">
        <v>24</v>
      </c>
      <c r="AA7" s="146"/>
      <c r="AB7" s="141"/>
      <c r="AC7" s="142" t="s">
        <v>24</v>
      </c>
      <c r="AD7" s="142" t="s">
        <v>24</v>
      </c>
      <c r="AE7" s="144" t="s">
        <v>241</v>
      </c>
      <c r="AF7" s="141"/>
      <c r="AG7" s="210">
        <v>15.45</v>
      </c>
      <c r="AH7" s="192" t="str">
        <f t="shared" si="1"/>
        <v>Avec CMU</v>
      </c>
      <c r="AI7" s="194" t="str">
        <f ca="1">IF(Effectif!$AE7="Néant","Néant",IF(Effectif!$AE7&lt;&gt;"",VLOOKUP(TEXT(Effectif!$AE7,"@"),Paramètres!$E$21:$F$23,2,0)))</f>
        <v>31/05/20</v>
      </c>
      <c r="AJ7" s="142" t="s">
        <v>24</v>
      </c>
      <c r="AK7" s="142" t="s">
        <v>25</v>
      </c>
      <c r="AL7" s="142" t="s">
        <v>25</v>
      </c>
      <c r="AM7" s="142" t="s">
        <v>25</v>
      </c>
      <c r="AN7" s="142"/>
      <c r="AO7" s="143"/>
      <c r="AP7" s="142"/>
      <c r="AQ7" s="142"/>
      <c r="AR7" s="142" t="s">
        <v>24</v>
      </c>
      <c r="AS7" s="142"/>
      <c r="AT7" s="142"/>
      <c r="AU7" s="142"/>
      <c r="AV7" s="194"/>
      <c r="AW7" s="142"/>
      <c r="AX7" s="148" t="str">
        <f t="shared" si="2"/>
        <v/>
      </c>
      <c r="AY7" s="149"/>
    </row>
    <row r="8" spans="1:52" s="24" customFormat="1" ht="15" customHeight="1" x14ac:dyDescent="0.25">
      <c r="A8" s="138" t="s">
        <v>322</v>
      </c>
      <c r="B8" s="139" t="s">
        <v>323</v>
      </c>
      <c r="C8" s="139" t="str">
        <f t="shared" si="0"/>
        <v>azerty azertty</v>
      </c>
      <c r="D8" s="147" t="s">
        <v>262</v>
      </c>
      <c r="E8" s="142">
        <f ca="1">IF(Effectif!$D8&gt;0,IF(DATE(YEAR(TODAY()),MONTH(Effectif!$D8),DAY(Effectif!$D8))&lt;=TODAY(),YEAR(TODAY())-YEAR(Effectif!$D8),YEAR(TODAY())-YEAR(Effectif!$D8)-1),"Inconnu")</f>
        <v>17</v>
      </c>
      <c r="F8" s="142" t="str">
        <f ca="1">IF(Effectif!$D8&gt;0,(IF(DATEDIF(Effectif!$D8,TODAY(),"y")&gt;=18,"Majeur","Mineur")),"Inconnu")</f>
        <v>Mineur</v>
      </c>
      <c r="G8" s="151"/>
      <c r="H8" s="152"/>
      <c r="I8" s="150"/>
      <c r="J8" s="194">
        <v>43466</v>
      </c>
      <c r="K8" s="144" t="str">
        <f>IF(ISBLANK(Effectif!$J8),"Inconnu",INT((Effectif!$J8-Effectif!$D8)/365.25)&amp;" ans "&amp;MONTH(Effectif!$J8-Effectif!$D8)-1&amp;" mois ")</f>
        <v xml:space="preserve">15 ans 8 mois </v>
      </c>
      <c r="L8" s="194">
        <f>IF(Effectif!$D8&gt;0,DATE(YEAR(Effectif!$D8)+18,MONTH(Effectif!$D8),DAY(Effectif!$D8)),"")</f>
        <v>44301</v>
      </c>
      <c r="M8" s="194">
        <v>43819</v>
      </c>
      <c r="N8" s="151" t="s">
        <v>144</v>
      </c>
      <c r="O8" s="150"/>
      <c r="P8" s="151"/>
      <c r="Q8" s="154"/>
      <c r="R8" s="151"/>
      <c r="S8" s="151"/>
      <c r="T8" s="147"/>
      <c r="U8" s="150" t="s">
        <v>155</v>
      </c>
      <c r="V8" s="159"/>
      <c r="W8" s="141" t="str">
        <f>IF(Effectif!$S8&gt;0,IF(Effectif!$U8="ATJM à faire","En attente",IF(Effectif!$U8="ATJM en réalisation","En attente",(IF(Effectif!$E8&lt;18,"Pas d'ATJM",EDATE(Effectif!$V8,-2))))),"Inconnu")</f>
        <v>Inconnu</v>
      </c>
      <c r="X8" s="153" t="s">
        <v>227</v>
      </c>
      <c r="Y8" s="150" t="s">
        <v>228</v>
      </c>
      <c r="Z8" s="151" t="s">
        <v>24</v>
      </c>
      <c r="AA8" s="155"/>
      <c r="AB8" s="141"/>
      <c r="AC8" s="151" t="s">
        <v>25</v>
      </c>
      <c r="AD8" s="151" t="s">
        <v>25</v>
      </c>
      <c r="AE8" s="144" t="s">
        <v>241</v>
      </c>
      <c r="AF8" s="141"/>
      <c r="AG8" s="210">
        <v>15.45</v>
      </c>
      <c r="AH8" s="192" t="str">
        <f t="shared" si="1"/>
        <v>Avec CMU</v>
      </c>
      <c r="AI8" s="194" t="str">
        <f ca="1">IF(Effectif!$AE8="Néant","Néant",IF(Effectif!$AE8&lt;&gt;"",VLOOKUP(TEXT(Effectif!$AE8,"@"),Paramètres!$E$21:$F$23,2,0)))</f>
        <v>31/05/20</v>
      </c>
      <c r="AJ8" s="142" t="s">
        <v>24</v>
      </c>
      <c r="AK8" s="151" t="s">
        <v>25</v>
      </c>
      <c r="AL8" s="151" t="s">
        <v>25</v>
      </c>
      <c r="AM8" s="151" t="s">
        <v>25</v>
      </c>
      <c r="AN8" s="151"/>
      <c r="AO8" s="143"/>
      <c r="AP8" s="142"/>
      <c r="AQ8" s="151"/>
      <c r="AR8" s="151" t="s">
        <v>24</v>
      </c>
      <c r="AS8" s="151"/>
      <c r="AT8" s="151"/>
      <c r="AU8" s="151"/>
      <c r="AV8" s="159"/>
      <c r="AW8" s="151"/>
      <c r="AX8" s="148" t="str">
        <f t="shared" si="2"/>
        <v>d'un compte bancaire et de son RIB</v>
      </c>
      <c r="AY8" s="157"/>
    </row>
    <row r="9" spans="1:52" s="24" customFormat="1" ht="15" customHeight="1" x14ac:dyDescent="0.25">
      <c r="A9" s="138" t="s">
        <v>322</v>
      </c>
      <c r="B9" s="139" t="s">
        <v>323</v>
      </c>
      <c r="C9" s="139" t="str">
        <f t="shared" si="0"/>
        <v>azerty azertty</v>
      </c>
      <c r="D9" s="147" t="s">
        <v>263</v>
      </c>
      <c r="E9" s="142">
        <f ca="1">IF(Effectif!$D9&gt;0,IF(DATE(YEAR(TODAY()),MONTH(Effectif!$D9),DAY(Effectif!$D9))&lt;=TODAY(),YEAR(TODAY())-YEAR(Effectif!$D9),YEAR(TODAY())-YEAR(Effectif!$D9)-1),"Inconnu")</f>
        <v>17</v>
      </c>
      <c r="F9" s="142" t="str">
        <f ca="1">IF(Effectif!$D9&gt;0,(IF(DATEDIF(Effectif!$D9,TODAY(),"y")&gt;=18,"Majeur","Mineur")),"Inconnu")</f>
        <v>Mineur</v>
      </c>
      <c r="G9" s="142"/>
      <c r="H9" s="199"/>
      <c r="I9" s="141"/>
      <c r="J9" s="194">
        <v>43709</v>
      </c>
      <c r="K9" s="144" t="str">
        <f>IF(ISBLANK(Effectif!$J9),"Inconnu",INT((Effectif!$J9-Effectif!$D9)/365.25)&amp;" ans "&amp;MONTH(Effectif!$J9-Effectif!$D9)-1&amp;" mois ")</f>
        <v xml:space="preserve">16 ans 3 mois </v>
      </c>
      <c r="L9" s="194">
        <f>IF(Effectif!$D9&gt;0,DATE(YEAR(Effectif!$D9)+18,MONTH(Effectif!$D9),DAY(Effectif!$D9)),"")</f>
        <v>44329</v>
      </c>
      <c r="M9" s="194"/>
      <c r="N9" s="142" t="s">
        <v>144</v>
      </c>
      <c r="O9" s="141"/>
      <c r="P9" s="142"/>
      <c r="Q9" s="145"/>
      <c r="R9" s="142"/>
      <c r="S9" s="151"/>
      <c r="T9" s="147"/>
      <c r="U9" s="141" t="s">
        <v>155</v>
      </c>
      <c r="V9" s="194"/>
      <c r="W9" s="141" t="str">
        <f>IF(Effectif!$S9&gt;0,IF(Effectif!$U9="ATJM à faire","En attente",IF(Effectif!$U9="ATJM en réalisation","En attente",(IF(Effectif!$E9&lt;18,"Pas d'ATJM",EDATE(Effectif!$V9,-2))))),"Inconnu")</f>
        <v>Inconnu</v>
      </c>
      <c r="X9" s="144" t="str">
        <f>IF(OR(Effectif!$Z8="Non",Effectif!$AD8="Non"),"Oui","Fait")</f>
        <v>Oui</v>
      </c>
      <c r="Y9" s="141"/>
      <c r="Z9" s="142" t="s">
        <v>24</v>
      </c>
      <c r="AA9" s="146"/>
      <c r="AB9" s="141"/>
      <c r="AC9" s="142" t="s">
        <v>25</v>
      </c>
      <c r="AD9" s="142" t="s">
        <v>25</v>
      </c>
      <c r="AE9" s="144" t="s">
        <v>241</v>
      </c>
      <c r="AF9" s="141"/>
      <c r="AG9" s="210">
        <v>15.45</v>
      </c>
      <c r="AH9" s="192" t="str">
        <f t="shared" si="1"/>
        <v>Avec CMU</v>
      </c>
      <c r="AI9" s="194" t="str">
        <f ca="1">IF(Effectif!$AE9="Néant","Néant",IF(Effectif!$AE9&lt;&gt;"",VLOOKUP(TEXT(Effectif!$AE9,"@"),Paramètres!$E$21:$F$23,2,0)))</f>
        <v>31/05/20</v>
      </c>
      <c r="AJ9" s="142" t="s">
        <v>24</v>
      </c>
      <c r="AK9" s="142" t="s">
        <v>25</v>
      </c>
      <c r="AL9" s="142" t="s">
        <v>25</v>
      </c>
      <c r="AM9" s="142" t="s">
        <v>25</v>
      </c>
      <c r="AN9" s="142"/>
      <c r="AO9" s="143"/>
      <c r="AP9" s="142"/>
      <c r="AQ9" s="142"/>
      <c r="AR9" s="142" t="s">
        <v>24</v>
      </c>
      <c r="AS9" s="142"/>
      <c r="AT9" s="142"/>
      <c r="AU9" s="142"/>
      <c r="AV9" s="194"/>
      <c r="AW9" s="142"/>
      <c r="AX9" s="148" t="str">
        <f t="shared" si="2"/>
        <v>d'un compte bancaire et de son RIB</v>
      </c>
      <c r="AY9" s="149"/>
    </row>
    <row r="10" spans="1:52" s="24" customFormat="1" ht="15" customHeight="1" x14ac:dyDescent="0.25">
      <c r="A10" s="138" t="s">
        <v>322</v>
      </c>
      <c r="B10" s="139" t="s">
        <v>323</v>
      </c>
      <c r="C10" s="139" t="str">
        <f t="shared" si="0"/>
        <v>azerty azertty</v>
      </c>
      <c r="D10" s="147" t="s">
        <v>264</v>
      </c>
      <c r="E10" s="142">
        <f ca="1">IF(Effectif!$D10&gt;0,IF(DATE(YEAR(TODAY()),MONTH(Effectif!$D10),DAY(Effectif!$D10))&lt;=TODAY(),YEAR(TODAY())-YEAR(Effectif!$D10),YEAR(TODAY())-YEAR(Effectif!$D10)-1),"Inconnu")</f>
        <v>17</v>
      </c>
      <c r="F10" s="142" t="str">
        <f ca="1">IF(Effectif!$D10&gt;0,(IF(DATEDIF(Effectif!$D10,TODAY(),"y")&gt;=18,"Majeur","Mineur")),"Inconnu")</f>
        <v>Mineur</v>
      </c>
      <c r="G10" s="151"/>
      <c r="H10" s="152"/>
      <c r="I10" s="150"/>
      <c r="J10" s="194">
        <v>43101</v>
      </c>
      <c r="K10" s="144" t="str">
        <f>IF(ISBLANK(Effectif!$J10),"Inconnu",INT((Effectif!$J10-Effectif!$D10)/365.25)&amp;" ans "&amp;MONTH(Effectif!$J10-Effectif!$D10)-1&amp;" mois ")</f>
        <v xml:space="preserve">15 ans 1 mois </v>
      </c>
      <c r="L10" s="194">
        <f>IF(Effectif!$D10&gt;0,DATE(YEAR(Effectif!$D10)+18,MONTH(Effectif!$D10),DAY(Effectif!$D10)),"")</f>
        <v>44158</v>
      </c>
      <c r="M10" s="194">
        <v>43683</v>
      </c>
      <c r="N10" s="151" t="s">
        <v>144</v>
      </c>
      <c r="O10" s="150"/>
      <c r="P10" s="151"/>
      <c r="Q10" s="154"/>
      <c r="R10" s="151"/>
      <c r="S10" s="151"/>
      <c r="T10" s="147"/>
      <c r="U10" s="150" t="s">
        <v>155</v>
      </c>
      <c r="V10" s="159"/>
      <c r="W10" s="141" t="str">
        <f>IF(Effectif!$S10&gt;0,IF(Effectif!$U10="ATJM à faire","En attente",IF(Effectif!$U10="ATJM en réalisation","En attente",(IF(Effectif!$E10&lt;18,"Pas d'ATJM",EDATE(Effectif!$V10,-2))))),"Inconnu")</f>
        <v>Inconnu</v>
      </c>
      <c r="X10" s="153" t="s">
        <v>227</v>
      </c>
      <c r="Y10" s="150" t="s">
        <v>228</v>
      </c>
      <c r="Z10" s="151" t="s">
        <v>25</v>
      </c>
      <c r="AA10" s="155"/>
      <c r="AB10" s="141"/>
      <c r="AC10" s="151" t="s">
        <v>24</v>
      </c>
      <c r="AD10" s="151" t="s">
        <v>25</v>
      </c>
      <c r="AE10" s="144" t="s">
        <v>242</v>
      </c>
      <c r="AF10" s="141"/>
      <c r="AG10" s="210">
        <v>44.5</v>
      </c>
      <c r="AH10" s="192" t="str">
        <f t="shared" si="1"/>
        <v>Scolaire sans CMU</v>
      </c>
      <c r="AI10" s="194" t="str">
        <f ca="1">IF(Effectif!$AE10="Néant","Néant",IF(Effectif!$AE10&lt;&gt;"",VLOOKUP(TEXT(Effectif!$AE10,"@"),Paramètres!$E$21:$F$23,2,0)))</f>
        <v>31/08/20</v>
      </c>
      <c r="AJ10" s="142" t="s">
        <v>24</v>
      </c>
      <c r="AK10" s="151" t="s">
        <v>25</v>
      </c>
      <c r="AL10" s="151" t="s">
        <v>25</v>
      </c>
      <c r="AM10" s="151" t="s">
        <v>25</v>
      </c>
      <c r="AN10" s="151"/>
      <c r="AO10" s="143"/>
      <c r="AP10" s="142"/>
      <c r="AQ10" s="151"/>
      <c r="AR10" s="151" t="s">
        <v>24</v>
      </c>
      <c r="AS10" s="151" t="s">
        <v>51</v>
      </c>
      <c r="AT10" s="151" t="s">
        <v>79</v>
      </c>
      <c r="AU10" s="151" t="s">
        <v>62</v>
      </c>
      <c r="AV10" s="159"/>
      <c r="AW10" s="151"/>
      <c r="AX10" s="148" t="str">
        <f t="shared" si="2"/>
        <v>de sa CM, d'un compte bancaire et de son RIB</v>
      </c>
      <c r="AY10" s="157"/>
    </row>
    <row r="11" spans="1:52" s="24" customFormat="1" ht="15" customHeight="1" x14ac:dyDescent="0.25">
      <c r="A11" s="138" t="s">
        <v>322</v>
      </c>
      <c r="B11" s="139" t="s">
        <v>323</v>
      </c>
      <c r="C11" s="139" t="str">
        <f t="shared" si="0"/>
        <v>azerty azertty</v>
      </c>
      <c r="D11" s="147" t="s">
        <v>267</v>
      </c>
      <c r="E11" s="142">
        <f ca="1">IF(Effectif!$D11&gt;0,IF(DATE(YEAR(TODAY()),MONTH(Effectif!$D11),DAY(Effectif!$D11))&lt;=TODAY(),YEAR(TODAY())-YEAR(Effectif!$D11),YEAR(TODAY())-YEAR(Effectif!$D11)-1),"Inconnu")</f>
        <v>17</v>
      </c>
      <c r="F11" s="142" t="str">
        <f ca="1">IF(Effectif!$D11&gt;0,(IF(DATEDIF(Effectif!$D11,TODAY(),"y")&gt;=18,"Majeur","Mineur")),"Inconnu")</f>
        <v>Mineur</v>
      </c>
      <c r="G11" s="142"/>
      <c r="H11" s="143"/>
      <c r="I11" s="141"/>
      <c r="J11" s="194"/>
      <c r="K11" s="144" t="str">
        <f>IF(ISBLANK(Effectif!$J11),"Inconnu",INT((Effectif!$J11-Effectif!$D11)/365.25)&amp;" ans "&amp;MONTH(Effectif!$J11-Effectif!$D11)-1&amp;" mois ")</f>
        <v>Inconnu</v>
      </c>
      <c r="L11" s="194">
        <f>IF(Effectif!$D11&gt;0,DATE(YEAR(Effectif!$D11)+18,MONTH(Effectif!$D11),DAY(Effectif!$D11)),"")</f>
        <v>44180</v>
      </c>
      <c r="M11" s="194">
        <v>43847</v>
      </c>
      <c r="N11" s="142" t="s">
        <v>144</v>
      </c>
      <c r="O11" s="141"/>
      <c r="P11" s="142"/>
      <c r="Q11" s="145"/>
      <c r="R11" s="142"/>
      <c r="S11" s="142"/>
      <c r="T11" s="147"/>
      <c r="U11" s="141" t="s">
        <v>155</v>
      </c>
      <c r="V11" s="194"/>
      <c r="W11" s="141" t="str">
        <f>IF(Effectif!$S11&gt;0,IF(Effectif!$U11="ATJM à faire","En attente",IF(Effectif!$U11="ATJM en réalisation","En attente",(IF(Effectif!$E11&lt;18,"Pas d'ATJM",EDATE(Effectif!$V11,-2))))),"Inconnu")</f>
        <v>Inconnu</v>
      </c>
      <c r="X11" s="144" t="s">
        <v>227</v>
      </c>
      <c r="Y11" s="141" t="s">
        <v>228</v>
      </c>
      <c r="Z11" s="142" t="s">
        <v>24</v>
      </c>
      <c r="AA11" s="146"/>
      <c r="AB11" s="141"/>
      <c r="AC11" s="142" t="s">
        <v>25</v>
      </c>
      <c r="AD11" s="142" t="s">
        <v>25</v>
      </c>
      <c r="AE11" s="144" t="s">
        <v>241</v>
      </c>
      <c r="AF11" s="141"/>
      <c r="AG11" s="210">
        <v>15.45</v>
      </c>
      <c r="AH11" s="192" t="str">
        <f t="shared" si="1"/>
        <v>Avec CMU</v>
      </c>
      <c r="AI11" s="194" t="str">
        <f ca="1">IF(Effectif!$AE11="Néant","Néant",IF(Effectif!$AE11&lt;&gt;"",VLOOKUP(TEXT(Effectif!$AE11,"@"),Paramètres!$E$21:$F$23,2,0)))</f>
        <v>31/05/20</v>
      </c>
      <c r="AJ11" s="142" t="s">
        <v>24</v>
      </c>
      <c r="AK11" s="142" t="s">
        <v>25</v>
      </c>
      <c r="AL11" s="142" t="s">
        <v>25</v>
      </c>
      <c r="AM11" s="142" t="s">
        <v>25</v>
      </c>
      <c r="AN11" s="142"/>
      <c r="AO11" s="143"/>
      <c r="AP11" s="142"/>
      <c r="AQ11" s="142"/>
      <c r="AR11" s="142" t="s">
        <v>24</v>
      </c>
      <c r="AS11" s="142"/>
      <c r="AT11" s="142"/>
      <c r="AU11" s="142"/>
      <c r="AV11" s="194"/>
      <c r="AW11" s="142"/>
      <c r="AX11" s="148" t="str">
        <f t="shared" si="2"/>
        <v>d'un compte bancaire et de son RIB</v>
      </c>
      <c r="AY11" s="149"/>
    </row>
    <row r="12" spans="1:52" s="24" customFormat="1" ht="15" customHeight="1" x14ac:dyDescent="0.25">
      <c r="A12" s="138" t="s">
        <v>322</v>
      </c>
      <c r="B12" s="139" t="s">
        <v>323</v>
      </c>
      <c r="C12" s="139" t="str">
        <f t="shared" si="0"/>
        <v>azerty azertty</v>
      </c>
      <c r="D12" s="147" t="s">
        <v>268</v>
      </c>
      <c r="E12" s="142">
        <f ca="1">IF(Effectif!$D12&gt;0,IF(DATE(YEAR(TODAY()),MONTH(Effectif!$D12),DAY(Effectif!$D12))&lt;=TODAY(),YEAR(TODAY())-YEAR(Effectif!$D12),YEAR(TODAY())-YEAR(Effectif!$D12)-1),"Inconnu")</f>
        <v>17</v>
      </c>
      <c r="F12" s="142" t="str">
        <f ca="1">IF(Effectif!$D12&gt;0,(IF(DATEDIF(Effectif!$D12,TODAY(),"y")&gt;=18,"Majeur","Mineur")),"Inconnu")</f>
        <v>Mineur</v>
      </c>
      <c r="G12" s="142"/>
      <c r="H12" s="143"/>
      <c r="I12" s="141"/>
      <c r="J12" s="194">
        <v>42979</v>
      </c>
      <c r="K12" s="144" t="str">
        <f>IF(ISBLANK(Effectif!$J12),"Inconnu",INT((Effectif!$J12-Effectif!$D12)/365.25)&amp;" ans "&amp;MONTH(Effectif!$J12-Effectif!$D12)-1&amp;" mois ")</f>
        <v xml:space="preserve">14 ans 8 mois </v>
      </c>
      <c r="L12" s="194">
        <f>IF(Effectif!$D12&gt;0,DATE(YEAR(Effectif!$D12)+18,MONTH(Effectif!$D12),DAY(Effectif!$D12)),"")</f>
        <v>44175</v>
      </c>
      <c r="M12" s="194" t="s">
        <v>168</v>
      </c>
      <c r="N12" s="142" t="s">
        <v>144</v>
      </c>
      <c r="O12" s="141"/>
      <c r="P12" s="142"/>
      <c r="Q12" s="145"/>
      <c r="R12" s="142"/>
      <c r="S12" s="142"/>
      <c r="T12" s="147"/>
      <c r="U12" s="141" t="s">
        <v>155</v>
      </c>
      <c r="V12" s="194"/>
      <c r="W12" s="141" t="str">
        <f>IF(Effectif!$S12&gt;0,IF(Effectif!$U12="ATJM à faire","En attente",IF(Effectif!$U12="ATJM en réalisation","En attente",(IF(Effectif!$E12&lt;18,"Pas d'ATJM",EDATE(Effectif!$V12,-2))))),"Inconnu")</f>
        <v>Inconnu</v>
      </c>
      <c r="X12" s="153" t="s">
        <v>227</v>
      </c>
      <c r="Y12" s="141" t="s">
        <v>228</v>
      </c>
      <c r="Z12" s="142" t="s">
        <v>24</v>
      </c>
      <c r="AA12" s="146"/>
      <c r="AB12" s="141"/>
      <c r="AC12" s="142" t="s">
        <v>24</v>
      </c>
      <c r="AD12" s="142" t="s">
        <v>25</v>
      </c>
      <c r="AE12" s="144" t="s">
        <v>242</v>
      </c>
      <c r="AF12" s="141"/>
      <c r="AG12" s="210">
        <v>22.25</v>
      </c>
      <c r="AH12" s="192" t="str">
        <f t="shared" si="1"/>
        <v>Scolaire avec CMU</v>
      </c>
      <c r="AI12" s="194" t="str">
        <f ca="1">IF(Effectif!$AE12="Néant","Néant",IF(Effectif!$AE12&lt;&gt;"",VLOOKUP(TEXT(Effectif!$AE12,"@"),Paramètres!$E$21:$F$23,2,0)))</f>
        <v>31/08/20</v>
      </c>
      <c r="AJ12" s="142" t="s">
        <v>24</v>
      </c>
      <c r="AK12" s="142" t="s">
        <v>25</v>
      </c>
      <c r="AL12" s="142" t="s">
        <v>24</v>
      </c>
      <c r="AM12" s="142" t="s">
        <v>25</v>
      </c>
      <c r="AN12" s="142"/>
      <c r="AO12" s="143"/>
      <c r="AP12" s="142"/>
      <c r="AQ12" s="142"/>
      <c r="AR12" s="142" t="s">
        <v>24</v>
      </c>
      <c r="AS12" s="142" t="s">
        <v>50</v>
      </c>
      <c r="AT12" s="142"/>
      <c r="AU12" s="142"/>
      <c r="AV12" s="194"/>
      <c r="AW12" s="142"/>
      <c r="AX12" s="148" t="str">
        <f t="shared" si="2"/>
        <v>d'un compte bancaire et de son RIB</v>
      </c>
      <c r="AY12" s="149"/>
    </row>
    <row r="13" spans="1:52" s="24" customFormat="1" ht="15" customHeight="1" x14ac:dyDescent="0.25">
      <c r="A13" s="138" t="s">
        <v>322</v>
      </c>
      <c r="B13" s="139" t="s">
        <v>323</v>
      </c>
      <c r="C13" s="139" t="str">
        <f t="shared" si="0"/>
        <v>azerty azertty</v>
      </c>
      <c r="D13" s="147" t="s">
        <v>269</v>
      </c>
      <c r="E13" s="142">
        <f ca="1">IF(Effectif!$D13&gt;0,IF(DATE(YEAR(TODAY()),MONTH(Effectif!$D13),DAY(Effectif!$D13))&lt;=TODAY(),YEAR(TODAY())-YEAR(Effectif!$D13),YEAR(TODAY())-YEAR(Effectif!$D13)-1),"Inconnu")</f>
        <v>16</v>
      </c>
      <c r="F13" s="142" t="str">
        <f ca="1">IF(Effectif!$D13&gt;0,(IF(DATEDIF(Effectif!$D13,TODAY(),"y")&gt;=18,"Majeur","Mineur")),"Inconnu")</f>
        <v>Mineur</v>
      </c>
      <c r="G13" s="151"/>
      <c r="H13" s="152"/>
      <c r="I13" s="150"/>
      <c r="J13" s="194">
        <v>43374</v>
      </c>
      <c r="K13" s="144" t="str">
        <f>IF(ISBLANK(Effectif!$J13),"Inconnu",INT((Effectif!$J13-Effectif!$D13)/365.25)&amp;" ans "&amp;MONTH(Effectif!$J13-Effectif!$D13)-1&amp;" mois ")</f>
        <v xml:space="preserve">14 ans 5 mois </v>
      </c>
      <c r="L13" s="194">
        <f>IF(Effectif!$D13&gt;0,DATE(YEAR(Effectif!$D13)+18,MONTH(Effectif!$D13),DAY(Effectif!$D13)),"")</f>
        <v>44653</v>
      </c>
      <c r="M13" s="194">
        <v>43434</v>
      </c>
      <c r="N13" s="151" t="s">
        <v>144</v>
      </c>
      <c r="O13" s="150"/>
      <c r="P13" s="151"/>
      <c r="Q13" s="154"/>
      <c r="R13" s="151"/>
      <c r="S13" s="151"/>
      <c r="T13" s="147"/>
      <c r="U13" s="150" t="s">
        <v>155</v>
      </c>
      <c r="V13" s="159"/>
      <c r="W13" s="141" t="str">
        <f>IF(Effectif!$S13&gt;0,IF(Effectif!$U13="ATJM à faire","En attente",IF(Effectif!$U13="ATJM en réalisation","En attente",(IF(Effectif!$E13&lt;18,"Pas d'ATJM",EDATE(Effectif!$V13,-2))))),"Inconnu")</f>
        <v>Inconnu</v>
      </c>
      <c r="X13" s="153" t="str">
        <f>IF(OR(Effectif!$Z11="Non",Effectif!$AD11="Non"),"Oui","Fait")</f>
        <v>Oui</v>
      </c>
      <c r="Y13" s="150"/>
      <c r="Z13" s="151" t="s">
        <v>24</v>
      </c>
      <c r="AA13" s="155"/>
      <c r="AB13" s="141"/>
      <c r="AC13" s="151" t="s">
        <v>24</v>
      </c>
      <c r="AD13" s="151" t="s">
        <v>24</v>
      </c>
      <c r="AE13" s="144" t="s">
        <v>242</v>
      </c>
      <c r="AF13" s="141"/>
      <c r="AG13" s="210">
        <v>22.25</v>
      </c>
      <c r="AH13" s="192" t="str">
        <f t="shared" si="1"/>
        <v>Scolaire avec CMU</v>
      </c>
      <c r="AI13" s="194" t="str">
        <f ca="1">IF(Effectif!$AE13="Néant","Néant",IF(Effectif!$AE13&lt;&gt;"",VLOOKUP(TEXT(Effectif!$AE13,"@"),Paramètres!$E$21:$F$23,2,0)))</f>
        <v>31/08/20</v>
      </c>
      <c r="AJ13" s="142" t="s">
        <v>24</v>
      </c>
      <c r="AK13" s="151" t="s">
        <v>24</v>
      </c>
      <c r="AL13" s="151" t="s">
        <v>25</v>
      </c>
      <c r="AM13" s="151" t="s">
        <v>25</v>
      </c>
      <c r="AN13" s="151"/>
      <c r="AO13" s="143"/>
      <c r="AP13" s="142"/>
      <c r="AQ13" s="151" t="s">
        <v>34</v>
      </c>
      <c r="AR13" s="151" t="s">
        <v>24</v>
      </c>
      <c r="AS13" s="151" t="s">
        <v>51</v>
      </c>
      <c r="AT13" s="151" t="s">
        <v>80</v>
      </c>
      <c r="AU13" s="151" t="s">
        <v>62</v>
      </c>
      <c r="AV13" s="159"/>
      <c r="AW13" s="151"/>
      <c r="AX13" s="148" t="str">
        <f t="shared" si="2"/>
        <v/>
      </c>
      <c r="AY13" s="157"/>
    </row>
    <row r="14" spans="1:52" s="24" customFormat="1" ht="15" customHeight="1" x14ac:dyDescent="0.25">
      <c r="A14" s="138" t="s">
        <v>322</v>
      </c>
      <c r="B14" s="139" t="s">
        <v>323</v>
      </c>
      <c r="C14" s="139" t="str">
        <f t="shared" si="0"/>
        <v>azerty azertty</v>
      </c>
      <c r="D14" s="147" t="s">
        <v>270</v>
      </c>
      <c r="E14" s="142">
        <f ca="1">IF(Effectif!$D14&gt;0,IF(DATE(YEAR(TODAY()),MONTH(Effectif!$D14),DAY(Effectif!$D14))&lt;=TODAY(),YEAR(TODAY())-YEAR(Effectif!$D14),YEAR(TODAY())-YEAR(Effectif!$D14)-1),"Inconnu")</f>
        <v>17</v>
      </c>
      <c r="F14" s="142" t="str">
        <f ca="1">IF(Effectif!$D14&gt;0,(IF(DATEDIF(Effectif!$D14,TODAY(),"y")&gt;=18,"Majeur","Mineur")),"Inconnu")</f>
        <v>Mineur</v>
      </c>
      <c r="G14" s="151"/>
      <c r="H14" s="152"/>
      <c r="I14" s="158"/>
      <c r="J14" s="194">
        <v>43282</v>
      </c>
      <c r="K14" s="144" t="str">
        <f>IF(ISBLANK(Effectif!$J14),"Inconnu",INT((Effectif!$J14-Effectif!$D14)/365.25)&amp;" ans "&amp;MONTH(Effectif!$J14-Effectif!$D14)-1&amp;" mois ")</f>
        <v xml:space="preserve">15 ans 8 mois </v>
      </c>
      <c r="L14" s="194">
        <f>IF(Effectif!$D14&gt;0,DATE(YEAR(Effectif!$D14)+18,MONTH(Effectif!$D14),DAY(Effectif!$D14)),"")</f>
        <v>44114</v>
      </c>
      <c r="M14" s="194">
        <v>43508</v>
      </c>
      <c r="N14" s="151" t="s">
        <v>145</v>
      </c>
      <c r="O14" s="150"/>
      <c r="P14" s="151"/>
      <c r="Q14" s="154"/>
      <c r="R14" s="151"/>
      <c r="S14" s="151"/>
      <c r="T14" s="147"/>
      <c r="U14" s="150" t="s">
        <v>155</v>
      </c>
      <c r="V14" s="159"/>
      <c r="W14" s="141" t="str">
        <f>IF(Effectif!$S14&gt;0,IF(Effectif!$U14="ATJM à faire","En attente",IF(Effectif!$U14="ATJM en réalisation","En attente",(IF(Effectif!$E14&lt;18,"Pas d'ATJM",EDATE(Effectif!$V14,-2))))),"Inconnu")</f>
        <v>Inconnu</v>
      </c>
      <c r="X14" s="153" t="str">
        <f>IF(OR(Effectif!$Z13="Non",Effectif!$AD13="Non"),"Oui","Fait")</f>
        <v>Fait</v>
      </c>
      <c r="Y14" s="150"/>
      <c r="Z14" s="151" t="s">
        <v>24</v>
      </c>
      <c r="AA14" s="155"/>
      <c r="AB14" s="141"/>
      <c r="AC14" s="151" t="s">
        <v>24</v>
      </c>
      <c r="AD14" s="151" t="s">
        <v>24</v>
      </c>
      <c r="AE14" s="144" t="s">
        <v>242</v>
      </c>
      <c r="AF14" s="141"/>
      <c r="AG14" s="210">
        <v>22.25</v>
      </c>
      <c r="AH14" s="192" t="str">
        <f t="shared" si="1"/>
        <v>Scolaire avec CMU</v>
      </c>
      <c r="AI14" s="194" t="str">
        <f ca="1">IF(Effectif!$AE14="Néant","Néant",IF(Effectif!$AE14&lt;&gt;"",VLOOKUP(TEXT(Effectif!$AE14,"@"),Paramètres!$E$21:$F$23,2,0)))</f>
        <v>31/08/20</v>
      </c>
      <c r="AJ14" s="142" t="s">
        <v>24</v>
      </c>
      <c r="AK14" s="151" t="s">
        <v>24</v>
      </c>
      <c r="AL14" s="151" t="s">
        <v>24</v>
      </c>
      <c r="AM14" s="151" t="s">
        <v>24</v>
      </c>
      <c r="AN14" s="151"/>
      <c r="AO14" s="143"/>
      <c r="AP14" s="142"/>
      <c r="AQ14" s="151"/>
      <c r="AR14" s="151" t="s">
        <v>24</v>
      </c>
      <c r="AS14" s="151" t="s">
        <v>135</v>
      </c>
      <c r="AT14" s="151" t="s">
        <v>8</v>
      </c>
      <c r="AU14" s="151" t="s">
        <v>67</v>
      </c>
      <c r="AV14" s="159"/>
      <c r="AW14" s="151"/>
      <c r="AX14" s="148" t="str">
        <f t="shared" si="2"/>
        <v/>
      </c>
      <c r="AY14" s="157"/>
    </row>
    <row r="15" spans="1:52" s="24" customFormat="1" ht="15" customHeight="1" x14ac:dyDescent="0.25">
      <c r="A15" s="138" t="s">
        <v>322</v>
      </c>
      <c r="B15" s="139" t="s">
        <v>323</v>
      </c>
      <c r="C15" s="139" t="str">
        <f t="shared" si="0"/>
        <v>azerty azertty</v>
      </c>
      <c r="D15" s="147" t="s">
        <v>271</v>
      </c>
      <c r="E15" s="142">
        <f ca="1">IF(Effectif!$D15&gt;0,IF(DATE(YEAR(TODAY()),MONTH(Effectif!$D15),DAY(Effectif!$D15))&lt;=TODAY(),YEAR(TODAY())-YEAR(Effectif!$D15),YEAR(TODAY())-YEAR(Effectif!$D15)-1),"Inconnu")</f>
        <v>16</v>
      </c>
      <c r="F15" s="142" t="str">
        <f ca="1">IF(Effectif!$D15&gt;0,(IF(DATEDIF(Effectif!$D15,TODAY(),"y")&gt;=18,"Majeur","Mineur")),"Inconnu")</f>
        <v>Mineur</v>
      </c>
      <c r="G15" s="142"/>
      <c r="H15" s="143"/>
      <c r="I15" s="141"/>
      <c r="J15" s="194">
        <v>43497</v>
      </c>
      <c r="K15" s="144" t="str">
        <f>IF(ISBLANK(Effectif!$J15),"Inconnu",INT((Effectif!$J15-Effectif!$D15)/365.25)&amp;" ans "&amp;MONTH(Effectif!$J15-Effectif!$D15)-1&amp;" mois ")</f>
        <v xml:space="preserve">14 ans 11 mois </v>
      </c>
      <c r="L15" s="194">
        <f>IF(Effectif!$D15&gt;0,DATE(YEAR(Effectif!$D15)+18,MONTH(Effectif!$D15),DAY(Effectif!$D15)),"")</f>
        <v>44615</v>
      </c>
      <c r="M15" s="194">
        <v>43788</v>
      </c>
      <c r="N15" s="142" t="s">
        <v>144</v>
      </c>
      <c r="O15" s="141"/>
      <c r="P15" s="142"/>
      <c r="Q15" s="145"/>
      <c r="R15" s="142"/>
      <c r="S15" s="142"/>
      <c r="T15" s="147"/>
      <c r="U15" s="141" t="s">
        <v>155</v>
      </c>
      <c r="V15" s="194"/>
      <c r="W15" s="141" t="str">
        <f>IF(Effectif!$S15&gt;0,IF(Effectif!$U15="ATJM à faire","En attente",IF(Effectif!$U15="ATJM en réalisation","En attente",(IF(Effectif!$E15&lt;18,"Pas d'ATJM",EDATE(Effectif!$V15,-2))))),"Inconnu")</f>
        <v>Inconnu</v>
      </c>
      <c r="X15" s="153" t="str">
        <f>IF(OR(Effectif!$Z14="Non",Effectif!$AD14="Non"),"Oui","Fait")</f>
        <v>Fait</v>
      </c>
      <c r="Y15" s="141"/>
      <c r="Z15" s="142" t="s">
        <v>24</v>
      </c>
      <c r="AA15" s="146"/>
      <c r="AB15" s="141"/>
      <c r="AC15" s="142" t="s">
        <v>25</v>
      </c>
      <c r="AD15" s="142" t="s">
        <v>24</v>
      </c>
      <c r="AE15" s="144" t="s">
        <v>242</v>
      </c>
      <c r="AF15" s="141"/>
      <c r="AG15" s="210">
        <v>22.25</v>
      </c>
      <c r="AH15" s="192" t="str">
        <f t="shared" si="1"/>
        <v>Scolaire avec CMU</v>
      </c>
      <c r="AI15" s="194" t="str">
        <f ca="1">IF(Effectif!$AE15="Néant","Néant",IF(Effectif!$AE15&lt;&gt;"",VLOOKUP(TEXT(Effectif!$AE15,"@"),Paramètres!$E$21:$F$23,2,0)))</f>
        <v>31/08/20</v>
      </c>
      <c r="AJ15" s="142" t="s">
        <v>24</v>
      </c>
      <c r="AK15" s="142" t="s">
        <v>25</v>
      </c>
      <c r="AL15" s="142" t="s">
        <v>25</v>
      </c>
      <c r="AM15" s="142" t="s">
        <v>25</v>
      </c>
      <c r="AN15" s="142"/>
      <c r="AO15" s="143"/>
      <c r="AP15" s="142"/>
      <c r="AQ15" s="142"/>
      <c r="AR15" s="142" t="s">
        <v>24</v>
      </c>
      <c r="AS15" s="142" t="s">
        <v>135</v>
      </c>
      <c r="AT15" s="142" t="s">
        <v>8</v>
      </c>
      <c r="AU15" s="142" t="s">
        <v>71</v>
      </c>
      <c r="AV15" s="194"/>
      <c r="AW15" s="142"/>
      <c r="AX15" s="148" t="str">
        <f t="shared" si="2"/>
        <v/>
      </c>
      <c r="AY15" s="149"/>
    </row>
    <row r="16" spans="1:52" s="24" customFormat="1" ht="15" customHeight="1" x14ac:dyDescent="0.25">
      <c r="A16" s="138" t="s">
        <v>322</v>
      </c>
      <c r="B16" s="139" t="s">
        <v>323</v>
      </c>
      <c r="C16" s="139" t="str">
        <f t="shared" si="0"/>
        <v>azerty azertty</v>
      </c>
      <c r="D16" s="147" t="s">
        <v>272</v>
      </c>
      <c r="E16" s="142">
        <f ca="1">IF(Effectif!$D16&gt;0,IF(DATE(YEAR(TODAY()),MONTH(Effectif!$D16),DAY(Effectif!$D16))&lt;=TODAY(),YEAR(TODAY())-YEAR(Effectif!$D16),YEAR(TODAY())-YEAR(Effectif!$D16)-1),"Inconnu")</f>
        <v>16</v>
      </c>
      <c r="F16" s="142" t="str">
        <f ca="1">IF(Effectif!$D16&gt;0,(IF(DATEDIF(Effectif!$D16,TODAY(),"y")&gt;=18,"Majeur","Mineur")),"Inconnu")</f>
        <v>Mineur</v>
      </c>
      <c r="G16" s="151"/>
      <c r="H16" s="152"/>
      <c r="I16" s="150"/>
      <c r="J16" s="194">
        <v>43800</v>
      </c>
      <c r="K16" s="144" t="str">
        <f>IF(ISBLANK(Effectif!$J16),"Inconnu",INT((Effectif!$J16-Effectif!$D16)/365.25)&amp;" ans "&amp;MONTH(Effectif!$J16-Effectif!$D16)-1&amp;" mois ")</f>
        <v xml:space="preserve">16 ans 0 mois </v>
      </c>
      <c r="L16" s="194">
        <f>IF(Effectif!$D16&gt;0,DATE(YEAR(Effectif!$D16)+18,MONTH(Effectif!$D16),DAY(Effectif!$D16)),"")</f>
        <v>44514</v>
      </c>
      <c r="M16" s="194">
        <v>43902</v>
      </c>
      <c r="N16" s="151" t="s">
        <v>144</v>
      </c>
      <c r="O16" s="150"/>
      <c r="P16" s="151"/>
      <c r="Q16" s="154"/>
      <c r="R16" s="151"/>
      <c r="S16" s="151"/>
      <c r="T16" s="147"/>
      <c r="U16" s="150" t="s">
        <v>155</v>
      </c>
      <c r="V16" s="159"/>
      <c r="W16" s="141" t="str">
        <f>IF(Effectif!$S16&gt;0,IF(Effectif!$U16="ATJM à faire","En attente",IF(Effectif!$U16="ATJM en réalisation","En attente",(IF(Effectif!$E16&lt;18,"Pas d'ATJM",EDATE(Effectif!$V16,-2))))),"Inconnu")</f>
        <v>Inconnu</v>
      </c>
      <c r="X16" s="153" t="s">
        <v>227</v>
      </c>
      <c r="Y16" s="150" t="s">
        <v>228</v>
      </c>
      <c r="Z16" s="151" t="s">
        <v>24</v>
      </c>
      <c r="AA16" s="155"/>
      <c r="AB16" s="141"/>
      <c r="AC16" s="151" t="s">
        <v>25</v>
      </c>
      <c r="AD16" s="151" t="s">
        <v>25</v>
      </c>
      <c r="AE16" s="144" t="s">
        <v>241</v>
      </c>
      <c r="AF16" s="141"/>
      <c r="AG16" s="210">
        <v>15.45</v>
      </c>
      <c r="AH16" s="192" t="str">
        <f t="shared" si="1"/>
        <v>Avec CMU</v>
      </c>
      <c r="AI16" s="194" t="str">
        <f ca="1">IF(Effectif!$AE16="Néant","Néant",IF(Effectif!$AE16&lt;&gt;"",VLOOKUP(TEXT(Effectif!$AE16,"@"),Paramètres!$E$21:$F$23,2,0)))</f>
        <v>31/05/20</v>
      </c>
      <c r="AJ16" s="142" t="s">
        <v>24</v>
      </c>
      <c r="AK16" s="151" t="s">
        <v>25</v>
      </c>
      <c r="AL16" s="151" t="s">
        <v>25</v>
      </c>
      <c r="AM16" s="151" t="s">
        <v>25</v>
      </c>
      <c r="AN16" s="151"/>
      <c r="AO16" s="143"/>
      <c r="AP16" s="142"/>
      <c r="AQ16" s="151"/>
      <c r="AR16" s="151" t="s">
        <v>25</v>
      </c>
      <c r="AS16" s="151"/>
      <c r="AT16" s="151"/>
      <c r="AU16" s="151"/>
      <c r="AV16" s="159"/>
      <c r="AW16" s="151"/>
      <c r="AX16" s="148" t="str">
        <f t="shared" si="2"/>
        <v>d'un compte bancaire et de son RIB</v>
      </c>
      <c r="AY16" s="157"/>
    </row>
    <row r="17" spans="1:51" s="24" customFormat="1" ht="15" customHeight="1" x14ac:dyDescent="0.25">
      <c r="A17" s="138" t="s">
        <v>322</v>
      </c>
      <c r="B17" s="139" t="s">
        <v>323</v>
      </c>
      <c r="C17" s="139" t="str">
        <f t="shared" si="0"/>
        <v>azerty azertty</v>
      </c>
      <c r="D17" s="147" t="s">
        <v>273</v>
      </c>
      <c r="E17" s="142">
        <f ca="1">IF(Effectif!$D17&gt;0,IF(DATE(YEAR(TODAY()),MONTH(Effectif!$D17),DAY(Effectif!$D17))&lt;=TODAY(),YEAR(TODAY())-YEAR(Effectif!$D17),YEAR(TODAY())-YEAR(Effectif!$D17)-1),"Inconnu")</f>
        <v>16</v>
      </c>
      <c r="F17" s="142" t="str">
        <f ca="1">IF(Effectif!$D17&gt;0,(IF(DATEDIF(Effectif!$D17,TODAY(),"y")&gt;=18,"Majeur","Mineur")),"Inconnu")</f>
        <v>Mineur</v>
      </c>
      <c r="G17" s="151"/>
      <c r="H17" s="152"/>
      <c r="I17" s="150"/>
      <c r="J17" s="194">
        <v>43647</v>
      </c>
      <c r="K17" s="144" t="str">
        <f>IF(ISBLANK(Effectif!$J17),"Inconnu",INT((Effectif!$J17-Effectif!$D17)/365.25)&amp;" ans "&amp;MONTH(Effectif!$J17-Effectif!$D17)-1&amp;" mois ")</f>
        <v xml:space="preserve">15 ans 6 mois </v>
      </c>
      <c r="L17" s="194">
        <f>IF(Effectif!$D17&gt;0,DATE(YEAR(Effectif!$D17)+18,MONTH(Effectif!$D17),DAY(Effectif!$D17)),"")</f>
        <v>44540</v>
      </c>
      <c r="M17" s="194">
        <v>43809</v>
      </c>
      <c r="N17" s="151" t="s">
        <v>144</v>
      </c>
      <c r="O17" s="150"/>
      <c r="P17" s="151"/>
      <c r="Q17" s="154"/>
      <c r="R17" s="151"/>
      <c r="S17" s="151"/>
      <c r="T17" s="147"/>
      <c r="U17" s="150" t="s">
        <v>155</v>
      </c>
      <c r="V17" s="159"/>
      <c r="W17" s="141" t="str">
        <f>IF(Effectif!$S17&gt;0,IF(Effectif!$U17="ATJM à faire","En attente",IF(Effectif!$U17="ATJM en réalisation","En attente",(IF(Effectif!$E17&lt;18,"Pas d'ATJM",EDATE(Effectif!$V17,-2))))),"Inconnu")</f>
        <v>Inconnu</v>
      </c>
      <c r="X17" s="153" t="str">
        <f>IF(OR(Effectif!$Z17="Non",Effectif!$AD17="Non"),"Oui","Fait")</f>
        <v>Fait</v>
      </c>
      <c r="Y17" s="150"/>
      <c r="Z17" s="151" t="s">
        <v>24</v>
      </c>
      <c r="AA17" s="155"/>
      <c r="AB17" s="141"/>
      <c r="AC17" s="151" t="s">
        <v>25</v>
      </c>
      <c r="AD17" s="151" t="s">
        <v>24</v>
      </c>
      <c r="AE17" s="144" t="s">
        <v>242</v>
      </c>
      <c r="AF17" s="141"/>
      <c r="AG17" s="210">
        <v>22.25</v>
      </c>
      <c r="AH17" s="192" t="str">
        <f t="shared" si="1"/>
        <v>Scolaire avec CMU</v>
      </c>
      <c r="AI17" s="194" t="str">
        <f ca="1">IF(Effectif!$AE17="Néant","Néant",IF(Effectif!$AE17&lt;&gt;"",VLOOKUP(TEXT(Effectif!$AE17,"@"),Paramètres!$E$21:$F$23,2,0)))</f>
        <v>31/08/20</v>
      </c>
      <c r="AJ17" s="142" t="s">
        <v>24</v>
      </c>
      <c r="AK17" s="151" t="s">
        <v>25</v>
      </c>
      <c r="AL17" s="151" t="s">
        <v>25</v>
      </c>
      <c r="AM17" s="151" t="s">
        <v>25</v>
      </c>
      <c r="AN17" s="151"/>
      <c r="AO17" s="143"/>
      <c r="AP17" s="142"/>
      <c r="AQ17" s="151"/>
      <c r="AR17" s="151" t="s">
        <v>24</v>
      </c>
      <c r="AS17" s="151" t="s">
        <v>135</v>
      </c>
      <c r="AT17" s="151" t="s">
        <v>8</v>
      </c>
      <c r="AU17" s="151" t="s">
        <v>71</v>
      </c>
      <c r="AV17" s="159"/>
      <c r="AW17" s="151"/>
      <c r="AX17" s="148" t="str">
        <f t="shared" si="2"/>
        <v/>
      </c>
      <c r="AY17" s="157"/>
    </row>
    <row r="18" spans="1:51" s="24" customFormat="1" ht="15" customHeight="1" x14ac:dyDescent="0.25">
      <c r="A18" s="138" t="s">
        <v>322</v>
      </c>
      <c r="B18" s="139" t="s">
        <v>323</v>
      </c>
      <c r="C18" s="139" t="str">
        <f t="shared" si="0"/>
        <v>azerty azertty</v>
      </c>
      <c r="D18" s="147" t="s">
        <v>274</v>
      </c>
      <c r="E18" s="142">
        <f ca="1">IF(Effectif!$D18&gt;0,IF(DATE(YEAR(TODAY()),MONTH(Effectif!$D18),DAY(Effectif!$D18))&lt;=TODAY(),YEAR(TODAY())-YEAR(Effectif!$D18),YEAR(TODAY())-YEAR(Effectif!$D18)-1),"Inconnu")</f>
        <v>16</v>
      </c>
      <c r="F18" s="142" t="str">
        <f ca="1">IF(Effectif!$D18&gt;0,(IF(DATEDIF(Effectif!$D18,TODAY(),"y")&gt;=18,"Majeur","Mineur")),"Inconnu")</f>
        <v>Mineur</v>
      </c>
      <c r="G18" s="151"/>
      <c r="H18" s="152"/>
      <c r="I18" s="150"/>
      <c r="J18" s="194"/>
      <c r="K18" s="144" t="str">
        <f>IF(ISBLANK(Effectif!$J18),"Inconnu",INT((Effectif!$J18-Effectif!$D18)/365.25)&amp;" ans "&amp;MONTH(Effectif!$J18-Effectif!$D18)-1&amp;" mois ")</f>
        <v>Inconnu</v>
      </c>
      <c r="L18" s="194">
        <f>IF(Effectif!$D18&gt;0,DATE(YEAR(Effectif!$D18)+18,MONTH(Effectif!$D18),DAY(Effectif!$D18)),"")</f>
        <v>44562</v>
      </c>
      <c r="M18" s="194">
        <v>43823</v>
      </c>
      <c r="N18" s="151" t="s">
        <v>144</v>
      </c>
      <c r="O18" s="150"/>
      <c r="P18" s="151"/>
      <c r="Q18" s="154"/>
      <c r="R18" s="151"/>
      <c r="S18" s="151"/>
      <c r="T18" s="147"/>
      <c r="U18" s="150" t="s">
        <v>155</v>
      </c>
      <c r="V18" s="159"/>
      <c r="W18" s="141" t="str">
        <f>IF(Effectif!$S18&gt;0,IF(Effectif!$U18="ATJM à faire","En attente",IF(Effectif!$U18="ATJM en réalisation","En attente",(IF(Effectif!$E18&lt;18,"Pas d'ATJM",EDATE(Effectif!$V18,-2))))),"Inconnu")</f>
        <v>Inconnu</v>
      </c>
      <c r="X18" s="153" t="str">
        <f>IF(OR(Effectif!$Z19="Non",Effectif!$AD19="Non"),"Oui","Fait")</f>
        <v>Fait</v>
      </c>
      <c r="Y18" s="150"/>
      <c r="Z18" s="151" t="s">
        <v>24</v>
      </c>
      <c r="AA18" s="155"/>
      <c r="AB18" s="141"/>
      <c r="AC18" s="151" t="s">
        <v>25</v>
      </c>
      <c r="AD18" s="151" t="s">
        <v>24</v>
      </c>
      <c r="AE18" s="144" t="s">
        <v>242</v>
      </c>
      <c r="AF18" s="141"/>
      <c r="AG18" s="210">
        <v>22.25</v>
      </c>
      <c r="AH18" s="192" t="str">
        <f t="shared" si="1"/>
        <v>Scolaire avec CMU</v>
      </c>
      <c r="AI18" s="194" t="str">
        <f ca="1">IF(Effectif!$AE18="Néant","Néant",IF(Effectif!$AE18&lt;&gt;"",VLOOKUP(TEXT(Effectif!$AE18,"@"),Paramètres!$E$21:$F$23,2,0)))</f>
        <v>31/08/20</v>
      </c>
      <c r="AJ18" s="142" t="s">
        <v>24</v>
      </c>
      <c r="AK18" s="151" t="s">
        <v>25</v>
      </c>
      <c r="AL18" s="151" t="s">
        <v>25</v>
      </c>
      <c r="AM18" s="151" t="s">
        <v>25</v>
      </c>
      <c r="AN18" s="151"/>
      <c r="AO18" s="143"/>
      <c r="AP18" s="142"/>
      <c r="AQ18" s="151"/>
      <c r="AR18" s="151" t="s">
        <v>24</v>
      </c>
      <c r="AS18" s="151" t="s">
        <v>135</v>
      </c>
      <c r="AT18" s="151" t="s">
        <v>8</v>
      </c>
      <c r="AU18" s="151" t="s">
        <v>71</v>
      </c>
      <c r="AV18" s="159"/>
      <c r="AW18" s="151"/>
      <c r="AX18" s="148" t="str">
        <f t="shared" si="2"/>
        <v/>
      </c>
      <c r="AY18" s="157"/>
    </row>
    <row r="19" spans="1:51" s="24" customFormat="1" ht="15" customHeight="1" x14ac:dyDescent="0.25">
      <c r="A19" s="138" t="s">
        <v>322</v>
      </c>
      <c r="B19" s="139" t="s">
        <v>323</v>
      </c>
      <c r="C19" s="139" t="str">
        <f t="shared" si="0"/>
        <v>azerty azertty</v>
      </c>
      <c r="D19" s="147" t="s">
        <v>275</v>
      </c>
      <c r="E19" s="142">
        <f ca="1">IF(Effectif!$D19&gt;0,IF(DATE(YEAR(TODAY()),MONTH(Effectif!$D19),DAY(Effectif!$D19))&lt;=TODAY(),YEAR(TODAY())-YEAR(Effectif!$D19),YEAR(TODAY())-YEAR(Effectif!$D19)-1),"Inconnu")</f>
        <v>16</v>
      </c>
      <c r="F19" s="142" t="str">
        <f ca="1">IF(Effectif!$D19&gt;0,(IF(DATEDIF(Effectif!$D19,TODAY(),"y")&gt;=18,"Majeur","Mineur")),"Inconnu")</f>
        <v>Mineur</v>
      </c>
      <c r="G19" s="142"/>
      <c r="H19" s="143"/>
      <c r="I19" s="141"/>
      <c r="J19" s="194">
        <v>43282</v>
      </c>
      <c r="K19" s="144" t="str">
        <f>IF(ISBLANK(Effectif!$J19),"Inconnu",INT((Effectif!$J19-Effectif!$D19)/365.25)&amp;" ans "&amp;MONTH(Effectif!$J19-Effectif!$D19)-1&amp;" mois ")</f>
        <v xml:space="preserve">14 ans 9 mois </v>
      </c>
      <c r="L19" s="194">
        <f>IF(Effectif!$D19&gt;0,DATE(YEAR(Effectif!$D19)+18,MONTH(Effectif!$D19),DAY(Effectif!$D19)),"")</f>
        <v>44443</v>
      </c>
      <c r="M19" s="194">
        <v>43434</v>
      </c>
      <c r="N19" s="142" t="s">
        <v>145</v>
      </c>
      <c r="O19" s="141"/>
      <c r="P19" s="142"/>
      <c r="Q19" s="145"/>
      <c r="R19" s="142"/>
      <c r="S19" s="142"/>
      <c r="T19" s="147"/>
      <c r="U19" s="141" t="s">
        <v>155</v>
      </c>
      <c r="V19" s="194"/>
      <c r="W19" s="141" t="str">
        <f>IF(Effectif!$S19&gt;0,IF(Effectif!$U19="ATJM à faire","En attente",IF(Effectif!$U19="ATJM en réalisation","En attente",(IF(Effectif!$E19&lt;18,"Pas d'ATJM",EDATE(Effectif!$V19,-2))))),"Inconnu")</f>
        <v>Inconnu</v>
      </c>
      <c r="X19" s="153" t="str">
        <f>IF(OR(Effectif!$Z18="Non",Effectif!$AD18="Non"),"Oui","Fait")</f>
        <v>Fait</v>
      </c>
      <c r="Y19" s="141"/>
      <c r="Z19" s="142" t="s">
        <v>24</v>
      </c>
      <c r="AA19" s="146"/>
      <c r="AB19" s="141"/>
      <c r="AC19" s="142" t="s">
        <v>24</v>
      </c>
      <c r="AD19" s="142" t="s">
        <v>24</v>
      </c>
      <c r="AE19" s="144" t="s">
        <v>242</v>
      </c>
      <c r="AF19" s="141"/>
      <c r="AG19" s="210">
        <v>22.25</v>
      </c>
      <c r="AH19" s="192" t="str">
        <f t="shared" si="1"/>
        <v>Scolaire avec CMU</v>
      </c>
      <c r="AI19" s="194" t="str">
        <f ca="1">IF(Effectif!$AE19="Néant","Néant",IF(Effectif!$AE19&lt;&gt;"",VLOOKUP(TEXT(Effectif!$AE19,"@"),Paramètres!$E$21:$F$23,2,0)))</f>
        <v>31/08/20</v>
      </c>
      <c r="AJ19" s="142" t="s">
        <v>24</v>
      </c>
      <c r="AK19" s="142" t="s">
        <v>25</v>
      </c>
      <c r="AL19" s="142" t="s">
        <v>25</v>
      </c>
      <c r="AM19" s="142" t="s">
        <v>25</v>
      </c>
      <c r="AN19" s="142"/>
      <c r="AO19" s="143"/>
      <c r="AP19" s="142"/>
      <c r="AQ19" s="142"/>
      <c r="AR19" s="142" t="s">
        <v>24</v>
      </c>
      <c r="AS19" s="142" t="s">
        <v>135</v>
      </c>
      <c r="AT19" s="142" t="s">
        <v>8</v>
      </c>
      <c r="AU19" s="142" t="s">
        <v>70</v>
      </c>
      <c r="AV19" s="194">
        <v>44107</v>
      </c>
      <c r="AW19" s="142"/>
      <c r="AX19" s="148" t="str">
        <f t="shared" si="2"/>
        <v/>
      </c>
      <c r="AY19" s="149"/>
    </row>
    <row r="20" spans="1:51" s="24" customFormat="1" ht="15" customHeight="1" x14ac:dyDescent="0.25">
      <c r="A20" s="138" t="s">
        <v>322</v>
      </c>
      <c r="B20" s="139" t="s">
        <v>323</v>
      </c>
      <c r="C20" s="139" t="str">
        <f t="shared" si="0"/>
        <v>azerty azertty</v>
      </c>
      <c r="D20" s="147" t="s">
        <v>276</v>
      </c>
      <c r="E20" s="142">
        <f ca="1">IF(Effectif!$D20&gt;0,IF(DATE(YEAR(TODAY()),MONTH(Effectif!$D20),DAY(Effectif!$D20))&lt;=TODAY(),YEAR(TODAY())-YEAR(Effectif!$D20),YEAR(TODAY())-YEAR(Effectif!$D20)-1),"Inconnu")</f>
        <v>17</v>
      </c>
      <c r="F20" s="142" t="str">
        <f ca="1">IF(Effectif!$D20&gt;0,(IF(DATEDIF(Effectif!$D20,TODAY(),"y")&gt;=18,"Majeur","Mineur")),"Inconnu")</f>
        <v>Mineur</v>
      </c>
      <c r="G20" s="142"/>
      <c r="H20" s="143"/>
      <c r="I20" s="141"/>
      <c r="J20" s="194">
        <v>43344</v>
      </c>
      <c r="K20" s="144" t="str">
        <f>IF(ISBLANK(Effectif!$J20),"Inconnu",INT((Effectif!$J20-Effectif!$D20)/365.25)&amp;" ans "&amp;MONTH(Effectif!$J20-Effectif!$D20)-1&amp;" mois ")</f>
        <v xml:space="preserve">15 ans 8 mois </v>
      </c>
      <c r="L20" s="194">
        <f>IF(Effectif!$D20&gt;0,DATE(YEAR(Effectif!$D20)+18,MONTH(Effectif!$D20),DAY(Effectif!$D20)),"")</f>
        <v>44196</v>
      </c>
      <c r="M20" s="194">
        <v>43385</v>
      </c>
      <c r="N20" s="142" t="s">
        <v>144</v>
      </c>
      <c r="O20" s="141"/>
      <c r="P20" s="142"/>
      <c r="Q20" s="145"/>
      <c r="R20" s="142"/>
      <c r="S20" s="142"/>
      <c r="T20" s="147"/>
      <c r="U20" s="141" t="s">
        <v>155</v>
      </c>
      <c r="V20" s="194"/>
      <c r="W20" s="141" t="str">
        <f>IF(Effectif!$S20&gt;0,IF(Effectif!$U20="ATJM à faire","En attente",IF(Effectif!$U20="ATJM en réalisation","En attente",(IF(Effectif!$E20&lt;18,"Pas d'ATJM",EDATE(Effectif!$V20,-2))))),"Inconnu")</f>
        <v>Inconnu</v>
      </c>
      <c r="X20" s="153" t="str">
        <f>IF(OR(Effectif!$Z16="Non",Effectif!$AD16="Non"),"Oui","Fait")</f>
        <v>Oui</v>
      </c>
      <c r="Y20" s="141"/>
      <c r="Z20" s="142" t="s">
        <v>24</v>
      </c>
      <c r="AA20" s="146"/>
      <c r="AB20" s="141"/>
      <c r="AC20" s="142" t="s">
        <v>24</v>
      </c>
      <c r="AD20" s="142" t="s">
        <v>24</v>
      </c>
      <c r="AE20" s="144" t="s">
        <v>242</v>
      </c>
      <c r="AF20" s="141"/>
      <c r="AG20" s="210">
        <v>22.25</v>
      </c>
      <c r="AH20" s="192" t="str">
        <f t="shared" si="1"/>
        <v>Scolaire avec CMU</v>
      </c>
      <c r="AI20" s="194" t="str">
        <f ca="1">IF(Effectif!$AE20="Néant","Néant",IF(Effectif!$AE20&lt;&gt;"",VLOOKUP(TEXT(Effectif!$AE20,"@"),Paramètres!$E$21:$F$23,2,0)))</f>
        <v>31/08/20</v>
      </c>
      <c r="AJ20" s="142" t="s">
        <v>24</v>
      </c>
      <c r="AK20" s="142" t="s">
        <v>25</v>
      </c>
      <c r="AL20" s="142" t="s">
        <v>25</v>
      </c>
      <c r="AM20" s="142" t="s">
        <v>25</v>
      </c>
      <c r="AN20" s="142"/>
      <c r="AO20" s="143"/>
      <c r="AP20" s="142"/>
      <c r="AQ20" s="142"/>
      <c r="AR20" s="142" t="s">
        <v>24</v>
      </c>
      <c r="AS20" s="142" t="s">
        <v>135</v>
      </c>
      <c r="AT20" s="142" t="s">
        <v>8</v>
      </c>
      <c r="AU20" s="142" t="s">
        <v>69</v>
      </c>
      <c r="AV20" s="194">
        <v>44173</v>
      </c>
      <c r="AW20" s="142"/>
      <c r="AX20" s="148" t="str">
        <f t="shared" si="2"/>
        <v/>
      </c>
      <c r="AY20" s="149"/>
    </row>
    <row r="21" spans="1:51" s="24" customFormat="1" ht="15" customHeight="1" x14ac:dyDescent="0.25">
      <c r="A21" s="138" t="s">
        <v>322</v>
      </c>
      <c r="B21" s="139" t="s">
        <v>323</v>
      </c>
      <c r="C21" s="139" t="str">
        <f t="shared" si="0"/>
        <v>azerty azertty</v>
      </c>
      <c r="D21" s="147" t="s">
        <v>277</v>
      </c>
      <c r="E21" s="142">
        <f ca="1">IF(Effectif!$D21&gt;0,IF(DATE(YEAR(TODAY()),MONTH(Effectif!$D21),DAY(Effectif!$D21))&lt;=TODAY(),YEAR(TODAY())-YEAR(Effectif!$D21),YEAR(TODAY())-YEAR(Effectif!$D21)-1),"Inconnu")</f>
        <v>18</v>
      </c>
      <c r="F21" s="142" t="str">
        <f ca="1">IF(Effectif!$D21&gt;0,(IF(DATEDIF(Effectif!$D21,TODAY(),"y")&gt;=18,"Majeur","Mineur")),"Inconnu")</f>
        <v>Majeur</v>
      </c>
      <c r="G21" s="142"/>
      <c r="H21" s="143"/>
      <c r="I21" s="141"/>
      <c r="J21" s="194">
        <v>43132</v>
      </c>
      <c r="K21" s="144" t="str">
        <f>IF(ISBLANK(Effectif!$J21),"Inconnu",INT((Effectif!$J21-Effectif!$D21)/365.25)&amp;" ans "&amp;MONTH(Effectif!$J21-Effectif!$D21)-1&amp;" mois ")</f>
        <v xml:space="preserve">16 ans 3 mois </v>
      </c>
      <c r="L21" s="194">
        <f>IF(Effectif!$D21&gt;0,DATE(YEAR(Effectif!$D21)+18,MONTH(Effectif!$D21),DAY(Effectif!$D21)),"")</f>
        <v>43768</v>
      </c>
      <c r="M21" s="194">
        <v>43434</v>
      </c>
      <c r="N21" s="142" t="s">
        <v>145</v>
      </c>
      <c r="O21" s="141"/>
      <c r="P21" s="142"/>
      <c r="Q21" s="145"/>
      <c r="R21" s="142"/>
      <c r="S21" s="142"/>
      <c r="T21" s="147"/>
      <c r="U21" s="141" t="s">
        <v>160</v>
      </c>
      <c r="V21" s="194">
        <v>44012</v>
      </c>
      <c r="W21" s="141" t="str">
        <f>IF(Effectif!$S21&gt;0,IF(Effectif!$U21="ATJM à faire","En attente",IF(Effectif!$U21="ATJM en réalisation","En attente",(IF(Effectif!$E21&lt;18,"Pas d'ATJM",EDATE(Effectif!$V21,-2))))),"Inconnu")</f>
        <v>Inconnu</v>
      </c>
      <c r="X21" s="153" t="str">
        <f>IF(OR(Effectif!$Z20="Non",Effectif!$AD20="Non"),"Oui","Fait")</f>
        <v>Fait</v>
      </c>
      <c r="Y21" s="141"/>
      <c r="Z21" s="142" t="s">
        <v>24</v>
      </c>
      <c r="AA21" s="146"/>
      <c r="AB21" s="141"/>
      <c r="AC21" s="142" t="s">
        <v>25</v>
      </c>
      <c r="AD21" s="142" t="s">
        <v>24</v>
      </c>
      <c r="AE21" s="144" t="s">
        <v>242</v>
      </c>
      <c r="AF21" s="141"/>
      <c r="AG21" s="210">
        <v>22.25</v>
      </c>
      <c r="AH21" s="192" t="str">
        <f t="shared" si="1"/>
        <v>Scolaire avec CMU</v>
      </c>
      <c r="AI21" s="194" t="str">
        <f ca="1">IF(Effectif!$AE21="Néant","Néant",IF(Effectif!$AE21&lt;&gt;"",VLOOKUP(TEXT(Effectif!$AE21,"@"),Paramètres!$E$21:$F$23,2,0)))</f>
        <v>31/08/20</v>
      </c>
      <c r="AJ21" s="142" t="s">
        <v>24</v>
      </c>
      <c r="AK21" s="142" t="s">
        <v>24</v>
      </c>
      <c r="AL21" s="142" t="s">
        <v>24</v>
      </c>
      <c r="AM21" s="142" t="s">
        <v>25</v>
      </c>
      <c r="AN21" s="142"/>
      <c r="AO21" s="143"/>
      <c r="AP21" s="142"/>
      <c r="AQ21" s="142" t="s">
        <v>33</v>
      </c>
      <c r="AR21" s="142" t="s">
        <v>24</v>
      </c>
      <c r="AS21" s="142" t="s">
        <v>135</v>
      </c>
      <c r="AT21" s="142" t="s">
        <v>8</v>
      </c>
      <c r="AU21" s="142" t="s">
        <v>72</v>
      </c>
      <c r="AV21" s="194">
        <v>43935</v>
      </c>
      <c r="AW21" s="142"/>
      <c r="AX21" s="148" t="str">
        <f t="shared" si="2"/>
        <v/>
      </c>
      <c r="AY21" s="149"/>
    </row>
    <row r="22" spans="1:51" s="24" customFormat="1" ht="15" customHeight="1" x14ac:dyDescent="0.25">
      <c r="A22" s="138" t="s">
        <v>322</v>
      </c>
      <c r="B22" s="139" t="s">
        <v>323</v>
      </c>
      <c r="C22" s="139" t="str">
        <f t="shared" si="0"/>
        <v>azerty azertty</v>
      </c>
      <c r="D22" s="147" t="s">
        <v>278</v>
      </c>
      <c r="E22" s="142">
        <f ca="1">IF(Effectif!$D22&gt;0,IF(DATE(YEAR(TODAY()),MONTH(Effectif!$D22),DAY(Effectif!$D22))&lt;=TODAY(),YEAR(TODAY())-YEAR(Effectif!$D22),YEAR(TODAY())-YEAR(Effectif!$D22)-1),"Inconnu")</f>
        <v>18</v>
      </c>
      <c r="F22" s="142" t="str">
        <f ca="1">IF(Effectif!$D22&gt;0,(IF(DATEDIF(Effectif!$D22,TODAY(),"y")&gt;=18,"Majeur","Mineur")),"Inconnu")</f>
        <v>Majeur</v>
      </c>
      <c r="G22" s="151"/>
      <c r="H22" s="152"/>
      <c r="I22" s="150"/>
      <c r="J22" s="194">
        <v>43191</v>
      </c>
      <c r="K22" s="144" t="str">
        <f>IF(ISBLANK(Effectif!$J22),"Inconnu",INT((Effectif!$J22-Effectif!$D22)/365.25)&amp;" ans "&amp;MONTH(Effectif!$J22-Effectif!$D22)-1&amp;" mois ")</f>
        <v xml:space="preserve">16 ans 0 mois </v>
      </c>
      <c r="L22" s="194">
        <f>IF(Effectif!$D22&gt;0,DATE(YEAR(Effectif!$D22)+18,MONTH(Effectif!$D22),DAY(Effectif!$D22)),"")</f>
        <v>43910</v>
      </c>
      <c r="M22" s="194">
        <v>43434</v>
      </c>
      <c r="N22" s="151" t="s">
        <v>144</v>
      </c>
      <c r="O22" s="150"/>
      <c r="P22" s="151"/>
      <c r="Q22" s="154"/>
      <c r="R22" s="151"/>
      <c r="S22" s="151"/>
      <c r="T22" s="147"/>
      <c r="U22" s="150" t="s">
        <v>160</v>
      </c>
      <c r="V22" s="159"/>
      <c r="W22" s="141" t="str">
        <f>IF(Effectif!$S22&gt;0,IF(Effectif!$U22="ATJM à faire","En attente",IF(Effectif!$U22="ATJM en réalisation","En attente",(IF(Effectif!$E22&lt;18,"Pas d'ATJM",EDATE(Effectif!$V22,-2))))),"Inconnu")</f>
        <v>Inconnu</v>
      </c>
      <c r="X22" s="153" t="str">
        <f>IF(OR(Effectif!$Z21="Non",Effectif!$AD21="Non"),"Oui","Fait")</f>
        <v>Fait</v>
      </c>
      <c r="Y22" s="150"/>
      <c r="Z22" s="151" t="s">
        <v>24</v>
      </c>
      <c r="AA22" s="155"/>
      <c r="AB22" s="141"/>
      <c r="AC22" s="151" t="s">
        <v>24</v>
      </c>
      <c r="AD22" s="151" t="s">
        <v>24</v>
      </c>
      <c r="AE22" s="144" t="s">
        <v>242</v>
      </c>
      <c r="AF22" s="141"/>
      <c r="AG22" s="210">
        <v>22.25</v>
      </c>
      <c r="AH22" s="192" t="str">
        <f t="shared" si="1"/>
        <v>Scolaire avec CMU</v>
      </c>
      <c r="AI22" s="194" t="str">
        <f ca="1">IF(Effectif!$AE22="Néant","Néant",IF(Effectif!$AE22&lt;&gt;"",VLOOKUP(TEXT(Effectif!$AE22,"@"),Paramètres!$E$21:$F$23,2,0)))</f>
        <v>31/08/20</v>
      </c>
      <c r="AJ22" s="142" t="s">
        <v>24</v>
      </c>
      <c r="AK22" s="151" t="s">
        <v>24</v>
      </c>
      <c r="AL22" s="151" t="s">
        <v>25</v>
      </c>
      <c r="AM22" s="151" t="s">
        <v>25</v>
      </c>
      <c r="AN22" s="151"/>
      <c r="AO22" s="143"/>
      <c r="AP22" s="142"/>
      <c r="AQ22" s="151" t="s">
        <v>33</v>
      </c>
      <c r="AR22" s="151" t="s">
        <v>24</v>
      </c>
      <c r="AS22" s="151" t="s">
        <v>135</v>
      </c>
      <c r="AT22" s="151" t="s">
        <v>8</v>
      </c>
      <c r="AU22" s="151" t="s">
        <v>133</v>
      </c>
      <c r="AV22" s="159"/>
      <c r="AW22" s="151"/>
      <c r="AX22" s="148" t="str">
        <f t="shared" si="2"/>
        <v/>
      </c>
      <c r="AY22" s="157"/>
    </row>
    <row r="23" spans="1:51" s="24" customFormat="1" ht="15" customHeight="1" x14ac:dyDescent="0.25">
      <c r="A23" s="138" t="s">
        <v>322</v>
      </c>
      <c r="B23" s="139" t="s">
        <v>323</v>
      </c>
      <c r="C23" s="139" t="str">
        <f t="shared" si="0"/>
        <v>azerty azertty</v>
      </c>
      <c r="D23" s="147" t="s">
        <v>279</v>
      </c>
      <c r="E23" s="142">
        <f ca="1">IF(Effectif!$D23&gt;0,IF(DATE(YEAR(TODAY()),MONTH(Effectif!$D23),DAY(Effectif!$D23))&lt;=TODAY(),YEAR(TODAY())-YEAR(Effectif!$D23),YEAR(TODAY())-YEAR(Effectif!$D23)-1),"Inconnu")</f>
        <v>15</v>
      </c>
      <c r="F23" s="142" t="str">
        <f ca="1">IF(Effectif!$D23&gt;0,(IF(DATEDIF(Effectif!$D23,TODAY(),"y")&gt;=18,"Majeur","Mineur")),"Inconnu")</f>
        <v>Mineur</v>
      </c>
      <c r="G23" s="151"/>
      <c r="H23" s="152"/>
      <c r="I23" s="150"/>
      <c r="J23" s="194">
        <v>43865</v>
      </c>
      <c r="K23" s="144" t="str">
        <f>IF(ISBLANK(Effectif!$J23),"Inconnu",INT((Effectif!$J23-Effectif!$D23)/365.25)&amp;" ans "&amp;MONTH(Effectif!$J23-Effectif!$D23)-1&amp;" mois ")</f>
        <v xml:space="preserve">15 ans 2 mois </v>
      </c>
      <c r="L23" s="194">
        <f>IF(Effectif!$D23&gt;0,DATE(YEAR(Effectif!$D23)+18,MONTH(Effectif!$D23),DAY(Effectif!$D23)),"")</f>
        <v>44882</v>
      </c>
      <c r="M23" s="194">
        <v>43907</v>
      </c>
      <c r="N23" s="151" t="s">
        <v>144</v>
      </c>
      <c r="O23" s="150"/>
      <c r="P23" s="151"/>
      <c r="Q23" s="154"/>
      <c r="R23" s="151"/>
      <c r="S23" s="151"/>
      <c r="T23" s="147"/>
      <c r="U23" s="150" t="s">
        <v>155</v>
      </c>
      <c r="V23" s="159"/>
      <c r="W23" s="141" t="str">
        <f>IF(Effectif!$S23&gt;0,IF(Effectif!$U23="ATJM à faire","En attente",IF(Effectif!$U23="ATJM en réalisation","En attente",(IF(Effectif!$E23&lt;18,"Pas d'ATJM",EDATE(Effectif!$V23,-2))))),"Inconnu")</f>
        <v>Inconnu</v>
      </c>
      <c r="X23" s="153" t="s">
        <v>227</v>
      </c>
      <c r="Y23" s="150" t="s">
        <v>228</v>
      </c>
      <c r="Z23" s="151" t="s">
        <v>25</v>
      </c>
      <c r="AA23" s="155"/>
      <c r="AB23" s="141"/>
      <c r="AC23" s="151" t="s">
        <v>25</v>
      </c>
      <c r="AD23" s="151" t="s">
        <v>25</v>
      </c>
      <c r="AE23" s="144" t="s">
        <v>241</v>
      </c>
      <c r="AF23" s="141"/>
      <c r="AG23" s="210">
        <v>30.9</v>
      </c>
      <c r="AH23" s="192" t="str">
        <f t="shared" si="1"/>
        <v>Sans réduction</v>
      </c>
      <c r="AI23" s="194" t="str">
        <f ca="1">IF(Effectif!$AE23="Néant","Néant",IF(Effectif!$AE23&lt;&gt;"",VLOOKUP(TEXT(Effectif!$AE23,"@"),Paramètres!$E$21:$F$23,2,0)))</f>
        <v>31/05/20</v>
      </c>
      <c r="AJ23" s="142" t="s">
        <v>24</v>
      </c>
      <c r="AK23" s="151" t="s">
        <v>25</v>
      </c>
      <c r="AL23" s="151" t="s">
        <v>25</v>
      </c>
      <c r="AM23" s="151" t="s">
        <v>25</v>
      </c>
      <c r="AN23" s="151"/>
      <c r="AO23" s="143"/>
      <c r="AP23" s="142"/>
      <c r="AQ23" s="151"/>
      <c r="AR23" s="151" t="s">
        <v>25</v>
      </c>
      <c r="AS23" s="151"/>
      <c r="AT23" s="142"/>
      <c r="AU23" s="151"/>
      <c r="AV23" s="159"/>
      <c r="AW23" s="151"/>
      <c r="AX23" s="148" t="str">
        <f t="shared" si="2"/>
        <v>de sa CM, d'un compte bancaire et de son RIB</v>
      </c>
      <c r="AY23" s="157"/>
    </row>
    <row r="24" spans="1:51" s="24" customFormat="1" ht="15" customHeight="1" x14ac:dyDescent="0.25">
      <c r="A24" s="138" t="s">
        <v>322</v>
      </c>
      <c r="B24" s="139" t="s">
        <v>323</v>
      </c>
      <c r="C24" s="139" t="str">
        <f t="shared" si="0"/>
        <v>azerty azertty</v>
      </c>
      <c r="D24" s="147" t="s">
        <v>280</v>
      </c>
      <c r="E24" s="142">
        <f ca="1">IF(Effectif!$D24&gt;0,IF(DATE(YEAR(TODAY()),MONTH(Effectif!$D24),DAY(Effectif!$D24))&lt;=TODAY(),YEAR(TODAY())-YEAR(Effectif!$D24),YEAR(TODAY())-YEAR(Effectif!$D24)-1),"Inconnu")</f>
        <v>16</v>
      </c>
      <c r="F24" s="142" t="str">
        <f ca="1">IF(Effectif!$D24&gt;0,(IF(DATEDIF(Effectif!$D24,TODAY(),"y")&gt;=18,"Majeur","Mineur")),"Inconnu")</f>
        <v>Mineur</v>
      </c>
      <c r="G24" s="142"/>
      <c r="H24" s="143"/>
      <c r="I24" s="141"/>
      <c r="J24" s="194">
        <v>43843</v>
      </c>
      <c r="K24" s="144" t="str">
        <f>IF(ISBLANK(Effectif!$J24),"Inconnu",INT((Effectif!$J24-Effectif!$D24)/365.25)&amp;" ans "&amp;MONTH(Effectif!$J24-Effectif!$D24)-1&amp;" mois ")</f>
        <v xml:space="preserve">16 ans 6 mois </v>
      </c>
      <c r="L24" s="194">
        <f>IF(Effectif!$D24&gt;0,DATE(YEAR(Effectif!$D24)+18,MONTH(Effectif!$D24),DAY(Effectif!$D24)),"")</f>
        <v>44361</v>
      </c>
      <c r="M24" s="194">
        <v>43867</v>
      </c>
      <c r="N24" s="142" t="s">
        <v>144</v>
      </c>
      <c r="O24" s="141"/>
      <c r="P24" s="142"/>
      <c r="Q24" s="145"/>
      <c r="R24" s="142"/>
      <c r="S24" s="142"/>
      <c r="T24" s="147"/>
      <c r="U24" s="141" t="s">
        <v>155</v>
      </c>
      <c r="V24" s="194"/>
      <c r="W24" s="141" t="str">
        <f>IF(Effectif!$S24&gt;0,IF(Effectif!$U24="ATJM à faire","En attente",IF(Effectif!$U24="ATJM en réalisation","En attente",(IF(Effectif!$E24&lt;18,"Pas d'ATJM",EDATE(Effectif!$V24,-2))))),"Inconnu")</f>
        <v>Inconnu</v>
      </c>
      <c r="X24" s="153" t="s">
        <v>227</v>
      </c>
      <c r="Y24" s="141" t="s">
        <v>228</v>
      </c>
      <c r="Z24" s="142" t="s">
        <v>24</v>
      </c>
      <c r="AA24" s="146"/>
      <c r="AB24" s="141"/>
      <c r="AC24" s="142" t="s">
        <v>25</v>
      </c>
      <c r="AD24" s="142" t="s">
        <v>25</v>
      </c>
      <c r="AE24" s="144" t="s">
        <v>241</v>
      </c>
      <c r="AF24" s="141"/>
      <c r="AG24" s="210">
        <v>15.45</v>
      </c>
      <c r="AH24" s="192" t="str">
        <f t="shared" si="1"/>
        <v>Avec CMU</v>
      </c>
      <c r="AI24" s="194" t="str">
        <f ca="1">IF(Effectif!$AE24="Néant","Néant",IF(Effectif!$AE24&lt;&gt;"",VLOOKUP(TEXT(Effectif!$AE24,"@"),Paramètres!$E$21:$F$23,2,0)))</f>
        <v>31/05/20</v>
      </c>
      <c r="AJ24" s="142" t="s">
        <v>24</v>
      </c>
      <c r="AK24" s="142" t="s">
        <v>25</v>
      </c>
      <c r="AL24" s="142" t="s">
        <v>25</v>
      </c>
      <c r="AM24" s="142" t="s">
        <v>25</v>
      </c>
      <c r="AN24" s="142"/>
      <c r="AO24" s="143"/>
      <c r="AP24" s="142"/>
      <c r="AQ24" s="142"/>
      <c r="AR24" s="142" t="s">
        <v>24</v>
      </c>
      <c r="AS24" s="142"/>
      <c r="AT24" s="142"/>
      <c r="AU24" s="142"/>
      <c r="AV24" s="194"/>
      <c r="AW24" s="142"/>
      <c r="AX24" s="148" t="str">
        <f t="shared" si="2"/>
        <v>d'un compte bancaire et de son RIB</v>
      </c>
      <c r="AY24" s="149"/>
    </row>
    <row r="25" spans="1:51" s="24" customFormat="1" ht="15" customHeight="1" x14ac:dyDescent="0.25">
      <c r="A25" s="138" t="s">
        <v>322</v>
      </c>
      <c r="B25" s="139" t="s">
        <v>323</v>
      </c>
      <c r="C25" s="139" t="str">
        <f t="shared" si="0"/>
        <v>azerty azertty</v>
      </c>
      <c r="D25" s="147" t="s">
        <v>281</v>
      </c>
      <c r="E25" s="142">
        <f ca="1">IF(Effectif!$D25&gt;0,IF(DATE(YEAR(TODAY()),MONTH(Effectif!$D25),DAY(Effectif!$D25))&lt;=TODAY(),YEAR(TODAY())-YEAR(Effectif!$D25),YEAR(TODAY())-YEAR(Effectif!$D25)-1),"Inconnu")</f>
        <v>16</v>
      </c>
      <c r="F25" s="142" t="str">
        <f ca="1">IF(Effectif!$D25&gt;0,(IF(DATEDIF(Effectif!$D25,TODAY(),"y")&gt;=18,"Majeur","Mineur")),"Inconnu")</f>
        <v>Mineur</v>
      </c>
      <c r="G25" s="142"/>
      <c r="H25" s="143"/>
      <c r="I25" s="141"/>
      <c r="J25" s="194">
        <v>43766</v>
      </c>
      <c r="K25" s="144" t="str">
        <f>IF(ISBLANK(Effectif!$J25),"Inconnu",INT((Effectif!$J25-Effectif!$D25)/365.25)&amp;" ans "&amp;MONTH(Effectif!$J25-Effectif!$D25)-1&amp;" mois ")</f>
        <v xml:space="preserve">16 ans 2 mois </v>
      </c>
      <c r="L25" s="194">
        <f>IF(Effectif!$D25&gt;0,DATE(YEAR(Effectif!$D25)+18,MONTH(Effectif!$D25),DAY(Effectif!$D25)),"")</f>
        <v>44430</v>
      </c>
      <c r="M25" s="194">
        <v>43854</v>
      </c>
      <c r="N25" s="142" t="s">
        <v>144</v>
      </c>
      <c r="O25" s="141"/>
      <c r="P25" s="142"/>
      <c r="Q25" s="145"/>
      <c r="R25" s="142"/>
      <c r="S25" s="142"/>
      <c r="T25" s="147"/>
      <c r="U25" s="141" t="s">
        <v>155</v>
      </c>
      <c r="V25" s="194"/>
      <c r="W25" s="141" t="str">
        <f>IF(Effectif!$S25&gt;0,IF(Effectif!$U25="ATJM à faire","En attente",IF(Effectif!$U25="ATJM en réalisation","En attente",(IF(Effectif!$E25&lt;18,"Pas d'ATJM",EDATE(Effectif!$V25,-2))))),"Inconnu")</f>
        <v>Inconnu</v>
      </c>
      <c r="X25" s="153" t="s">
        <v>227</v>
      </c>
      <c r="Y25" s="141" t="s">
        <v>228</v>
      </c>
      <c r="Z25" s="142" t="s">
        <v>24</v>
      </c>
      <c r="AA25" s="146"/>
      <c r="AB25" s="141"/>
      <c r="AC25" s="142" t="s">
        <v>25</v>
      </c>
      <c r="AD25" s="142" t="s">
        <v>25</v>
      </c>
      <c r="AE25" s="144" t="s">
        <v>241</v>
      </c>
      <c r="AF25" s="141"/>
      <c r="AG25" s="210">
        <v>15.45</v>
      </c>
      <c r="AH25" s="192" t="str">
        <f t="shared" si="1"/>
        <v>Avec CMU</v>
      </c>
      <c r="AI25" s="194" t="str">
        <f ca="1">IF(Effectif!$AE25="Néant","Néant",IF(Effectif!$AE25&lt;&gt;"",VLOOKUP(TEXT(Effectif!$AE25,"@"),Paramètres!$E$21:$F$23,2,0)))</f>
        <v>31/05/20</v>
      </c>
      <c r="AJ25" s="142" t="s">
        <v>24</v>
      </c>
      <c r="AK25" s="142" t="s">
        <v>25</v>
      </c>
      <c r="AL25" s="142" t="s">
        <v>25</v>
      </c>
      <c r="AM25" s="142" t="s">
        <v>25</v>
      </c>
      <c r="AN25" s="142"/>
      <c r="AO25" s="143"/>
      <c r="AP25" s="142"/>
      <c r="AQ25" s="142"/>
      <c r="AR25" s="142" t="s">
        <v>24</v>
      </c>
      <c r="AS25" s="142"/>
      <c r="AT25" s="142"/>
      <c r="AU25" s="142"/>
      <c r="AV25" s="194"/>
      <c r="AW25" s="142"/>
      <c r="AX25" s="148" t="str">
        <f t="shared" si="2"/>
        <v>d'un compte bancaire et de son RIB</v>
      </c>
      <c r="AY25" s="149"/>
    </row>
    <row r="26" spans="1:51" s="24" customFormat="1" ht="15" customHeight="1" x14ac:dyDescent="0.25">
      <c r="A26" s="138" t="s">
        <v>322</v>
      </c>
      <c r="B26" s="139" t="s">
        <v>323</v>
      </c>
      <c r="C26" s="139" t="str">
        <f t="shared" si="0"/>
        <v>azerty azertty</v>
      </c>
      <c r="D26" s="147" t="s">
        <v>282</v>
      </c>
      <c r="E26" s="142">
        <f ca="1">IF(Effectif!$D26&gt;0,IF(DATE(YEAR(TODAY()),MONTH(Effectif!$D26),DAY(Effectif!$D26))&lt;=TODAY(),YEAR(TODAY())-YEAR(Effectif!$D26),YEAR(TODAY())-YEAR(Effectif!$D26)-1),"Inconnu")</f>
        <v>15</v>
      </c>
      <c r="F26" s="142" t="str">
        <f ca="1">IF(Effectif!$D26&gt;0,(IF(DATEDIF(Effectif!$D26,TODAY(),"y")&gt;=18,"Majeur","Mineur")),"Inconnu")</f>
        <v>Mineur</v>
      </c>
      <c r="G26" s="151"/>
      <c r="H26" s="152"/>
      <c r="I26" s="150"/>
      <c r="J26" s="194">
        <v>43444</v>
      </c>
      <c r="K26" s="144" t="str">
        <f>IF(ISBLANK(Effectif!$J26),"Inconnu",INT((Effectif!$J26-Effectif!$D26)/365.25)&amp;" ans "&amp;MONTH(Effectif!$J26-Effectif!$D26)-1&amp;" mois ")</f>
        <v xml:space="preserve">14 ans 4 mois </v>
      </c>
      <c r="L26" s="194">
        <f>IF(Effectif!$D26&gt;0,DATE(YEAR(Effectif!$D26)+18,MONTH(Effectif!$D26),DAY(Effectif!$D26)),"")</f>
        <v>44769</v>
      </c>
      <c r="M26" s="194">
        <v>43858</v>
      </c>
      <c r="N26" s="151" t="s">
        <v>144</v>
      </c>
      <c r="O26" s="150"/>
      <c r="P26" s="151"/>
      <c r="Q26" s="154"/>
      <c r="R26" s="151"/>
      <c r="S26" s="151"/>
      <c r="T26" s="147"/>
      <c r="U26" s="150" t="s">
        <v>155</v>
      </c>
      <c r="V26" s="159"/>
      <c r="W26" s="141" t="str">
        <f>IF(Effectif!$S26&gt;0,IF(Effectif!$U26="ATJM à faire","En attente",IF(Effectif!$U26="ATJM en réalisation","En attente",(IF(Effectif!$E26&lt;18,"Pas d'ATJM",EDATE(Effectif!$V26,-2))))),"Inconnu")</f>
        <v>Inconnu</v>
      </c>
      <c r="X26" s="153" t="str">
        <f>IF(OR(Effectif!$Z23="Non",Effectif!$AD23="Non"),"Oui","Fait")</f>
        <v>Oui</v>
      </c>
      <c r="Y26" s="150"/>
      <c r="Z26" s="151" t="s">
        <v>24</v>
      </c>
      <c r="AA26" s="155"/>
      <c r="AB26" s="141"/>
      <c r="AC26" s="151" t="s">
        <v>25</v>
      </c>
      <c r="AD26" s="151" t="s">
        <v>24</v>
      </c>
      <c r="AE26" s="144" t="s">
        <v>242</v>
      </c>
      <c r="AF26" s="141"/>
      <c r="AG26" s="210">
        <v>22.25</v>
      </c>
      <c r="AH26" s="192" t="str">
        <f t="shared" si="1"/>
        <v>Scolaire avec CMU</v>
      </c>
      <c r="AI26" s="194" t="str">
        <f ca="1">IF(Effectif!$AE26="Néant","Néant",IF(Effectif!$AE26&lt;&gt;"",VLOOKUP(TEXT(Effectif!$AE26,"@"),Paramètres!$E$21:$F$23,2,0)))</f>
        <v>31/08/20</v>
      </c>
      <c r="AJ26" s="142" t="s">
        <v>24</v>
      </c>
      <c r="AK26" s="151" t="s">
        <v>25</v>
      </c>
      <c r="AL26" s="151" t="s">
        <v>25</v>
      </c>
      <c r="AM26" s="151" t="s">
        <v>25</v>
      </c>
      <c r="AN26" s="151"/>
      <c r="AO26" s="143"/>
      <c r="AP26" s="142"/>
      <c r="AQ26" s="151"/>
      <c r="AR26" s="151" t="s">
        <v>25</v>
      </c>
      <c r="AS26" s="151" t="s">
        <v>51</v>
      </c>
      <c r="AT26" s="142" t="s">
        <v>230</v>
      </c>
      <c r="AU26" s="151" t="s">
        <v>62</v>
      </c>
      <c r="AV26" s="159"/>
      <c r="AW26" s="151"/>
      <c r="AX26" s="148" t="str">
        <f t="shared" si="2"/>
        <v/>
      </c>
      <c r="AY26" s="157"/>
    </row>
    <row r="27" spans="1:51" s="24" customFormat="1" ht="15" customHeight="1" x14ac:dyDescent="0.25">
      <c r="A27" s="138" t="s">
        <v>322</v>
      </c>
      <c r="B27" s="139" t="s">
        <v>323</v>
      </c>
      <c r="C27" s="139" t="str">
        <f t="shared" si="0"/>
        <v>azerty azertty</v>
      </c>
      <c r="D27" s="147" t="s">
        <v>283</v>
      </c>
      <c r="E27" s="142">
        <f ca="1">IF(Effectif!$D27&gt;0,IF(DATE(YEAR(TODAY()),MONTH(Effectif!$D27),DAY(Effectif!$D27))&lt;=TODAY(),YEAR(TODAY())-YEAR(Effectif!$D27),YEAR(TODAY())-YEAR(Effectif!$D27)-1),"Inconnu")</f>
        <v>16</v>
      </c>
      <c r="F27" s="142" t="str">
        <f ca="1">IF(Effectif!$D27&gt;0,(IF(DATEDIF(Effectif!$D27,TODAY(),"y")&gt;=18,"Majeur","Mineur")),"Inconnu")</f>
        <v>Mineur</v>
      </c>
      <c r="G27" s="142"/>
      <c r="H27" s="143"/>
      <c r="I27" s="141"/>
      <c r="J27" s="194">
        <v>43374</v>
      </c>
      <c r="K27" s="144" t="str">
        <f>IF(ISBLANK(Effectif!$J27),"Inconnu",INT((Effectif!$J27-Effectif!$D27)/365.25)&amp;" ans "&amp;MONTH(Effectif!$J27-Effectif!$D27)-1&amp;" mois ")</f>
        <v xml:space="preserve">14 ans 5 mois </v>
      </c>
      <c r="L27" s="194">
        <f>IF(Effectif!$D27&gt;0,DATE(YEAR(Effectif!$D27)+18,MONTH(Effectif!$D27),DAY(Effectif!$D27)),"")</f>
        <v>44659</v>
      </c>
      <c r="M27" s="194">
        <v>43434</v>
      </c>
      <c r="N27" s="142" t="s">
        <v>144</v>
      </c>
      <c r="O27" s="141"/>
      <c r="P27" s="142"/>
      <c r="Q27" s="145"/>
      <c r="R27" s="142"/>
      <c r="S27" s="142"/>
      <c r="T27" s="147"/>
      <c r="U27" s="141" t="s">
        <v>155</v>
      </c>
      <c r="V27" s="194"/>
      <c r="W27" s="141" t="str">
        <f>IF(Effectif!$S27&gt;0,IF(Effectif!$U27="ATJM à faire","En attente",IF(Effectif!$U27="ATJM en réalisation","En attente",(IF(Effectif!$E27&lt;18,"Pas d'ATJM",EDATE(Effectif!$V27,-2))))),"Inconnu")</f>
        <v>Inconnu</v>
      </c>
      <c r="X27" s="153" t="s">
        <v>227</v>
      </c>
      <c r="Y27" s="141" t="s">
        <v>228</v>
      </c>
      <c r="Z27" s="142" t="s">
        <v>24</v>
      </c>
      <c r="AA27" s="146"/>
      <c r="AB27" s="141"/>
      <c r="AC27" s="142" t="s">
        <v>25</v>
      </c>
      <c r="AD27" s="142" t="s">
        <v>25</v>
      </c>
      <c r="AE27" s="144" t="s">
        <v>242</v>
      </c>
      <c r="AF27" s="141"/>
      <c r="AG27" s="210">
        <v>22.25</v>
      </c>
      <c r="AH27" s="192" t="str">
        <f t="shared" si="1"/>
        <v>Scolaire avec CMU</v>
      </c>
      <c r="AI27" s="194" t="str">
        <f ca="1">IF(Effectif!$AE27="Néant","Néant",IF(Effectif!$AE27&lt;&gt;"",VLOOKUP(TEXT(Effectif!$AE27,"@"),Paramètres!$E$21:$F$23,2,0)))</f>
        <v>31/08/20</v>
      </c>
      <c r="AJ27" s="142" t="s">
        <v>24</v>
      </c>
      <c r="AK27" s="142" t="s">
        <v>25</v>
      </c>
      <c r="AL27" s="142" t="s">
        <v>25</v>
      </c>
      <c r="AM27" s="142" t="s">
        <v>25</v>
      </c>
      <c r="AN27" s="142"/>
      <c r="AO27" s="143"/>
      <c r="AP27" s="142"/>
      <c r="AQ27" s="142"/>
      <c r="AR27" s="142" t="s">
        <v>24</v>
      </c>
      <c r="AS27" s="142" t="s">
        <v>51</v>
      </c>
      <c r="AT27" s="142" t="s">
        <v>78</v>
      </c>
      <c r="AU27" s="142" t="s">
        <v>62</v>
      </c>
      <c r="AV27" s="194"/>
      <c r="AW27" s="142"/>
      <c r="AX27" s="148" t="str">
        <f t="shared" si="2"/>
        <v>d'un compte bancaire et de son RIB</v>
      </c>
      <c r="AY27" s="149"/>
    </row>
    <row r="28" spans="1:51" s="24" customFormat="1" ht="15" customHeight="1" x14ac:dyDescent="0.25">
      <c r="A28" s="138" t="s">
        <v>322</v>
      </c>
      <c r="B28" s="139" t="s">
        <v>323</v>
      </c>
      <c r="C28" s="139" t="str">
        <f t="shared" si="0"/>
        <v>azerty azertty</v>
      </c>
      <c r="D28" s="147" t="s">
        <v>266</v>
      </c>
      <c r="E28" s="142">
        <f ca="1">IF(Effectif!$D28&gt;0,IF(DATE(YEAR(TODAY()),MONTH(Effectif!$D28),DAY(Effectif!$D28))&lt;=TODAY(),YEAR(TODAY())-YEAR(Effectif!$D28),YEAR(TODAY())-YEAR(Effectif!$D28)-1),"Inconnu")</f>
        <v>16</v>
      </c>
      <c r="F28" s="142" t="str">
        <f ca="1">IF(Effectif!$D28&gt;0,(IF(DATEDIF(Effectif!$D28,TODAY(),"y")&gt;=18,"Majeur","Mineur")),"Inconnu")</f>
        <v>Mineur</v>
      </c>
      <c r="G28" s="151"/>
      <c r="H28" s="152"/>
      <c r="I28" s="150"/>
      <c r="J28" s="194">
        <v>43824</v>
      </c>
      <c r="K28" s="144" t="str">
        <f>IF(ISBLANK(Effectif!$J28),"Inconnu",INT((Effectif!$J28-Effectif!$D28)/365.25)&amp;" ans "&amp;MONTH(Effectif!$J28-Effectif!$D28)-1&amp;" mois ")</f>
        <v xml:space="preserve">15 ans 10 mois </v>
      </c>
      <c r="L28" s="194">
        <f>IF(Effectif!$D28&gt;0,DATE(YEAR(Effectif!$D28)+18,MONTH(Effectif!$D28),DAY(Effectif!$D28)),"")</f>
        <v>44586</v>
      </c>
      <c r="M28" s="194">
        <v>43902</v>
      </c>
      <c r="N28" s="151" t="s">
        <v>144</v>
      </c>
      <c r="O28" s="150"/>
      <c r="P28" s="151"/>
      <c r="Q28" s="154"/>
      <c r="R28" s="151"/>
      <c r="S28" s="151"/>
      <c r="T28" s="147"/>
      <c r="U28" s="150" t="s">
        <v>155</v>
      </c>
      <c r="V28" s="159"/>
      <c r="W28" s="141" t="str">
        <f>IF(Effectif!$S28&gt;0,IF(Effectif!$U28="ATJM à faire","En attente",IF(Effectif!$U28="ATJM en réalisation","En attente",(IF(Effectif!$E28&lt;18,"Pas d'ATJM",EDATE(Effectif!$V28,-2))))),"Inconnu")</f>
        <v>Inconnu</v>
      </c>
      <c r="X28" s="153" t="str">
        <f>IF(OR(Effectif!$Z27="Non",Effectif!$AD27="Non"),"Oui","Fait")</f>
        <v>Oui</v>
      </c>
      <c r="Y28" s="150"/>
      <c r="Z28" s="151" t="s">
        <v>24</v>
      </c>
      <c r="AA28" s="155"/>
      <c r="AB28" s="141"/>
      <c r="AC28" s="151" t="s">
        <v>25</v>
      </c>
      <c r="AD28" s="151" t="s">
        <v>25</v>
      </c>
      <c r="AE28" s="144" t="s">
        <v>241</v>
      </c>
      <c r="AF28" s="141"/>
      <c r="AG28" s="210">
        <v>15.45</v>
      </c>
      <c r="AH28" s="192" t="str">
        <f t="shared" si="1"/>
        <v>Avec CMU</v>
      </c>
      <c r="AI28" s="194" t="str">
        <f ca="1">IF(Effectif!$AE28="Néant","Néant",IF(Effectif!$AE28&lt;&gt;"",VLOOKUP(TEXT(Effectif!$AE28,"@"),Paramètres!$E$21:$F$23,2,0)))</f>
        <v>31/05/20</v>
      </c>
      <c r="AJ28" s="142" t="s">
        <v>24</v>
      </c>
      <c r="AK28" s="151" t="s">
        <v>25</v>
      </c>
      <c r="AL28" s="151" t="s">
        <v>25</v>
      </c>
      <c r="AM28" s="151" t="s">
        <v>25</v>
      </c>
      <c r="AN28" s="151"/>
      <c r="AO28" s="143"/>
      <c r="AP28" s="142"/>
      <c r="AQ28" s="151"/>
      <c r="AR28" s="151" t="s">
        <v>25</v>
      </c>
      <c r="AS28" s="151"/>
      <c r="AT28" s="151"/>
      <c r="AU28" s="151"/>
      <c r="AV28" s="159"/>
      <c r="AW28" s="151"/>
      <c r="AX28" s="148" t="str">
        <f t="shared" si="2"/>
        <v>d'un compte bancaire et de son RIB</v>
      </c>
      <c r="AY28" s="157"/>
    </row>
    <row r="29" spans="1:51" s="24" customFormat="1" ht="15" customHeight="1" x14ac:dyDescent="0.25">
      <c r="A29" s="138" t="s">
        <v>322</v>
      </c>
      <c r="B29" s="139" t="s">
        <v>323</v>
      </c>
      <c r="C29" s="139" t="str">
        <f t="shared" si="0"/>
        <v>azerty azertty</v>
      </c>
      <c r="D29" s="147" t="s">
        <v>284</v>
      </c>
      <c r="E29" s="142">
        <f ca="1">IF(Effectif!$D29&gt;0,IF(DATE(YEAR(TODAY()),MONTH(Effectif!$D29),DAY(Effectif!$D29))&lt;=TODAY(),YEAR(TODAY())-YEAR(Effectif!$D29),YEAR(TODAY())-YEAR(Effectif!$D29)-1),"Inconnu")</f>
        <v>18</v>
      </c>
      <c r="F29" s="142" t="str">
        <f ca="1">IF(Effectif!$D29&gt;0,(IF(DATEDIF(Effectif!$D29,TODAY(),"y")&gt;=18,"Majeur","Mineur")),"Inconnu")</f>
        <v>Majeur</v>
      </c>
      <c r="G29" s="142"/>
      <c r="H29" s="143"/>
      <c r="I29" s="141"/>
      <c r="J29" s="194">
        <v>43191</v>
      </c>
      <c r="K29" s="144" t="str">
        <f>IF(ISBLANK(Effectif!$J29),"Inconnu",INT((Effectif!$J29-Effectif!$D29)/365.25)&amp;" ans "&amp;MONTH(Effectif!$J29-Effectif!$D29)-1&amp;" mois ")</f>
        <v xml:space="preserve">16 ans 0 mois </v>
      </c>
      <c r="L29" s="194">
        <f>IF(Effectif!$D29&gt;0,DATE(YEAR(Effectif!$D29)+18,MONTH(Effectif!$D29),DAY(Effectif!$D29)),"")</f>
        <v>43896</v>
      </c>
      <c r="M29" s="194">
        <v>43434</v>
      </c>
      <c r="N29" s="142" t="s">
        <v>145</v>
      </c>
      <c r="O29" s="141"/>
      <c r="P29" s="142"/>
      <c r="Q29" s="145"/>
      <c r="R29" s="142"/>
      <c r="S29" s="142"/>
      <c r="T29" s="147"/>
      <c r="U29" s="141" t="s">
        <v>161</v>
      </c>
      <c r="V29" s="194">
        <v>44134</v>
      </c>
      <c r="W29" s="141" t="str">
        <f>IF(Effectif!$S29&gt;0,IF(Effectif!$U29="ATJM à faire","En attente",IF(Effectif!$U29="ATJM en réalisation","En attente",(IF(Effectif!$E29&lt;18,"Pas d'ATJM",EDATE(Effectif!$V29,-2))))),"Inconnu")</f>
        <v>Inconnu</v>
      </c>
      <c r="X29" s="153" t="str">
        <f>IF(OR(Effectif!$Z28="Non",Effectif!$AD28="Non"),"Oui","Fait")</f>
        <v>Oui</v>
      </c>
      <c r="Y29" s="141"/>
      <c r="Z29" s="142" t="s">
        <v>24</v>
      </c>
      <c r="AA29" s="146"/>
      <c r="AB29" s="141"/>
      <c r="AC29" s="142" t="s">
        <v>25</v>
      </c>
      <c r="AD29" s="142" t="s">
        <v>24</v>
      </c>
      <c r="AE29" s="144" t="s">
        <v>242</v>
      </c>
      <c r="AF29" s="141"/>
      <c r="AG29" s="210">
        <v>22.25</v>
      </c>
      <c r="AH29" s="192" t="str">
        <f t="shared" si="1"/>
        <v>Scolaire avec CMU</v>
      </c>
      <c r="AI29" s="194" t="str">
        <f ca="1">IF(Effectif!$AE29="Néant","Néant",IF(Effectif!$AE29&lt;&gt;"",VLOOKUP(TEXT(Effectif!$AE29,"@"),Paramètres!$E$21:$F$23,2,0)))</f>
        <v>31/08/20</v>
      </c>
      <c r="AJ29" s="142" t="s">
        <v>24</v>
      </c>
      <c r="AK29" s="142" t="s">
        <v>24</v>
      </c>
      <c r="AL29" s="142" t="s">
        <v>24</v>
      </c>
      <c r="AM29" s="142" t="s">
        <v>25</v>
      </c>
      <c r="AN29" s="142"/>
      <c r="AO29" s="143"/>
      <c r="AP29" s="142"/>
      <c r="AQ29" s="142" t="s">
        <v>33</v>
      </c>
      <c r="AR29" s="142" t="s">
        <v>24</v>
      </c>
      <c r="AS29" s="142" t="s">
        <v>135</v>
      </c>
      <c r="AT29" s="142" t="s">
        <v>8</v>
      </c>
      <c r="AU29" s="142" t="s">
        <v>75</v>
      </c>
      <c r="AV29" s="194">
        <v>43896</v>
      </c>
      <c r="AW29" s="142"/>
      <c r="AX29" s="148" t="str">
        <f t="shared" si="2"/>
        <v/>
      </c>
      <c r="AY29" s="149"/>
    </row>
    <row r="30" spans="1:51" s="24" customFormat="1" ht="15" customHeight="1" x14ac:dyDescent="0.25">
      <c r="A30" s="138" t="s">
        <v>322</v>
      </c>
      <c r="B30" s="139" t="s">
        <v>323</v>
      </c>
      <c r="C30" s="139" t="str">
        <f t="shared" si="0"/>
        <v>azerty azertty</v>
      </c>
      <c r="D30" s="147" t="s">
        <v>285</v>
      </c>
      <c r="E30" s="142">
        <f ca="1">IF(Effectif!$D30&gt;0,IF(DATE(YEAR(TODAY()),MONTH(Effectif!$D30),DAY(Effectif!$D30))&lt;=TODAY(),YEAR(TODAY())-YEAR(Effectif!$D30),YEAR(TODAY())-YEAR(Effectif!$D30)-1),"Inconnu")</f>
        <v>18</v>
      </c>
      <c r="F30" s="142" t="str">
        <f ca="1">IF(Effectif!$D30&gt;0,(IF(DATEDIF(Effectif!$D30,TODAY(),"y")&gt;=18,"Majeur","Mineur")),"Inconnu")</f>
        <v>Majeur</v>
      </c>
      <c r="G30" s="151"/>
      <c r="H30" s="152"/>
      <c r="I30" s="150"/>
      <c r="J30" s="194">
        <v>43040</v>
      </c>
      <c r="K30" s="144" t="str">
        <f>IF(ISBLANK(Effectif!$J30),"Inconnu",INT((Effectif!$J30-Effectif!$D30)/365.25)&amp;" ans "&amp;MONTH(Effectif!$J30-Effectif!$D30)-1&amp;" mois ")</f>
        <v xml:space="preserve">15 ans 6 mois </v>
      </c>
      <c r="L30" s="194">
        <f>IF(Effectif!$D30&gt;0,DATE(YEAR(Effectif!$D30)+18,MONTH(Effectif!$D30),DAY(Effectif!$D30)),"")</f>
        <v>43952</v>
      </c>
      <c r="M30" s="194">
        <v>43846</v>
      </c>
      <c r="N30" s="151" t="s">
        <v>144</v>
      </c>
      <c r="O30" s="150"/>
      <c r="P30" s="151"/>
      <c r="Q30" s="154"/>
      <c r="R30" s="151"/>
      <c r="S30" s="151"/>
      <c r="T30" s="147"/>
      <c r="U30" s="150" t="s">
        <v>160</v>
      </c>
      <c r="V30" s="159"/>
      <c r="W30" s="141" t="str">
        <f>IF(Effectif!$S30&gt;0,IF(Effectif!$U30="ATJM à faire","En attente",IF(Effectif!$U30="ATJM en réalisation","En attente",(IF(Effectif!$E30&lt;18,"Pas d'ATJM",EDATE(Effectif!$V30,-2))))),"Inconnu")</f>
        <v>Inconnu</v>
      </c>
      <c r="X30" s="153" t="str">
        <f>IF(OR(Effectif!$Z29="Non",Effectif!$AD29="Non"),"Oui","Fait")</f>
        <v>Fait</v>
      </c>
      <c r="Y30" s="150"/>
      <c r="Z30" s="151" t="s">
        <v>24</v>
      </c>
      <c r="AA30" s="155"/>
      <c r="AB30" s="141"/>
      <c r="AC30" s="151" t="s">
        <v>24</v>
      </c>
      <c r="AD30" s="151" t="s">
        <v>24</v>
      </c>
      <c r="AE30" s="144" t="s">
        <v>241</v>
      </c>
      <c r="AF30" s="141"/>
      <c r="AG30" s="210">
        <v>15.45</v>
      </c>
      <c r="AH30" s="192" t="str">
        <f t="shared" si="1"/>
        <v>Avec CMU</v>
      </c>
      <c r="AI30" s="194" t="str">
        <f ca="1">IF(Effectif!$AE30="Néant","Néant",IF(Effectif!$AE30&lt;&gt;"",VLOOKUP(TEXT(Effectif!$AE30,"@"),Paramètres!$E$21:$F$23,2,0)))</f>
        <v>31/05/20</v>
      </c>
      <c r="AJ30" s="142" t="s">
        <v>24</v>
      </c>
      <c r="AK30" s="151" t="s">
        <v>25</v>
      </c>
      <c r="AL30" s="151" t="s">
        <v>25</v>
      </c>
      <c r="AM30" s="151" t="s">
        <v>25</v>
      </c>
      <c r="AN30" s="151"/>
      <c r="AO30" s="143"/>
      <c r="AP30" s="142"/>
      <c r="AQ30" s="151" t="s">
        <v>36</v>
      </c>
      <c r="AR30" s="151" t="s">
        <v>25</v>
      </c>
      <c r="AS30" s="151"/>
      <c r="AT30" s="151"/>
      <c r="AU30" s="151"/>
      <c r="AV30" s="159"/>
      <c r="AW30" s="151"/>
      <c r="AX30" s="148" t="str">
        <f t="shared" si="2"/>
        <v/>
      </c>
      <c r="AY30" s="157"/>
    </row>
    <row r="31" spans="1:51" s="24" customFormat="1" ht="15" customHeight="1" x14ac:dyDescent="0.25">
      <c r="A31" s="138" t="s">
        <v>322</v>
      </c>
      <c r="B31" s="139" t="s">
        <v>323</v>
      </c>
      <c r="C31" s="139" t="str">
        <f t="shared" si="0"/>
        <v>azerty azertty</v>
      </c>
      <c r="D31" s="147" t="s">
        <v>286</v>
      </c>
      <c r="E31" s="142">
        <f ca="1">IF(Effectif!$D31&gt;0,IF(DATE(YEAR(TODAY()),MONTH(Effectif!$D31),DAY(Effectif!$D31))&lt;=TODAY(),YEAR(TODAY())-YEAR(Effectif!$D31),YEAR(TODAY())-YEAR(Effectif!$D31)-1),"Inconnu")</f>
        <v>17</v>
      </c>
      <c r="F31" s="142" t="str">
        <f ca="1">IF(Effectif!$D31&gt;0,(IF(DATEDIF(Effectif!$D31,TODAY(),"y")&gt;=18,"Majeur","Mineur")),"Inconnu")</f>
        <v>Mineur</v>
      </c>
      <c r="G31" s="142"/>
      <c r="H31" s="143"/>
      <c r="I31" s="141"/>
      <c r="J31" s="194"/>
      <c r="K31" s="144" t="str">
        <f>IF(ISBLANK(Effectif!$J31),"Inconnu",INT((Effectif!$J31-Effectif!$D31)/365.25)&amp;" ans "&amp;MONTH(Effectif!$J31-Effectif!$D31)-1&amp;" mois ")</f>
        <v>Inconnu</v>
      </c>
      <c r="L31" s="194">
        <f>IF(Effectif!$D31&gt;0,DATE(YEAR(Effectif!$D31)+18,MONTH(Effectif!$D31),DAY(Effectif!$D31)),"")</f>
        <v>44321</v>
      </c>
      <c r="M31" s="194">
        <v>43796</v>
      </c>
      <c r="N31" s="142" t="s">
        <v>144</v>
      </c>
      <c r="O31" s="141"/>
      <c r="P31" s="142"/>
      <c r="Q31" s="145"/>
      <c r="R31" s="142"/>
      <c r="S31" s="142"/>
      <c r="T31" s="147"/>
      <c r="U31" s="141" t="s">
        <v>155</v>
      </c>
      <c r="V31" s="194"/>
      <c r="W31" s="141" t="str">
        <f>IF(Effectif!$S31&gt;0,IF(Effectif!$U31="ATJM à faire","En attente",IF(Effectif!$U31="ATJM en réalisation","En attente",(IF(Effectif!$E31&lt;18,"Pas d'ATJM",EDATE(Effectif!$V31,-2))))),"Inconnu")</f>
        <v>Inconnu</v>
      </c>
      <c r="X31" s="153" t="str">
        <f>IF(OR(Effectif!$Z30="Non",Effectif!$AD30="Non"),"Oui","Fait")</f>
        <v>Fait</v>
      </c>
      <c r="Y31" s="141"/>
      <c r="Z31" s="142" t="s">
        <v>24</v>
      </c>
      <c r="AA31" s="146"/>
      <c r="AB31" s="141"/>
      <c r="AC31" s="142" t="s">
        <v>25</v>
      </c>
      <c r="AD31" s="142" t="s">
        <v>25</v>
      </c>
      <c r="AE31" s="144" t="s">
        <v>242</v>
      </c>
      <c r="AF31" s="141"/>
      <c r="AG31" s="210">
        <v>22.25</v>
      </c>
      <c r="AH31" s="192" t="str">
        <f t="shared" si="1"/>
        <v>Scolaire avec CMU</v>
      </c>
      <c r="AI31" s="194" t="str">
        <f ca="1">IF(Effectif!$AE31="Néant","Néant",IF(Effectif!$AE31&lt;&gt;"",VLOOKUP(TEXT(Effectif!$AE31,"@"),Paramètres!$E$21:$F$23,2,0)))</f>
        <v>31/08/20</v>
      </c>
      <c r="AJ31" s="142" t="s">
        <v>24</v>
      </c>
      <c r="AK31" s="142" t="s">
        <v>25</v>
      </c>
      <c r="AL31" s="142" t="s">
        <v>25</v>
      </c>
      <c r="AM31" s="142" t="s">
        <v>25</v>
      </c>
      <c r="AN31" s="142"/>
      <c r="AO31" s="143"/>
      <c r="AP31" s="142"/>
      <c r="AQ31" s="142"/>
      <c r="AR31" s="142" t="s">
        <v>24</v>
      </c>
      <c r="AS31" s="142" t="s">
        <v>50</v>
      </c>
      <c r="AT31" s="142" t="s">
        <v>84</v>
      </c>
      <c r="AU31" s="142" t="s">
        <v>64</v>
      </c>
      <c r="AV31" s="194"/>
      <c r="AW31" s="142"/>
      <c r="AX31" s="148" t="str">
        <f t="shared" si="2"/>
        <v>d'un compte bancaire et de son RIB</v>
      </c>
      <c r="AY31" s="149"/>
    </row>
    <row r="32" spans="1:51" s="24" customFormat="1" ht="15" customHeight="1" x14ac:dyDescent="0.25">
      <c r="A32" s="138" t="s">
        <v>322</v>
      </c>
      <c r="B32" s="139" t="s">
        <v>323</v>
      </c>
      <c r="C32" s="139" t="str">
        <f t="shared" si="0"/>
        <v>azerty azertty</v>
      </c>
      <c r="D32" s="147" t="s">
        <v>287</v>
      </c>
      <c r="E32" s="142">
        <f ca="1">IF(Effectif!$D32&gt;0,IF(DATE(YEAR(TODAY()),MONTH(Effectif!$D32),DAY(Effectif!$D32))&lt;=TODAY(),YEAR(TODAY())-YEAR(Effectif!$D32),YEAR(TODAY())-YEAR(Effectif!$D32)-1),"Inconnu")</f>
        <v>18</v>
      </c>
      <c r="F32" s="142" t="str">
        <f ca="1">IF(Effectif!$D32&gt;0,(IF(DATEDIF(Effectif!$D32,TODAY(),"y")&gt;=18,"Majeur","Mineur")),"Inconnu")</f>
        <v>Majeur</v>
      </c>
      <c r="G32" s="151"/>
      <c r="H32" s="152"/>
      <c r="I32" s="150"/>
      <c r="J32" s="194"/>
      <c r="K32" s="144" t="str">
        <f>IF(ISBLANK(Effectif!$J32),"Inconnu",INT((Effectif!$J32-Effectif!$D32)/365.25)&amp;" ans "&amp;MONTH(Effectif!$J32-Effectif!$D32)-1&amp;" mois ")</f>
        <v>Inconnu</v>
      </c>
      <c r="L32" s="194">
        <f>IF(Effectif!$D32&gt;0,DATE(YEAR(Effectif!$D32)+18,MONTH(Effectif!$D32),DAY(Effectif!$D32)),"")</f>
        <v>43809</v>
      </c>
      <c r="M32" s="194">
        <v>43508</v>
      </c>
      <c r="N32" s="151" t="s">
        <v>145</v>
      </c>
      <c r="O32" s="150"/>
      <c r="P32" s="151"/>
      <c r="Q32" s="154"/>
      <c r="R32" s="151"/>
      <c r="S32" s="151"/>
      <c r="T32" s="147"/>
      <c r="U32" s="150" t="s">
        <v>160</v>
      </c>
      <c r="V32" s="159">
        <v>43982</v>
      </c>
      <c r="W32" s="141" t="str">
        <f>IF(Effectif!$S32&gt;0,IF(Effectif!$U32="ATJM à faire","En attente",IF(Effectif!$U32="ATJM en réalisation","En attente",(IF(Effectif!$E32&lt;18,"Pas d'ATJM",EDATE(Effectif!$V32,-2))))),"Inconnu")</f>
        <v>Inconnu</v>
      </c>
      <c r="X32" s="153" t="str">
        <f>IF(OR(Effectif!$Z31="Non",Effectif!$AD31="Non"),"Oui","Fait")</f>
        <v>Oui</v>
      </c>
      <c r="Y32" s="150"/>
      <c r="Z32" s="151" t="s">
        <v>24</v>
      </c>
      <c r="AA32" s="155"/>
      <c r="AB32" s="141"/>
      <c r="AC32" s="151" t="s">
        <v>25</v>
      </c>
      <c r="AD32" s="151" t="s">
        <v>24</v>
      </c>
      <c r="AE32" s="144" t="s">
        <v>242</v>
      </c>
      <c r="AF32" s="141"/>
      <c r="AG32" s="210">
        <v>22.25</v>
      </c>
      <c r="AH32" s="192" t="str">
        <f t="shared" si="1"/>
        <v>Scolaire avec CMU</v>
      </c>
      <c r="AI32" s="194" t="str">
        <f ca="1">IF(Effectif!$AE32="Néant","Néant",IF(Effectif!$AE32&lt;&gt;"",VLOOKUP(TEXT(Effectif!$AE32,"@"),Paramètres!$E$21:$F$23,2,0)))</f>
        <v>31/08/20</v>
      </c>
      <c r="AJ32" s="142" t="s">
        <v>24</v>
      </c>
      <c r="AK32" s="151" t="s">
        <v>24</v>
      </c>
      <c r="AL32" s="151" t="s">
        <v>24</v>
      </c>
      <c r="AM32" s="151" t="s">
        <v>25</v>
      </c>
      <c r="AN32" s="151"/>
      <c r="AO32" s="143"/>
      <c r="AP32" s="142"/>
      <c r="AQ32" s="151" t="s">
        <v>33</v>
      </c>
      <c r="AR32" s="151" t="s">
        <v>24</v>
      </c>
      <c r="AS32" s="151" t="s">
        <v>135</v>
      </c>
      <c r="AT32" s="151" t="s">
        <v>8</v>
      </c>
      <c r="AU32" s="151" t="s">
        <v>89</v>
      </c>
      <c r="AV32" s="159">
        <v>44000</v>
      </c>
      <c r="AW32" s="151"/>
      <c r="AX32" s="148" t="str">
        <f t="shared" si="2"/>
        <v/>
      </c>
      <c r="AY32" s="157"/>
    </row>
    <row r="33" spans="1:51" s="24" customFormat="1" ht="15" customHeight="1" x14ac:dyDescent="0.25">
      <c r="A33" s="138" t="s">
        <v>322</v>
      </c>
      <c r="B33" s="139" t="s">
        <v>323</v>
      </c>
      <c r="C33" s="139" t="str">
        <f t="shared" si="0"/>
        <v>azerty azertty</v>
      </c>
      <c r="D33" s="147" t="s">
        <v>288</v>
      </c>
      <c r="E33" s="142">
        <f ca="1">IF(Effectif!$D33&gt;0,IF(DATE(YEAR(TODAY()),MONTH(Effectif!$D33),DAY(Effectif!$D33))&lt;=TODAY(),YEAR(TODAY())-YEAR(Effectif!$D33),YEAR(TODAY())-YEAR(Effectif!$D33)-1),"Inconnu")</f>
        <v>16</v>
      </c>
      <c r="F33" s="142" t="str">
        <f ca="1">IF(Effectif!$D33&gt;0,(IF(DATEDIF(Effectif!$D33,TODAY(),"y")&gt;=18,"Majeur","Mineur")),"Inconnu")</f>
        <v>Mineur</v>
      </c>
      <c r="G33" s="142"/>
      <c r="H33" s="143"/>
      <c r="I33" s="141"/>
      <c r="J33" s="194">
        <v>43647</v>
      </c>
      <c r="K33" s="144" t="str">
        <f>IF(ISBLANK(Effectif!$J33),"Inconnu",INT((Effectif!$J33-Effectif!$D33)/365.25)&amp;" ans "&amp;MONTH(Effectif!$J33-Effectif!$D33)-1&amp;" mois ")</f>
        <v xml:space="preserve">15 ans 6 mois </v>
      </c>
      <c r="L33" s="194">
        <f>IF(Effectif!$D33&gt;0,DATE(YEAR(Effectif!$D33)+18,MONTH(Effectif!$D33),DAY(Effectif!$D33)),"")</f>
        <v>44561</v>
      </c>
      <c r="M33" s="194">
        <v>43831</v>
      </c>
      <c r="N33" s="142" t="s">
        <v>144</v>
      </c>
      <c r="O33" s="141"/>
      <c r="P33" s="142"/>
      <c r="Q33" s="145"/>
      <c r="R33" s="142"/>
      <c r="S33" s="142"/>
      <c r="T33" s="147"/>
      <c r="U33" s="141" t="s">
        <v>155</v>
      </c>
      <c r="V33" s="194"/>
      <c r="W33" s="141" t="str">
        <f>IF(Effectif!$S33&gt;0,IF(Effectif!$U33="ATJM à faire","En attente",IF(Effectif!$U33="ATJM en réalisation","En attente",(IF(Effectif!$E33&lt;18,"Pas d'ATJM",EDATE(Effectif!$V33,-2))))),"Inconnu")</f>
        <v>Inconnu</v>
      </c>
      <c r="X33" s="153" t="str">
        <f>IF(OR(Effectif!$Z32="Non",Effectif!$AD32="Non"),"Oui","Fait")</f>
        <v>Fait</v>
      </c>
      <c r="Y33" s="141"/>
      <c r="Z33" s="142" t="s">
        <v>24</v>
      </c>
      <c r="AA33" s="146"/>
      <c r="AB33" s="141"/>
      <c r="AC33" s="142" t="s">
        <v>24</v>
      </c>
      <c r="AD33" s="142" t="s">
        <v>25</v>
      </c>
      <c r="AE33" s="144" t="s">
        <v>242</v>
      </c>
      <c r="AF33" s="141"/>
      <c r="AG33" s="210">
        <v>22.25</v>
      </c>
      <c r="AH33" s="192" t="str">
        <f t="shared" si="1"/>
        <v>Scolaire avec CMU</v>
      </c>
      <c r="AI33" s="194" t="str">
        <f ca="1">IF(Effectif!$AE33="Néant","Néant",IF(Effectif!$AE33&lt;&gt;"",VLOOKUP(TEXT(Effectif!$AE33,"@"),Paramètres!$E$21:$F$23,2,0)))</f>
        <v>31/08/20</v>
      </c>
      <c r="AJ33" s="142" t="s">
        <v>24</v>
      </c>
      <c r="AK33" s="142" t="s">
        <v>25</v>
      </c>
      <c r="AL33" s="142" t="s">
        <v>25</v>
      </c>
      <c r="AM33" s="142" t="s">
        <v>25</v>
      </c>
      <c r="AN33" s="142"/>
      <c r="AO33" s="143"/>
      <c r="AP33" s="142"/>
      <c r="AQ33" s="142"/>
      <c r="AR33" s="142" t="s">
        <v>24</v>
      </c>
      <c r="AS33" s="142" t="s">
        <v>51</v>
      </c>
      <c r="AT33" s="142" t="s">
        <v>78</v>
      </c>
      <c r="AU33" s="142" t="s">
        <v>60</v>
      </c>
      <c r="AV33" s="194"/>
      <c r="AW33" s="142"/>
      <c r="AX33" s="148" t="str">
        <f t="shared" si="2"/>
        <v>d'un compte bancaire et de son RIB</v>
      </c>
      <c r="AY33" s="149"/>
    </row>
    <row r="34" spans="1:51" s="24" customFormat="1" ht="15" customHeight="1" x14ac:dyDescent="0.25">
      <c r="A34" s="138" t="s">
        <v>322</v>
      </c>
      <c r="B34" s="139" t="s">
        <v>323</v>
      </c>
      <c r="C34" s="139" t="str">
        <f t="shared" ref="C34:C63" si="3">CONCATENATE(A34," ",B34)</f>
        <v>azerty azertty</v>
      </c>
      <c r="D34" s="147" t="s">
        <v>289</v>
      </c>
      <c r="E34" s="142">
        <f ca="1">IF(Effectif!$D34&gt;0,IF(DATE(YEAR(TODAY()),MONTH(Effectif!$D34),DAY(Effectif!$D34))&lt;=TODAY(),YEAR(TODAY())-YEAR(Effectif!$D34),YEAR(TODAY())-YEAR(Effectif!$D34)-1),"Inconnu")</f>
        <v>16</v>
      </c>
      <c r="F34" s="142" t="str">
        <f ca="1">IF(Effectif!$D34&gt;0,(IF(DATEDIF(Effectif!$D34,TODAY(),"y")&gt;=18,"Majeur","Mineur")),"Inconnu")</f>
        <v>Mineur</v>
      </c>
      <c r="G34" s="151"/>
      <c r="H34" s="152"/>
      <c r="I34" s="150"/>
      <c r="J34" s="194">
        <v>43735</v>
      </c>
      <c r="K34" s="144" t="str">
        <f>IF(ISBLANK(Effectif!$J34),"Inconnu",INT((Effectif!$J34-Effectif!$D34)/365.25)&amp;" ans "&amp;MONTH(Effectif!$J34-Effectif!$D34)-1&amp;" mois ")</f>
        <v xml:space="preserve">16 ans 0 mois </v>
      </c>
      <c r="L34" s="194">
        <f>IF(Effectif!$D34&gt;0,DATE(YEAR(Effectif!$D34)+18,MONTH(Effectif!$D34),DAY(Effectif!$D34)),"")</f>
        <v>44454</v>
      </c>
      <c r="M34" s="194">
        <v>43819</v>
      </c>
      <c r="N34" s="151" t="s">
        <v>144</v>
      </c>
      <c r="O34" s="150"/>
      <c r="P34" s="151"/>
      <c r="Q34" s="154"/>
      <c r="R34" s="151"/>
      <c r="S34" s="151"/>
      <c r="T34" s="147"/>
      <c r="U34" s="150" t="s">
        <v>155</v>
      </c>
      <c r="V34" s="159"/>
      <c r="W34" s="141" t="str">
        <f>IF(Effectif!$S34&gt;0,IF(Effectif!$U34="ATJM à faire","En attente",IF(Effectif!$U34="ATJM en réalisation","En attente",(IF(Effectif!$E34&lt;18,"Pas d'ATJM",EDATE(Effectif!$V34,-2))))),"Inconnu")</f>
        <v>Inconnu</v>
      </c>
      <c r="X34" s="153" t="str">
        <f>IF(OR(Effectif!$Z33="Non",Effectif!$AD33="Non"),"Oui","Fait")</f>
        <v>Oui</v>
      </c>
      <c r="Y34" s="150"/>
      <c r="Z34" s="151" t="s">
        <v>24</v>
      </c>
      <c r="AA34" s="155"/>
      <c r="AB34" s="141"/>
      <c r="AC34" s="151" t="s">
        <v>24</v>
      </c>
      <c r="AD34" s="151" t="s">
        <v>25</v>
      </c>
      <c r="AE34" s="144" t="s">
        <v>241</v>
      </c>
      <c r="AF34" s="141"/>
      <c r="AG34" s="210">
        <v>15.45</v>
      </c>
      <c r="AH34" s="192" t="str">
        <f t="shared" ref="AH34:AH64" si="4">IF(AND(Z34="Oui",AS34&lt;&gt;""),"Scolaire avec CMU",IF(AND(Z34="Oui",AS34=""),"Avec CMU",IF(AND(Z34="Non",AS34&lt;&gt;""),"Scolaire sans CMU",IF(AND(Z34="Non",AS34=""),"Sans réduction","Erreur"))))</f>
        <v>Avec CMU</v>
      </c>
      <c r="AI34" s="194" t="str">
        <f ca="1">IF(Effectif!$AE34="Néant","Néant",IF(Effectif!$AE34&lt;&gt;"",VLOOKUP(TEXT(Effectif!$AE34,"@"),Paramètres!$E$21:$F$23,2,0)))</f>
        <v>31/05/20</v>
      </c>
      <c r="AJ34" s="142" t="s">
        <v>24</v>
      </c>
      <c r="AK34" s="151" t="s">
        <v>25</v>
      </c>
      <c r="AL34" s="151" t="s">
        <v>25</v>
      </c>
      <c r="AM34" s="151" t="s">
        <v>25</v>
      </c>
      <c r="AN34" s="151"/>
      <c r="AO34" s="143"/>
      <c r="AP34" s="142"/>
      <c r="AQ34" s="151"/>
      <c r="AR34" s="151" t="s">
        <v>24</v>
      </c>
      <c r="AS34" s="151"/>
      <c r="AT34" s="151"/>
      <c r="AU34" s="151"/>
      <c r="AV34" s="159"/>
      <c r="AW34" s="151"/>
      <c r="AX34" s="148" t="str">
        <f t="shared" ref="AX34:AX63" si="5">IF(AND(Z34="Oui",AD34="Non"),"d'un compte bancaire et de son RIB",IF(AND(Z34="Non",AD34="Oui"),"de sa CMU",IF(AND(Z34="Non",AD34="Non"),"de sa CM, d'un compte bancaire et de son RIB","")))</f>
        <v>d'un compte bancaire et de son RIB</v>
      </c>
      <c r="AY34" s="157"/>
    </row>
    <row r="35" spans="1:51" s="24" customFormat="1" ht="15" customHeight="1" x14ac:dyDescent="0.25">
      <c r="A35" s="138" t="s">
        <v>322</v>
      </c>
      <c r="B35" s="139" t="s">
        <v>323</v>
      </c>
      <c r="C35" s="139" t="str">
        <f t="shared" si="3"/>
        <v>azerty azertty</v>
      </c>
      <c r="D35" s="147" t="s">
        <v>290</v>
      </c>
      <c r="E35" s="142">
        <f ca="1">IF(Effectif!$D35&gt;0,IF(DATE(YEAR(TODAY()),MONTH(Effectif!$D35),DAY(Effectif!$D35))&lt;=TODAY(),YEAR(TODAY())-YEAR(Effectif!$D35),YEAR(TODAY())-YEAR(Effectif!$D35)-1),"Inconnu")</f>
        <v>15</v>
      </c>
      <c r="F35" s="142" t="str">
        <f ca="1">IF(Effectif!$D35&gt;0,(IF(DATEDIF(Effectif!$D35,TODAY(),"y")&gt;=18,"Majeur","Mineur")),"Inconnu")</f>
        <v>Mineur</v>
      </c>
      <c r="G35" s="142"/>
      <c r="H35" s="143"/>
      <c r="I35" s="141"/>
      <c r="J35" s="194">
        <v>43843</v>
      </c>
      <c r="K35" s="144" t="str">
        <f>IF(ISBLANK(Effectif!$J35),"Inconnu",INT((Effectif!$J35-Effectif!$D35)/365.25)&amp;" ans "&amp;MONTH(Effectif!$J35-Effectif!$D35)-1&amp;" mois ")</f>
        <v xml:space="preserve">15 ans 6 mois </v>
      </c>
      <c r="L35" s="194">
        <f>IF(Effectif!$D35&gt;0,DATE(YEAR(Effectif!$D35)+18,MONTH(Effectif!$D35),DAY(Effectif!$D35)),"")</f>
        <v>44731</v>
      </c>
      <c r="M35" s="194">
        <v>43907</v>
      </c>
      <c r="N35" s="142" t="s">
        <v>144</v>
      </c>
      <c r="O35" s="141"/>
      <c r="P35" s="142"/>
      <c r="Q35" s="145"/>
      <c r="R35" s="142"/>
      <c r="S35" s="142"/>
      <c r="T35" s="147"/>
      <c r="U35" s="141" t="s">
        <v>155</v>
      </c>
      <c r="V35" s="194"/>
      <c r="W35" s="141" t="str">
        <f>IF(Effectif!$S35&gt;0,IF(Effectif!$U35="ATJM à faire","En attente",IF(Effectif!$U35="ATJM en réalisation","En attente",(IF(Effectif!$E35&lt;18,"Pas d'ATJM",EDATE(Effectif!$V35,-2))))),"Inconnu")</f>
        <v>Inconnu</v>
      </c>
      <c r="X35" s="153" t="str">
        <f>IF(OR(Effectif!$Z34="Non",Effectif!$AD34="Non"),"Oui","Fait")</f>
        <v>Oui</v>
      </c>
      <c r="Y35" s="141"/>
      <c r="Z35" s="142" t="s">
        <v>24</v>
      </c>
      <c r="AA35" s="146"/>
      <c r="AB35" s="141"/>
      <c r="AC35" s="142" t="s">
        <v>25</v>
      </c>
      <c r="AD35" s="142" t="s">
        <v>25</v>
      </c>
      <c r="AE35" s="144" t="s">
        <v>241</v>
      </c>
      <c r="AF35" s="141"/>
      <c r="AG35" s="210">
        <v>15.45</v>
      </c>
      <c r="AH35" s="192" t="str">
        <f t="shared" si="4"/>
        <v>Avec CMU</v>
      </c>
      <c r="AI35" s="194" t="str">
        <f ca="1">IF(Effectif!$AE35="Néant","Néant",IF(Effectif!$AE35&lt;&gt;"",VLOOKUP(TEXT(Effectif!$AE35,"@"),Paramètres!$E$21:$F$23,2,0)))</f>
        <v>31/05/20</v>
      </c>
      <c r="AJ35" s="142" t="s">
        <v>24</v>
      </c>
      <c r="AK35" s="142" t="s">
        <v>25</v>
      </c>
      <c r="AL35" s="142" t="s">
        <v>25</v>
      </c>
      <c r="AM35" s="142" t="s">
        <v>25</v>
      </c>
      <c r="AN35" s="142"/>
      <c r="AO35" s="143"/>
      <c r="AP35" s="142"/>
      <c r="AQ35" s="142"/>
      <c r="AR35" s="142" t="s">
        <v>25</v>
      </c>
      <c r="AS35" s="142"/>
      <c r="AT35" s="142"/>
      <c r="AU35" s="142"/>
      <c r="AV35" s="194"/>
      <c r="AW35" s="142"/>
      <c r="AX35" s="148" t="str">
        <f t="shared" si="5"/>
        <v>d'un compte bancaire et de son RIB</v>
      </c>
      <c r="AY35" s="149"/>
    </row>
    <row r="36" spans="1:51" s="24" customFormat="1" ht="15" customHeight="1" x14ac:dyDescent="0.25">
      <c r="A36" s="138" t="s">
        <v>322</v>
      </c>
      <c r="B36" s="139" t="s">
        <v>323</v>
      </c>
      <c r="C36" s="139" t="str">
        <f t="shared" si="3"/>
        <v>azerty azertty</v>
      </c>
      <c r="D36" s="147" t="s">
        <v>291</v>
      </c>
      <c r="E36" s="142">
        <f ca="1">IF(Effectif!$D36&gt;0,IF(DATE(YEAR(TODAY()),MONTH(Effectif!$D36),DAY(Effectif!$D36))&lt;=TODAY(),YEAR(TODAY())-YEAR(Effectif!$D36),YEAR(TODAY())-YEAR(Effectif!$D36)-1),"Inconnu")</f>
        <v>17</v>
      </c>
      <c r="F36" s="142" t="str">
        <f ca="1">IF(Effectif!$D36&gt;0,(IF(DATEDIF(Effectif!$D36,TODAY(),"y")&gt;=18,"Majeur","Mineur")),"Inconnu")</f>
        <v>Mineur</v>
      </c>
      <c r="G36" s="151"/>
      <c r="H36" s="152"/>
      <c r="I36" s="150"/>
      <c r="J36" s="194">
        <v>43434</v>
      </c>
      <c r="K36" s="144" t="str">
        <f>IF(ISBLANK(Effectif!$J36),"Inconnu",INT((Effectif!$J36-Effectif!$D36)/365.25)&amp;" ans "&amp;MONTH(Effectif!$J36-Effectif!$D36)-1&amp;" mois ")</f>
        <v xml:space="preserve">15 ans 8 mois </v>
      </c>
      <c r="L36" s="194">
        <f>IF(Effectif!$D36&gt;0,DATE(YEAR(Effectif!$D36)+18,MONTH(Effectif!$D36),DAY(Effectif!$D36)),"")</f>
        <v>44258</v>
      </c>
      <c r="M36" s="194">
        <v>43270</v>
      </c>
      <c r="N36" s="150" t="s">
        <v>145</v>
      </c>
      <c r="O36" s="150"/>
      <c r="P36" s="151"/>
      <c r="Q36" s="154"/>
      <c r="R36" s="151"/>
      <c r="S36" s="151"/>
      <c r="T36" s="147"/>
      <c r="U36" s="150" t="s">
        <v>155</v>
      </c>
      <c r="V36" s="159"/>
      <c r="W36" s="141" t="str">
        <f>IF(Effectif!$S36&gt;0,IF(Effectif!$U36="ATJM à faire","En attente",IF(Effectif!$U36="ATJM en réalisation","En attente",(IF(Effectif!$E36&lt;18,"Pas d'ATJM",EDATE(Effectif!$V36,-2))))),"Inconnu")</f>
        <v>Inconnu</v>
      </c>
      <c r="X36" s="153" t="str">
        <f>IF(OR(Effectif!$Z35="Non",Effectif!$AD35="Non"),"Oui","Fait")</f>
        <v>Oui</v>
      </c>
      <c r="Y36" s="150"/>
      <c r="Z36" s="151" t="s">
        <v>24</v>
      </c>
      <c r="AA36" s="155"/>
      <c r="AB36" s="141"/>
      <c r="AC36" s="150" t="s">
        <v>25</v>
      </c>
      <c r="AD36" s="151" t="s">
        <v>25</v>
      </c>
      <c r="AE36" s="144" t="s">
        <v>242</v>
      </c>
      <c r="AF36" s="141"/>
      <c r="AG36" s="210">
        <v>22.25</v>
      </c>
      <c r="AH36" s="192" t="str">
        <f t="shared" si="4"/>
        <v>Scolaire avec CMU</v>
      </c>
      <c r="AI36" s="194" t="str">
        <f ca="1">IF(Effectif!$AE36="Néant","Néant",IF(Effectif!$AE36&lt;&gt;"",VLOOKUP(TEXT(Effectif!$AE36,"@"),Paramètres!$E$21:$F$23,2,0)))</f>
        <v>31/08/20</v>
      </c>
      <c r="AJ36" s="142" t="s">
        <v>24</v>
      </c>
      <c r="AK36" s="151" t="s">
        <v>24</v>
      </c>
      <c r="AL36" s="151"/>
      <c r="AM36" s="151"/>
      <c r="AN36" s="151"/>
      <c r="AO36" s="143"/>
      <c r="AP36" s="142"/>
      <c r="AQ36" s="151"/>
      <c r="AR36" s="151" t="s">
        <v>24</v>
      </c>
      <c r="AS36" s="151" t="s">
        <v>135</v>
      </c>
      <c r="AT36" s="151" t="s">
        <v>8</v>
      </c>
      <c r="AU36" s="151"/>
      <c r="AV36" s="159"/>
      <c r="AW36" s="150"/>
      <c r="AX36" s="148" t="str">
        <f t="shared" si="5"/>
        <v>d'un compte bancaire et de son RIB</v>
      </c>
      <c r="AY36" s="157"/>
    </row>
    <row r="37" spans="1:51" s="24" customFormat="1" ht="15" customHeight="1" x14ac:dyDescent="0.25">
      <c r="A37" s="138" t="s">
        <v>322</v>
      </c>
      <c r="B37" s="139" t="s">
        <v>323</v>
      </c>
      <c r="C37" s="139" t="str">
        <f t="shared" si="3"/>
        <v>azerty azertty</v>
      </c>
      <c r="D37" s="147" t="s">
        <v>292</v>
      </c>
      <c r="E37" s="142">
        <f ca="1">IF(Effectif!$D37&gt;0,IF(DATE(YEAR(TODAY()),MONTH(Effectif!$D37),DAY(Effectif!$D37))&lt;=TODAY(),YEAR(TODAY())-YEAR(Effectif!$D37),YEAR(TODAY())-YEAR(Effectif!$D37)-1),"Inconnu")</f>
        <v>15</v>
      </c>
      <c r="F37" s="142" t="str">
        <f ca="1">IF(Effectif!$D37&gt;0,(IF(DATEDIF(Effectif!$D37,TODAY(),"y")&gt;=18,"Majeur","Mineur")),"Inconnu")</f>
        <v>Mineur</v>
      </c>
      <c r="G37" s="142"/>
      <c r="H37" s="143"/>
      <c r="I37" s="141"/>
      <c r="J37" s="194"/>
      <c r="K37" s="144" t="str">
        <f>IF(ISBLANK(Effectif!$J37),"Inconnu",INT((Effectif!$J37-Effectif!$D37)/365.25)&amp;" ans "&amp;MONTH(Effectif!$J37-Effectif!$D37)-1&amp;" mois ")</f>
        <v>Inconnu</v>
      </c>
      <c r="L37" s="194">
        <f>IF(Effectif!$D37&gt;0,DATE(YEAR(Effectif!$D37)+18,MONTH(Effectif!$D37),DAY(Effectif!$D37)),"")</f>
        <v>44802</v>
      </c>
      <c r="M37" s="194">
        <v>43788</v>
      </c>
      <c r="N37" s="142" t="s">
        <v>144</v>
      </c>
      <c r="O37" s="141"/>
      <c r="P37" s="142"/>
      <c r="Q37" s="145"/>
      <c r="R37" s="142"/>
      <c r="S37" s="142"/>
      <c r="T37" s="147"/>
      <c r="U37" s="141" t="s">
        <v>155</v>
      </c>
      <c r="V37" s="194"/>
      <c r="W37" s="141" t="str">
        <f>IF(Effectif!$S37&gt;0,IF(Effectif!$U37="ATJM à faire","En attente",IF(Effectif!$U37="ATJM en réalisation","En attente",(IF(Effectif!$E37&lt;18,"Pas d'ATJM",EDATE(Effectif!$V37,-2))))),"Inconnu")</f>
        <v>Inconnu</v>
      </c>
      <c r="X37" s="153" t="str">
        <f>IF(OR(Effectif!$Z36="Non",Effectif!$AD36="Non"),"Oui","Fait")</f>
        <v>Oui</v>
      </c>
      <c r="Y37" s="141"/>
      <c r="Z37" s="142" t="s">
        <v>24</v>
      </c>
      <c r="AA37" s="146"/>
      <c r="AB37" s="141"/>
      <c r="AC37" s="142" t="s">
        <v>24</v>
      </c>
      <c r="AD37" s="142" t="s">
        <v>25</v>
      </c>
      <c r="AE37" s="144" t="s">
        <v>242</v>
      </c>
      <c r="AF37" s="141"/>
      <c r="AG37" s="210">
        <v>22.25</v>
      </c>
      <c r="AH37" s="192" t="str">
        <f t="shared" si="4"/>
        <v>Scolaire avec CMU</v>
      </c>
      <c r="AI37" s="194" t="str">
        <f ca="1">IF(Effectif!$AE37="Néant","Néant",IF(Effectif!$AE37&lt;&gt;"",VLOOKUP(TEXT(Effectif!$AE37,"@"),Paramètres!$E$21:$F$23,2,0)))</f>
        <v>31/08/20</v>
      </c>
      <c r="AJ37" s="142" t="s">
        <v>24</v>
      </c>
      <c r="AK37" s="142" t="s">
        <v>24</v>
      </c>
      <c r="AL37" s="142" t="s">
        <v>25</v>
      </c>
      <c r="AM37" s="142" t="s">
        <v>25</v>
      </c>
      <c r="AN37" s="142"/>
      <c r="AO37" s="143"/>
      <c r="AP37" s="142"/>
      <c r="AQ37" s="142"/>
      <c r="AR37" s="142" t="s">
        <v>24</v>
      </c>
      <c r="AS37" s="142" t="s">
        <v>51</v>
      </c>
      <c r="AT37" s="142" t="s">
        <v>78</v>
      </c>
      <c r="AU37" s="142" t="s">
        <v>60</v>
      </c>
      <c r="AV37" s="194"/>
      <c r="AW37" s="142"/>
      <c r="AX37" s="148" t="str">
        <f t="shared" si="5"/>
        <v>d'un compte bancaire et de son RIB</v>
      </c>
      <c r="AY37" s="149"/>
    </row>
    <row r="38" spans="1:51" s="24" customFormat="1" ht="15" customHeight="1" x14ac:dyDescent="0.25">
      <c r="A38" s="138" t="s">
        <v>322</v>
      </c>
      <c r="B38" s="139" t="s">
        <v>323</v>
      </c>
      <c r="C38" s="139" t="str">
        <f t="shared" si="3"/>
        <v>azerty azertty</v>
      </c>
      <c r="D38" s="147" t="s">
        <v>293</v>
      </c>
      <c r="E38" s="142">
        <f ca="1">IF(Effectif!$D38&gt;0,IF(DATE(YEAR(TODAY()),MONTH(Effectif!$D38),DAY(Effectif!$D38))&lt;=TODAY(),YEAR(TODAY())-YEAR(Effectif!$D38),YEAR(TODAY())-YEAR(Effectif!$D38)-1),"Inconnu")</f>
        <v>17</v>
      </c>
      <c r="F38" s="142" t="str">
        <f ca="1">IF(Effectif!$D38&gt;0,(IF(DATEDIF(Effectif!$D38,TODAY(),"y")&gt;=18,"Majeur","Mineur")),"Inconnu")</f>
        <v>Mineur</v>
      </c>
      <c r="G38" s="151"/>
      <c r="H38" s="152"/>
      <c r="I38" s="150"/>
      <c r="J38" s="194"/>
      <c r="K38" s="144" t="str">
        <f>IF(ISBLANK(Effectif!$J38),"Inconnu",INT((Effectif!$J38-Effectif!$D38)/365.25)&amp;" ans "&amp;MONTH(Effectif!$J38-Effectif!$D38)-1&amp;" mois ")</f>
        <v>Inconnu</v>
      </c>
      <c r="L38" s="194">
        <f>IF(Effectif!$D38&gt;0,DATE(YEAR(Effectif!$D38)+18,MONTH(Effectif!$D38),DAY(Effectif!$D38)),"")</f>
        <v>44188</v>
      </c>
      <c r="M38" s="194">
        <v>43850</v>
      </c>
      <c r="N38" s="151" t="s">
        <v>144</v>
      </c>
      <c r="O38" s="150"/>
      <c r="P38" s="151"/>
      <c r="Q38" s="154"/>
      <c r="R38" s="151"/>
      <c r="S38" s="151"/>
      <c r="T38" s="147"/>
      <c r="U38" s="150" t="s">
        <v>155</v>
      </c>
      <c r="V38" s="159"/>
      <c r="W38" s="141" t="str">
        <f>IF(Effectif!$S38&gt;0,IF(Effectif!$U38="ATJM à faire","En attente",IF(Effectif!$U38="ATJM en réalisation","En attente",(IF(Effectif!$E38&lt;18,"Pas d'ATJM",EDATE(Effectif!$V38,-2))))),"Inconnu")</f>
        <v>Inconnu</v>
      </c>
      <c r="X38" s="153" t="str">
        <f>IF(OR(Effectif!$Z37="Non",Effectif!$AD37="Non"),"Oui","Fait")</f>
        <v>Oui</v>
      </c>
      <c r="Y38" s="150"/>
      <c r="Z38" s="151" t="s">
        <v>24</v>
      </c>
      <c r="AA38" s="155"/>
      <c r="AB38" s="141"/>
      <c r="AC38" s="151" t="s">
        <v>25</v>
      </c>
      <c r="AD38" s="151" t="s">
        <v>24</v>
      </c>
      <c r="AE38" s="144" t="s">
        <v>242</v>
      </c>
      <c r="AF38" s="141"/>
      <c r="AG38" s="210">
        <v>22.25</v>
      </c>
      <c r="AH38" s="192" t="str">
        <f t="shared" si="4"/>
        <v>Scolaire avec CMU</v>
      </c>
      <c r="AI38" s="194" t="str">
        <f ca="1">IF(Effectif!$AE38="Néant","Néant",IF(Effectif!$AE38&lt;&gt;"",VLOOKUP(TEXT(Effectif!$AE38,"@"),Paramètres!$E$21:$F$23,2,0)))</f>
        <v>31/08/20</v>
      </c>
      <c r="AJ38" s="142" t="s">
        <v>24</v>
      </c>
      <c r="AK38" s="151" t="s">
        <v>25</v>
      </c>
      <c r="AL38" s="151" t="s">
        <v>25</v>
      </c>
      <c r="AM38" s="151" t="s">
        <v>25</v>
      </c>
      <c r="AN38" s="151"/>
      <c r="AO38" s="143"/>
      <c r="AP38" s="142"/>
      <c r="AQ38" s="151"/>
      <c r="AR38" s="151" t="s">
        <v>25</v>
      </c>
      <c r="AS38" s="151" t="s">
        <v>29</v>
      </c>
      <c r="AT38" s="151"/>
      <c r="AU38" s="151"/>
      <c r="AV38" s="159"/>
      <c r="AW38" s="151"/>
      <c r="AX38" s="148" t="str">
        <f t="shared" si="5"/>
        <v/>
      </c>
      <c r="AY38" s="157"/>
    </row>
    <row r="39" spans="1:51" s="24" customFormat="1" ht="15" customHeight="1" x14ac:dyDescent="0.25">
      <c r="A39" s="138" t="s">
        <v>322</v>
      </c>
      <c r="B39" s="139" t="s">
        <v>323</v>
      </c>
      <c r="C39" s="139" t="str">
        <f t="shared" si="3"/>
        <v>azerty azertty</v>
      </c>
      <c r="D39" s="147" t="s">
        <v>294</v>
      </c>
      <c r="E39" s="142">
        <f ca="1">IF(Effectif!$D39&gt;0,IF(DATE(YEAR(TODAY()),MONTH(Effectif!$D39),DAY(Effectif!$D39))&lt;=TODAY(),YEAR(TODAY())-YEAR(Effectif!$D39),YEAR(TODAY())-YEAR(Effectif!$D39)-1),"Inconnu")</f>
        <v>16</v>
      </c>
      <c r="F39" s="142" t="str">
        <f ca="1">IF(Effectif!$D39&gt;0,(IF(DATEDIF(Effectif!$D39,TODAY(),"y")&gt;=18,"Majeur","Mineur")),"Inconnu")</f>
        <v>Mineur</v>
      </c>
      <c r="G39" s="142"/>
      <c r="H39" s="143"/>
      <c r="I39" s="141"/>
      <c r="J39" s="194">
        <v>43800</v>
      </c>
      <c r="K39" s="144" t="str">
        <f>IF(ISBLANK(Effectif!$J39),"Inconnu",INT((Effectif!$J39-Effectif!$D39)/365.25)&amp;" ans "&amp;MONTH(Effectif!$J39-Effectif!$D39)-1&amp;" mois ")</f>
        <v xml:space="preserve">16 ans 4 mois </v>
      </c>
      <c r="L39" s="194">
        <f>IF(Effectif!$D39&gt;0,DATE(YEAR(Effectif!$D39)+18,MONTH(Effectif!$D39),DAY(Effectif!$D39)),"")</f>
        <v>44393</v>
      </c>
      <c r="M39" s="194">
        <v>43902</v>
      </c>
      <c r="N39" s="142" t="s">
        <v>144</v>
      </c>
      <c r="O39" s="141"/>
      <c r="P39" s="142"/>
      <c r="Q39" s="145"/>
      <c r="R39" s="142"/>
      <c r="S39" s="142"/>
      <c r="T39" s="147"/>
      <c r="U39" s="141" t="s">
        <v>155</v>
      </c>
      <c r="V39" s="194"/>
      <c r="W39" s="141" t="str">
        <f>IF(Effectif!$S39&gt;0,IF(Effectif!$U39="ATJM à faire","En attente",IF(Effectif!$U39="ATJM en réalisation","En attente",(IF(Effectif!$E39&lt;18,"Pas d'ATJM",EDATE(Effectif!$V39,-2))))),"Inconnu")</f>
        <v>Inconnu</v>
      </c>
      <c r="X39" s="153" t="str">
        <f>IF(OR(Effectif!$Z38="Non",Effectif!$AD38="Non"),"Oui","Fait")</f>
        <v>Fait</v>
      </c>
      <c r="Y39" s="141"/>
      <c r="Z39" s="142" t="s">
        <v>24</v>
      </c>
      <c r="AA39" s="146"/>
      <c r="AB39" s="141"/>
      <c r="AC39" s="142" t="s">
        <v>25</v>
      </c>
      <c r="AD39" s="142" t="s">
        <v>25</v>
      </c>
      <c r="AE39" s="144" t="s">
        <v>241</v>
      </c>
      <c r="AF39" s="141"/>
      <c r="AG39" s="210">
        <v>15.45</v>
      </c>
      <c r="AH39" s="192" t="str">
        <f t="shared" si="4"/>
        <v>Avec CMU</v>
      </c>
      <c r="AI39" s="194" t="str">
        <f ca="1">IF(Effectif!$AE39="Néant","Néant",IF(Effectif!$AE39&lt;&gt;"",VLOOKUP(TEXT(Effectif!$AE39,"@"),Paramètres!$E$21:$F$23,2,0)))</f>
        <v>31/05/20</v>
      </c>
      <c r="AJ39" s="142" t="s">
        <v>24</v>
      </c>
      <c r="AK39" s="142" t="s">
        <v>25</v>
      </c>
      <c r="AL39" s="142" t="s">
        <v>25</v>
      </c>
      <c r="AM39" s="142" t="s">
        <v>25</v>
      </c>
      <c r="AN39" s="142"/>
      <c r="AO39" s="143"/>
      <c r="AP39" s="142"/>
      <c r="AQ39" s="142"/>
      <c r="AR39" s="142" t="s">
        <v>25</v>
      </c>
      <c r="AS39" s="142"/>
      <c r="AT39" s="142"/>
      <c r="AU39" s="142"/>
      <c r="AV39" s="194"/>
      <c r="AW39" s="142"/>
      <c r="AX39" s="148" t="str">
        <f t="shared" si="5"/>
        <v>d'un compte bancaire et de son RIB</v>
      </c>
      <c r="AY39" s="149"/>
    </row>
    <row r="40" spans="1:51" s="24" customFormat="1" ht="15" customHeight="1" x14ac:dyDescent="0.25">
      <c r="A40" s="138" t="s">
        <v>322</v>
      </c>
      <c r="B40" s="139" t="s">
        <v>323</v>
      </c>
      <c r="C40" s="139" t="str">
        <f t="shared" si="3"/>
        <v>azerty azertty</v>
      </c>
      <c r="D40" s="147" t="s">
        <v>295</v>
      </c>
      <c r="E40" s="142">
        <f ca="1">IF(Effectif!$D40&gt;0,IF(DATE(YEAR(TODAY()),MONTH(Effectif!$D40),DAY(Effectif!$D40))&lt;=TODAY(),YEAR(TODAY())-YEAR(Effectif!$D40),YEAR(TODAY())-YEAR(Effectif!$D40)-1),"Inconnu")</f>
        <v>18</v>
      </c>
      <c r="F40" s="142" t="str">
        <f ca="1">IF(Effectif!$D40&gt;0,(IF(DATEDIF(Effectif!$D40,TODAY(),"y")&gt;=18,"Majeur","Mineur")),"Inconnu")</f>
        <v>Majeur</v>
      </c>
      <c r="G40" s="151"/>
      <c r="H40" s="152"/>
      <c r="I40" s="150"/>
      <c r="J40" s="194">
        <v>43246</v>
      </c>
      <c r="K40" s="144" t="str">
        <f>IF(ISBLANK(Effectif!$J40),"Inconnu",INT((Effectif!$J40-Effectif!$D40)/365.25)&amp;" ans "&amp;MONTH(Effectif!$J40-Effectif!$D40)-1&amp;" mois ")</f>
        <v xml:space="preserve">16 ans 5 mois </v>
      </c>
      <c r="L40" s="194">
        <f>IF(Effectif!$D40&gt;0,DATE(YEAR(Effectif!$D40)+18,MONTH(Effectif!$D40),DAY(Effectif!$D40)),"")</f>
        <v>43823</v>
      </c>
      <c r="M40" s="194">
        <v>43434</v>
      </c>
      <c r="N40" s="151" t="s">
        <v>144</v>
      </c>
      <c r="O40" s="150"/>
      <c r="P40" s="151"/>
      <c r="Q40" s="154"/>
      <c r="R40" s="151"/>
      <c r="S40" s="151"/>
      <c r="T40" s="147"/>
      <c r="U40" s="150" t="s">
        <v>160</v>
      </c>
      <c r="V40" s="159">
        <v>44012</v>
      </c>
      <c r="W40" s="141" t="str">
        <f>IF(Effectif!$S40&gt;0,IF(Effectif!$U40="ATJM à faire","En attente",IF(Effectif!$U40="ATJM en réalisation","En attente",(IF(Effectif!$E40&lt;18,"Pas d'ATJM",EDATE(Effectif!$V40,-2))))),"Inconnu")</f>
        <v>Inconnu</v>
      </c>
      <c r="X40" s="153" t="str">
        <f>IF(OR(Effectif!$Z39="Non",Effectif!$AD39="Non"),"Oui","Fait")</f>
        <v>Oui</v>
      </c>
      <c r="Y40" s="150"/>
      <c r="Z40" s="151" t="s">
        <v>24</v>
      </c>
      <c r="AA40" s="155"/>
      <c r="AB40" s="141"/>
      <c r="AC40" s="151" t="s">
        <v>24</v>
      </c>
      <c r="AD40" s="151" t="s">
        <v>24</v>
      </c>
      <c r="AE40" s="144" t="s">
        <v>241</v>
      </c>
      <c r="AF40" s="141"/>
      <c r="AG40" s="210">
        <v>15.45</v>
      </c>
      <c r="AH40" s="192" t="str">
        <f t="shared" si="4"/>
        <v>Avec CMU</v>
      </c>
      <c r="AI40" s="194" t="str">
        <f ca="1">IF(Effectif!$AE40="Néant","Néant",IF(Effectif!$AE40&lt;&gt;"",VLOOKUP(TEXT(Effectif!$AE40,"@"),Paramètres!$E$21:$F$23,2,0)))</f>
        <v>31/05/20</v>
      </c>
      <c r="AJ40" s="142" t="s">
        <v>24</v>
      </c>
      <c r="AK40" s="151" t="s">
        <v>24</v>
      </c>
      <c r="AL40" s="151" t="s">
        <v>24</v>
      </c>
      <c r="AM40" s="151" t="s">
        <v>25</v>
      </c>
      <c r="AN40" s="151"/>
      <c r="AO40" s="143"/>
      <c r="AP40" s="142"/>
      <c r="AQ40" s="151" t="s">
        <v>33</v>
      </c>
      <c r="AR40" s="151" t="s">
        <v>24</v>
      </c>
      <c r="AS40" s="151"/>
      <c r="AT40" s="151"/>
      <c r="AU40" s="151"/>
      <c r="AV40" s="159"/>
      <c r="AW40" s="151"/>
      <c r="AX40" s="148" t="str">
        <f t="shared" si="5"/>
        <v/>
      </c>
      <c r="AY40" s="157"/>
    </row>
    <row r="41" spans="1:51" s="24" customFormat="1" ht="15" customHeight="1" x14ac:dyDescent="0.25">
      <c r="A41" s="138" t="s">
        <v>322</v>
      </c>
      <c r="B41" s="139" t="s">
        <v>323</v>
      </c>
      <c r="C41" s="139" t="str">
        <f t="shared" si="3"/>
        <v>azerty azertty</v>
      </c>
      <c r="D41" s="147" t="s">
        <v>296</v>
      </c>
      <c r="E41" s="142">
        <f ca="1">IF(Effectif!$D41&gt;0,IF(DATE(YEAR(TODAY()),MONTH(Effectif!$D41),DAY(Effectif!$D41))&lt;=TODAY(),YEAR(TODAY())-YEAR(Effectif!$D41),YEAR(TODAY())-YEAR(Effectif!$D41)-1),"Inconnu")</f>
        <v>17</v>
      </c>
      <c r="F41" s="142" t="str">
        <f ca="1">IF(Effectif!$D41&gt;0,(IF(DATEDIF(Effectif!$D41,TODAY(),"y")&gt;=18,"Majeur","Mineur")),"Inconnu")</f>
        <v>Mineur</v>
      </c>
      <c r="G41" s="142"/>
      <c r="H41" s="143"/>
      <c r="I41" s="141"/>
      <c r="J41" s="194">
        <v>43678</v>
      </c>
      <c r="K41" s="144" t="str">
        <f>IF(ISBLANK(Effectif!$J41),"Inconnu",INT((Effectif!$J41-Effectif!$D41)/365.25)&amp;" ans "&amp;MONTH(Effectif!$J41-Effectif!$D41)-1&amp;" mois ")</f>
        <v xml:space="preserve">17 ans 1 mois </v>
      </c>
      <c r="L41" s="194">
        <f>IF(Effectif!$D41&gt;0,DATE(YEAR(Effectif!$D41)+18,MONTH(Effectif!$D41),DAY(Effectif!$D41)),"")</f>
        <v>44002</v>
      </c>
      <c r="M41" s="194">
        <v>43825</v>
      </c>
      <c r="N41" s="142" t="s">
        <v>144</v>
      </c>
      <c r="O41" s="141"/>
      <c r="P41" s="142"/>
      <c r="Q41" s="145"/>
      <c r="R41" s="142"/>
      <c r="S41" s="142"/>
      <c r="T41" s="147"/>
      <c r="U41" s="141" t="s">
        <v>155</v>
      </c>
      <c r="V41" s="194"/>
      <c r="W41" s="141" t="str">
        <f>IF(Effectif!$S41&gt;0,IF(Effectif!$U41="ATJM à faire","En attente",IF(Effectif!$U41="ATJM en réalisation","En attente",(IF(Effectif!$E41&lt;18,"Pas d'ATJM",EDATE(Effectif!$V41,-2))))),"Inconnu")</f>
        <v>Inconnu</v>
      </c>
      <c r="X41" s="153" t="str">
        <f>IF(OR(Effectif!$Z40="Non",Effectif!$AD40="Non"),"Oui","Fait")</f>
        <v>Fait</v>
      </c>
      <c r="Y41" s="141"/>
      <c r="Z41" s="142" t="s">
        <v>24</v>
      </c>
      <c r="AA41" s="146"/>
      <c r="AB41" s="141"/>
      <c r="AC41" s="142" t="s">
        <v>25</v>
      </c>
      <c r="AD41" s="142" t="s">
        <v>25</v>
      </c>
      <c r="AE41" s="144" t="s">
        <v>241</v>
      </c>
      <c r="AF41" s="141"/>
      <c r="AG41" s="210">
        <v>15.45</v>
      </c>
      <c r="AH41" s="192" t="str">
        <f t="shared" si="4"/>
        <v>Avec CMU</v>
      </c>
      <c r="AI41" s="194" t="str">
        <f ca="1">IF(Effectif!$AE41="Néant","Néant",IF(Effectif!$AE41&lt;&gt;"",VLOOKUP(TEXT(Effectif!$AE41,"@"),Paramètres!$E$21:$F$23,2,0)))</f>
        <v>31/05/20</v>
      </c>
      <c r="AJ41" s="142" t="s">
        <v>24</v>
      </c>
      <c r="AK41" s="142" t="s">
        <v>25</v>
      </c>
      <c r="AL41" s="142" t="s">
        <v>25</v>
      </c>
      <c r="AM41" s="142" t="s">
        <v>25</v>
      </c>
      <c r="AN41" s="142"/>
      <c r="AO41" s="143"/>
      <c r="AP41" s="142"/>
      <c r="AQ41" s="142"/>
      <c r="AR41" s="142" t="s">
        <v>24</v>
      </c>
      <c r="AS41" s="142"/>
      <c r="AT41" s="142"/>
      <c r="AU41" s="142"/>
      <c r="AV41" s="194"/>
      <c r="AW41" s="142"/>
      <c r="AX41" s="148" t="str">
        <f t="shared" si="5"/>
        <v>d'un compte bancaire et de son RIB</v>
      </c>
      <c r="AY41" s="149"/>
    </row>
    <row r="42" spans="1:51" s="24" customFormat="1" ht="15" customHeight="1" x14ac:dyDescent="0.25">
      <c r="A42" s="138" t="s">
        <v>322</v>
      </c>
      <c r="B42" s="139" t="s">
        <v>323</v>
      </c>
      <c r="C42" s="139" t="str">
        <f t="shared" si="3"/>
        <v>azerty azertty</v>
      </c>
      <c r="D42" s="147" t="s">
        <v>297</v>
      </c>
      <c r="E42" s="142">
        <f ca="1">IF(Effectif!$D42&gt;0,IF(DATE(YEAR(TODAY()),MONTH(Effectif!$D42),DAY(Effectif!$D42))&lt;=TODAY(),YEAR(TODAY())-YEAR(Effectif!$D42),YEAR(TODAY())-YEAR(Effectif!$D42)-1),"Inconnu")</f>
        <v>17</v>
      </c>
      <c r="F42" s="142" t="str">
        <f ca="1">IF(Effectif!$D42&gt;0,(IF(DATEDIF(Effectif!$D42,TODAY(),"y")&gt;=18,"Majeur","Mineur")),"Inconnu")</f>
        <v>Mineur</v>
      </c>
      <c r="G42" s="151"/>
      <c r="H42" s="152"/>
      <c r="I42" s="150"/>
      <c r="J42" s="194">
        <v>43819</v>
      </c>
      <c r="K42" s="144" t="str">
        <f>IF(ISBLANK(Effectif!$J42),"Inconnu",INT((Effectif!$J42-Effectif!$D42)/365.25)&amp;" ans "&amp;MONTH(Effectif!$J42-Effectif!$D42)-1&amp;" mois ")</f>
        <v xml:space="preserve">16 ans 10 mois </v>
      </c>
      <c r="L42" s="194">
        <f>IF(Effectif!$D42&gt;0,DATE(YEAR(Effectif!$D42)+18,MONTH(Effectif!$D42),DAY(Effectif!$D42)),"")</f>
        <v>44240</v>
      </c>
      <c r="M42" s="194">
        <v>43852</v>
      </c>
      <c r="N42" s="151" t="s">
        <v>144</v>
      </c>
      <c r="O42" s="150"/>
      <c r="P42" s="151"/>
      <c r="Q42" s="154"/>
      <c r="R42" s="151"/>
      <c r="S42" s="151"/>
      <c r="T42" s="147"/>
      <c r="U42" s="150" t="s">
        <v>155</v>
      </c>
      <c r="V42" s="159"/>
      <c r="W42" s="141" t="str">
        <f>IF(Effectif!$S42&gt;0,IF(Effectif!$U42="ATJM à faire","En attente",IF(Effectif!$U42="ATJM en réalisation","En attente",(IF(Effectif!$E42&lt;18,"Pas d'ATJM",EDATE(Effectif!$V42,-2))))),"Inconnu")</f>
        <v>Inconnu</v>
      </c>
      <c r="X42" s="153" t="str">
        <f>IF(OR(Effectif!$Z41="Non",Effectif!$AD41="Non"),"Oui","Fait")</f>
        <v>Oui</v>
      </c>
      <c r="Y42" s="150"/>
      <c r="Z42" s="151" t="s">
        <v>24</v>
      </c>
      <c r="AA42" s="155"/>
      <c r="AB42" s="141"/>
      <c r="AC42" s="151" t="s">
        <v>25</v>
      </c>
      <c r="AD42" s="151" t="s">
        <v>25</v>
      </c>
      <c r="AE42" s="144" t="s">
        <v>241</v>
      </c>
      <c r="AF42" s="141"/>
      <c r="AG42" s="210">
        <v>15.45</v>
      </c>
      <c r="AH42" s="192" t="str">
        <f t="shared" si="4"/>
        <v>Avec CMU</v>
      </c>
      <c r="AI42" s="194" t="str">
        <f ca="1">IF(Effectif!$AE42="Néant","Néant",IF(Effectif!$AE42&lt;&gt;"",VLOOKUP(TEXT(Effectif!$AE42,"@"),Paramètres!$E$21:$F$23,2,0)))</f>
        <v>31/05/20</v>
      </c>
      <c r="AJ42" s="142" t="s">
        <v>24</v>
      </c>
      <c r="AK42" s="151" t="s">
        <v>25</v>
      </c>
      <c r="AL42" s="151" t="s">
        <v>25</v>
      </c>
      <c r="AM42" s="151" t="s">
        <v>25</v>
      </c>
      <c r="AN42" s="151"/>
      <c r="AO42" s="143"/>
      <c r="AP42" s="142"/>
      <c r="AQ42" s="151" t="s">
        <v>33</v>
      </c>
      <c r="AR42" s="151" t="s">
        <v>24</v>
      </c>
      <c r="AS42" s="151"/>
      <c r="AT42" s="151"/>
      <c r="AU42" s="151"/>
      <c r="AV42" s="159"/>
      <c r="AW42" s="151"/>
      <c r="AX42" s="148" t="str">
        <f t="shared" si="5"/>
        <v>d'un compte bancaire et de son RIB</v>
      </c>
      <c r="AY42" s="157"/>
    </row>
    <row r="43" spans="1:51" s="24" customFormat="1" ht="15" customHeight="1" x14ac:dyDescent="0.25">
      <c r="A43" s="138" t="s">
        <v>322</v>
      </c>
      <c r="B43" s="139" t="s">
        <v>323</v>
      </c>
      <c r="C43" s="139" t="str">
        <f t="shared" si="3"/>
        <v>azerty azertty</v>
      </c>
      <c r="D43" s="147" t="s">
        <v>298</v>
      </c>
      <c r="E43" s="142">
        <f ca="1">IF(Effectif!$D43&gt;0,IF(DATE(YEAR(TODAY()),MONTH(Effectif!$D43),DAY(Effectif!$D43))&lt;=TODAY(),YEAR(TODAY())-YEAR(Effectif!$D43),YEAR(TODAY())-YEAR(Effectif!$D43)-1),"Inconnu")</f>
        <v>18</v>
      </c>
      <c r="F43" s="142" t="str">
        <f ca="1">IF(Effectif!$D43&gt;0,(IF(DATEDIF(Effectif!$D43,TODAY(),"y")&gt;=18,"Majeur","Mineur")),"Inconnu")</f>
        <v>Majeur</v>
      </c>
      <c r="G43" s="142"/>
      <c r="H43" s="143"/>
      <c r="I43" s="141"/>
      <c r="J43" s="194">
        <v>43084</v>
      </c>
      <c r="K43" s="144" t="str">
        <f>IF(ISBLANK(Effectif!$J43),"Inconnu",INT((Effectif!$J43-Effectif!$D43)/365.25)&amp;" ans "&amp;MONTH(Effectif!$J43-Effectif!$D43)-1&amp;" mois ")</f>
        <v xml:space="preserve">16 ans 0 mois </v>
      </c>
      <c r="L43" s="194">
        <f>IF(Effectif!$D43&gt;0,DATE(YEAR(Effectif!$D43)+18,MONTH(Effectif!$D43),DAY(Effectif!$D43)),"")</f>
        <v>43784</v>
      </c>
      <c r="M43" s="194">
        <v>43445</v>
      </c>
      <c r="N43" s="142" t="s">
        <v>145</v>
      </c>
      <c r="O43" s="141"/>
      <c r="P43" s="142"/>
      <c r="Q43" s="145"/>
      <c r="R43" s="142"/>
      <c r="S43" s="142"/>
      <c r="T43" s="147"/>
      <c r="U43" s="141" t="s">
        <v>160</v>
      </c>
      <c r="V43" s="194">
        <v>43966</v>
      </c>
      <c r="W43" s="141" t="str">
        <f>IF(Effectif!$S43&gt;0,IF(Effectif!$U43="ATJM à faire","En attente",IF(Effectif!$U43="ATJM en réalisation","En attente",(IF(Effectif!$E43&lt;18,"Pas d'ATJM",EDATE(Effectif!$V43,-2))))),"Inconnu")</f>
        <v>Inconnu</v>
      </c>
      <c r="X43" s="153" t="str">
        <f>IF(OR(Effectif!$Z42="Non",Effectif!$AD42="Non"),"Oui","Fait")</f>
        <v>Oui</v>
      </c>
      <c r="Y43" s="141"/>
      <c r="Z43" s="142" t="s">
        <v>24</v>
      </c>
      <c r="AA43" s="146"/>
      <c r="AB43" s="141"/>
      <c r="AC43" s="142" t="s">
        <v>25</v>
      </c>
      <c r="AD43" s="142" t="s">
        <v>24</v>
      </c>
      <c r="AE43" s="144" t="s">
        <v>242</v>
      </c>
      <c r="AF43" s="141"/>
      <c r="AG43" s="210">
        <v>22.25</v>
      </c>
      <c r="AH43" s="192" t="str">
        <f t="shared" si="4"/>
        <v>Scolaire avec CMU</v>
      </c>
      <c r="AI43" s="194" t="str">
        <f ca="1">IF(Effectif!$AE43="Néant","Néant",IF(Effectif!$AE43&lt;&gt;"",VLOOKUP(TEXT(Effectif!$AE43,"@"),Paramètres!$E$21:$F$23,2,0)))</f>
        <v>31/08/20</v>
      </c>
      <c r="AJ43" s="142" t="s">
        <v>24</v>
      </c>
      <c r="AK43" s="142" t="s">
        <v>24</v>
      </c>
      <c r="AL43" s="142" t="s">
        <v>24</v>
      </c>
      <c r="AM43" s="142" t="s">
        <v>25</v>
      </c>
      <c r="AN43" s="142"/>
      <c r="AO43" s="143"/>
      <c r="AP43" s="142"/>
      <c r="AQ43" s="142" t="s">
        <v>33</v>
      </c>
      <c r="AR43" s="142" t="s">
        <v>24</v>
      </c>
      <c r="AS43" s="142" t="s">
        <v>135</v>
      </c>
      <c r="AT43" s="142" t="s">
        <v>8</v>
      </c>
      <c r="AU43" s="142" t="s">
        <v>69</v>
      </c>
      <c r="AV43" s="194">
        <v>43997</v>
      </c>
      <c r="AW43" s="142"/>
      <c r="AX43" s="148" t="str">
        <f t="shared" si="5"/>
        <v/>
      </c>
      <c r="AY43" s="149"/>
    </row>
    <row r="44" spans="1:51" s="24" customFormat="1" ht="15" customHeight="1" x14ac:dyDescent="0.25">
      <c r="A44" s="138" t="s">
        <v>322</v>
      </c>
      <c r="B44" s="139" t="s">
        <v>323</v>
      </c>
      <c r="C44" s="139" t="str">
        <f t="shared" si="3"/>
        <v>azerty azertty</v>
      </c>
      <c r="D44" s="147" t="s">
        <v>299</v>
      </c>
      <c r="E44" s="142">
        <f ca="1">IF(Effectif!$D44&gt;0,IF(DATE(YEAR(TODAY()),MONTH(Effectif!$D44),DAY(Effectif!$D44))&lt;=TODAY(),YEAR(TODAY())-YEAR(Effectif!$D44),YEAR(TODAY())-YEAR(Effectif!$D44)-1),"Inconnu")</f>
        <v>18</v>
      </c>
      <c r="F44" s="142" t="str">
        <f ca="1">IF(Effectif!$D44&gt;0,(IF(DATEDIF(Effectif!$D44,TODAY(),"y")&gt;=18,"Majeur","Mineur")),"Inconnu")</f>
        <v>Majeur</v>
      </c>
      <c r="G44" s="151"/>
      <c r="H44" s="152"/>
      <c r="I44" s="150"/>
      <c r="J44" s="194">
        <v>43101</v>
      </c>
      <c r="K44" s="144" t="str">
        <f>IF(ISBLANK(Effectif!$J44),"Inconnu",INT((Effectif!$J44-Effectif!$D44)/365.25)&amp;" ans "&amp;MONTH(Effectif!$J44-Effectif!$D44)-1&amp;" mois ")</f>
        <v xml:space="preserve">16 ans 3 mois </v>
      </c>
      <c r="L44" s="194">
        <f>IF(Effectif!$D44&gt;0,DATE(YEAR(Effectif!$D44)+18,MONTH(Effectif!$D44),DAY(Effectif!$D44)),"")</f>
        <v>43723</v>
      </c>
      <c r="M44" s="194">
        <v>43434</v>
      </c>
      <c r="N44" s="151" t="s">
        <v>144</v>
      </c>
      <c r="O44" s="150"/>
      <c r="P44" s="151"/>
      <c r="Q44" s="154"/>
      <c r="R44" s="151"/>
      <c r="S44" s="151"/>
      <c r="T44" s="147"/>
      <c r="U44" s="150" t="s">
        <v>161</v>
      </c>
      <c r="V44" s="159">
        <v>44074</v>
      </c>
      <c r="W44" s="141" t="str">
        <f>IF(Effectif!$S44&gt;0,IF(Effectif!$U44="ATJM à faire","En attente",IF(Effectif!$U44="ATJM en réalisation","En attente",(IF(Effectif!$E44&lt;18,"Pas d'ATJM",EDATE(Effectif!$V44,-2))))),"Inconnu")</f>
        <v>Inconnu</v>
      </c>
      <c r="X44" s="153" t="str">
        <f>IF(OR(Effectif!$Z43="Non",Effectif!$AD43="Non"),"Oui","Fait")</f>
        <v>Fait</v>
      </c>
      <c r="Y44" s="150"/>
      <c r="Z44" s="151" t="s">
        <v>24</v>
      </c>
      <c r="AA44" s="155"/>
      <c r="AB44" s="141"/>
      <c r="AC44" s="151" t="s">
        <v>24</v>
      </c>
      <c r="AD44" s="151" t="s">
        <v>24</v>
      </c>
      <c r="AE44" s="144" t="s">
        <v>242</v>
      </c>
      <c r="AF44" s="141"/>
      <c r="AG44" s="210">
        <v>22.25</v>
      </c>
      <c r="AH44" s="192" t="str">
        <f t="shared" si="4"/>
        <v>Scolaire avec CMU</v>
      </c>
      <c r="AI44" s="194" t="str">
        <f ca="1">IF(Effectif!$AE44="Néant","Néant",IF(Effectif!$AE44&lt;&gt;"",VLOOKUP(TEXT(Effectif!$AE44,"@"),Paramètres!$E$21:$F$23,2,0)))</f>
        <v>31/08/20</v>
      </c>
      <c r="AJ44" s="142" t="s">
        <v>24</v>
      </c>
      <c r="AK44" s="151" t="s">
        <v>24</v>
      </c>
      <c r="AL44" s="151" t="s">
        <v>25</v>
      </c>
      <c r="AM44" s="151" t="s">
        <v>24</v>
      </c>
      <c r="AN44" s="151"/>
      <c r="AO44" s="143"/>
      <c r="AP44" s="142"/>
      <c r="AQ44" s="151" t="s">
        <v>33</v>
      </c>
      <c r="AR44" s="151" t="s">
        <v>24</v>
      </c>
      <c r="AS44" s="151" t="s">
        <v>135</v>
      </c>
      <c r="AT44" s="151" t="s">
        <v>8</v>
      </c>
      <c r="AU44" s="151" t="s">
        <v>69</v>
      </c>
      <c r="AV44" s="159">
        <v>43964</v>
      </c>
      <c r="AW44" s="151"/>
      <c r="AX44" s="148" t="str">
        <f t="shared" si="5"/>
        <v/>
      </c>
      <c r="AY44" s="157"/>
    </row>
    <row r="45" spans="1:51" s="24" customFormat="1" ht="15" customHeight="1" x14ac:dyDescent="0.25">
      <c r="A45" s="138" t="s">
        <v>322</v>
      </c>
      <c r="B45" s="139" t="s">
        <v>323</v>
      </c>
      <c r="C45" s="139" t="str">
        <f t="shared" si="3"/>
        <v>azerty azertty</v>
      </c>
      <c r="D45" s="147" t="s">
        <v>288</v>
      </c>
      <c r="E45" s="142">
        <f ca="1">IF(Effectif!$D45&gt;0,IF(DATE(YEAR(TODAY()),MONTH(Effectif!$D45),DAY(Effectif!$D45))&lt;=TODAY(),YEAR(TODAY())-YEAR(Effectif!$D45),YEAR(TODAY())-YEAR(Effectif!$D45)-1),"Inconnu")</f>
        <v>16</v>
      </c>
      <c r="F45" s="142" t="str">
        <f ca="1">IF(Effectif!$D45&gt;0,(IF(DATEDIF(Effectif!$D45,TODAY(),"y")&gt;=18,"Majeur","Mineur")),"Inconnu")</f>
        <v>Mineur</v>
      </c>
      <c r="G45" s="142"/>
      <c r="H45" s="143"/>
      <c r="I45" s="141"/>
      <c r="J45" s="194">
        <v>43632</v>
      </c>
      <c r="K45" s="144" t="str">
        <f>IF(ISBLANK(Effectif!$J45),"Inconnu",INT((Effectif!$J45-Effectif!$D45)/365.25)&amp;" ans "&amp;MONTH(Effectif!$J45-Effectif!$D45)-1&amp;" mois ")</f>
        <v xml:space="preserve">15 ans 5 mois </v>
      </c>
      <c r="L45" s="194">
        <f>IF(Effectif!$D45&gt;0,DATE(YEAR(Effectif!$D45)+18,MONTH(Effectif!$D45),DAY(Effectif!$D45)),"")</f>
        <v>44561</v>
      </c>
      <c r="M45" s="194">
        <v>44153</v>
      </c>
      <c r="N45" s="142" t="s">
        <v>145</v>
      </c>
      <c r="O45" s="141"/>
      <c r="P45" s="142"/>
      <c r="Q45" s="145"/>
      <c r="R45" s="142"/>
      <c r="S45" s="142"/>
      <c r="T45" s="147"/>
      <c r="U45" s="141" t="s">
        <v>155</v>
      </c>
      <c r="V45" s="194"/>
      <c r="W45" s="141" t="str">
        <f>IF(Effectif!$S45&gt;0,IF(Effectif!$U45="ATJM à faire","En attente",IF(Effectif!$U45="ATJM en réalisation","En attente",(IF(Effectif!$E45&lt;18,"Pas d'ATJM",EDATE(Effectif!$V45,-2))))),"Inconnu")</f>
        <v>Inconnu</v>
      </c>
      <c r="X45" s="153" t="str">
        <f>IF(OR(Effectif!$Z44="Non",Effectif!$AD44="Non"),"Oui","Fait")</f>
        <v>Fait</v>
      </c>
      <c r="Y45" s="141"/>
      <c r="Z45" s="142" t="s">
        <v>24</v>
      </c>
      <c r="AA45" s="146"/>
      <c r="AB45" s="141"/>
      <c r="AC45" s="142" t="s">
        <v>25</v>
      </c>
      <c r="AD45" s="142" t="s">
        <v>24</v>
      </c>
      <c r="AE45" s="144" t="s">
        <v>241</v>
      </c>
      <c r="AF45" s="141"/>
      <c r="AG45" s="210">
        <v>15.45</v>
      </c>
      <c r="AH45" s="192" t="str">
        <f t="shared" si="4"/>
        <v>Avec CMU</v>
      </c>
      <c r="AI45" s="194" t="str">
        <f ca="1">IF(Effectif!$AE45="Néant","Néant",IF(Effectif!$AE45&lt;&gt;"",VLOOKUP(TEXT(Effectif!$AE45,"@"),Paramètres!$E$21:$F$23,2,0)))</f>
        <v>31/05/20</v>
      </c>
      <c r="AJ45" s="142" t="s">
        <v>24</v>
      </c>
      <c r="AK45" s="142" t="s">
        <v>25</v>
      </c>
      <c r="AL45" s="142" t="s">
        <v>25</v>
      </c>
      <c r="AM45" s="142" t="s">
        <v>25</v>
      </c>
      <c r="AN45" s="142"/>
      <c r="AO45" s="143"/>
      <c r="AP45" s="142"/>
      <c r="AQ45" s="142"/>
      <c r="AR45" s="142" t="s">
        <v>25</v>
      </c>
      <c r="AS45" s="142"/>
      <c r="AT45" s="142"/>
      <c r="AU45" s="142"/>
      <c r="AV45" s="194"/>
      <c r="AW45" s="142"/>
      <c r="AX45" s="148" t="str">
        <f t="shared" si="5"/>
        <v/>
      </c>
      <c r="AY45" s="149"/>
    </row>
    <row r="46" spans="1:51" s="24" customFormat="1" ht="15" customHeight="1" x14ac:dyDescent="0.25">
      <c r="A46" s="138" t="s">
        <v>322</v>
      </c>
      <c r="B46" s="139" t="s">
        <v>323</v>
      </c>
      <c r="C46" s="139" t="str">
        <f t="shared" si="3"/>
        <v>azerty azertty</v>
      </c>
      <c r="D46" s="147" t="s">
        <v>276</v>
      </c>
      <c r="E46" s="142">
        <f ca="1">IF(Effectif!$D46&gt;0,IF(DATE(YEAR(TODAY()),MONTH(Effectif!$D46),DAY(Effectif!$D46))&lt;=TODAY(),YEAR(TODAY())-YEAR(Effectif!$D46),YEAR(TODAY())-YEAR(Effectif!$D46)-1),"Inconnu")</f>
        <v>17</v>
      </c>
      <c r="F46" s="142" t="str">
        <f ca="1">IF(Effectif!$D46&gt;0,(IF(DATEDIF(Effectif!$D46,TODAY(),"y")&gt;=18,"Majeur","Mineur")),"Inconnu")</f>
        <v>Mineur</v>
      </c>
      <c r="G46" s="151"/>
      <c r="H46" s="152"/>
      <c r="I46" s="150"/>
      <c r="J46" s="194">
        <v>43252</v>
      </c>
      <c r="K46" s="144" t="str">
        <f>IF(ISBLANK(Effectif!$J46),"Inconnu",INT((Effectif!$J46-Effectif!$D46)/365.25)&amp;" ans "&amp;MONTH(Effectif!$J46-Effectif!$D46)-1&amp;" mois ")</f>
        <v xml:space="preserve">15 ans 5 mois </v>
      </c>
      <c r="L46" s="194">
        <f>IF(Effectif!$D46&gt;0,DATE(YEAR(Effectif!$D46)+18,MONTH(Effectif!$D46),DAY(Effectif!$D46)),"")</f>
        <v>44196</v>
      </c>
      <c r="M46" s="194">
        <v>43508</v>
      </c>
      <c r="N46" s="151" t="s">
        <v>144</v>
      </c>
      <c r="O46" s="150"/>
      <c r="P46" s="151"/>
      <c r="Q46" s="154"/>
      <c r="R46" s="151"/>
      <c r="S46" s="151"/>
      <c r="T46" s="147"/>
      <c r="U46" s="150" t="s">
        <v>155</v>
      </c>
      <c r="V46" s="159"/>
      <c r="W46" s="141" t="str">
        <f>IF(Effectif!$S46&gt;0,IF(Effectif!$U46="ATJM à faire","En attente",IF(Effectif!$U46="ATJM en réalisation","En attente",(IF(Effectif!$E46&lt;18,"Pas d'ATJM",EDATE(Effectif!$V46,-2))))),"Inconnu")</f>
        <v>Inconnu</v>
      </c>
      <c r="X46" s="153" t="str">
        <f>IF(OR(Effectif!$Z45="Non",Effectif!$AD45="Non"),"Oui","Fait")</f>
        <v>Fait</v>
      </c>
      <c r="Y46" s="150"/>
      <c r="Z46" s="151" t="s">
        <v>24</v>
      </c>
      <c r="AA46" s="155"/>
      <c r="AB46" s="141"/>
      <c r="AC46" s="151" t="s">
        <v>25</v>
      </c>
      <c r="AD46" s="151" t="s">
        <v>24</v>
      </c>
      <c r="AE46" s="144" t="s">
        <v>242</v>
      </c>
      <c r="AF46" s="141"/>
      <c r="AG46" s="210">
        <v>22.25</v>
      </c>
      <c r="AH46" s="192" t="str">
        <f t="shared" si="4"/>
        <v>Scolaire avec CMU</v>
      </c>
      <c r="AI46" s="194" t="str">
        <f ca="1">IF(Effectif!$AE46="Néant","Néant",IF(Effectif!$AE46&lt;&gt;"",VLOOKUP(TEXT(Effectif!$AE46,"@"),Paramètres!$E$21:$F$23,2,0)))</f>
        <v>31/08/20</v>
      </c>
      <c r="AJ46" s="142" t="s">
        <v>24</v>
      </c>
      <c r="AK46" s="151" t="s">
        <v>25</v>
      </c>
      <c r="AL46" s="151" t="s">
        <v>25</v>
      </c>
      <c r="AM46" s="151" t="s">
        <v>25</v>
      </c>
      <c r="AN46" s="151"/>
      <c r="AO46" s="143"/>
      <c r="AP46" s="142"/>
      <c r="AQ46" s="151"/>
      <c r="AR46" s="151" t="s">
        <v>24</v>
      </c>
      <c r="AS46" s="151" t="s">
        <v>135</v>
      </c>
      <c r="AT46" s="151" t="s">
        <v>8</v>
      </c>
      <c r="AU46" s="151" t="s">
        <v>133</v>
      </c>
      <c r="AV46" s="159"/>
      <c r="AW46" s="151"/>
      <c r="AX46" s="148" t="str">
        <f t="shared" si="5"/>
        <v/>
      </c>
      <c r="AY46" s="156"/>
    </row>
    <row r="47" spans="1:51" s="24" customFormat="1" ht="15" customHeight="1" x14ac:dyDescent="0.25">
      <c r="A47" s="138" t="s">
        <v>322</v>
      </c>
      <c r="B47" s="139" t="s">
        <v>323</v>
      </c>
      <c r="C47" s="139" t="str">
        <f t="shared" si="3"/>
        <v>azerty azertty</v>
      </c>
      <c r="D47" s="147" t="s">
        <v>265</v>
      </c>
      <c r="E47" s="142">
        <f ca="1">IF(Effectif!$D47&gt;0,IF(DATE(YEAR(TODAY()),MONTH(Effectif!$D47),DAY(Effectif!$D47))&lt;=TODAY(),YEAR(TODAY())-YEAR(Effectif!$D47),YEAR(TODAY())-YEAR(Effectif!$D47)-1),"Inconnu")</f>
        <v>17</v>
      </c>
      <c r="F47" s="142" t="str">
        <f ca="1">IF(Effectif!$D47&gt;0,(IF(DATEDIF(Effectif!$D47,TODAY(),"y")&gt;=18,"Majeur","Mineur")),"Inconnu")</f>
        <v>Mineur</v>
      </c>
      <c r="G47" s="142"/>
      <c r="H47" s="143"/>
      <c r="I47" s="141"/>
      <c r="J47" s="194">
        <v>43825</v>
      </c>
      <c r="K47" s="144" t="str">
        <f>IF(ISBLANK(Effectif!$J47),"Inconnu",INT((Effectif!$J47-Effectif!$D47)/365.25)&amp;" ans "&amp;MONTH(Effectif!$J47-Effectif!$D47)-1&amp;" mois ")</f>
        <v xml:space="preserve">17 ans 5 mois </v>
      </c>
      <c r="L47" s="194">
        <f>IF(Effectif!$D47&gt;0,DATE(YEAR(Effectif!$D47)+18,MONTH(Effectif!$D47),DAY(Effectif!$D47)),"")</f>
        <v>44028</v>
      </c>
      <c r="M47" s="194">
        <v>43971</v>
      </c>
      <c r="N47" s="142" t="s">
        <v>144</v>
      </c>
      <c r="O47" s="141"/>
      <c r="P47" s="142"/>
      <c r="Q47" s="145"/>
      <c r="R47" s="142"/>
      <c r="S47" s="142"/>
      <c r="T47" s="147"/>
      <c r="U47" s="141" t="s">
        <v>155</v>
      </c>
      <c r="V47" s="194"/>
      <c r="W47" s="141" t="str">
        <f>IF(Effectif!$S47&gt;0,IF(Effectif!$U47="ATJM à faire","En attente",IF(Effectif!$U47="ATJM en réalisation","En attente",(IF(Effectif!$E47&lt;18,"Pas d'ATJM",EDATE(Effectif!$V47,-2))))),"Inconnu")</f>
        <v>Inconnu</v>
      </c>
      <c r="X47" s="153"/>
      <c r="Y47" s="141"/>
      <c r="Z47" s="142" t="s">
        <v>25</v>
      </c>
      <c r="AA47" s="146"/>
      <c r="AB47" s="141"/>
      <c r="AC47" s="142" t="s">
        <v>25</v>
      </c>
      <c r="AD47" s="142" t="s">
        <v>25</v>
      </c>
      <c r="AE47" s="144" t="s">
        <v>241</v>
      </c>
      <c r="AF47" s="141"/>
      <c r="AG47" s="210">
        <v>30.9</v>
      </c>
      <c r="AH47" s="192" t="str">
        <f t="shared" si="4"/>
        <v>Sans réduction</v>
      </c>
      <c r="AI47" s="194" t="str">
        <f ca="1">IF(Effectif!$AE47="Néant","Néant",IF(Effectif!$AE47&lt;&gt;"",VLOOKUP(TEXT(Effectif!$AE47,"@"),Paramètres!$E$21:$F$23,2,0)))</f>
        <v>31/05/20</v>
      </c>
      <c r="AJ47" s="142" t="s">
        <v>24</v>
      </c>
      <c r="AK47" s="142" t="s">
        <v>25</v>
      </c>
      <c r="AL47" s="142" t="s">
        <v>25</v>
      </c>
      <c r="AM47" s="142" t="s">
        <v>25</v>
      </c>
      <c r="AN47" s="160"/>
      <c r="AO47" s="143"/>
      <c r="AP47" s="142"/>
      <c r="AQ47" s="142"/>
      <c r="AR47" s="142" t="s">
        <v>25</v>
      </c>
      <c r="AS47" s="142"/>
      <c r="AT47" s="142"/>
      <c r="AU47" s="142"/>
      <c r="AV47" s="194"/>
      <c r="AW47" s="142"/>
      <c r="AX47" s="148" t="str">
        <f t="shared" si="5"/>
        <v>de sa CM, d'un compte bancaire et de son RIB</v>
      </c>
      <c r="AY47" s="161"/>
    </row>
    <row r="48" spans="1:51" s="24" customFormat="1" ht="15" customHeight="1" x14ac:dyDescent="0.25">
      <c r="A48" s="138" t="s">
        <v>322</v>
      </c>
      <c r="B48" s="139" t="s">
        <v>323</v>
      </c>
      <c r="C48" s="139" t="str">
        <f t="shared" si="3"/>
        <v>azerty azertty</v>
      </c>
      <c r="D48" s="147" t="s">
        <v>273</v>
      </c>
      <c r="E48" s="142">
        <f ca="1">IF(Effectif!$D48&gt;0,IF(DATE(YEAR(TODAY()),MONTH(Effectif!$D48),DAY(Effectif!$D48))&lt;=TODAY(),YEAR(TODAY())-YEAR(Effectif!$D48),YEAR(TODAY())-YEAR(Effectif!$D48)-1),"Inconnu")</f>
        <v>16</v>
      </c>
      <c r="F48" s="142" t="str">
        <f ca="1">IF(Effectif!$D48&gt;0,(IF(DATEDIF(Effectif!$D48,TODAY(),"y")&gt;=18,"Majeur","Mineur")),"Inconnu")</f>
        <v>Mineur</v>
      </c>
      <c r="G48" s="142"/>
      <c r="H48" s="143"/>
      <c r="I48" s="141"/>
      <c r="J48" s="194">
        <v>43724</v>
      </c>
      <c r="K48" s="144" t="str">
        <f>IF(ISBLANK(Effectif!$J48),"Inconnu",INT((Effectif!$J48-Effectif!$D48)/365.25)&amp;" ans "&amp;MONTH(Effectif!$J48-Effectif!$D48)-1&amp;" mois ")</f>
        <v xml:space="preserve">15 ans 9 mois </v>
      </c>
      <c r="L48" s="194">
        <f>IF(Effectif!$D48&gt;0,DATE(YEAR(Effectif!$D48)+18,MONTH(Effectif!$D48),DAY(Effectif!$D48)),"")</f>
        <v>44540</v>
      </c>
      <c r="M48" s="194">
        <v>43825</v>
      </c>
      <c r="N48" s="142" t="s">
        <v>144</v>
      </c>
      <c r="O48" s="141"/>
      <c r="P48" s="142"/>
      <c r="Q48" s="145"/>
      <c r="R48" s="142"/>
      <c r="S48" s="142"/>
      <c r="T48" s="147"/>
      <c r="U48" s="141" t="s">
        <v>155</v>
      </c>
      <c r="V48" s="194"/>
      <c r="W48" s="141" t="str">
        <f>IF(Effectif!$S48&gt;0,IF(Effectif!$U48="ATJM à faire","En attente",IF(Effectif!$U48="ATJM en réalisation","En attente",(IF(Effectif!$E48&lt;18,"Pas d'ATJM",EDATE(Effectif!$V48,-2))))),"Inconnu")</f>
        <v>Inconnu</v>
      </c>
      <c r="X48" s="153" t="str">
        <f>IF(OR(Effectif!$Z46="Non",Effectif!$AD46="Non"),"Oui","Fait")</f>
        <v>Fait</v>
      </c>
      <c r="Y48" s="141"/>
      <c r="Z48" s="142" t="s">
        <v>24</v>
      </c>
      <c r="AA48" s="146"/>
      <c r="AB48" s="141"/>
      <c r="AC48" s="142" t="s">
        <v>24</v>
      </c>
      <c r="AD48" s="142" t="s">
        <v>25</v>
      </c>
      <c r="AE48" s="144" t="s">
        <v>241</v>
      </c>
      <c r="AF48" s="141"/>
      <c r="AG48" s="210">
        <v>15.45</v>
      </c>
      <c r="AH48" s="192" t="str">
        <f t="shared" si="4"/>
        <v>Avec CMU</v>
      </c>
      <c r="AI48" s="194" t="str">
        <f ca="1">IF(Effectif!$AE48="Néant","Néant",IF(Effectif!$AE48&lt;&gt;"",VLOOKUP(TEXT(Effectif!$AE48,"@"),Paramètres!$E$21:$F$23,2,0)))</f>
        <v>31/05/20</v>
      </c>
      <c r="AJ48" s="142" t="s">
        <v>24</v>
      </c>
      <c r="AK48" s="142" t="s">
        <v>25</v>
      </c>
      <c r="AL48" s="142" t="s">
        <v>25</v>
      </c>
      <c r="AM48" s="142" t="s">
        <v>25</v>
      </c>
      <c r="AN48" s="142"/>
      <c r="AO48" s="143"/>
      <c r="AP48" s="142"/>
      <c r="AQ48" s="142"/>
      <c r="AR48" s="142" t="s">
        <v>24</v>
      </c>
      <c r="AS48" s="142"/>
      <c r="AT48" s="142"/>
      <c r="AU48" s="142"/>
      <c r="AV48" s="194"/>
      <c r="AW48" s="142"/>
      <c r="AX48" s="148" t="str">
        <f t="shared" si="5"/>
        <v>d'un compte bancaire et de son RIB</v>
      </c>
      <c r="AY48" s="149"/>
    </row>
    <row r="49" spans="1:51" s="24" customFormat="1" ht="15" customHeight="1" x14ac:dyDescent="0.25">
      <c r="A49" s="138" t="s">
        <v>322</v>
      </c>
      <c r="B49" s="139" t="s">
        <v>323</v>
      </c>
      <c r="C49" s="139" t="str">
        <f t="shared" si="3"/>
        <v>azerty azertty</v>
      </c>
      <c r="D49" s="147" t="s">
        <v>300</v>
      </c>
      <c r="E49" s="142">
        <f ca="1">IF(Effectif!$D49&gt;0,IF(DATE(YEAR(TODAY()),MONTH(Effectif!$D49),DAY(Effectif!$D49))&lt;=TODAY(),YEAR(TODAY())-YEAR(Effectif!$D49),YEAR(TODAY())-YEAR(Effectif!$D49)-1),"Inconnu")</f>
        <v>16</v>
      </c>
      <c r="F49" s="142" t="str">
        <f ca="1">IF(Effectif!$D49&gt;0,(IF(DATEDIF(Effectif!$D49,TODAY(),"y")&gt;=18,"Majeur","Mineur")),"Inconnu")</f>
        <v>Mineur</v>
      </c>
      <c r="G49" s="142"/>
      <c r="H49" s="143"/>
      <c r="I49" s="141"/>
      <c r="J49" s="194"/>
      <c r="K49" s="144" t="str">
        <f>IF(ISBLANK(Effectif!$J49),"Inconnu",INT((Effectif!$J49-Effectif!$D49)/365.25)&amp;" ans "&amp;MONTH(Effectif!$J49-Effectif!$D49)-1&amp;" mois ")</f>
        <v>Inconnu</v>
      </c>
      <c r="L49" s="194">
        <f>IF(Effectif!$D49&gt;0,DATE(YEAR(Effectif!$D49)+18,MONTH(Effectif!$D49),DAY(Effectif!$D49)),"")</f>
        <v>44349</v>
      </c>
      <c r="M49" s="194"/>
      <c r="N49" s="142" t="s">
        <v>144</v>
      </c>
      <c r="O49" s="141"/>
      <c r="P49" s="142"/>
      <c r="Q49" s="145"/>
      <c r="R49" s="142"/>
      <c r="S49" s="142"/>
      <c r="T49" s="147"/>
      <c r="U49" s="141" t="s">
        <v>155</v>
      </c>
      <c r="V49" s="194"/>
      <c r="W49" s="141" t="str">
        <f>IF(Effectif!$S49&gt;0,IF(Effectif!$U49="ATJM à faire","En attente",IF(Effectif!$U49="ATJM en réalisation","En attente",(IF(Effectif!$E49&lt;18,"Pas d'ATJM",EDATE(Effectif!$V49,-2))))),"Inconnu")</f>
        <v>Inconnu</v>
      </c>
      <c r="X49" s="153" t="str">
        <f>IF(OR(Effectif!$Z48="Non",Effectif!$AD48="Non"),"Oui","Fait")</f>
        <v>Oui</v>
      </c>
      <c r="Y49" s="141"/>
      <c r="Z49" s="142" t="s">
        <v>25</v>
      </c>
      <c r="AA49" s="146"/>
      <c r="AB49" s="141"/>
      <c r="AC49" s="142" t="s">
        <v>25</v>
      </c>
      <c r="AD49" s="142" t="s">
        <v>25</v>
      </c>
      <c r="AE49" s="144" t="s">
        <v>241</v>
      </c>
      <c r="AF49" s="141"/>
      <c r="AG49" s="210">
        <v>30.9</v>
      </c>
      <c r="AH49" s="192" t="str">
        <f t="shared" si="4"/>
        <v>Sans réduction</v>
      </c>
      <c r="AI49" s="194" t="str">
        <f ca="1">IF(Effectif!$AE49="Néant","Néant",IF(Effectif!$AE49&lt;&gt;"",VLOOKUP(TEXT(Effectif!$AE49,"@"),Paramètres!$E$21:$F$23,2,0)))</f>
        <v>31/05/20</v>
      </c>
      <c r="AJ49" s="142" t="s">
        <v>24</v>
      </c>
      <c r="AK49" s="142" t="s">
        <v>25</v>
      </c>
      <c r="AL49" s="142" t="s">
        <v>25</v>
      </c>
      <c r="AM49" s="142" t="s">
        <v>25</v>
      </c>
      <c r="AN49" s="142"/>
      <c r="AO49" s="143"/>
      <c r="AP49" s="142"/>
      <c r="AQ49" s="142"/>
      <c r="AR49" s="142" t="s">
        <v>25</v>
      </c>
      <c r="AS49" s="142"/>
      <c r="AT49" s="142"/>
      <c r="AU49" s="142"/>
      <c r="AV49" s="194"/>
      <c r="AW49" s="142"/>
      <c r="AX49" s="148" t="str">
        <f t="shared" si="5"/>
        <v>de sa CM, d'un compte bancaire et de son RIB</v>
      </c>
      <c r="AY49" s="149"/>
    </row>
    <row r="50" spans="1:51" s="24" customFormat="1" ht="15" customHeight="1" x14ac:dyDescent="0.25">
      <c r="A50" s="138" t="s">
        <v>322</v>
      </c>
      <c r="B50" s="139" t="s">
        <v>323</v>
      </c>
      <c r="C50" s="139" t="str">
        <f t="shared" si="3"/>
        <v>azerty azertty</v>
      </c>
      <c r="D50" s="147" t="s">
        <v>301</v>
      </c>
      <c r="E50" s="142">
        <f ca="1">IF(Effectif!$D50&gt;0,IF(DATE(YEAR(TODAY()),MONTH(Effectif!$D50),DAY(Effectif!$D50))&lt;=TODAY(),YEAR(TODAY())-YEAR(Effectif!$D50),YEAR(TODAY())-YEAR(Effectif!$D50)-1),"Inconnu")</f>
        <v>17</v>
      </c>
      <c r="F50" s="142" t="str">
        <f ca="1">IF(Effectif!$D50&gt;0,(IF(DATEDIF(Effectif!$D50,TODAY(),"y")&gt;=18,"Majeur","Mineur")),"Inconnu")</f>
        <v>Mineur</v>
      </c>
      <c r="G50" s="151"/>
      <c r="H50" s="152"/>
      <c r="I50" s="150"/>
      <c r="J50" s="194">
        <v>43405</v>
      </c>
      <c r="K50" s="144" t="str">
        <f>IF(ISBLANK(Effectif!$J50),"Inconnu",INT((Effectif!$J50-Effectif!$D50)/365.25)&amp;" ans "&amp;MONTH(Effectif!$J50-Effectif!$D50)-1&amp;" mois ")</f>
        <v xml:space="preserve">15 ans 9 mois </v>
      </c>
      <c r="L50" s="194">
        <f>IF(Effectif!$D50&gt;0,DATE(YEAR(Effectif!$D50)+18,MONTH(Effectif!$D50),DAY(Effectif!$D50)),"")</f>
        <v>44198</v>
      </c>
      <c r="M50" s="194">
        <v>43515</v>
      </c>
      <c r="N50" s="151" t="s">
        <v>145</v>
      </c>
      <c r="O50" s="150"/>
      <c r="P50" s="151"/>
      <c r="Q50" s="154"/>
      <c r="R50" s="151"/>
      <c r="S50" s="151"/>
      <c r="T50" s="147"/>
      <c r="U50" s="150" t="s">
        <v>155</v>
      </c>
      <c r="V50" s="159"/>
      <c r="W50" s="141" t="str">
        <f>IF(Effectif!$S50&gt;0,IF(Effectif!$U50="ATJM à faire","En attente",IF(Effectif!$U50="ATJM en réalisation","En attente",(IF(Effectif!$E50&lt;18,"Pas d'ATJM",EDATE(Effectif!$V50,-2))))),"Inconnu")</f>
        <v>Inconnu</v>
      </c>
      <c r="X50" s="153" t="str">
        <f>IF(OR(Effectif!$Z49="Non",Effectif!$AD49="Non"),"Oui","Fait")</f>
        <v>Oui</v>
      </c>
      <c r="Y50" s="150"/>
      <c r="Z50" s="151" t="s">
        <v>24</v>
      </c>
      <c r="AA50" s="155"/>
      <c r="AB50" s="141"/>
      <c r="AC50" s="151" t="s">
        <v>25</v>
      </c>
      <c r="AD50" s="151" t="s">
        <v>24</v>
      </c>
      <c r="AE50" s="144" t="s">
        <v>242</v>
      </c>
      <c r="AF50" s="141"/>
      <c r="AG50" s="210">
        <v>22.25</v>
      </c>
      <c r="AH50" s="192" t="str">
        <f t="shared" si="4"/>
        <v>Scolaire avec CMU</v>
      </c>
      <c r="AI50" s="194" t="str">
        <f ca="1">IF(Effectif!$AE50="Néant","Néant",IF(Effectif!$AE50&lt;&gt;"",VLOOKUP(TEXT(Effectif!$AE50,"@"),Paramètres!$E$21:$F$23,2,0)))</f>
        <v>31/08/20</v>
      </c>
      <c r="AJ50" s="142" t="s">
        <v>24</v>
      </c>
      <c r="AK50" s="151" t="s">
        <v>24</v>
      </c>
      <c r="AL50" s="151" t="s">
        <v>24</v>
      </c>
      <c r="AM50" s="151" t="s">
        <v>25</v>
      </c>
      <c r="AN50" s="151"/>
      <c r="AO50" s="143"/>
      <c r="AP50" s="142"/>
      <c r="AQ50" s="151"/>
      <c r="AR50" s="151" t="s">
        <v>24</v>
      </c>
      <c r="AS50" s="151" t="s">
        <v>135</v>
      </c>
      <c r="AT50" s="151" t="s">
        <v>8</v>
      </c>
      <c r="AU50" s="151" t="s">
        <v>69</v>
      </c>
      <c r="AV50" s="159"/>
      <c r="AW50" s="151"/>
      <c r="AX50" s="148" t="str">
        <f t="shared" si="5"/>
        <v/>
      </c>
      <c r="AY50" s="156"/>
    </row>
    <row r="51" spans="1:51" s="24" customFormat="1" ht="15" customHeight="1" x14ac:dyDescent="0.25">
      <c r="A51" s="138" t="s">
        <v>322</v>
      </c>
      <c r="B51" s="139" t="s">
        <v>323</v>
      </c>
      <c r="C51" s="139" t="str">
        <f t="shared" si="3"/>
        <v>azerty azertty</v>
      </c>
      <c r="D51" s="147" t="s">
        <v>276</v>
      </c>
      <c r="E51" s="142">
        <f ca="1">IF(Effectif!$D51&gt;0,IF(DATE(YEAR(TODAY()),MONTH(Effectif!$D51),DAY(Effectif!$D51))&lt;=TODAY(),YEAR(TODAY())-YEAR(Effectif!$D51),YEAR(TODAY())-YEAR(Effectif!$D51)-1),"Inconnu")</f>
        <v>17</v>
      </c>
      <c r="F51" s="142" t="str">
        <f ca="1">IF(Effectif!$D51&gt;0,(IF(DATEDIF(Effectif!$D51,TODAY(),"y")&gt;=18,"Majeur","Mineur")),"Inconnu")</f>
        <v>Mineur</v>
      </c>
      <c r="G51" s="142"/>
      <c r="H51" s="143"/>
      <c r="I51" s="141"/>
      <c r="J51" s="194"/>
      <c r="K51" s="144" t="str">
        <f>IF(ISBLANK(Effectif!$J51),"Inconnu",INT((Effectif!$J51-Effectif!$D51)/365.25)&amp;" ans "&amp;MONTH(Effectif!$J51-Effectif!$D51)-1&amp;" mois ")</f>
        <v>Inconnu</v>
      </c>
      <c r="L51" s="194">
        <f>IF(Effectif!$D51&gt;0,DATE(YEAR(Effectif!$D51)+18,MONTH(Effectif!$D51),DAY(Effectif!$D51)),"")</f>
        <v>44196</v>
      </c>
      <c r="M51" s="194">
        <v>43434</v>
      </c>
      <c r="N51" s="142" t="s">
        <v>145</v>
      </c>
      <c r="O51" s="141"/>
      <c r="P51" s="142"/>
      <c r="Q51" s="145"/>
      <c r="R51" s="142"/>
      <c r="S51" s="142"/>
      <c r="T51" s="147"/>
      <c r="U51" s="141" t="s">
        <v>155</v>
      </c>
      <c r="V51" s="194"/>
      <c r="W51" s="141" t="str">
        <f>IF(Effectif!$S51&gt;0,IF(Effectif!$U51="ATJM à faire","En attente",IF(Effectif!$U51="ATJM en réalisation","En attente",(IF(Effectif!$E51&lt;18,"Pas d'ATJM",EDATE(Effectif!$V51,-2))))),"Inconnu")</f>
        <v>Inconnu</v>
      </c>
      <c r="X51" s="153" t="str">
        <f>IF(OR(Effectif!$Z50="Non",Effectif!$AD50="Non"),"Oui","Fait")</f>
        <v>Fait</v>
      </c>
      <c r="Y51" s="141"/>
      <c r="Z51" s="142" t="s">
        <v>24</v>
      </c>
      <c r="AA51" s="146"/>
      <c r="AB51" s="141"/>
      <c r="AC51" s="142" t="s">
        <v>25</v>
      </c>
      <c r="AD51" s="142" t="s">
        <v>24</v>
      </c>
      <c r="AE51" s="144" t="s">
        <v>242</v>
      </c>
      <c r="AF51" s="141"/>
      <c r="AG51" s="210">
        <v>22.25</v>
      </c>
      <c r="AH51" s="192" t="str">
        <f t="shared" si="4"/>
        <v>Scolaire avec CMU</v>
      </c>
      <c r="AI51" s="194" t="str">
        <f ca="1">IF(Effectif!$AE51="Néant","Néant",IF(Effectif!$AE51&lt;&gt;"",VLOOKUP(TEXT(Effectif!$AE51,"@"),Paramètres!$E$21:$F$23,2,0)))</f>
        <v>31/08/20</v>
      </c>
      <c r="AJ51" s="142" t="s">
        <v>24</v>
      </c>
      <c r="AK51" s="142" t="s">
        <v>24</v>
      </c>
      <c r="AL51" s="142" t="s">
        <v>24</v>
      </c>
      <c r="AM51" s="142" t="s">
        <v>25</v>
      </c>
      <c r="AN51" s="142"/>
      <c r="AO51" s="143"/>
      <c r="AP51" s="142"/>
      <c r="AQ51" s="142"/>
      <c r="AR51" s="142" t="s">
        <v>24</v>
      </c>
      <c r="AS51" s="142" t="s">
        <v>135</v>
      </c>
      <c r="AT51" s="142" t="s">
        <v>8</v>
      </c>
      <c r="AU51" s="142" t="s">
        <v>133</v>
      </c>
      <c r="AV51" s="194"/>
      <c r="AW51" s="142"/>
      <c r="AX51" s="148" t="str">
        <f t="shared" si="5"/>
        <v/>
      </c>
      <c r="AY51" s="149"/>
    </row>
    <row r="52" spans="1:51" s="24" customFormat="1" ht="15" customHeight="1" x14ac:dyDescent="0.25">
      <c r="A52" s="138" t="s">
        <v>322</v>
      </c>
      <c r="B52" s="139" t="s">
        <v>323</v>
      </c>
      <c r="C52" s="139" t="str">
        <f t="shared" si="3"/>
        <v>azerty azertty</v>
      </c>
      <c r="D52" s="147" t="s">
        <v>302</v>
      </c>
      <c r="E52" s="142">
        <f ca="1">IF(Effectif!$D52&gt;0,IF(DATE(YEAR(TODAY()),MONTH(Effectif!$D52),DAY(Effectif!$D52))&lt;=TODAY(),YEAR(TODAY())-YEAR(Effectif!$D52),YEAR(TODAY())-YEAR(Effectif!$D52)-1),"Inconnu")</f>
        <v>17</v>
      </c>
      <c r="F52" s="142" t="str">
        <f ca="1">IF(Effectif!$D52&gt;0,(IF(DATEDIF(Effectif!$D52,TODAY(),"y")&gt;=18,"Majeur","Mineur")),"Inconnu")</f>
        <v>Mineur</v>
      </c>
      <c r="G52" s="151"/>
      <c r="H52" s="152"/>
      <c r="I52" s="150"/>
      <c r="J52" s="194">
        <v>42783</v>
      </c>
      <c r="K52" s="144" t="str">
        <f>IF(ISBLANK(Effectif!$J52),"Inconnu",INT((Effectif!$J52-Effectif!$D52)/365.25)&amp;" ans "&amp;MONTH(Effectif!$J52-Effectif!$D52)-1&amp;" mois ")</f>
        <v xml:space="preserve">14 ans 1 mois </v>
      </c>
      <c r="L52" s="194">
        <f>IF(Effectif!$D52&gt;0,DATE(YEAR(Effectif!$D52)+18,MONTH(Effectif!$D52),DAY(Effectif!$D52)),"")</f>
        <v>44197</v>
      </c>
      <c r="M52" s="194">
        <v>43495</v>
      </c>
      <c r="N52" s="151" t="s">
        <v>145</v>
      </c>
      <c r="O52" s="150"/>
      <c r="P52" s="151"/>
      <c r="Q52" s="154"/>
      <c r="R52" s="151"/>
      <c r="S52" s="151"/>
      <c r="T52" s="147"/>
      <c r="U52" s="150" t="s">
        <v>155</v>
      </c>
      <c r="V52" s="159"/>
      <c r="W52" s="141" t="str">
        <f>IF(Effectif!$S52&gt;0,IF(Effectif!$U52="ATJM à faire","En attente",IF(Effectif!$U52="ATJM en réalisation","En attente",(IF(Effectif!$E52&lt;18,"Pas d'ATJM",EDATE(Effectif!$V52,-2))))),"Inconnu")</f>
        <v>Inconnu</v>
      </c>
      <c r="X52" s="153" t="str">
        <f>IF(OR(Effectif!$Z51="Non",Effectif!$AD51="Non"),"Oui","Fait")</f>
        <v>Fait</v>
      </c>
      <c r="Y52" s="150"/>
      <c r="Z52" s="151" t="s">
        <v>24</v>
      </c>
      <c r="AA52" s="155"/>
      <c r="AB52" s="141"/>
      <c r="AC52" s="151" t="s">
        <v>24</v>
      </c>
      <c r="AD52" s="151" t="s">
        <v>24</v>
      </c>
      <c r="AE52" s="144" t="s">
        <v>242</v>
      </c>
      <c r="AF52" s="141"/>
      <c r="AG52" s="210">
        <v>22.25</v>
      </c>
      <c r="AH52" s="192" t="str">
        <f t="shared" si="4"/>
        <v>Scolaire avec CMU</v>
      </c>
      <c r="AI52" s="194" t="str">
        <f ca="1">IF(Effectif!$AE52="Néant","Néant",IF(Effectif!$AE52&lt;&gt;"",VLOOKUP(TEXT(Effectif!$AE52,"@"),Paramètres!$E$21:$F$23,2,0)))</f>
        <v>31/08/20</v>
      </c>
      <c r="AJ52" s="142" t="s">
        <v>24</v>
      </c>
      <c r="AK52" s="151" t="s">
        <v>25</v>
      </c>
      <c r="AL52" s="151" t="s">
        <v>25</v>
      </c>
      <c r="AM52" s="151" t="s">
        <v>25</v>
      </c>
      <c r="AN52" s="151"/>
      <c r="AO52" s="143"/>
      <c r="AP52" s="142"/>
      <c r="AQ52" s="151" t="s">
        <v>34</v>
      </c>
      <c r="AR52" s="151" t="s">
        <v>24</v>
      </c>
      <c r="AS52" s="151" t="s">
        <v>135</v>
      </c>
      <c r="AT52" s="151" t="s">
        <v>8</v>
      </c>
      <c r="AU52" s="151" t="s">
        <v>76</v>
      </c>
      <c r="AV52" s="159">
        <v>44092</v>
      </c>
      <c r="AW52" s="151"/>
      <c r="AX52" s="148" t="str">
        <f t="shared" si="5"/>
        <v/>
      </c>
      <c r="AY52" s="157"/>
    </row>
    <row r="53" spans="1:51" s="24" customFormat="1" ht="15" customHeight="1" x14ac:dyDescent="0.25">
      <c r="A53" s="138" t="s">
        <v>322</v>
      </c>
      <c r="B53" s="139" t="s">
        <v>323</v>
      </c>
      <c r="C53" s="139" t="str">
        <f t="shared" si="3"/>
        <v>azerty azertty</v>
      </c>
      <c r="D53" s="147" t="s">
        <v>303</v>
      </c>
      <c r="E53" s="142">
        <f ca="1">IF(Effectif!$D53&gt;0,IF(DATE(YEAR(TODAY()),MONTH(Effectif!$D53),DAY(Effectif!$D53))&lt;=TODAY(),YEAR(TODAY())-YEAR(Effectif!$D53),YEAR(TODAY())-YEAR(Effectif!$D53)-1),"Inconnu")</f>
        <v>17</v>
      </c>
      <c r="F53" s="142" t="str">
        <f ca="1">IF(Effectif!$D53&gt;0,(IF(DATEDIF(Effectif!$D53,TODAY(),"y")&gt;=18,"Majeur","Mineur")),"Inconnu")</f>
        <v>Mineur</v>
      </c>
      <c r="G53" s="142"/>
      <c r="H53" s="143"/>
      <c r="I53" s="141"/>
      <c r="J53" s="194">
        <v>43221</v>
      </c>
      <c r="K53" s="144" t="str">
        <f>IF(ISBLANK(Effectif!$J53),"Inconnu",INT((Effectif!$J53-Effectif!$D53)/365.25)&amp;" ans "&amp;MONTH(Effectif!$J53-Effectif!$D53)-1&amp;" mois ")</f>
        <v xml:space="preserve">15 ans 9 mois </v>
      </c>
      <c r="L53" s="194">
        <f>IF(Effectif!$D53&gt;0,DATE(YEAR(Effectif!$D53)+18,MONTH(Effectif!$D53),DAY(Effectif!$D53)),"")</f>
        <v>44018</v>
      </c>
      <c r="M53" s="194">
        <v>43434</v>
      </c>
      <c r="N53" s="142" t="s">
        <v>144</v>
      </c>
      <c r="O53" s="141"/>
      <c r="P53" s="142"/>
      <c r="Q53" s="145"/>
      <c r="R53" s="142"/>
      <c r="S53" s="142"/>
      <c r="T53" s="147"/>
      <c r="U53" s="141" t="s">
        <v>155</v>
      </c>
      <c r="V53" s="194"/>
      <c r="W53" s="141" t="str">
        <f>IF(Effectif!$S53&gt;0,IF(Effectif!$U53="ATJM à faire","En attente",IF(Effectif!$U53="ATJM en réalisation","En attente",(IF(Effectif!$E53&lt;18,"Pas d'ATJM",EDATE(Effectif!$V53,-2))))),"Inconnu")</f>
        <v>Inconnu</v>
      </c>
      <c r="X53" s="153" t="str">
        <f>IF(OR(Effectif!$Z52="Non",Effectif!$AD52="Non"),"Oui","Fait")</f>
        <v>Fait</v>
      </c>
      <c r="Y53" s="141"/>
      <c r="Z53" s="142" t="s">
        <v>24</v>
      </c>
      <c r="AA53" s="146"/>
      <c r="AB53" s="141"/>
      <c r="AC53" s="142" t="s">
        <v>25</v>
      </c>
      <c r="AD53" s="142" t="s">
        <v>25</v>
      </c>
      <c r="AE53" s="144" t="s">
        <v>241</v>
      </c>
      <c r="AF53" s="141"/>
      <c r="AG53" s="210">
        <v>15.45</v>
      </c>
      <c r="AH53" s="192" t="str">
        <f t="shared" si="4"/>
        <v>Avec CMU</v>
      </c>
      <c r="AI53" s="194" t="str">
        <f ca="1">IF(Effectif!$AE53="Néant","Néant",IF(Effectif!$AE53&lt;&gt;"",VLOOKUP(TEXT(Effectif!$AE53,"@"),Paramètres!$E$21:$F$23,2,0)))</f>
        <v>31/05/20</v>
      </c>
      <c r="AJ53" s="142" t="s">
        <v>24</v>
      </c>
      <c r="AK53" s="142" t="s">
        <v>24</v>
      </c>
      <c r="AL53" s="142" t="s">
        <v>24</v>
      </c>
      <c r="AM53" s="142" t="s">
        <v>25</v>
      </c>
      <c r="AN53" s="142"/>
      <c r="AO53" s="143"/>
      <c r="AP53" s="142"/>
      <c r="AQ53" s="142"/>
      <c r="AR53" s="142" t="s">
        <v>25</v>
      </c>
      <c r="AS53" s="142"/>
      <c r="AT53" s="142"/>
      <c r="AU53" s="142"/>
      <c r="AV53" s="194"/>
      <c r="AW53" s="142"/>
      <c r="AX53" s="148" t="str">
        <f t="shared" si="5"/>
        <v>d'un compte bancaire et de son RIB</v>
      </c>
      <c r="AY53" s="149"/>
    </row>
    <row r="54" spans="1:51" s="24" customFormat="1" ht="15" customHeight="1" x14ac:dyDescent="0.25">
      <c r="A54" s="138" t="s">
        <v>322</v>
      </c>
      <c r="B54" s="139" t="s">
        <v>323</v>
      </c>
      <c r="C54" s="139" t="str">
        <f t="shared" si="3"/>
        <v>azerty azertty</v>
      </c>
      <c r="D54" s="147" t="s">
        <v>304</v>
      </c>
      <c r="E54" s="142">
        <f ca="1">IF(Effectif!$D54&gt;0,IF(DATE(YEAR(TODAY()),MONTH(Effectif!$D54),DAY(Effectif!$D54))&lt;=TODAY(),YEAR(TODAY())-YEAR(Effectif!$D54),YEAR(TODAY())-YEAR(Effectif!$D54)-1),"Inconnu")</f>
        <v>18</v>
      </c>
      <c r="F54" s="142" t="str">
        <f ca="1">IF(Effectif!$D54&gt;0,(IF(DATEDIF(Effectif!$D54,TODAY(),"y")&gt;=18,"Majeur","Mineur")),"Inconnu")</f>
        <v>Majeur</v>
      </c>
      <c r="G54" s="151"/>
      <c r="H54" s="152"/>
      <c r="I54" s="150"/>
      <c r="J54" s="194">
        <v>42736</v>
      </c>
      <c r="K54" s="144" t="str">
        <f>IF(ISBLANK(Effectif!$J54),"Inconnu",INT((Effectif!$J54-Effectif!$D54)/365.25)&amp;" ans "&amp;MONTH(Effectif!$J54-Effectif!$D54)-1&amp;" mois ")</f>
        <v xml:space="preserve">14 ans 7 mois </v>
      </c>
      <c r="L54" s="194">
        <f>IF(Effectif!$D54&gt;0,DATE(YEAR(Effectif!$D54)+18,MONTH(Effectif!$D54),DAY(Effectif!$D54)),"")</f>
        <v>43961</v>
      </c>
      <c r="M54" s="194">
        <v>43445</v>
      </c>
      <c r="N54" s="151" t="s">
        <v>145</v>
      </c>
      <c r="O54" s="150"/>
      <c r="P54" s="151"/>
      <c r="Q54" s="154"/>
      <c r="R54" s="151"/>
      <c r="S54" s="151"/>
      <c r="T54" s="147"/>
      <c r="U54" s="150" t="s">
        <v>160</v>
      </c>
      <c r="V54" s="159"/>
      <c r="W54" s="141" t="str">
        <f>IF(Effectif!$S54&gt;0,IF(Effectif!$U54="ATJM à faire","En attente",IF(Effectif!$U54="ATJM en réalisation","En attente",(IF(Effectif!$E54&lt;18,"Pas d'ATJM",EDATE(Effectif!$V54,-2))))),"Inconnu")</f>
        <v>Inconnu</v>
      </c>
      <c r="X54" s="153" t="str">
        <f>IF(OR(Effectif!$Z53="Non",Effectif!$AD53="Non"),"Oui","Fait")</f>
        <v>Oui</v>
      </c>
      <c r="Y54" s="150"/>
      <c r="Z54" s="151" t="s">
        <v>24</v>
      </c>
      <c r="AA54" s="155"/>
      <c r="AB54" s="141"/>
      <c r="AC54" s="151" t="s">
        <v>24</v>
      </c>
      <c r="AD54" s="151" t="s">
        <v>24</v>
      </c>
      <c r="AE54" s="144" t="s">
        <v>242</v>
      </c>
      <c r="AF54" s="141"/>
      <c r="AG54" s="210">
        <v>22.25</v>
      </c>
      <c r="AH54" s="192" t="str">
        <f t="shared" si="4"/>
        <v>Scolaire avec CMU</v>
      </c>
      <c r="AI54" s="194" t="str">
        <f ca="1">IF(Effectif!$AE54="Néant","Néant",IF(Effectif!$AE54&lt;&gt;"",VLOOKUP(TEXT(Effectif!$AE54,"@"),Paramètres!$E$21:$F$23,2,0)))</f>
        <v>31/08/20</v>
      </c>
      <c r="AJ54" s="142" t="s">
        <v>24</v>
      </c>
      <c r="AK54" s="151" t="s">
        <v>24</v>
      </c>
      <c r="AL54" s="151" t="s">
        <v>24</v>
      </c>
      <c r="AM54" s="151" t="s">
        <v>24</v>
      </c>
      <c r="AN54" s="151"/>
      <c r="AO54" s="143"/>
      <c r="AP54" s="142"/>
      <c r="AQ54" s="151" t="s">
        <v>34</v>
      </c>
      <c r="AR54" s="151" t="s">
        <v>24</v>
      </c>
      <c r="AS54" s="151" t="s">
        <v>49</v>
      </c>
      <c r="AT54" s="151"/>
      <c r="AU54" s="151"/>
      <c r="AV54" s="159"/>
      <c r="AW54" s="151"/>
      <c r="AX54" s="148" t="str">
        <f t="shared" si="5"/>
        <v/>
      </c>
      <c r="AY54" s="157"/>
    </row>
    <row r="55" spans="1:51" s="24" customFormat="1" ht="15" customHeight="1" x14ac:dyDescent="0.25">
      <c r="A55" s="138" t="s">
        <v>322</v>
      </c>
      <c r="B55" s="139" t="s">
        <v>323</v>
      </c>
      <c r="C55" s="139" t="str">
        <f t="shared" si="3"/>
        <v>azerty azertty</v>
      </c>
      <c r="D55" s="147" t="s">
        <v>305</v>
      </c>
      <c r="E55" s="142">
        <f ca="1">IF(Effectif!$D55&gt;0,IF(DATE(YEAR(TODAY()),MONTH(Effectif!$D55),DAY(Effectif!$D55))&lt;=TODAY(),YEAR(TODAY())-YEAR(Effectif!$D55),YEAR(TODAY())-YEAR(Effectif!$D55)-1),"Inconnu")</f>
        <v>17</v>
      </c>
      <c r="F55" s="142" t="str">
        <f ca="1">IF(Effectif!$D55&gt;0,(IF(DATEDIF(Effectif!$D55,TODAY(),"y")&gt;=18,"Majeur","Mineur")),"Inconnu")</f>
        <v>Mineur</v>
      </c>
      <c r="G55" s="142"/>
      <c r="H55" s="143"/>
      <c r="I55" s="141"/>
      <c r="J55" s="194"/>
      <c r="K55" s="144" t="str">
        <f>IF(ISBLANK(Effectif!$J55),"Inconnu",INT((Effectif!$J55-Effectif!$D55)/365.25)&amp;" ans "&amp;MONTH(Effectif!$J55-Effectif!$D55)-1&amp;" mois ")</f>
        <v>Inconnu</v>
      </c>
      <c r="L55" s="194">
        <f>IF(Effectif!$D55&gt;0,DATE(YEAR(Effectif!$D55)+18,MONTH(Effectif!$D55),DAY(Effectif!$D55)),"")</f>
        <v>44106</v>
      </c>
      <c r="M55" s="194">
        <v>43509</v>
      </c>
      <c r="N55" s="142" t="s">
        <v>144</v>
      </c>
      <c r="O55" s="141"/>
      <c r="P55" s="142"/>
      <c r="Q55" s="145"/>
      <c r="R55" s="142"/>
      <c r="S55" s="142"/>
      <c r="T55" s="147"/>
      <c r="U55" s="141" t="s">
        <v>155</v>
      </c>
      <c r="V55" s="194"/>
      <c r="W55" s="141" t="str">
        <f>IF(Effectif!$S55&gt;0,IF(Effectif!$U55="ATJM à faire","En attente",IF(Effectif!$U55="ATJM en réalisation","En attente",(IF(Effectif!$E55&lt;18,"Pas d'ATJM",EDATE(Effectif!$V55,-2))))),"Inconnu")</f>
        <v>Inconnu</v>
      </c>
      <c r="X55" s="153" t="str">
        <f>IF(OR(Effectif!$Z54="Non",Effectif!$AD54="Non"),"Oui","Fait")</f>
        <v>Fait</v>
      </c>
      <c r="Y55" s="141"/>
      <c r="Z55" s="142" t="s">
        <v>24</v>
      </c>
      <c r="AA55" s="146"/>
      <c r="AB55" s="141"/>
      <c r="AC55" s="142" t="s">
        <v>25</v>
      </c>
      <c r="AD55" s="142" t="s">
        <v>24</v>
      </c>
      <c r="AE55" s="144" t="s">
        <v>242</v>
      </c>
      <c r="AF55" s="141"/>
      <c r="AG55" s="210">
        <v>22.25</v>
      </c>
      <c r="AH55" s="192" t="str">
        <f t="shared" si="4"/>
        <v>Scolaire avec CMU</v>
      </c>
      <c r="AI55" s="194" t="str">
        <f ca="1">IF(Effectif!$AE55="Néant","Néant",IF(Effectif!$AE55&lt;&gt;"",VLOOKUP(TEXT(Effectif!$AE55,"@"),Paramètres!$E$21:$F$23,2,0)))</f>
        <v>31/08/20</v>
      </c>
      <c r="AJ55" s="142" t="s">
        <v>24</v>
      </c>
      <c r="AK55" s="142" t="s">
        <v>24</v>
      </c>
      <c r="AL55" s="142" t="s">
        <v>24</v>
      </c>
      <c r="AM55" s="142" t="s">
        <v>25</v>
      </c>
      <c r="AN55" s="142"/>
      <c r="AO55" s="143"/>
      <c r="AP55" s="142"/>
      <c r="AQ55" s="142"/>
      <c r="AR55" s="142" t="s">
        <v>24</v>
      </c>
      <c r="AS55" s="142" t="s">
        <v>49</v>
      </c>
      <c r="AT55" s="142"/>
      <c r="AU55" s="142"/>
      <c r="AV55" s="194"/>
      <c r="AW55" s="142"/>
      <c r="AX55" s="148" t="str">
        <f t="shared" si="5"/>
        <v/>
      </c>
      <c r="AY55" s="149"/>
    </row>
    <row r="56" spans="1:51" s="24" customFormat="1" ht="15" customHeight="1" x14ac:dyDescent="0.25">
      <c r="A56" s="138" t="s">
        <v>322</v>
      </c>
      <c r="B56" s="139" t="s">
        <v>323</v>
      </c>
      <c r="C56" s="139" t="str">
        <f t="shared" si="3"/>
        <v>azerty azertty</v>
      </c>
      <c r="D56" s="147" t="s">
        <v>306</v>
      </c>
      <c r="E56" s="142">
        <f ca="1">IF(Effectif!$D56&gt;0,IF(DATE(YEAR(TODAY()),MONTH(Effectif!$D56),DAY(Effectif!$D56))&lt;=TODAY(),YEAR(TODAY())-YEAR(Effectif!$D56),YEAR(TODAY())-YEAR(Effectif!$D56)-1),"Inconnu")</f>
        <v>17</v>
      </c>
      <c r="F56" s="142" t="str">
        <f ca="1">IF(Effectif!$D56&gt;0,(IF(DATEDIF(Effectif!$D56,TODAY(),"y")&gt;=18,"Majeur","Mineur")),"Inconnu")</f>
        <v>Mineur</v>
      </c>
      <c r="G56" s="151"/>
      <c r="H56" s="152"/>
      <c r="I56" s="150"/>
      <c r="J56" s="194"/>
      <c r="K56" s="144" t="str">
        <f>IF(ISBLANK(Effectif!$J56),"Inconnu",INT((Effectif!$J56-Effectif!$D56)/365.25)&amp;" ans "&amp;MONTH(Effectif!$J56-Effectif!$D56)-1&amp;" mois ")</f>
        <v>Inconnu</v>
      </c>
      <c r="L56" s="194">
        <f>IF(Effectif!$D56&gt;0,DATE(YEAR(Effectif!$D56)+18,MONTH(Effectif!$D56),DAY(Effectif!$D56)),"")</f>
        <v>44234</v>
      </c>
      <c r="M56" s="194">
        <v>43812</v>
      </c>
      <c r="N56" s="151" t="s">
        <v>144</v>
      </c>
      <c r="O56" s="150"/>
      <c r="P56" s="151"/>
      <c r="Q56" s="154"/>
      <c r="R56" s="151"/>
      <c r="S56" s="151"/>
      <c r="T56" s="147"/>
      <c r="U56" s="150" t="s">
        <v>155</v>
      </c>
      <c r="V56" s="159"/>
      <c r="W56" s="141" t="str">
        <f>IF(Effectif!$S56&gt;0,IF(Effectif!$U56="ATJM à faire","En attente",IF(Effectif!$U56="ATJM en réalisation","En attente",(IF(Effectif!$E56&lt;18,"Pas d'ATJM",EDATE(Effectif!$V56,-2))))),"Inconnu")</f>
        <v>Inconnu</v>
      </c>
      <c r="X56" s="153" t="str">
        <f>IF(OR(Effectif!$Z55="Non",Effectif!$AD55="Non"),"Oui","Fait")</f>
        <v>Fait</v>
      </c>
      <c r="Y56" s="150"/>
      <c r="Z56" s="151" t="s">
        <v>24</v>
      </c>
      <c r="AA56" s="155"/>
      <c r="AB56" s="141"/>
      <c r="AC56" s="151" t="s">
        <v>25</v>
      </c>
      <c r="AD56" s="151" t="s">
        <v>24</v>
      </c>
      <c r="AE56" s="144" t="s">
        <v>241</v>
      </c>
      <c r="AF56" s="141"/>
      <c r="AG56" s="210">
        <v>15.45</v>
      </c>
      <c r="AH56" s="192" t="str">
        <f t="shared" si="4"/>
        <v>Avec CMU</v>
      </c>
      <c r="AI56" s="194" t="str">
        <f ca="1">IF(Effectif!$AE56="Néant","Néant",IF(Effectif!$AE56&lt;&gt;"",VLOOKUP(TEXT(Effectif!$AE56,"@"),Paramètres!$E$21:$F$23,2,0)))</f>
        <v>31/05/20</v>
      </c>
      <c r="AJ56" s="142" t="s">
        <v>24</v>
      </c>
      <c r="AK56" s="151" t="s">
        <v>24</v>
      </c>
      <c r="AL56" s="151" t="s">
        <v>25</v>
      </c>
      <c r="AM56" s="151" t="s">
        <v>25</v>
      </c>
      <c r="AN56" s="151"/>
      <c r="AO56" s="143"/>
      <c r="AP56" s="142"/>
      <c r="AQ56" s="151"/>
      <c r="AR56" s="151" t="s">
        <v>25</v>
      </c>
      <c r="AS56" s="151"/>
      <c r="AT56" s="151"/>
      <c r="AU56" s="151"/>
      <c r="AV56" s="159"/>
      <c r="AW56" s="151"/>
      <c r="AX56" s="148" t="str">
        <f t="shared" si="5"/>
        <v/>
      </c>
      <c r="AY56" s="157"/>
    </row>
    <row r="57" spans="1:51" s="24" customFormat="1" ht="15" customHeight="1" x14ac:dyDescent="0.25">
      <c r="A57" s="138" t="s">
        <v>322</v>
      </c>
      <c r="B57" s="139" t="s">
        <v>323</v>
      </c>
      <c r="C57" s="139" t="str">
        <f t="shared" si="3"/>
        <v>azerty azertty</v>
      </c>
      <c r="D57" s="147" t="s">
        <v>307</v>
      </c>
      <c r="E57" s="142">
        <f ca="1">IF(Effectif!$D57&gt;0,IF(DATE(YEAR(TODAY()),MONTH(Effectif!$D57),DAY(Effectif!$D57))&lt;=TODAY(),YEAR(TODAY())-YEAR(Effectif!$D57),YEAR(TODAY())-YEAR(Effectif!$D57)-1),"Inconnu")</f>
        <v>17</v>
      </c>
      <c r="F57" s="142" t="str">
        <f ca="1">IF(Effectif!$D57&gt;0,(IF(DATEDIF(Effectif!$D57,TODAY(),"y")&gt;=18,"Majeur","Mineur")),"Inconnu")</f>
        <v>Mineur</v>
      </c>
      <c r="G57" s="151"/>
      <c r="H57" s="152"/>
      <c r="I57" s="150"/>
      <c r="J57" s="194">
        <v>43556</v>
      </c>
      <c r="K57" s="144" t="str">
        <f>IF(ISBLANK(Effectif!$J57),"Inconnu",INT((Effectif!$J57-Effectif!$D57)/365.25)&amp;" ans "&amp;MONTH(Effectif!$J57-Effectif!$D57)-1&amp;" mois ")</f>
        <v xml:space="preserve">15 ans 10 mois </v>
      </c>
      <c r="L57" s="194">
        <f>IF(Effectif!$D57&gt;0,DATE(YEAR(Effectif!$D57)+18,MONTH(Effectif!$D57),DAY(Effectif!$D57)),"")</f>
        <v>44324</v>
      </c>
      <c r="M57" s="194">
        <v>43709</v>
      </c>
      <c r="N57" s="151" t="s">
        <v>144</v>
      </c>
      <c r="O57" s="150"/>
      <c r="P57" s="151"/>
      <c r="Q57" s="154"/>
      <c r="R57" s="151"/>
      <c r="S57" s="151"/>
      <c r="T57" s="147"/>
      <c r="U57" s="150" t="s">
        <v>155</v>
      </c>
      <c r="V57" s="159"/>
      <c r="W57" s="141" t="str">
        <f>IF(Effectif!$S57&gt;0,IF(Effectif!$U57="ATJM à faire","En attente",IF(Effectif!$U57="ATJM en réalisation","En attente",(IF(Effectif!$E57&lt;18,"Pas d'ATJM",EDATE(Effectif!$V57,-2))))),"Inconnu")</f>
        <v>Inconnu</v>
      </c>
      <c r="X57" s="153" t="str">
        <f>IF(OR(Effectif!$Z57="Non",Effectif!$AD57="Non"),"Oui","Fait")</f>
        <v>Fait</v>
      </c>
      <c r="Y57" s="150"/>
      <c r="Z57" s="151" t="s">
        <v>24</v>
      </c>
      <c r="AA57" s="155"/>
      <c r="AB57" s="141"/>
      <c r="AC57" s="151" t="s">
        <v>25</v>
      </c>
      <c r="AD57" s="151" t="s">
        <v>24</v>
      </c>
      <c r="AE57" s="144" t="s">
        <v>242</v>
      </c>
      <c r="AF57" s="141"/>
      <c r="AG57" s="210">
        <v>22.25</v>
      </c>
      <c r="AH57" s="192" t="str">
        <f t="shared" si="4"/>
        <v>Scolaire avec CMU</v>
      </c>
      <c r="AI57" s="194" t="str">
        <f ca="1">IF(Effectif!$AE57="Néant","Néant",IF(Effectif!$AE57&lt;&gt;"",VLOOKUP(TEXT(Effectif!$AE57,"@"),Paramètres!$E$21:$F$23,2,0)))</f>
        <v>31/08/20</v>
      </c>
      <c r="AJ57" s="142" t="s">
        <v>24</v>
      </c>
      <c r="AK57" s="151" t="s">
        <v>24</v>
      </c>
      <c r="AL57" s="151" t="s">
        <v>25</v>
      </c>
      <c r="AM57" s="151" t="s">
        <v>25</v>
      </c>
      <c r="AN57" s="151"/>
      <c r="AO57" s="143"/>
      <c r="AP57" s="142"/>
      <c r="AQ57" s="151"/>
      <c r="AR57" s="151" t="s">
        <v>24</v>
      </c>
      <c r="AS57" s="151" t="s">
        <v>50</v>
      </c>
      <c r="AT57" s="151" t="s">
        <v>84</v>
      </c>
      <c r="AU57" s="151" t="s">
        <v>64</v>
      </c>
      <c r="AV57" s="159"/>
      <c r="AW57" s="151"/>
      <c r="AX57" s="148" t="str">
        <f t="shared" si="5"/>
        <v/>
      </c>
      <c r="AY57" s="157"/>
    </row>
    <row r="58" spans="1:51" s="24" customFormat="1" ht="15" customHeight="1" x14ac:dyDescent="0.25">
      <c r="A58" s="138" t="s">
        <v>322</v>
      </c>
      <c r="B58" s="139" t="s">
        <v>323</v>
      </c>
      <c r="C58" s="139" t="str">
        <f t="shared" si="3"/>
        <v>azerty azertty</v>
      </c>
      <c r="D58" s="147" t="s">
        <v>308</v>
      </c>
      <c r="E58" s="142">
        <f ca="1">IF(Effectif!$D58&gt;0,IF(DATE(YEAR(TODAY()),MONTH(Effectif!$D58),DAY(Effectif!$D58))&lt;=TODAY(),YEAR(TODAY())-YEAR(Effectif!$D58),YEAR(TODAY())-YEAR(Effectif!$D58)-1),"Inconnu")</f>
        <v>18</v>
      </c>
      <c r="F58" s="142" t="str">
        <f ca="1">IF(Effectif!$D58&gt;0,(IF(DATEDIF(Effectif!$D58,TODAY(),"y")&gt;=18,"Majeur","Mineur")),"Inconnu")</f>
        <v>Majeur</v>
      </c>
      <c r="G58" s="142"/>
      <c r="H58" s="143"/>
      <c r="I58" s="141"/>
      <c r="J58" s="194">
        <v>43313</v>
      </c>
      <c r="K58" s="144" t="str">
        <f>IF(ISBLANK(Effectif!$J58),"Inconnu",INT((Effectif!$J58-Effectif!$D58)/365.25)&amp;" ans "&amp;MONTH(Effectif!$J58-Effectif!$D58)-1&amp;" mois ")</f>
        <v xml:space="preserve">16 ans 7 mois </v>
      </c>
      <c r="L58" s="194">
        <f>IF(Effectif!$D58&gt;0,DATE(YEAR(Effectif!$D58)+18,MONTH(Effectif!$D58),DAY(Effectif!$D58)),"")</f>
        <v>43800</v>
      </c>
      <c r="M58" s="194">
        <v>43434</v>
      </c>
      <c r="N58" s="142" t="s">
        <v>144</v>
      </c>
      <c r="O58" s="141"/>
      <c r="P58" s="142"/>
      <c r="Q58" s="145"/>
      <c r="R58" s="142"/>
      <c r="S58" s="142"/>
      <c r="T58" s="147"/>
      <c r="U58" s="141" t="s">
        <v>160</v>
      </c>
      <c r="V58" s="194">
        <v>43981</v>
      </c>
      <c r="W58" s="141" t="str">
        <f>IF(Effectif!$S58&gt;0,IF(Effectif!$U58="ATJM à faire","En attente",IF(Effectif!$U58="ATJM en réalisation","En attente",(IF(Effectif!$E58&lt;18,"Pas d'ATJM",EDATE(Effectif!$V58,-2))))),"Inconnu")</f>
        <v>Inconnu</v>
      </c>
      <c r="X58" s="153" t="str">
        <f>IF(OR(Effectif!$Z58="Non",Effectif!$AD58="Non"),"Oui","Fait")</f>
        <v>Fait</v>
      </c>
      <c r="Y58" s="141"/>
      <c r="Z58" s="142" t="s">
        <v>24</v>
      </c>
      <c r="AA58" s="146"/>
      <c r="AB58" s="141"/>
      <c r="AC58" s="142" t="s">
        <v>25</v>
      </c>
      <c r="AD58" s="142" t="s">
        <v>24</v>
      </c>
      <c r="AE58" s="144" t="s">
        <v>242</v>
      </c>
      <c r="AF58" s="141"/>
      <c r="AG58" s="210">
        <v>22.25</v>
      </c>
      <c r="AH58" s="192" t="str">
        <f t="shared" si="4"/>
        <v>Scolaire avec CMU</v>
      </c>
      <c r="AI58" s="144" t="str">
        <f ca="1">IF(Effectif!$AE58="Néant","Néant",IF(Effectif!$AE58&lt;&gt;"",VLOOKUP(TEXT(Effectif!$AE58,"@"),Paramètres!$E$21:$F$23,2,0)))</f>
        <v>31/08/20</v>
      </c>
      <c r="AJ58" s="142" t="s">
        <v>24</v>
      </c>
      <c r="AK58" s="142" t="s">
        <v>24</v>
      </c>
      <c r="AL58" s="142" t="s">
        <v>25</v>
      </c>
      <c r="AM58" s="142" t="s">
        <v>25</v>
      </c>
      <c r="AN58" s="142"/>
      <c r="AO58" s="143"/>
      <c r="AP58" s="142"/>
      <c r="AQ58" s="142" t="s">
        <v>33</v>
      </c>
      <c r="AR58" s="142" t="s">
        <v>24</v>
      </c>
      <c r="AS58" s="142" t="s">
        <v>135</v>
      </c>
      <c r="AT58" s="142" t="s">
        <v>8</v>
      </c>
      <c r="AU58" s="142" t="s">
        <v>71</v>
      </c>
      <c r="AV58" s="194"/>
      <c r="AW58" s="142"/>
      <c r="AX58" s="148" t="str">
        <f t="shared" si="5"/>
        <v/>
      </c>
      <c r="AY58" s="149"/>
    </row>
    <row r="59" spans="1:51" s="24" customFormat="1" ht="15" customHeight="1" x14ac:dyDescent="0.25">
      <c r="A59" s="138" t="s">
        <v>322</v>
      </c>
      <c r="B59" s="139" t="s">
        <v>323</v>
      </c>
      <c r="C59" s="139" t="str">
        <f t="shared" si="3"/>
        <v>azerty azertty</v>
      </c>
      <c r="D59" s="147" t="s">
        <v>309</v>
      </c>
      <c r="E59" s="142">
        <f ca="1">IF(Effectif!$D59&gt;0,IF(DATE(YEAR(TODAY()),MONTH(Effectif!$D59),DAY(Effectif!$D59))&lt;=TODAY(),YEAR(TODAY())-YEAR(Effectif!$D59),YEAR(TODAY())-YEAR(Effectif!$D59)-1),"Inconnu")</f>
        <v>17</v>
      </c>
      <c r="F59" s="142" t="str">
        <f ca="1">IF(Effectif!$D59&gt;0,(IF(DATEDIF(Effectif!$D59,TODAY(),"y")&gt;=18,"Majeur","Mineur")),"Inconnu")</f>
        <v>Mineur</v>
      </c>
      <c r="G59" s="151"/>
      <c r="H59" s="152"/>
      <c r="I59" s="150"/>
      <c r="J59" s="194">
        <v>43260</v>
      </c>
      <c r="K59" s="144" t="str">
        <f>IF(ISBLANK(Effectif!$J59),"Inconnu",INT((Effectif!$J59-Effectif!$D59)/365.25)&amp;" ans "&amp;MONTH(Effectif!$J59-Effectif!$D59)-1&amp;" mois ")</f>
        <v xml:space="preserve">15 ans 3 mois </v>
      </c>
      <c r="L59" s="194">
        <f>IF(Effectif!$D59&gt;0,DATE(YEAR(Effectif!$D59)+18,MONTH(Effectif!$D59),DAY(Effectif!$D59)),"")</f>
        <v>44260</v>
      </c>
      <c r="M59" s="194">
        <v>43434</v>
      </c>
      <c r="N59" s="151" t="s">
        <v>144</v>
      </c>
      <c r="O59" s="150"/>
      <c r="P59" s="151"/>
      <c r="Q59" s="154"/>
      <c r="R59" s="151"/>
      <c r="S59" s="151"/>
      <c r="T59" s="147"/>
      <c r="U59" s="150" t="s">
        <v>155</v>
      </c>
      <c r="V59" s="159"/>
      <c r="W59" s="141" t="str">
        <f>IF(Effectif!$S59&gt;0,IF(Effectif!$U59="ATJM à faire","En attente",IF(Effectif!$U59="ATJM en réalisation","En attente",(IF(Effectif!$E59&lt;18,"Pas d'ATJM",EDATE(Effectif!$V59,-2))))),"Inconnu")</f>
        <v>Inconnu</v>
      </c>
      <c r="X59" s="153" t="str">
        <f>IF(OR(Effectif!$Z59="Non",Effectif!$AD59="Non"),"Oui","Fait")</f>
        <v>Oui</v>
      </c>
      <c r="Y59" s="150"/>
      <c r="Z59" s="151" t="s">
        <v>24</v>
      </c>
      <c r="AA59" s="155"/>
      <c r="AB59" s="141"/>
      <c r="AC59" s="151" t="s">
        <v>25</v>
      </c>
      <c r="AD59" s="151" t="s">
        <v>25</v>
      </c>
      <c r="AE59" s="144" t="s">
        <v>242</v>
      </c>
      <c r="AF59" s="141"/>
      <c r="AG59" s="210">
        <v>22.25</v>
      </c>
      <c r="AH59" s="192" t="str">
        <f t="shared" si="4"/>
        <v>Scolaire avec CMU</v>
      </c>
      <c r="AI59" s="194" t="str">
        <f ca="1">IF(Effectif!$AE59="Néant","Néant",IF(Effectif!$AE59&lt;&gt;"",VLOOKUP(TEXT(Effectif!$AE59,"@"),Paramètres!$E$21:$F$23,2,0)))</f>
        <v>31/08/20</v>
      </c>
      <c r="AJ59" s="142" t="s">
        <v>24</v>
      </c>
      <c r="AK59" s="151" t="s">
        <v>24</v>
      </c>
      <c r="AL59" s="151" t="s">
        <v>25</v>
      </c>
      <c r="AM59" s="151" t="s">
        <v>25</v>
      </c>
      <c r="AN59" s="151"/>
      <c r="AO59" s="143"/>
      <c r="AP59" s="142"/>
      <c r="AQ59" s="151"/>
      <c r="AR59" s="151" t="s">
        <v>24</v>
      </c>
      <c r="AS59" s="151" t="s">
        <v>135</v>
      </c>
      <c r="AT59" s="151" t="s">
        <v>8</v>
      </c>
      <c r="AU59" s="151" t="s">
        <v>133</v>
      </c>
      <c r="AV59" s="159"/>
      <c r="AW59" s="151"/>
      <c r="AX59" s="148" t="str">
        <f t="shared" si="5"/>
        <v>d'un compte bancaire et de son RIB</v>
      </c>
      <c r="AY59" s="157"/>
    </row>
    <row r="60" spans="1:51" s="24" customFormat="1" ht="15" customHeight="1" x14ac:dyDescent="0.25">
      <c r="A60" s="138" t="s">
        <v>322</v>
      </c>
      <c r="B60" s="139" t="s">
        <v>323</v>
      </c>
      <c r="C60" s="139" t="str">
        <f t="shared" si="3"/>
        <v>azerty azertty</v>
      </c>
      <c r="D60" s="147" t="s">
        <v>310</v>
      </c>
      <c r="E60" s="142">
        <f ca="1">IF(Effectif!$D60&gt;0,IF(DATE(YEAR(TODAY()),MONTH(Effectif!$D60),DAY(Effectif!$D60))&lt;=TODAY(),YEAR(TODAY())-YEAR(Effectif!$D60),YEAR(TODAY())-YEAR(Effectif!$D60)-1),"Inconnu")</f>
        <v>17</v>
      </c>
      <c r="F60" s="142" t="str">
        <f ca="1">IF(Effectif!$D60&gt;0,(IF(DATEDIF(Effectif!$D60,TODAY(),"y")&gt;=18,"Majeur","Mineur")),"Inconnu")</f>
        <v>Mineur</v>
      </c>
      <c r="G60" s="142"/>
      <c r="H60" s="143"/>
      <c r="I60" s="141"/>
      <c r="J60" s="194">
        <v>43313</v>
      </c>
      <c r="K60" s="144" t="str">
        <f>IF(ISBLANK(Effectif!$J60),"Inconnu",INT((Effectif!$J60-Effectif!$D60)/365.25)&amp;" ans "&amp;MONTH(Effectif!$J60-Effectif!$D60)-1&amp;" mois ")</f>
        <v xml:space="preserve">16 ans 0 mois </v>
      </c>
      <c r="L60" s="194">
        <f>IF(Effectif!$D60&gt;0,DATE(YEAR(Effectif!$D60)+18,MONTH(Effectif!$D60),DAY(Effectif!$D60)),"")</f>
        <v>44021</v>
      </c>
      <c r="M60" s="194">
        <v>43434</v>
      </c>
      <c r="N60" s="142" t="s">
        <v>145</v>
      </c>
      <c r="O60" s="141"/>
      <c r="P60" s="142"/>
      <c r="Q60" s="145"/>
      <c r="R60" s="142"/>
      <c r="S60" s="142"/>
      <c r="T60" s="147"/>
      <c r="U60" s="141" t="s">
        <v>155</v>
      </c>
      <c r="V60" s="194"/>
      <c r="W60" s="141" t="str">
        <f>IF(Effectif!$S60&gt;0,IF(Effectif!$U60="ATJM à faire","En attente",IF(Effectif!$U60="ATJM en réalisation","En attente",(IF(Effectif!$E60&lt;18,"Pas d'ATJM",EDATE(Effectif!$V60,-2))))),"Inconnu")</f>
        <v>Inconnu</v>
      </c>
      <c r="X60" s="153" t="str">
        <f>IF(OR(Effectif!$Z56="Non",Effectif!$AD56="Non"),"Oui","Fait")</f>
        <v>Fait</v>
      </c>
      <c r="Y60" s="141"/>
      <c r="Z60" s="142" t="s">
        <v>24</v>
      </c>
      <c r="AA60" s="146"/>
      <c r="AB60" s="141"/>
      <c r="AC60" s="142" t="s">
        <v>25</v>
      </c>
      <c r="AD60" s="142" t="s">
        <v>24</v>
      </c>
      <c r="AE60" s="144" t="s">
        <v>242</v>
      </c>
      <c r="AF60" s="141"/>
      <c r="AG60" s="210">
        <v>22.25</v>
      </c>
      <c r="AH60" s="192" t="str">
        <f t="shared" si="4"/>
        <v>Scolaire avec CMU</v>
      </c>
      <c r="AI60" s="194" t="str">
        <f ca="1">IF(Effectif!$AE60="Néant","Néant",IF(Effectif!$AE60&lt;&gt;"",VLOOKUP(TEXT(Effectif!$AE60,"@"),Paramètres!$E$21:$F$23,2,0)))</f>
        <v>31/08/20</v>
      </c>
      <c r="AJ60" s="142" t="s">
        <v>24</v>
      </c>
      <c r="AK60" s="142" t="s">
        <v>24</v>
      </c>
      <c r="AL60" s="142" t="s">
        <v>25</v>
      </c>
      <c r="AM60" s="142" t="s">
        <v>25</v>
      </c>
      <c r="AN60" s="142"/>
      <c r="AO60" s="143"/>
      <c r="AP60" s="142"/>
      <c r="AQ60" s="142"/>
      <c r="AR60" s="142" t="s">
        <v>24</v>
      </c>
      <c r="AS60" s="142" t="s">
        <v>135</v>
      </c>
      <c r="AT60" s="142" t="s">
        <v>8</v>
      </c>
      <c r="AU60" s="142" t="s">
        <v>70</v>
      </c>
      <c r="AV60" s="194">
        <v>44021</v>
      </c>
      <c r="AW60" s="142"/>
      <c r="AX60" s="148" t="str">
        <f t="shared" si="5"/>
        <v/>
      </c>
      <c r="AY60" s="149"/>
    </row>
    <row r="61" spans="1:51" s="24" customFormat="1" ht="15" customHeight="1" x14ac:dyDescent="0.25">
      <c r="A61" s="138" t="s">
        <v>322</v>
      </c>
      <c r="B61" s="139" t="s">
        <v>323</v>
      </c>
      <c r="C61" s="139" t="str">
        <f t="shared" si="3"/>
        <v>azerty azertty</v>
      </c>
      <c r="D61" s="147" t="s">
        <v>311</v>
      </c>
      <c r="E61" s="142">
        <f ca="1">IF(Effectif!$D61&gt;0,IF(DATE(YEAR(TODAY()),MONTH(Effectif!$D61),DAY(Effectif!$D61))&lt;=TODAY(),YEAR(TODAY())-YEAR(Effectif!$D61),YEAR(TODAY())-YEAR(Effectif!$D61)-1),"Inconnu")</f>
        <v>16</v>
      </c>
      <c r="F61" s="142" t="str">
        <f ca="1">IF(Effectif!$D61&gt;0,(IF(DATEDIF(Effectif!$D61,TODAY(),"y")&gt;=18,"Majeur","Mineur")),"Inconnu")</f>
        <v>Mineur</v>
      </c>
      <c r="G61" s="142"/>
      <c r="H61" s="143"/>
      <c r="I61" s="141"/>
      <c r="J61" s="194"/>
      <c r="K61" s="144" t="str">
        <f>IF(ISBLANK(Effectif!$J61),"Inconnu",INT((Effectif!$J61-Effectif!$D61)/365.25)&amp;" ans "&amp;MONTH(Effectif!$J61-Effectif!$D61)-1&amp;" mois ")</f>
        <v>Inconnu</v>
      </c>
      <c r="L61" s="194">
        <f>IF(Effectif!$D61&gt;0,DATE(YEAR(Effectif!$D61)+18,MONTH(Effectif!$D61),DAY(Effectif!$D61)),"")</f>
        <v>44500</v>
      </c>
      <c r="M61" s="194">
        <v>43839</v>
      </c>
      <c r="N61" s="142" t="s">
        <v>144</v>
      </c>
      <c r="O61" s="141"/>
      <c r="P61" s="142"/>
      <c r="Q61" s="145"/>
      <c r="R61" s="142"/>
      <c r="S61" s="142"/>
      <c r="T61" s="147"/>
      <c r="U61" s="141" t="s">
        <v>155</v>
      </c>
      <c r="V61" s="194"/>
      <c r="W61" s="141" t="str">
        <f>IF(Effectif!$S61&gt;0,IF(Effectif!$U61="ATJM à faire","En attente",IF(Effectif!$U61="ATJM en réalisation","En attente",(IF(Effectif!$E61&lt;18,"Pas d'ATJM",EDATE(Effectif!$V61,-2))))),"Inconnu")</f>
        <v>Inconnu</v>
      </c>
      <c r="X61" s="153" t="str">
        <f>IF(OR(Effectif!$Z60="Non",Effectif!$AD60="Non"),"Oui","Fait")</f>
        <v>Fait</v>
      </c>
      <c r="Y61" s="141"/>
      <c r="Z61" s="142" t="s">
        <v>24</v>
      </c>
      <c r="AA61" s="146"/>
      <c r="AB61" s="141"/>
      <c r="AC61" s="142" t="s">
        <v>25</v>
      </c>
      <c r="AD61" s="142" t="s">
        <v>25</v>
      </c>
      <c r="AE61" s="144" t="s">
        <v>241</v>
      </c>
      <c r="AF61" s="141"/>
      <c r="AG61" s="210">
        <v>15.45</v>
      </c>
      <c r="AH61" s="192" t="str">
        <f t="shared" si="4"/>
        <v>Avec CMU</v>
      </c>
      <c r="AI61" s="194" t="str">
        <f ca="1">IF(Effectif!$AE61="Néant","Néant",IF(Effectif!$AE61&lt;&gt;"",VLOOKUP(TEXT(Effectif!$AE61,"@"),Paramètres!$E$21:$F$23,2,0)))</f>
        <v>31/05/20</v>
      </c>
      <c r="AJ61" s="142" t="s">
        <v>24</v>
      </c>
      <c r="AK61" s="142" t="s">
        <v>25</v>
      </c>
      <c r="AL61" s="142" t="s">
        <v>25</v>
      </c>
      <c r="AM61" s="142" t="s">
        <v>25</v>
      </c>
      <c r="AN61" s="142"/>
      <c r="AO61" s="143"/>
      <c r="AP61" s="142"/>
      <c r="AQ61" s="142"/>
      <c r="AR61" s="142" t="s">
        <v>25</v>
      </c>
      <c r="AS61" s="142"/>
      <c r="AT61" s="142"/>
      <c r="AU61" s="142"/>
      <c r="AV61" s="194"/>
      <c r="AW61" s="142"/>
      <c r="AX61" s="148" t="str">
        <f t="shared" si="5"/>
        <v>d'un compte bancaire et de son RIB</v>
      </c>
      <c r="AY61" s="149"/>
    </row>
    <row r="62" spans="1:51" s="24" customFormat="1" ht="15" customHeight="1" x14ac:dyDescent="0.25">
      <c r="A62" s="138" t="s">
        <v>322</v>
      </c>
      <c r="B62" s="139" t="s">
        <v>323</v>
      </c>
      <c r="C62" s="139" t="str">
        <f t="shared" si="3"/>
        <v>azerty azertty</v>
      </c>
      <c r="D62" s="147" t="s">
        <v>288</v>
      </c>
      <c r="E62" s="142">
        <f ca="1">IF(Effectif!$D62&gt;0,IF(DATE(YEAR(TODAY()),MONTH(Effectif!$D62),DAY(Effectif!$D62))&lt;=TODAY(),YEAR(TODAY())-YEAR(Effectif!$D62),YEAR(TODAY())-YEAR(Effectif!$D62)-1),"Inconnu")</f>
        <v>16</v>
      </c>
      <c r="F62" s="142" t="str">
        <f ca="1">IF(Effectif!$D62&gt;0,(IF(DATEDIF(Effectif!$D62,TODAY(),"y")&gt;=18,"Majeur","Mineur")),"Inconnu")</f>
        <v>Mineur</v>
      </c>
      <c r="G62" s="151"/>
      <c r="H62" s="152"/>
      <c r="I62" s="150"/>
      <c r="J62" s="194">
        <v>43101</v>
      </c>
      <c r="K62" s="144" t="str">
        <f>IF(ISBLANK(Effectif!$J62),"Inconnu",INT((Effectif!$J62-Effectif!$D62)/365.25)&amp;" ans "&amp;MONTH(Effectif!$J62-Effectif!$D62)-1&amp;" mois ")</f>
        <v xml:space="preserve">14 ans 0 mois </v>
      </c>
      <c r="L62" s="194">
        <f>IF(Effectif!$D62&gt;0,DATE(YEAR(Effectif!$D62)+18,MONTH(Effectif!$D62),DAY(Effectif!$D62)),"")</f>
        <v>44561</v>
      </c>
      <c r="M62" s="194">
        <v>43434</v>
      </c>
      <c r="N62" s="151" t="s">
        <v>144</v>
      </c>
      <c r="O62" s="150"/>
      <c r="P62" s="151"/>
      <c r="Q62" s="154"/>
      <c r="R62" s="151"/>
      <c r="S62" s="151"/>
      <c r="T62" s="147"/>
      <c r="U62" s="150" t="s">
        <v>155</v>
      </c>
      <c r="V62" s="159"/>
      <c r="W62" s="141" t="str">
        <f>IF(Effectif!$S62&gt;0,IF(Effectif!$U62="ATJM à faire","En attente",IF(Effectif!$U62="ATJM en réalisation","En attente",(IF(Effectif!$E62&lt;18,"Pas d'ATJM",EDATE(Effectif!$V62,-2))))),"Inconnu")</f>
        <v>Inconnu</v>
      </c>
      <c r="X62" s="153" t="str">
        <f>IF(OR(Effectif!$Z61="Non",Effectif!$AD61="Non"),"Oui","Fait")</f>
        <v>Oui</v>
      </c>
      <c r="Y62" s="150"/>
      <c r="Z62" s="151" t="s">
        <v>25</v>
      </c>
      <c r="AA62" s="155"/>
      <c r="AB62" s="141"/>
      <c r="AC62" s="151" t="s">
        <v>25</v>
      </c>
      <c r="AD62" s="151" t="s">
        <v>24</v>
      </c>
      <c r="AE62" s="144" t="s">
        <v>242</v>
      </c>
      <c r="AF62" s="141"/>
      <c r="AG62" s="210" t="s">
        <v>324</v>
      </c>
      <c r="AH62" s="192" t="str">
        <f t="shared" si="4"/>
        <v>Scolaire sans CMU</v>
      </c>
      <c r="AI62" s="194" t="str">
        <f ca="1">IF(Effectif!$AE62="Néant","Néant",IF(Effectif!$AE62&lt;&gt;"",VLOOKUP(TEXT(Effectif!$AE62,"@"),Paramètres!$E$21:$F$23,2,0)))</f>
        <v>31/08/20</v>
      </c>
      <c r="AJ62" s="142" t="s">
        <v>24</v>
      </c>
      <c r="AK62" s="151" t="s">
        <v>24</v>
      </c>
      <c r="AL62" s="151" t="s">
        <v>24</v>
      </c>
      <c r="AM62" s="151" t="s">
        <v>25</v>
      </c>
      <c r="AN62" s="151"/>
      <c r="AO62" s="143"/>
      <c r="AP62" s="142"/>
      <c r="AQ62" s="151" t="s">
        <v>33</v>
      </c>
      <c r="AR62" s="151" t="s">
        <v>24</v>
      </c>
      <c r="AS62" s="151" t="s">
        <v>135</v>
      </c>
      <c r="AT62" s="151" t="s">
        <v>8</v>
      </c>
      <c r="AU62" s="151" t="s">
        <v>133</v>
      </c>
      <c r="AV62" s="159">
        <v>44025</v>
      </c>
      <c r="AW62" s="151"/>
      <c r="AX62" s="148" t="str">
        <f t="shared" si="5"/>
        <v>de sa CMU</v>
      </c>
      <c r="AY62" s="157"/>
    </row>
    <row r="63" spans="1:51" s="24" customFormat="1" ht="15" customHeight="1" x14ac:dyDescent="0.25">
      <c r="A63" s="138" t="s">
        <v>322</v>
      </c>
      <c r="B63" s="139" t="s">
        <v>323</v>
      </c>
      <c r="C63" s="172" t="str">
        <f t="shared" si="3"/>
        <v>azerty azertty</v>
      </c>
      <c r="D63" s="147" t="s">
        <v>312</v>
      </c>
      <c r="E63" s="142">
        <f ca="1">IF(Effectif!$D63&gt;0,IF(DATE(YEAR(TODAY()),MONTH(Effectif!$D63),DAY(Effectif!$D63))&lt;=TODAY(),YEAR(TODAY())-YEAR(Effectif!$D63),YEAR(TODAY())-YEAR(Effectif!$D63)-1),"Inconnu")</f>
        <v>15</v>
      </c>
      <c r="F63" s="142" t="str">
        <f ca="1">IF(Effectif!$D63&gt;0,(IF(DATEDIF(Effectif!$D63,TODAY(),"y")&gt;=18,"Majeur","Mineur")),"Inconnu")</f>
        <v>Mineur</v>
      </c>
      <c r="G63" s="174"/>
      <c r="H63" s="175"/>
      <c r="I63" s="173"/>
      <c r="J63" s="194"/>
      <c r="K63" s="144" t="str">
        <f>IF(ISBLANK(Effectif!$J63),"Inconnu",INT((Effectif!$J63-Effectif!$D63)/365.25)&amp;" ans "&amp;MONTH(Effectif!$J63-Effectif!$D63)-1&amp;" mois ")</f>
        <v>Inconnu</v>
      </c>
      <c r="L63" s="194">
        <f>IF(Effectif!$D63&gt;0,DATE(YEAR(Effectif!$D63)+18,MONTH(Effectif!$D63),DAY(Effectif!$D63)),"")</f>
        <v>44926</v>
      </c>
      <c r="M63" s="194">
        <v>43710</v>
      </c>
      <c r="N63" s="142" t="s">
        <v>144</v>
      </c>
      <c r="O63" s="173"/>
      <c r="P63" s="142"/>
      <c r="Q63" s="145"/>
      <c r="R63" s="142"/>
      <c r="S63" s="142"/>
      <c r="T63" s="147"/>
      <c r="U63" s="141" t="s">
        <v>155</v>
      </c>
      <c r="V63" s="200"/>
      <c r="W63" s="141" t="str">
        <f>IF(Effectif!$S63&gt;0,IF(Effectif!$U63="ATJM à faire","En attente",IF(Effectif!$U63="ATJM en réalisation","En attente",(IF(Effectif!$E63&lt;18,"Pas d'ATJM",EDATE(Effectif!$V63,-2))))),"Inconnu")</f>
        <v>Inconnu</v>
      </c>
      <c r="X63" s="176" t="str">
        <f>IF(OR(Effectif!$Z62="Non",Effectif!$AD62="Non"),"Oui","Fait")</f>
        <v>Oui</v>
      </c>
      <c r="Y63" s="173"/>
      <c r="Z63" s="174" t="s">
        <v>25</v>
      </c>
      <c r="AA63" s="177"/>
      <c r="AB63" s="141"/>
      <c r="AC63" s="142" t="s">
        <v>25</v>
      </c>
      <c r="AD63" s="142" t="s">
        <v>25</v>
      </c>
      <c r="AE63" s="144" t="s">
        <v>242</v>
      </c>
      <c r="AF63" s="141"/>
      <c r="AG63" s="210">
        <v>44.5</v>
      </c>
      <c r="AH63" s="192" t="str">
        <f t="shared" si="4"/>
        <v>Scolaire sans CMU</v>
      </c>
      <c r="AI63" s="194" t="str">
        <f ca="1">IF(Effectif!$AE63="Néant","Néant",IF(Effectif!$AE63&lt;&gt;"",VLOOKUP(TEXT(Effectif!$AE63,"@"),Paramètres!$E$21:$F$23,2,0)))</f>
        <v>31/08/20</v>
      </c>
      <c r="AJ63" s="142" t="s">
        <v>24</v>
      </c>
      <c r="AK63" s="142" t="s">
        <v>25</v>
      </c>
      <c r="AL63" s="142" t="s">
        <v>25</v>
      </c>
      <c r="AM63" s="142" t="s">
        <v>25</v>
      </c>
      <c r="AN63" s="160"/>
      <c r="AO63" s="143"/>
      <c r="AP63" s="142"/>
      <c r="AQ63" s="142"/>
      <c r="AR63" s="142" t="s">
        <v>24</v>
      </c>
      <c r="AS63" s="142" t="s">
        <v>51</v>
      </c>
      <c r="AT63" s="142" t="s">
        <v>78</v>
      </c>
      <c r="AU63" s="142" t="s">
        <v>62</v>
      </c>
      <c r="AV63" s="194"/>
      <c r="AW63" s="142"/>
      <c r="AX63" s="148" t="str">
        <f t="shared" si="5"/>
        <v>de sa CM, d'un compte bancaire et de son RIB</v>
      </c>
      <c r="AY63" s="161"/>
    </row>
    <row r="64" spans="1:51" s="24" customFormat="1" ht="15" customHeight="1" thickBot="1" x14ac:dyDescent="0.3">
      <c r="A64" s="138" t="s">
        <v>322</v>
      </c>
      <c r="B64" s="139" t="s">
        <v>323</v>
      </c>
      <c r="C64" s="162"/>
      <c r="D64" s="201"/>
      <c r="E64" s="164" t="str">
        <f ca="1">IF(Effectif!$D64&gt;0,IF(DATE(YEAR(TODAY()),MONTH(Effectif!$D64),DAY(Effectif!$D64))&lt;=TODAY(),YEAR(TODAY())-YEAR(Effectif!$D64),YEAR(TODAY())-YEAR(Effectif!$D64)-1),"Inconnu")</f>
        <v>Inconnu</v>
      </c>
      <c r="F64" s="164" t="str">
        <f ca="1">IF(Effectif!$D64&gt;0,(IF(DATEDIF(Effectif!$D64,TODAY(),"y")&gt;=18,"Majeur","Mineur")),"Inconnu")</f>
        <v>Inconnu</v>
      </c>
      <c r="G64" s="164"/>
      <c r="H64" s="165"/>
      <c r="I64" s="163"/>
      <c r="J64" s="170"/>
      <c r="K64" s="169" t="str">
        <f>IF(ISBLANK(Effectif!$J64),"Inconnu",INT((Effectif!$J64-Effectif!$D64)/365.25)&amp;" ans "&amp;MONTH(Effectif!$J64-Effectif!$D64)-1&amp;" mois ")</f>
        <v>Inconnu</v>
      </c>
      <c r="L64" s="170" t="str">
        <f>IF(Effectif!$D64&gt;0,DATE(YEAR(Effectif!$D64)+18,MONTH(Effectif!$D64),DAY(Effectif!$D64)),"")</f>
        <v/>
      </c>
      <c r="M64" s="170"/>
      <c r="N64" s="163"/>
      <c r="O64" s="163"/>
      <c r="P64" s="164"/>
      <c r="Q64" s="166"/>
      <c r="R64" s="164"/>
      <c r="S64" s="164"/>
      <c r="T64" s="201"/>
      <c r="U64" s="163"/>
      <c r="V64" s="170"/>
      <c r="W64" s="163" t="str">
        <f>IF(Effectif!$S64&gt;0,IF(Effectif!$U64="ATJM à faire","En attente",IF(Effectif!$U64="ATJM en réalisation","En attente",(IF(Effectif!$E64&lt;18,"Pas d'ATJM",EDATE(Effectif!$V64,-2))))),"Inconnu")</f>
        <v>Inconnu</v>
      </c>
      <c r="X64" s="167"/>
      <c r="Y64" s="163"/>
      <c r="Z64" s="164" t="s">
        <v>25</v>
      </c>
      <c r="AA64" s="168"/>
      <c r="AB64" s="163"/>
      <c r="AC64" s="164" t="s">
        <v>25</v>
      </c>
      <c r="AD64" s="164" t="s">
        <v>25</v>
      </c>
      <c r="AE64" s="169" t="s">
        <v>88</v>
      </c>
      <c r="AF64" s="163"/>
      <c r="AG64" s="211"/>
      <c r="AH64" s="193" t="str">
        <f t="shared" si="4"/>
        <v>Sans réduction</v>
      </c>
      <c r="AI64" s="170" t="str">
        <f>IF(Effectif!$AE64="Néant","Néant",IF(Effectif!$AE64&lt;&gt;"",VLOOKUP(TEXT(Effectif!$AE64,"@"),Paramètres!$E$21:$F$23,2,0)))</f>
        <v>Néant</v>
      </c>
      <c r="AJ64" s="142" t="s">
        <v>24</v>
      </c>
      <c r="AK64" s="164" t="s">
        <v>25</v>
      </c>
      <c r="AL64" s="164" t="s">
        <v>25</v>
      </c>
      <c r="AM64" s="164" t="s">
        <v>25</v>
      </c>
      <c r="AN64" s="164"/>
      <c r="AO64" s="165"/>
      <c r="AP64" s="164"/>
      <c r="AQ64" s="164"/>
      <c r="AR64" s="164" t="s">
        <v>25</v>
      </c>
      <c r="AS64" s="164"/>
      <c r="AT64" s="169"/>
      <c r="AU64" s="169"/>
      <c r="AV64" s="170"/>
      <c r="AW64" s="163"/>
      <c r="AX64" s="171"/>
      <c r="AY64" s="178"/>
    </row>
    <row r="65" spans="4:50" ht="15" customHeight="1" thickTop="1" x14ac:dyDescent="0.25">
      <c r="AG65" s="209"/>
      <c r="AK65" s="60"/>
      <c r="AL65" s="60"/>
    </row>
    <row r="66" spans="4:50" ht="15" customHeight="1" x14ac:dyDescent="0.25">
      <c r="AG66" s="202"/>
    </row>
    <row r="70" spans="4:50" ht="15" customHeight="1" x14ac:dyDescent="0.25">
      <c r="D70" s="24"/>
      <c r="F70" s="24"/>
      <c r="H70" s="24"/>
      <c r="I70" s="60"/>
      <c r="J70" s="24"/>
      <c r="L70" s="24"/>
      <c r="N70" s="24"/>
      <c r="O70" s="60"/>
      <c r="P70" s="24"/>
      <c r="R70" s="24"/>
      <c r="T70" s="24"/>
      <c r="V70" s="24"/>
      <c r="X70" s="24"/>
      <c r="Z70" s="24"/>
      <c r="AB70" s="24"/>
      <c r="AC70" s="60"/>
      <c r="AD70" s="24"/>
      <c r="AE70" s="60"/>
      <c r="AF70" s="24"/>
      <c r="AG70" s="60"/>
      <c r="AH70" s="24"/>
      <c r="AI70" s="60"/>
      <c r="AJ70" s="24"/>
      <c r="AK70" s="60"/>
      <c r="AL70" s="24"/>
      <c r="AM70" s="60"/>
      <c r="AN70" s="24"/>
      <c r="AO70" s="60"/>
      <c r="AP70" s="24"/>
      <c r="AR70" s="24"/>
      <c r="AT70" s="24"/>
      <c r="AV70" s="24"/>
      <c r="AX70" s="24"/>
    </row>
  </sheetData>
  <sheetProtection selectLockedCells="1"/>
  <sortState xmlns:xlrd2="http://schemas.microsoft.com/office/spreadsheetml/2017/richdata2" ref="A3:BA64">
    <sortCondition ref="C3:C64"/>
  </sortState>
  <customSheetViews>
    <customSheetView guid="{EE943BA9-0B80-4629-8DFD-5400001CD553}" fitToPage="1" hiddenColumns="1">
      <pane xSplit="2" ySplit="1" topLeftCell="U49" activePane="bottomRight" state="frozen"/>
      <selection pane="bottomRight" activeCell="W59" sqref="W59"/>
      <pageMargins left="0.7" right="0.7" top="0.75" bottom="0.75" header="0.3" footer="0.3"/>
      <pageSetup paperSize="8" scale="73" fitToWidth="0" orientation="landscape" r:id="rId1"/>
    </customSheetView>
    <customSheetView guid="{23892BE3-6C12-4C60-B754-ED0B7FB9276C}" fitToPage="1" hiddenColumns="1">
      <pane xSplit="2" ySplit="2" topLeftCell="D21" activePane="bottomRight" state="frozen"/>
      <selection pane="bottomRight" activeCell="H26" sqref="H26"/>
      <pageMargins left="0.7" right="0.7" top="0.75" bottom="0.75" header="0.3" footer="0.3"/>
      <pageSetup paperSize="8" scale="73" fitToWidth="0" orientation="landscape" r:id="rId2"/>
    </customSheetView>
  </customSheetViews>
  <conditionalFormatting sqref="P65:AC66 A65:N66 AI65:AX66">
    <cfRule type="expression" dxfId="16" priority="137">
      <formula>$P65="ES"</formula>
    </cfRule>
    <cfRule type="expression" dxfId="15" priority="138">
      <formula>$P65="B._BOQUET"</formula>
    </cfRule>
    <cfRule type="expression" dxfId="14" priority="139">
      <formula>$P65="L._GUIGNARD"</formula>
    </cfRule>
    <cfRule type="expression" dxfId="13" priority="140">
      <formula>$P65="H._LETESSIER"</formula>
    </cfRule>
  </conditionalFormatting>
  <conditionalFormatting sqref="A2:AY66">
    <cfRule type="expression" dxfId="12" priority="153">
      <formula>$O2="ES"</formula>
    </cfRule>
    <cfRule type="expression" dxfId="11" priority="154">
      <formula>$O2="B._BOQUET"</formula>
    </cfRule>
    <cfRule type="expression" dxfId="10" priority="155">
      <formula>$O2="L._GUIGNARD"</formula>
    </cfRule>
    <cfRule type="expression" dxfId="9" priority="156">
      <formula>$O2="H._LETESSIER"</formula>
    </cfRule>
    <cfRule type="expression" priority="157">
      <formula>IF(OR(Cell="",ISBLANK(Cell)), Néant )</formula>
    </cfRule>
    <cfRule type="expression" dxfId="8" priority="158">
      <formula>$A2="NON OCCUPEE"</formula>
    </cfRule>
  </conditionalFormatting>
  <dataValidations count="14">
    <dataValidation type="list" allowBlank="1" showInputMessage="1" showErrorMessage="1" sqref="AN12:AN64 AN2:AN3 AN5:AN9" xr:uid="{00000000-0002-0000-0000-000000000000}">
      <formula1>PAMIE</formula1>
    </dataValidation>
    <dataValidation type="list" showInputMessage="1" showErrorMessage="1" sqref="AN11" xr:uid="{00000000-0002-0000-0000-000001000000}">
      <formula1>PAMIE</formula1>
    </dataValidation>
    <dataValidation type="custom" allowBlank="1" showInputMessage="1" showErrorMessage="1" sqref="V5" xr:uid="{00000000-0002-0000-0000-000002000000}">
      <formula1>IF(OR(U5="Ordonnance de placement",U5="Tutelle")=TRUE, "Néant", "")</formula1>
    </dataValidation>
    <dataValidation type="list" allowBlank="1" showInputMessage="1" showErrorMessage="1" sqref="Z2:Z3 AR2:AR3 AK5:AM64 AC2:AD3 Z5:Z64 AC5:AD64 AR5:AR64 AK2:AM3 AJ2:AJ64" xr:uid="{00000000-0002-0000-0000-000003000000}">
      <formula1>Choix</formula1>
    </dataValidation>
    <dataValidation type="list" allowBlank="1" showInputMessage="1" showErrorMessage="1" sqref="O2:O3 O5:O64" xr:uid="{00000000-0002-0000-0000-000004000000}">
      <formula1>EDUCATEUR</formula1>
    </dataValidation>
    <dataValidation type="list" allowBlank="1" showInputMessage="1" showErrorMessage="1" sqref="AQ2:AQ3 AQ5:AQ64" xr:uid="{00000000-0002-0000-0000-000005000000}">
      <formula1>Titre</formula1>
    </dataValidation>
    <dataValidation type="list" allowBlank="1" showInputMessage="1" showErrorMessage="1" sqref="AS2:AS3 AS5:AS64" xr:uid="{00000000-0002-0000-0000-000006000000}">
      <formula1>Scolarite</formula1>
    </dataValidation>
    <dataValidation type="list" allowBlank="1" showInputMessage="1" showErrorMessage="1" sqref="S2:S3 AT2:AU3 AT5:AU64 S5:S64" xr:uid="{00000000-0002-0000-0000-000007000000}">
      <formula1>INDIRECT(R2)</formula1>
    </dataValidation>
    <dataValidation type="list" allowBlank="1" showInputMessage="1" showErrorMessage="1" sqref="N2:N3 N5:N64" xr:uid="{00000000-0002-0000-0000-000008000000}">
      <formula1>Accueil</formula1>
    </dataValidation>
    <dataValidation type="list" allowBlank="1" showInputMessage="1" showErrorMessage="1" sqref="Q2:Q3 Q5:Q64" xr:uid="{00000000-0002-0000-0000-000009000000}">
      <formula1>INDIRECT(N2)</formula1>
    </dataValidation>
    <dataValidation type="custom" allowBlank="1" showErrorMessage="1" errorTitle="Erreur de numéro" error="Cette chambre est déjà occupée" promptTitle="Erreur de numéro" prompt="Cette chambre est déjà occupée" sqref="P3" xr:uid="{00000000-0002-0000-0000-00000A000000}">
      <formula1>COUNTIF($P$4:$P$62,P3)=1</formula1>
    </dataValidation>
    <dataValidation type="list" allowBlank="1" showInputMessage="1" showErrorMessage="1" sqref="R2:R64" xr:uid="{00000000-0002-0000-0000-00000B000000}">
      <formula1>IEF</formula1>
    </dataValidation>
    <dataValidation type="custom" allowBlank="1" showErrorMessage="1" errorTitle="Erreur de numéro" error="Cette chambre est déjà occupée" promptTitle="Erreur de numéro" prompt="Cette chambre est déjà occupée" sqref="P5:P64" xr:uid="{00000000-0002-0000-0000-00000C000000}">
      <formula1>COUNTIF($P$5:$P$62,P5)=1</formula1>
    </dataValidation>
    <dataValidation type="list" allowBlank="1" showInputMessage="1" showErrorMessage="1" sqref="U2:U64" xr:uid="{00000000-0002-0000-0000-00000D000000}">
      <formula1>IF(F2&lt;&gt;"Mineur",ATJM,Mesure)</formula1>
    </dataValidation>
  </dataValidations>
  <pageMargins left="0.7" right="0.7" top="0.75" bottom="0.75" header="0.3" footer="0.3"/>
  <pageSetup paperSize="8" scale="73" fitToWidth="0" orientation="landscape" r:id="rId3"/>
  <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E000000}">
          <x14:formula1>
            <xm:f>Paramètres!$E$21:$E$23</xm:f>
          </x14:formula1>
          <xm:sqref>AE2:AE64</xm:sqref>
        </x14:dataValidation>
        <x14:dataValidation type="list" allowBlank="1" showInputMessage="1" showErrorMessage="1" xr:uid="{00000000-0002-0000-0000-00000F000000}">
          <x14:formula1>
            <xm:f>OFFSET(Paramètres!$I$25:$I$32,0,COUNTA(Paramètres!$I$25:$I$32),1)</xm:f>
          </x14:formula1>
          <xm:sqref>AN10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E65"/>
  <sheetViews>
    <sheetView topLeftCell="A44" workbookViewId="0">
      <selection activeCell="E64" sqref="A64:E64"/>
    </sheetView>
  </sheetViews>
  <sheetFormatPr baseColWidth="10" defaultRowHeight="15" x14ac:dyDescent="0.25"/>
  <cols>
    <col min="1" max="1" width="16.7109375" style="20" bestFit="1" customWidth="1"/>
    <col min="2" max="2" width="24.42578125" style="20" bestFit="1" customWidth="1"/>
    <col min="3" max="3" width="15.7109375" style="1" customWidth="1"/>
    <col min="4" max="4" width="17" style="1" customWidth="1"/>
    <col min="5" max="5" width="10.28515625" style="1" customWidth="1"/>
    <col min="6" max="16384" width="11.42578125" style="1"/>
  </cols>
  <sheetData>
    <row r="1" spans="1:5" s="22" customFormat="1" ht="31.5" x14ac:dyDescent="0.25">
      <c r="A1" s="64" t="s">
        <v>0</v>
      </c>
      <c r="B1" s="89" t="s">
        <v>1</v>
      </c>
      <c r="C1" s="89" t="s">
        <v>2</v>
      </c>
      <c r="D1" s="89" t="s">
        <v>143</v>
      </c>
      <c r="E1" s="90" t="s">
        <v>142</v>
      </c>
    </row>
    <row r="2" spans="1:5" x14ac:dyDescent="0.25">
      <c r="A2" s="67" t="str">
        <f>Effectif!A2</f>
        <v>azerty</v>
      </c>
      <c r="B2" s="79" t="str">
        <f>Effectif!B2</f>
        <v>azertty</v>
      </c>
      <c r="C2" s="80" t="str">
        <f>Effectif!D2</f>
        <v>18/07/2004</v>
      </c>
      <c r="D2" s="81" t="str">
        <f>Effectif!N2</f>
        <v>Collectif</v>
      </c>
      <c r="E2" s="91">
        <f>Effectif!Q2</f>
        <v>0</v>
      </c>
    </row>
    <row r="3" spans="1:5" x14ac:dyDescent="0.25">
      <c r="A3" s="70" t="str">
        <f>Effectif!A3</f>
        <v>azerty</v>
      </c>
      <c r="B3" s="83" t="str">
        <f>Effectif!B3</f>
        <v>azertty</v>
      </c>
      <c r="C3" s="84" t="str">
        <f>Effectif!D3</f>
        <v>08/04/2003</v>
      </c>
      <c r="D3" s="85" t="str">
        <f>Effectif!N3</f>
        <v>Collectif</v>
      </c>
      <c r="E3" s="92">
        <f>Effectif!Q3</f>
        <v>0</v>
      </c>
    </row>
    <row r="4" spans="1:5" x14ac:dyDescent="0.25">
      <c r="A4" s="67" t="str">
        <f>Effectif!A4</f>
        <v>azerty</v>
      </c>
      <c r="B4" s="79" t="str">
        <f>Effectif!B4</f>
        <v>azertty</v>
      </c>
      <c r="C4" s="80" t="str">
        <f>Effectif!D4</f>
        <v>15/11/2003</v>
      </c>
      <c r="D4" s="81" t="str">
        <f>Effectif!N4</f>
        <v>Collectif</v>
      </c>
      <c r="E4" s="91">
        <f>Effectif!Q4</f>
        <v>0</v>
      </c>
    </row>
    <row r="5" spans="1:5" x14ac:dyDescent="0.25">
      <c r="A5" s="70" t="str">
        <f>Effectif!A5</f>
        <v>azerty</v>
      </c>
      <c r="B5" s="83" t="str">
        <f>Effectif!B5</f>
        <v>azertty</v>
      </c>
      <c r="C5" s="84" t="str">
        <f>Effectif!D5</f>
        <v>06/06/2004</v>
      </c>
      <c r="D5" s="85" t="str">
        <f>Effectif!N5</f>
        <v>Collectif</v>
      </c>
      <c r="E5" s="92">
        <f>Effectif!Q5</f>
        <v>0</v>
      </c>
    </row>
    <row r="6" spans="1:5" x14ac:dyDescent="0.25">
      <c r="A6" s="67" t="str">
        <f>Effectif!A6</f>
        <v>azerty</v>
      </c>
      <c r="B6" s="79" t="str">
        <f>Effectif!B6</f>
        <v>azertty</v>
      </c>
      <c r="C6" s="80" t="str">
        <f>Effectif!D6</f>
        <v>10/09/2003</v>
      </c>
      <c r="D6" s="81" t="str">
        <f>Effectif!N6</f>
        <v>Collectif</v>
      </c>
      <c r="E6" s="91">
        <f>Effectif!Q6</f>
        <v>0</v>
      </c>
    </row>
    <row r="7" spans="1:5" x14ac:dyDescent="0.25">
      <c r="A7" s="70" t="str">
        <f>Effectif!A7</f>
        <v>azerty</v>
      </c>
      <c r="B7" s="83" t="str">
        <f>Effectif!B7</f>
        <v>azertty</v>
      </c>
      <c r="C7" s="84" t="str">
        <f>Effectif!D7</f>
        <v>30/10/2003</v>
      </c>
      <c r="D7" s="85" t="str">
        <f>Effectif!N7</f>
        <v>Collectif</v>
      </c>
      <c r="E7" s="92">
        <f>Effectif!Q7</f>
        <v>0</v>
      </c>
    </row>
    <row r="8" spans="1:5" x14ac:dyDescent="0.25">
      <c r="A8" s="67" t="str">
        <f>Effectif!A8</f>
        <v>azerty</v>
      </c>
      <c r="B8" s="79" t="str">
        <f>Effectif!B8</f>
        <v>azertty</v>
      </c>
      <c r="C8" s="80" t="str">
        <f>Effectif!D8</f>
        <v>15/04/2003</v>
      </c>
      <c r="D8" s="81" t="str">
        <f>Effectif!N8</f>
        <v>Collectif</v>
      </c>
      <c r="E8" s="91">
        <f>Effectif!Q8</f>
        <v>0</v>
      </c>
    </row>
    <row r="9" spans="1:5" x14ac:dyDescent="0.25">
      <c r="A9" s="70" t="str">
        <f>Effectif!A9</f>
        <v>azerty</v>
      </c>
      <c r="B9" s="83" t="str">
        <f>Effectif!B9</f>
        <v>azertty</v>
      </c>
      <c r="C9" s="84" t="str">
        <f>Effectif!D9</f>
        <v>13/05/2003</v>
      </c>
      <c r="D9" s="85" t="str">
        <f>Effectif!N9</f>
        <v>Collectif</v>
      </c>
      <c r="E9" s="92">
        <f>Effectif!Q9</f>
        <v>0</v>
      </c>
    </row>
    <row r="10" spans="1:5" x14ac:dyDescent="0.25">
      <c r="A10" s="67" t="str">
        <f>Effectif!A10</f>
        <v>azerty</v>
      </c>
      <c r="B10" s="79" t="str">
        <f>Effectif!B10</f>
        <v>azertty</v>
      </c>
      <c r="C10" s="80" t="str">
        <f>Effectif!D10</f>
        <v>23/11/2002</v>
      </c>
      <c r="D10" s="81" t="str">
        <f>Effectif!N10</f>
        <v>Collectif</v>
      </c>
      <c r="E10" s="91">
        <f>Effectif!Q10</f>
        <v>0</v>
      </c>
    </row>
    <row r="11" spans="1:5" x14ac:dyDescent="0.25">
      <c r="A11" s="70" t="str">
        <f>Effectif!A11</f>
        <v>azerty</v>
      </c>
      <c r="B11" s="83" t="str">
        <f>Effectif!B11</f>
        <v>azertty</v>
      </c>
      <c r="C11" s="84" t="str">
        <f>Effectif!D11</f>
        <v>15/12/2002</v>
      </c>
      <c r="D11" s="85" t="str">
        <f>Effectif!N11</f>
        <v>Collectif</v>
      </c>
      <c r="E11" s="92">
        <f>Effectif!Q11</f>
        <v>0</v>
      </c>
    </row>
    <row r="12" spans="1:5" x14ac:dyDescent="0.25">
      <c r="A12" s="67" t="str">
        <f>Effectif!A12</f>
        <v>azerty</v>
      </c>
      <c r="B12" s="79" t="str">
        <f>Effectif!B12</f>
        <v>azertty</v>
      </c>
      <c r="C12" s="80" t="str">
        <f>Effectif!D12</f>
        <v>10/12/2002</v>
      </c>
      <c r="D12" s="81" t="str">
        <f>Effectif!N12</f>
        <v>Collectif</v>
      </c>
      <c r="E12" s="91">
        <f>Effectif!Q12</f>
        <v>0</v>
      </c>
    </row>
    <row r="13" spans="1:5" x14ac:dyDescent="0.25">
      <c r="A13" s="70" t="str">
        <f>Effectif!A13</f>
        <v>azerty</v>
      </c>
      <c r="B13" s="83" t="str">
        <f>Effectif!B13</f>
        <v>azertty</v>
      </c>
      <c r="C13" s="84" t="str">
        <f>Effectif!D13</f>
        <v>02/04/2004</v>
      </c>
      <c r="D13" s="85" t="str">
        <f>Effectif!N13</f>
        <v>Collectif</v>
      </c>
      <c r="E13" s="92">
        <f>Effectif!Q13</f>
        <v>0</v>
      </c>
    </row>
    <row r="14" spans="1:5" x14ac:dyDescent="0.25">
      <c r="A14" s="67" t="str">
        <f>Effectif!A14</f>
        <v>azerty</v>
      </c>
      <c r="B14" s="79" t="str">
        <f>Effectif!B14</f>
        <v>azertty</v>
      </c>
      <c r="C14" s="80" t="str">
        <f>Effectif!D14</f>
        <v>10/10/2002</v>
      </c>
      <c r="D14" s="81" t="str">
        <f>Effectif!N14</f>
        <v>Semi_autonomie</v>
      </c>
      <c r="E14" s="91">
        <f>Effectif!Q14</f>
        <v>0</v>
      </c>
    </row>
    <row r="15" spans="1:5" x14ac:dyDescent="0.25">
      <c r="A15" s="70" t="str">
        <f>Effectif!A15</f>
        <v>azerty</v>
      </c>
      <c r="B15" s="83" t="str">
        <f>Effectif!B15</f>
        <v>azertty</v>
      </c>
      <c r="C15" s="84" t="str">
        <f>Effectif!D15</f>
        <v>23/02/2004</v>
      </c>
      <c r="D15" s="85" t="str">
        <f>Effectif!N15</f>
        <v>Collectif</v>
      </c>
      <c r="E15" s="92">
        <f>Effectif!Q15</f>
        <v>0</v>
      </c>
    </row>
    <row r="16" spans="1:5" x14ac:dyDescent="0.25">
      <c r="A16" s="67" t="str">
        <f>Effectif!A16</f>
        <v>azerty</v>
      </c>
      <c r="B16" s="79" t="str">
        <f>Effectif!B16</f>
        <v>azertty</v>
      </c>
      <c r="C16" s="80" t="str">
        <f>Effectif!D16</f>
        <v>14/11/2003</v>
      </c>
      <c r="D16" s="81" t="str">
        <f>Effectif!N16</f>
        <v>Collectif</v>
      </c>
      <c r="E16" s="91">
        <f>Effectif!Q16</f>
        <v>0</v>
      </c>
    </row>
    <row r="17" spans="1:5" x14ac:dyDescent="0.25">
      <c r="A17" s="70" t="str">
        <f>Effectif!A17</f>
        <v>azerty</v>
      </c>
      <c r="B17" s="83" t="str">
        <f>Effectif!B17</f>
        <v>azertty</v>
      </c>
      <c r="C17" s="84" t="str">
        <f>Effectif!D17</f>
        <v>10/12/2003</v>
      </c>
      <c r="D17" s="85" t="str">
        <f>Effectif!N17</f>
        <v>Collectif</v>
      </c>
      <c r="E17" s="92">
        <f>Effectif!Q17</f>
        <v>0</v>
      </c>
    </row>
    <row r="18" spans="1:5" x14ac:dyDescent="0.25">
      <c r="A18" s="67" t="str">
        <f>Effectif!A18</f>
        <v>azerty</v>
      </c>
      <c r="B18" s="79" t="str">
        <f>Effectif!B18</f>
        <v>azertty</v>
      </c>
      <c r="C18" s="80" t="str">
        <f>Effectif!D18</f>
        <v>01/01/2004</v>
      </c>
      <c r="D18" s="81" t="str">
        <f>Effectif!N18</f>
        <v>Collectif</v>
      </c>
      <c r="E18" s="91">
        <f>Effectif!Q18</f>
        <v>0</v>
      </c>
    </row>
    <row r="19" spans="1:5" x14ac:dyDescent="0.25">
      <c r="A19" s="70" t="str">
        <f>Effectif!A19</f>
        <v>azerty</v>
      </c>
      <c r="B19" s="83" t="str">
        <f>Effectif!B19</f>
        <v>azertty</v>
      </c>
      <c r="C19" s="84" t="str">
        <f>Effectif!D19</f>
        <v>04/09/2003</v>
      </c>
      <c r="D19" s="85" t="str">
        <f>Effectif!N19</f>
        <v>Semi_autonomie</v>
      </c>
      <c r="E19" s="92">
        <f>Effectif!Q19</f>
        <v>0</v>
      </c>
    </row>
    <row r="20" spans="1:5" x14ac:dyDescent="0.25">
      <c r="A20" s="67" t="str">
        <f>Effectif!A20</f>
        <v>azerty</v>
      </c>
      <c r="B20" s="79" t="str">
        <f>Effectif!B20</f>
        <v>azertty</v>
      </c>
      <c r="C20" s="80" t="str">
        <f>Effectif!D20</f>
        <v>31/12/2002</v>
      </c>
      <c r="D20" s="81" t="str">
        <f>Effectif!N20</f>
        <v>Collectif</v>
      </c>
      <c r="E20" s="91">
        <f>Effectif!Q20</f>
        <v>0</v>
      </c>
    </row>
    <row r="21" spans="1:5" x14ac:dyDescent="0.25">
      <c r="A21" s="70" t="str">
        <f>Effectif!A21</f>
        <v>azerty</v>
      </c>
      <c r="B21" s="83" t="str">
        <f>Effectif!B21</f>
        <v>azertty</v>
      </c>
      <c r="C21" s="84" t="str">
        <f>Effectif!D21</f>
        <v>30/10/2001</v>
      </c>
      <c r="D21" s="85" t="str">
        <f>Effectif!N21</f>
        <v>Semi_autonomie</v>
      </c>
      <c r="E21" s="92">
        <f>Effectif!Q21</f>
        <v>0</v>
      </c>
    </row>
    <row r="22" spans="1:5" x14ac:dyDescent="0.25">
      <c r="A22" s="67" t="str">
        <f>Effectif!A22</f>
        <v>azerty</v>
      </c>
      <c r="B22" s="79" t="str">
        <f>Effectif!B22</f>
        <v>azertty</v>
      </c>
      <c r="C22" s="80" t="str">
        <f>Effectif!D22</f>
        <v>20/03/2002</v>
      </c>
      <c r="D22" s="81" t="str">
        <f>Effectif!N22</f>
        <v>Collectif</v>
      </c>
      <c r="E22" s="91">
        <f>Effectif!Q22</f>
        <v>0</v>
      </c>
    </row>
    <row r="23" spans="1:5" x14ac:dyDescent="0.25">
      <c r="A23" s="70" t="str">
        <f>Effectif!A23</f>
        <v>azerty</v>
      </c>
      <c r="B23" s="83" t="str">
        <f>Effectif!B23</f>
        <v>azertty</v>
      </c>
      <c r="C23" s="84" t="str">
        <f>Effectif!D23</f>
        <v>17/11/2004</v>
      </c>
      <c r="D23" s="85" t="str">
        <f>Effectif!N23</f>
        <v>Collectif</v>
      </c>
      <c r="E23" s="92">
        <f>Effectif!Q23</f>
        <v>0</v>
      </c>
    </row>
    <row r="24" spans="1:5" x14ac:dyDescent="0.25">
      <c r="A24" s="67" t="str">
        <f>Effectif!A24</f>
        <v>azerty</v>
      </c>
      <c r="B24" s="79" t="str">
        <f>Effectif!B24</f>
        <v>azertty</v>
      </c>
      <c r="C24" s="80" t="str">
        <f>Effectif!D24</f>
        <v>14/06/2003</v>
      </c>
      <c r="D24" s="81" t="str">
        <f>Effectif!N24</f>
        <v>Collectif</v>
      </c>
      <c r="E24" s="91">
        <f>Effectif!Q24</f>
        <v>0</v>
      </c>
    </row>
    <row r="25" spans="1:5" x14ac:dyDescent="0.25">
      <c r="A25" s="70" t="str">
        <f>Effectif!A25</f>
        <v>azerty</v>
      </c>
      <c r="B25" s="83" t="str">
        <f>Effectif!B25</f>
        <v>azertty</v>
      </c>
      <c r="C25" s="84" t="str">
        <f>Effectif!D25</f>
        <v>22/08/2003</v>
      </c>
      <c r="D25" s="85" t="str">
        <f>Effectif!N25</f>
        <v>Collectif</v>
      </c>
      <c r="E25" s="92">
        <f>Effectif!Q25</f>
        <v>0</v>
      </c>
    </row>
    <row r="26" spans="1:5" x14ac:dyDescent="0.25">
      <c r="A26" s="67" t="str">
        <f>Effectif!A26</f>
        <v>azerty</v>
      </c>
      <c r="B26" s="79" t="str">
        <f>Effectif!B26</f>
        <v>azertty</v>
      </c>
      <c r="C26" s="80" t="str">
        <f>Effectif!D26</f>
        <v>27/07/2004</v>
      </c>
      <c r="D26" s="81" t="str">
        <f>Effectif!N26</f>
        <v>Collectif</v>
      </c>
      <c r="E26" s="91">
        <f>Effectif!Q26</f>
        <v>0</v>
      </c>
    </row>
    <row r="27" spans="1:5" x14ac:dyDescent="0.25">
      <c r="A27" s="70" t="str">
        <f>Effectif!A27</f>
        <v>azerty</v>
      </c>
      <c r="B27" s="83" t="str">
        <f>Effectif!B27</f>
        <v>azertty</v>
      </c>
      <c r="C27" s="84" t="str">
        <f>Effectif!D27</f>
        <v>08/04/2004</v>
      </c>
      <c r="D27" s="85" t="str">
        <f>Effectif!N27</f>
        <v>Collectif</v>
      </c>
      <c r="E27" s="92">
        <f>Effectif!Q27</f>
        <v>0</v>
      </c>
    </row>
    <row r="28" spans="1:5" x14ac:dyDescent="0.25">
      <c r="A28" s="67" t="str">
        <f>Effectif!A28</f>
        <v>azerty</v>
      </c>
      <c r="B28" s="79" t="str">
        <f>Effectif!B28</f>
        <v>azertty</v>
      </c>
      <c r="C28" s="80" t="str">
        <f>Effectif!D28</f>
        <v>25/01/2004</v>
      </c>
      <c r="D28" s="81" t="str">
        <f>Effectif!N28</f>
        <v>Collectif</v>
      </c>
      <c r="E28" s="91">
        <f>Effectif!Q28</f>
        <v>0</v>
      </c>
    </row>
    <row r="29" spans="1:5" x14ac:dyDescent="0.25">
      <c r="A29" s="70" t="str">
        <f>Effectif!A29</f>
        <v>azerty</v>
      </c>
      <c r="B29" s="83" t="str">
        <f>Effectif!B29</f>
        <v>azertty</v>
      </c>
      <c r="C29" s="84" t="str">
        <f>Effectif!D29</f>
        <v>06/03/2002</v>
      </c>
      <c r="D29" s="85" t="str">
        <f>Effectif!N29</f>
        <v>Semi_autonomie</v>
      </c>
      <c r="E29" s="92">
        <f>Effectif!Q29</f>
        <v>0</v>
      </c>
    </row>
    <row r="30" spans="1:5" x14ac:dyDescent="0.25">
      <c r="A30" s="67" t="str">
        <f>Effectif!A30</f>
        <v>azerty</v>
      </c>
      <c r="B30" s="79" t="str">
        <f>Effectif!B30</f>
        <v>azertty</v>
      </c>
      <c r="C30" s="80" t="str">
        <f>Effectif!D30</f>
        <v>01/05/2002</v>
      </c>
      <c r="D30" s="81" t="str">
        <f>Effectif!N30</f>
        <v>Collectif</v>
      </c>
      <c r="E30" s="91">
        <f>Effectif!Q30</f>
        <v>0</v>
      </c>
    </row>
    <row r="31" spans="1:5" x14ac:dyDescent="0.25">
      <c r="A31" s="70" t="str">
        <f>Effectif!A31</f>
        <v>azerty</v>
      </c>
      <c r="B31" s="83" t="str">
        <f>Effectif!B31</f>
        <v>azertty</v>
      </c>
      <c r="C31" s="84" t="str">
        <f>Effectif!D31</f>
        <v>05/05/2003</v>
      </c>
      <c r="D31" s="85" t="str">
        <f>Effectif!N31</f>
        <v>Collectif</v>
      </c>
      <c r="E31" s="92">
        <f>Effectif!Q31</f>
        <v>0</v>
      </c>
    </row>
    <row r="32" spans="1:5" x14ac:dyDescent="0.25">
      <c r="A32" s="67" t="str">
        <f>Effectif!A32</f>
        <v>azerty</v>
      </c>
      <c r="B32" s="79" t="str">
        <f>Effectif!B32</f>
        <v>azertty</v>
      </c>
      <c r="C32" s="80" t="str">
        <f>Effectif!D32</f>
        <v>10/12/2001</v>
      </c>
      <c r="D32" s="81" t="str">
        <f>Effectif!N32</f>
        <v>Semi_autonomie</v>
      </c>
      <c r="E32" s="91">
        <f>Effectif!Q32</f>
        <v>0</v>
      </c>
    </row>
    <row r="33" spans="1:5" x14ac:dyDescent="0.25">
      <c r="A33" s="70" t="str">
        <f>Effectif!A33</f>
        <v>azerty</v>
      </c>
      <c r="B33" s="83" t="str">
        <f>Effectif!B33</f>
        <v>azertty</v>
      </c>
      <c r="C33" s="84" t="str">
        <f>Effectif!D33</f>
        <v>31/12/2003</v>
      </c>
      <c r="D33" s="85" t="str">
        <f>Effectif!N33</f>
        <v>Collectif</v>
      </c>
      <c r="E33" s="92">
        <f>Effectif!Q33</f>
        <v>0</v>
      </c>
    </row>
    <row r="34" spans="1:5" x14ac:dyDescent="0.25">
      <c r="A34" s="67" t="str">
        <f>Effectif!A34</f>
        <v>azerty</v>
      </c>
      <c r="B34" s="79" t="str">
        <f>Effectif!B34</f>
        <v>azertty</v>
      </c>
      <c r="C34" s="80" t="str">
        <f>Effectif!D34</f>
        <v>15/09/2003</v>
      </c>
      <c r="D34" s="81" t="str">
        <f>Effectif!N34</f>
        <v>Collectif</v>
      </c>
      <c r="E34" s="91">
        <f>Effectif!Q34</f>
        <v>0</v>
      </c>
    </row>
    <row r="35" spans="1:5" x14ac:dyDescent="0.25">
      <c r="A35" s="70" t="str">
        <f>Effectif!A35</f>
        <v>azerty</v>
      </c>
      <c r="B35" s="83" t="str">
        <f>Effectif!B35</f>
        <v>azertty</v>
      </c>
      <c r="C35" s="84" t="str">
        <f>Effectif!D35</f>
        <v>19/06/2004</v>
      </c>
      <c r="D35" s="85" t="str">
        <f>Effectif!N35</f>
        <v>Collectif</v>
      </c>
      <c r="E35" s="92">
        <f>Effectif!Q35</f>
        <v>0</v>
      </c>
    </row>
    <row r="36" spans="1:5" x14ac:dyDescent="0.25">
      <c r="A36" s="67" t="str">
        <f>Effectif!A36</f>
        <v>azerty</v>
      </c>
      <c r="B36" s="79" t="str">
        <f>Effectif!B36</f>
        <v>azertty</v>
      </c>
      <c r="C36" s="80" t="str">
        <f>Effectif!D36</f>
        <v>03/03/2003</v>
      </c>
      <c r="D36" s="81" t="str">
        <f>Effectif!N36</f>
        <v>Semi_autonomie</v>
      </c>
      <c r="E36" s="91">
        <f>Effectif!Q36</f>
        <v>0</v>
      </c>
    </row>
    <row r="37" spans="1:5" x14ac:dyDescent="0.25">
      <c r="A37" s="70" t="str">
        <f>Effectif!A37</f>
        <v>azerty</v>
      </c>
      <c r="B37" s="83" t="str">
        <f>Effectif!B37</f>
        <v>azertty</v>
      </c>
      <c r="C37" s="84" t="str">
        <f>Effectif!D37</f>
        <v>29/08/2004</v>
      </c>
      <c r="D37" s="85" t="str">
        <f>Effectif!N37</f>
        <v>Collectif</v>
      </c>
      <c r="E37" s="92">
        <f>Effectif!Q37</f>
        <v>0</v>
      </c>
    </row>
    <row r="38" spans="1:5" x14ac:dyDescent="0.25">
      <c r="A38" s="67" t="str">
        <f>Effectif!A38</f>
        <v>azerty</v>
      </c>
      <c r="B38" s="79" t="str">
        <f>Effectif!B38</f>
        <v>azertty</v>
      </c>
      <c r="C38" s="80" t="str">
        <f>Effectif!D38</f>
        <v>23/12/2002</v>
      </c>
      <c r="D38" s="81" t="str">
        <f>Effectif!N38</f>
        <v>Collectif</v>
      </c>
      <c r="E38" s="91">
        <f>Effectif!Q38</f>
        <v>0</v>
      </c>
    </row>
    <row r="39" spans="1:5" x14ac:dyDescent="0.25">
      <c r="A39" s="70" t="str">
        <f>Effectif!A39</f>
        <v>azerty</v>
      </c>
      <c r="B39" s="83" t="str">
        <f>Effectif!B39</f>
        <v>azertty</v>
      </c>
      <c r="C39" s="84" t="str">
        <f>Effectif!D39</f>
        <v>16/07/2003</v>
      </c>
      <c r="D39" s="85" t="str">
        <f>Effectif!N39</f>
        <v>Collectif</v>
      </c>
      <c r="E39" s="92">
        <f>Effectif!Q39</f>
        <v>0</v>
      </c>
    </row>
    <row r="40" spans="1:5" x14ac:dyDescent="0.25">
      <c r="A40" s="67" t="str">
        <f>Effectif!A40</f>
        <v>azerty</v>
      </c>
      <c r="B40" s="79" t="str">
        <f>Effectif!B40</f>
        <v>azertty</v>
      </c>
      <c r="C40" s="80" t="str">
        <f>Effectif!D40</f>
        <v>24/12/2001</v>
      </c>
      <c r="D40" s="81" t="str">
        <f>Effectif!N40</f>
        <v>Collectif</v>
      </c>
      <c r="E40" s="91">
        <f>Effectif!Q40</f>
        <v>0</v>
      </c>
    </row>
    <row r="41" spans="1:5" x14ac:dyDescent="0.25">
      <c r="A41" s="70" t="str">
        <f>Effectif!A41</f>
        <v>azerty</v>
      </c>
      <c r="B41" s="83" t="str">
        <f>Effectif!B41</f>
        <v>azertty</v>
      </c>
      <c r="C41" s="84" t="str">
        <f>Effectif!D41</f>
        <v>20/06/2002</v>
      </c>
      <c r="D41" s="85" t="str">
        <f>Effectif!N41</f>
        <v>Collectif</v>
      </c>
      <c r="E41" s="92">
        <f>Effectif!Q41</f>
        <v>0</v>
      </c>
    </row>
    <row r="42" spans="1:5" x14ac:dyDescent="0.25">
      <c r="A42" s="67" t="str">
        <f>Effectif!A42</f>
        <v>azerty</v>
      </c>
      <c r="B42" s="79" t="str">
        <f>Effectif!B42</f>
        <v>azertty</v>
      </c>
      <c r="C42" s="80" t="str">
        <f>Effectif!D42</f>
        <v>13/02/2003</v>
      </c>
      <c r="D42" s="81" t="str">
        <f>Effectif!N42</f>
        <v>Collectif</v>
      </c>
      <c r="E42" s="91">
        <f>Effectif!Q42</f>
        <v>0</v>
      </c>
    </row>
    <row r="43" spans="1:5" x14ac:dyDescent="0.25">
      <c r="A43" s="70" t="str">
        <f>Effectif!A43</f>
        <v>azerty</v>
      </c>
      <c r="B43" s="83" t="str">
        <f>Effectif!B43</f>
        <v>azertty</v>
      </c>
      <c r="C43" s="84" t="str">
        <f>Effectif!D43</f>
        <v>15/11/2001</v>
      </c>
      <c r="D43" s="85" t="str">
        <f>Effectif!N43</f>
        <v>Semi_autonomie</v>
      </c>
      <c r="E43" s="92">
        <f>Effectif!Q43</f>
        <v>0</v>
      </c>
    </row>
    <row r="44" spans="1:5" x14ac:dyDescent="0.25">
      <c r="A44" s="67" t="str">
        <f>Effectif!A44</f>
        <v>azerty</v>
      </c>
      <c r="B44" s="79" t="str">
        <f>Effectif!B44</f>
        <v>azertty</v>
      </c>
      <c r="C44" s="80" t="str">
        <f>Effectif!D44</f>
        <v>15/09/2001</v>
      </c>
      <c r="D44" s="81" t="str">
        <f>Effectif!N44</f>
        <v>Collectif</v>
      </c>
      <c r="E44" s="91">
        <f>Effectif!Q44</f>
        <v>0</v>
      </c>
    </row>
    <row r="45" spans="1:5" x14ac:dyDescent="0.25">
      <c r="A45" s="70" t="str">
        <f>Effectif!A45</f>
        <v>azerty</v>
      </c>
      <c r="B45" s="83" t="str">
        <f>Effectif!B45</f>
        <v>azertty</v>
      </c>
      <c r="C45" s="84" t="str">
        <f>Effectif!D45</f>
        <v>31/12/2003</v>
      </c>
      <c r="D45" s="85" t="str">
        <f>Effectif!N45</f>
        <v>Semi_autonomie</v>
      </c>
      <c r="E45" s="92">
        <f>Effectif!Q45</f>
        <v>0</v>
      </c>
    </row>
    <row r="46" spans="1:5" x14ac:dyDescent="0.25">
      <c r="A46" s="67" t="str">
        <f>Effectif!A46</f>
        <v>azerty</v>
      </c>
      <c r="B46" s="79" t="str">
        <f>Effectif!B46</f>
        <v>azertty</v>
      </c>
      <c r="C46" s="80" t="str">
        <f>Effectif!D46</f>
        <v>31/12/2002</v>
      </c>
      <c r="D46" s="81" t="str">
        <f>Effectif!N46</f>
        <v>Collectif</v>
      </c>
      <c r="E46" s="91">
        <f>Effectif!Q46</f>
        <v>0</v>
      </c>
    </row>
    <row r="47" spans="1:5" x14ac:dyDescent="0.25">
      <c r="A47" s="70" t="str">
        <f>Effectif!A47</f>
        <v>azerty</v>
      </c>
      <c r="B47" s="83" t="str">
        <f>Effectif!B47</f>
        <v>azertty</v>
      </c>
      <c r="C47" s="84" t="str">
        <f>Effectif!D47</f>
        <v>16/07/2002</v>
      </c>
      <c r="D47" s="85" t="str">
        <f>Effectif!N47</f>
        <v>Collectif</v>
      </c>
      <c r="E47" s="92">
        <f>Effectif!Q47</f>
        <v>0</v>
      </c>
    </row>
    <row r="48" spans="1:5" x14ac:dyDescent="0.25">
      <c r="A48" s="67" t="str">
        <f>Effectif!A48</f>
        <v>azerty</v>
      </c>
      <c r="B48" s="79" t="str">
        <f>Effectif!B48</f>
        <v>azertty</v>
      </c>
      <c r="C48" s="80" t="str">
        <f>Effectif!D48</f>
        <v>10/12/2003</v>
      </c>
      <c r="D48" s="81" t="str">
        <f>Effectif!N48</f>
        <v>Collectif</v>
      </c>
      <c r="E48" s="91">
        <f>Effectif!Q48</f>
        <v>0</v>
      </c>
    </row>
    <row r="49" spans="1:5" x14ac:dyDescent="0.25">
      <c r="A49" s="70" t="str">
        <f>Effectif!A49</f>
        <v>azerty</v>
      </c>
      <c r="B49" s="83" t="str">
        <f>Effectif!B49</f>
        <v>azertty</v>
      </c>
      <c r="C49" s="84" t="str">
        <f>Effectif!D49</f>
        <v>02/06/2003</v>
      </c>
      <c r="D49" s="85" t="str">
        <f>Effectif!N49</f>
        <v>Collectif</v>
      </c>
      <c r="E49" s="92">
        <f>Effectif!Q49</f>
        <v>0</v>
      </c>
    </row>
    <row r="50" spans="1:5" x14ac:dyDescent="0.25">
      <c r="A50" s="67" t="str">
        <f>Effectif!A50</f>
        <v>azerty</v>
      </c>
      <c r="B50" s="79" t="str">
        <f>Effectif!B50</f>
        <v>azertty</v>
      </c>
      <c r="C50" s="80" t="str">
        <f>Effectif!D50</f>
        <v>02/01/2003</v>
      </c>
      <c r="D50" s="81" t="str">
        <f>Effectif!N50</f>
        <v>Semi_autonomie</v>
      </c>
      <c r="E50" s="91">
        <f>Effectif!Q50</f>
        <v>0</v>
      </c>
    </row>
    <row r="51" spans="1:5" x14ac:dyDescent="0.25">
      <c r="A51" s="70" t="str">
        <f>Effectif!A51</f>
        <v>azerty</v>
      </c>
      <c r="B51" s="83" t="str">
        <f>Effectif!B51</f>
        <v>azertty</v>
      </c>
      <c r="C51" s="84" t="str">
        <f>Effectif!D51</f>
        <v>31/12/2002</v>
      </c>
      <c r="D51" s="85" t="str">
        <f>Effectif!N51</f>
        <v>Semi_autonomie</v>
      </c>
      <c r="E51" s="92">
        <f>Effectif!Q51</f>
        <v>0</v>
      </c>
    </row>
    <row r="52" spans="1:5" x14ac:dyDescent="0.25">
      <c r="A52" s="67" t="str">
        <f>Effectif!A52</f>
        <v>azerty</v>
      </c>
      <c r="B52" s="79" t="str">
        <f>Effectif!B52</f>
        <v>azertty</v>
      </c>
      <c r="C52" s="80" t="str">
        <f>Effectif!D52</f>
        <v>01/01/2003</v>
      </c>
      <c r="D52" s="81" t="str">
        <f>Effectif!N52</f>
        <v>Semi_autonomie</v>
      </c>
      <c r="E52" s="91">
        <f>Effectif!Q52</f>
        <v>0</v>
      </c>
    </row>
    <row r="53" spans="1:5" x14ac:dyDescent="0.25">
      <c r="A53" s="70" t="str">
        <f>Effectif!A53</f>
        <v>azerty</v>
      </c>
      <c r="B53" s="83" t="str">
        <f>Effectif!B53</f>
        <v>azertty</v>
      </c>
      <c r="C53" s="84" t="str">
        <f>Effectif!D53</f>
        <v>06/07/2002</v>
      </c>
      <c r="D53" s="85" t="str">
        <f>Effectif!N53</f>
        <v>Collectif</v>
      </c>
      <c r="E53" s="92">
        <f>Effectif!Q53</f>
        <v>0</v>
      </c>
    </row>
    <row r="54" spans="1:5" x14ac:dyDescent="0.25">
      <c r="A54" s="67" t="str">
        <f>Effectif!A54</f>
        <v>azerty</v>
      </c>
      <c r="B54" s="79" t="str">
        <f>Effectif!B54</f>
        <v>azertty</v>
      </c>
      <c r="C54" s="80" t="str">
        <f>Effectif!D54</f>
        <v>10/05/2002</v>
      </c>
      <c r="D54" s="81" t="str">
        <f>Effectif!N54</f>
        <v>Semi_autonomie</v>
      </c>
      <c r="E54" s="91">
        <f>Effectif!Q54</f>
        <v>0</v>
      </c>
    </row>
    <row r="55" spans="1:5" x14ac:dyDescent="0.25">
      <c r="A55" s="70" t="str">
        <f>Effectif!A55</f>
        <v>azerty</v>
      </c>
      <c r="B55" s="83" t="str">
        <f>Effectif!B55</f>
        <v>azertty</v>
      </c>
      <c r="C55" s="84" t="str">
        <f>Effectif!D55</f>
        <v>02/10/2002</v>
      </c>
      <c r="D55" s="85" t="str">
        <f>Effectif!N55</f>
        <v>Collectif</v>
      </c>
      <c r="E55" s="92">
        <f>Effectif!Q55</f>
        <v>0</v>
      </c>
    </row>
    <row r="56" spans="1:5" x14ac:dyDescent="0.25">
      <c r="A56" s="67" t="str">
        <f>Effectif!A56</f>
        <v>azerty</v>
      </c>
      <c r="B56" s="79" t="str">
        <f>Effectif!B56</f>
        <v>azertty</v>
      </c>
      <c r="C56" s="80" t="str">
        <f>Effectif!D56</f>
        <v>07/02/2003</v>
      </c>
      <c r="D56" s="81" t="str">
        <f>Effectif!N56</f>
        <v>Collectif</v>
      </c>
      <c r="E56" s="91">
        <f>Effectif!Q56</f>
        <v>0</v>
      </c>
    </row>
    <row r="57" spans="1:5" x14ac:dyDescent="0.25">
      <c r="A57" s="70" t="str">
        <f>Effectif!A57</f>
        <v>azerty</v>
      </c>
      <c r="B57" s="83" t="str">
        <f>Effectif!B57</f>
        <v>azertty</v>
      </c>
      <c r="C57" s="84" t="str">
        <f>Effectif!D57</f>
        <v>08/05/2003</v>
      </c>
      <c r="D57" s="85" t="str">
        <f>Effectif!N57</f>
        <v>Collectif</v>
      </c>
      <c r="E57" s="92">
        <f>Effectif!Q57</f>
        <v>0</v>
      </c>
    </row>
    <row r="58" spans="1:5" x14ac:dyDescent="0.25">
      <c r="A58" s="67" t="str">
        <f>Effectif!A58</f>
        <v>azerty</v>
      </c>
      <c r="B58" s="79" t="str">
        <f>Effectif!B58</f>
        <v>azertty</v>
      </c>
      <c r="C58" s="80" t="str">
        <f>Effectif!D58</f>
        <v>01/12/2001</v>
      </c>
      <c r="D58" s="81" t="str">
        <f>Effectif!N58</f>
        <v>Collectif</v>
      </c>
      <c r="E58" s="91">
        <f>Effectif!Q58</f>
        <v>0</v>
      </c>
    </row>
    <row r="59" spans="1:5" x14ac:dyDescent="0.25">
      <c r="A59" s="70" t="str">
        <f>Effectif!A59</f>
        <v>azerty</v>
      </c>
      <c r="B59" s="83" t="str">
        <f>Effectif!B59</f>
        <v>azertty</v>
      </c>
      <c r="C59" s="84" t="str">
        <f>Effectif!D59</f>
        <v>05/03/2003</v>
      </c>
      <c r="D59" s="85" t="str">
        <f>Effectif!N59</f>
        <v>Collectif</v>
      </c>
      <c r="E59" s="92">
        <f>Effectif!Q59</f>
        <v>0</v>
      </c>
    </row>
    <row r="60" spans="1:5" x14ac:dyDescent="0.25">
      <c r="A60" s="67" t="str">
        <f>Effectif!A60</f>
        <v>azerty</v>
      </c>
      <c r="B60" s="79" t="str">
        <f>Effectif!B60</f>
        <v>azertty</v>
      </c>
      <c r="C60" s="80" t="str">
        <f>Effectif!D60</f>
        <v>09/07/2002</v>
      </c>
      <c r="D60" s="81" t="str">
        <f>Effectif!N60</f>
        <v>Semi_autonomie</v>
      </c>
      <c r="E60" s="91">
        <f>Effectif!Q60</f>
        <v>0</v>
      </c>
    </row>
    <row r="61" spans="1:5" x14ac:dyDescent="0.25">
      <c r="A61" s="70" t="str">
        <f>Effectif!A61</f>
        <v>azerty</v>
      </c>
      <c r="B61" s="83" t="str">
        <f>Effectif!B61</f>
        <v>azertty</v>
      </c>
      <c r="C61" s="84" t="str">
        <f>Effectif!D61</f>
        <v>31/10/2003</v>
      </c>
      <c r="D61" s="85" t="str">
        <f>Effectif!N61</f>
        <v>Collectif</v>
      </c>
      <c r="E61" s="92">
        <f>Effectif!Q61</f>
        <v>0</v>
      </c>
    </row>
    <row r="62" spans="1:5" x14ac:dyDescent="0.25">
      <c r="A62" s="67" t="str">
        <f>Effectif!A62</f>
        <v>azerty</v>
      </c>
      <c r="B62" s="79" t="str">
        <f>Effectif!B62</f>
        <v>azertty</v>
      </c>
      <c r="C62" s="80" t="str">
        <f>Effectif!D62</f>
        <v>31/12/2003</v>
      </c>
      <c r="D62" s="81" t="str">
        <f>Effectif!N62</f>
        <v>Collectif</v>
      </c>
      <c r="E62" s="91">
        <f>Effectif!Q62</f>
        <v>0</v>
      </c>
    </row>
    <row r="63" spans="1:5" x14ac:dyDescent="0.25">
      <c r="A63" s="67" t="str">
        <f>Effectif!A63</f>
        <v>azerty</v>
      </c>
      <c r="B63" s="79" t="str">
        <f>Effectif!B63</f>
        <v>azertty</v>
      </c>
      <c r="C63" s="80" t="str">
        <f>Effectif!D63</f>
        <v>31/12/2004</v>
      </c>
      <c r="D63" s="81" t="str">
        <f>Effectif!N63</f>
        <v>Collectif</v>
      </c>
      <c r="E63" s="91">
        <f>Effectif!Q63</f>
        <v>0</v>
      </c>
    </row>
    <row r="64" spans="1:5" ht="15.75" thickBot="1" x14ac:dyDescent="0.3">
      <c r="A64" s="205" t="str">
        <f>Effectif!A64</f>
        <v>azerty</v>
      </c>
      <c r="B64" s="206" t="str">
        <f>Effectif!B64</f>
        <v>azertty</v>
      </c>
      <c r="C64" s="87">
        <f>Effectif!D64</f>
        <v>0</v>
      </c>
      <c r="D64" s="88">
        <f>Effectif!N64</f>
        <v>0</v>
      </c>
      <c r="E64" s="207">
        <f>Effectif!Q64</f>
        <v>0</v>
      </c>
    </row>
    <row r="65" ht="15.75" thickTop="1" x14ac:dyDescent="0.25"/>
  </sheetData>
  <customSheetViews>
    <customSheetView guid="{EE943BA9-0B80-4629-8DFD-5400001CD553}" state="hidden">
      <selection activeCell="B57" sqref="B57"/>
      <pageMargins left="0.7" right="0.7" top="0.75" bottom="0.75" header="0.3" footer="0.3"/>
      <pageSetup paperSize="9" orientation="portrait" verticalDpi="0" r:id="rId1"/>
    </customSheetView>
    <customSheetView guid="{23892BE3-6C12-4C60-B754-ED0B7FB9276C}" state="hidden">
      <selection activeCell="B57" sqref="B57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4"/>
  <sheetViews>
    <sheetView topLeftCell="A44" workbookViewId="0">
      <selection activeCell="A62" sqref="A62:J64"/>
    </sheetView>
  </sheetViews>
  <sheetFormatPr baseColWidth="10" defaultColWidth="16.42578125" defaultRowHeight="15" x14ac:dyDescent="0.25"/>
  <cols>
    <col min="1" max="1" width="42.85546875" style="14" bestFit="1" customWidth="1"/>
    <col min="2" max="2" width="10.28515625" style="3" bestFit="1" customWidth="1"/>
    <col min="3" max="3" width="12" style="1" bestFit="1" customWidth="1"/>
    <col min="4" max="4" width="14.85546875" style="1" bestFit="1" customWidth="1"/>
    <col min="5" max="5" width="16.28515625" style="1" bestFit="1" customWidth="1"/>
    <col min="6" max="6" width="15" style="1" bestFit="1" customWidth="1"/>
    <col min="7" max="7" width="21.85546875" style="1" bestFit="1" customWidth="1"/>
    <col min="8" max="8" width="5.85546875" style="1" bestFit="1" customWidth="1"/>
    <col min="9" max="9" width="9" style="1" bestFit="1" customWidth="1"/>
    <col min="10" max="10" width="8.5703125" style="1" bestFit="1" customWidth="1"/>
    <col min="12" max="12" width="19.42578125" style="1" bestFit="1" customWidth="1"/>
    <col min="13" max="16384" width="16.42578125" style="1"/>
  </cols>
  <sheetData>
    <row r="1" spans="1:11" s="22" customFormat="1" ht="31.5" x14ac:dyDescent="0.25">
      <c r="A1" s="64" t="s">
        <v>118</v>
      </c>
      <c r="B1" s="65" t="s">
        <v>2</v>
      </c>
      <c r="C1" s="65" t="s">
        <v>34</v>
      </c>
      <c r="D1" s="65" t="s">
        <v>38</v>
      </c>
      <c r="E1" s="65" t="s">
        <v>147</v>
      </c>
      <c r="F1" s="65" t="s">
        <v>4</v>
      </c>
      <c r="G1" s="65" t="s">
        <v>5</v>
      </c>
      <c r="H1" s="65" t="s">
        <v>6</v>
      </c>
      <c r="I1" s="65" t="s">
        <v>47</v>
      </c>
      <c r="J1" s="66" t="s">
        <v>122</v>
      </c>
    </row>
    <row r="2" spans="1:11" x14ac:dyDescent="0.25">
      <c r="A2" s="67" t="str">
        <f>Effectif!C2</f>
        <v>azerty azertty</v>
      </c>
      <c r="B2" s="68" t="str">
        <f>Effectif!D2</f>
        <v>18/07/2004</v>
      </c>
      <c r="C2" s="69">
        <f>Effectif!G2</f>
        <v>0</v>
      </c>
      <c r="D2" s="68">
        <f>Effectif!M2</f>
        <v>43907</v>
      </c>
      <c r="E2" s="69" t="str">
        <f>Effectif!N2</f>
        <v>Collectif</v>
      </c>
      <c r="F2" s="69">
        <f>Effectif!R2</f>
        <v>0</v>
      </c>
      <c r="G2" s="69">
        <f>Effectif!S2</f>
        <v>0</v>
      </c>
      <c r="H2" s="69" t="str">
        <f>Effectif!Z2</f>
        <v>Oui</v>
      </c>
      <c r="I2" s="68">
        <f>Effectif!AB2</f>
        <v>0</v>
      </c>
      <c r="J2" s="73" t="str">
        <f>Effectif!AD2</f>
        <v>Oui</v>
      </c>
      <c r="K2" s="1"/>
    </row>
    <row r="3" spans="1:11" x14ac:dyDescent="0.25">
      <c r="A3" s="70" t="str">
        <f>Effectif!C3</f>
        <v>azerty azertty</v>
      </c>
      <c r="B3" s="71" t="str">
        <f>Effectif!D3</f>
        <v>08/04/2003</v>
      </c>
      <c r="C3" s="72">
        <f>Effectif!G3</f>
        <v>0</v>
      </c>
      <c r="D3" s="71">
        <f>Effectif!M3</f>
        <v>43833</v>
      </c>
      <c r="E3" s="72" t="str">
        <f>Effectif!N3</f>
        <v>Collectif</v>
      </c>
      <c r="F3" s="72">
        <f>Effectif!R3</f>
        <v>0</v>
      </c>
      <c r="G3" s="72">
        <f>Effectif!S3</f>
        <v>0</v>
      </c>
      <c r="H3" s="72" t="str">
        <f>Effectif!Z3</f>
        <v>Non</v>
      </c>
      <c r="I3" s="71">
        <f>Effectif!AB3</f>
        <v>0</v>
      </c>
      <c r="J3" s="74" t="str">
        <f>Effectif!AD3</f>
        <v>Oui</v>
      </c>
      <c r="K3" s="1"/>
    </row>
    <row r="4" spans="1:11" x14ac:dyDescent="0.25">
      <c r="A4" s="67" t="str">
        <f>Effectif!C4</f>
        <v>azerty azertty</v>
      </c>
      <c r="B4" s="68" t="str">
        <f>Effectif!D4</f>
        <v>15/11/2003</v>
      </c>
      <c r="C4" s="69">
        <f>Effectif!G4</f>
        <v>0</v>
      </c>
      <c r="D4" s="68">
        <f>Effectif!M4</f>
        <v>43839</v>
      </c>
      <c r="E4" s="69" t="str">
        <f>Effectif!N4</f>
        <v>Collectif</v>
      </c>
      <c r="F4" s="69">
        <f>Effectif!R4</f>
        <v>0</v>
      </c>
      <c r="G4" s="69">
        <f>Effectif!S4</f>
        <v>0</v>
      </c>
      <c r="H4" s="69" t="str">
        <f>Effectif!Z4</f>
        <v>Oui</v>
      </c>
      <c r="I4" s="68">
        <f>Effectif!AB4</f>
        <v>0</v>
      </c>
      <c r="J4" s="73" t="str">
        <f>Effectif!AD4</f>
        <v>Oui</v>
      </c>
      <c r="K4" s="1"/>
    </row>
    <row r="5" spans="1:11" x14ac:dyDescent="0.25">
      <c r="A5" s="70" t="str">
        <f>Effectif!C5</f>
        <v>azerty azertty</v>
      </c>
      <c r="B5" s="71" t="str">
        <f>Effectif!D5</f>
        <v>06/06/2004</v>
      </c>
      <c r="C5" s="72">
        <f>Effectif!G5</f>
        <v>0</v>
      </c>
      <c r="D5" s="71">
        <f>Effectif!M5</f>
        <v>43825</v>
      </c>
      <c r="E5" s="72" t="str">
        <f>Effectif!N5</f>
        <v>Collectif</v>
      </c>
      <c r="F5" s="72">
        <f>Effectif!R5</f>
        <v>0</v>
      </c>
      <c r="G5" s="72">
        <f>Effectif!S5</f>
        <v>0</v>
      </c>
      <c r="H5" s="72" t="str">
        <f>Effectif!Z5</f>
        <v>Oui</v>
      </c>
      <c r="I5" s="71">
        <f>Effectif!AB5</f>
        <v>0</v>
      </c>
      <c r="J5" s="74" t="str">
        <f>Effectif!AD5</f>
        <v>Oui</v>
      </c>
      <c r="K5" s="1"/>
    </row>
    <row r="6" spans="1:11" x14ac:dyDescent="0.25">
      <c r="A6" s="67" t="str">
        <f>Effectif!C6</f>
        <v>azerty azertty</v>
      </c>
      <c r="B6" s="68" t="str">
        <f>Effectif!D6</f>
        <v>10/09/2003</v>
      </c>
      <c r="C6" s="69">
        <f>Effectif!G6</f>
        <v>0</v>
      </c>
      <c r="D6" s="68">
        <f>Effectif!M6</f>
        <v>43797</v>
      </c>
      <c r="E6" s="69" t="str">
        <f>Effectif!N6</f>
        <v>Collectif</v>
      </c>
      <c r="F6" s="69">
        <f>Effectif!R6</f>
        <v>0</v>
      </c>
      <c r="G6" s="69">
        <f>Effectif!S6</f>
        <v>0</v>
      </c>
      <c r="H6" s="69" t="str">
        <f>Effectif!Z6</f>
        <v>Oui</v>
      </c>
      <c r="I6" s="68">
        <f>Effectif!AB6</f>
        <v>0</v>
      </c>
      <c r="J6" s="73" t="str">
        <f>Effectif!AD6</f>
        <v>Non</v>
      </c>
      <c r="K6" s="1"/>
    </row>
    <row r="7" spans="1:11" x14ac:dyDescent="0.25">
      <c r="A7" s="70" t="str">
        <f>Effectif!C7</f>
        <v>azerty azertty</v>
      </c>
      <c r="B7" s="71" t="str">
        <f>Effectif!D7</f>
        <v>30/10/2003</v>
      </c>
      <c r="C7" s="72">
        <f>Effectif!G7</f>
        <v>0</v>
      </c>
      <c r="D7" s="71">
        <f>Effectif!M7</f>
        <v>43797</v>
      </c>
      <c r="E7" s="72" t="str">
        <f>Effectif!N7</f>
        <v>Collectif</v>
      </c>
      <c r="F7" s="72">
        <f>Effectif!R7</f>
        <v>0</v>
      </c>
      <c r="G7" s="72">
        <f>Effectif!S7</f>
        <v>0</v>
      </c>
      <c r="H7" s="72" t="str">
        <f>Effectif!Z7</f>
        <v>Oui</v>
      </c>
      <c r="I7" s="71">
        <f>Effectif!AB7</f>
        <v>0</v>
      </c>
      <c r="J7" s="74" t="str">
        <f>Effectif!AD7</f>
        <v>Oui</v>
      </c>
      <c r="K7" s="1"/>
    </row>
    <row r="8" spans="1:11" x14ac:dyDescent="0.25">
      <c r="A8" s="67" t="str">
        <f>Effectif!C8</f>
        <v>azerty azertty</v>
      </c>
      <c r="B8" s="68" t="str">
        <f>Effectif!D8</f>
        <v>15/04/2003</v>
      </c>
      <c r="C8" s="69">
        <f>Effectif!G8</f>
        <v>0</v>
      </c>
      <c r="D8" s="68">
        <f>Effectif!M8</f>
        <v>43819</v>
      </c>
      <c r="E8" s="69" t="str">
        <f>Effectif!N8</f>
        <v>Collectif</v>
      </c>
      <c r="F8" s="69">
        <f>Effectif!R8</f>
        <v>0</v>
      </c>
      <c r="G8" s="69">
        <f>Effectif!S8</f>
        <v>0</v>
      </c>
      <c r="H8" s="69" t="str">
        <f>Effectif!Z8</f>
        <v>Oui</v>
      </c>
      <c r="I8" s="68">
        <f>Effectif!AB8</f>
        <v>0</v>
      </c>
      <c r="J8" s="73" t="str">
        <f>Effectif!AD8</f>
        <v>Non</v>
      </c>
      <c r="K8" s="1"/>
    </row>
    <row r="9" spans="1:11" x14ac:dyDescent="0.25">
      <c r="A9" s="70" t="str">
        <f>Effectif!C9</f>
        <v>azerty azertty</v>
      </c>
      <c r="B9" s="71" t="str">
        <f>Effectif!D9</f>
        <v>13/05/2003</v>
      </c>
      <c r="C9" s="72">
        <f>Effectif!G9</f>
        <v>0</v>
      </c>
      <c r="D9" s="71">
        <f>Effectif!M9</f>
        <v>0</v>
      </c>
      <c r="E9" s="72" t="str">
        <f>Effectif!N9</f>
        <v>Collectif</v>
      </c>
      <c r="F9" s="72">
        <f>Effectif!R9</f>
        <v>0</v>
      </c>
      <c r="G9" s="72">
        <f>Effectif!S9</f>
        <v>0</v>
      </c>
      <c r="H9" s="72" t="str">
        <f>Effectif!Z9</f>
        <v>Oui</v>
      </c>
      <c r="I9" s="71">
        <f>Effectif!AB9</f>
        <v>0</v>
      </c>
      <c r="J9" s="74" t="str">
        <f>Effectif!AD9</f>
        <v>Non</v>
      </c>
      <c r="K9" s="1"/>
    </row>
    <row r="10" spans="1:11" x14ac:dyDescent="0.25">
      <c r="A10" s="67" t="str">
        <f>Effectif!C10</f>
        <v>azerty azertty</v>
      </c>
      <c r="B10" s="68" t="str">
        <f>Effectif!D10</f>
        <v>23/11/2002</v>
      </c>
      <c r="C10" s="69">
        <f>Effectif!G10</f>
        <v>0</v>
      </c>
      <c r="D10" s="68">
        <f>Effectif!M10</f>
        <v>43683</v>
      </c>
      <c r="E10" s="69" t="str">
        <f>Effectif!N10</f>
        <v>Collectif</v>
      </c>
      <c r="F10" s="69">
        <f>Effectif!R10</f>
        <v>0</v>
      </c>
      <c r="G10" s="69">
        <f>Effectif!S10</f>
        <v>0</v>
      </c>
      <c r="H10" s="69" t="str">
        <f>Effectif!Z10</f>
        <v>Non</v>
      </c>
      <c r="I10" s="68">
        <f>Effectif!AB10</f>
        <v>0</v>
      </c>
      <c r="J10" s="73" t="str">
        <f>Effectif!AD10</f>
        <v>Non</v>
      </c>
      <c r="K10" s="1"/>
    </row>
    <row r="11" spans="1:11" x14ac:dyDescent="0.25">
      <c r="A11" s="70" t="str">
        <f>Effectif!C11</f>
        <v>azerty azertty</v>
      </c>
      <c r="B11" s="71" t="str">
        <f>Effectif!D11</f>
        <v>15/12/2002</v>
      </c>
      <c r="C11" s="72">
        <f>Effectif!G11</f>
        <v>0</v>
      </c>
      <c r="D11" s="71">
        <f>Effectif!M11</f>
        <v>43847</v>
      </c>
      <c r="E11" s="72" t="str">
        <f>Effectif!N11</f>
        <v>Collectif</v>
      </c>
      <c r="F11" s="72">
        <f>Effectif!R11</f>
        <v>0</v>
      </c>
      <c r="G11" s="72">
        <f>Effectif!S11</f>
        <v>0</v>
      </c>
      <c r="H11" s="72" t="str">
        <f>Effectif!Z11</f>
        <v>Oui</v>
      </c>
      <c r="I11" s="71">
        <f>Effectif!AB11</f>
        <v>0</v>
      </c>
      <c r="J11" s="74" t="str">
        <f>Effectif!AD11</f>
        <v>Non</v>
      </c>
      <c r="K11" s="1"/>
    </row>
    <row r="12" spans="1:11" x14ac:dyDescent="0.25">
      <c r="A12" s="67" t="str">
        <f>Effectif!C12</f>
        <v>azerty azertty</v>
      </c>
      <c r="B12" s="68" t="str">
        <f>Effectif!D12</f>
        <v>10/12/2002</v>
      </c>
      <c r="C12" s="69">
        <f>Effectif!G12</f>
        <v>0</v>
      </c>
      <c r="D12" s="68" t="str">
        <f>Effectif!M12</f>
        <v>31/11/2018</v>
      </c>
      <c r="E12" s="69" t="str">
        <f>Effectif!N12</f>
        <v>Collectif</v>
      </c>
      <c r="F12" s="69">
        <f>Effectif!R12</f>
        <v>0</v>
      </c>
      <c r="G12" s="69">
        <f>Effectif!S12</f>
        <v>0</v>
      </c>
      <c r="H12" s="69" t="str">
        <f>Effectif!Z12</f>
        <v>Oui</v>
      </c>
      <c r="I12" s="68">
        <f>Effectif!AB12</f>
        <v>0</v>
      </c>
      <c r="J12" s="73" t="str">
        <f>Effectif!AD12</f>
        <v>Non</v>
      </c>
      <c r="K12" s="1"/>
    </row>
    <row r="13" spans="1:11" x14ac:dyDescent="0.25">
      <c r="A13" s="70" t="str">
        <f>Effectif!C13</f>
        <v>azerty azertty</v>
      </c>
      <c r="B13" s="71" t="str">
        <f>Effectif!D13</f>
        <v>02/04/2004</v>
      </c>
      <c r="C13" s="72">
        <f>Effectif!G13</f>
        <v>0</v>
      </c>
      <c r="D13" s="71">
        <f>Effectif!M13</f>
        <v>43434</v>
      </c>
      <c r="E13" s="72" t="str">
        <f>Effectif!N13</f>
        <v>Collectif</v>
      </c>
      <c r="F13" s="72">
        <f>Effectif!R13</f>
        <v>0</v>
      </c>
      <c r="G13" s="72">
        <f>Effectif!S13</f>
        <v>0</v>
      </c>
      <c r="H13" s="72" t="str">
        <f>Effectif!Z13</f>
        <v>Oui</v>
      </c>
      <c r="I13" s="71">
        <f>Effectif!AB13</f>
        <v>0</v>
      </c>
      <c r="J13" s="74" t="str">
        <f>Effectif!AD13</f>
        <v>Oui</v>
      </c>
      <c r="K13" s="1"/>
    </row>
    <row r="14" spans="1:11" x14ac:dyDescent="0.25">
      <c r="A14" s="67" t="str">
        <f>Effectif!C14</f>
        <v>azerty azertty</v>
      </c>
      <c r="B14" s="68" t="str">
        <f>Effectif!D14</f>
        <v>10/10/2002</v>
      </c>
      <c r="C14" s="69">
        <f>Effectif!G14</f>
        <v>0</v>
      </c>
      <c r="D14" s="68">
        <f>Effectif!M14</f>
        <v>43508</v>
      </c>
      <c r="E14" s="69" t="str">
        <f>Effectif!N14</f>
        <v>Semi_autonomie</v>
      </c>
      <c r="F14" s="69">
        <f>Effectif!R14</f>
        <v>0</v>
      </c>
      <c r="G14" s="69">
        <f>Effectif!S14</f>
        <v>0</v>
      </c>
      <c r="H14" s="69" t="str">
        <f>Effectif!Z14</f>
        <v>Oui</v>
      </c>
      <c r="I14" s="68">
        <f>Effectif!AB14</f>
        <v>0</v>
      </c>
      <c r="J14" s="73" t="str">
        <f>Effectif!AD14</f>
        <v>Oui</v>
      </c>
      <c r="K14" s="1"/>
    </row>
    <row r="15" spans="1:11" x14ac:dyDescent="0.25">
      <c r="A15" s="70" t="str">
        <f>Effectif!C15</f>
        <v>azerty azertty</v>
      </c>
      <c r="B15" s="71" t="str">
        <f>Effectif!D15</f>
        <v>23/02/2004</v>
      </c>
      <c r="C15" s="72">
        <f>Effectif!G15</f>
        <v>0</v>
      </c>
      <c r="D15" s="71">
        <f>Effectif!M15</f>
        <v>43788</v>
      </c>
      <c r="E15" s="72" t="str">
        <f>Effectif!N15</f>
        <v>Collectif</v>
      </c>
      <c r="F15" s="72">
        <f>Effectif!R15</f>
        <v>0</v>
      </c>
      <c r="G15" s="72">
        <f>Effectif!S15</f>
        <v>0</v>
      </c>
      <c r="H15" s="72" t="str">
        <f>Effectif!Z15</f>
        <v>Oui</v>
      </c>
      <c r="I15" s="71">
        <f>Effectif!AB15</f>
        <v>0</v>
      </c>
      <c r="J15" s="74" t="str">
        <f>Effectif!AD15</f>
        <v>Oui</v>
      </c>
      <c r="K15" s="1"/>
    </row>
    <row r="16" spans="1:11" x14ac:dyDescent="0.25">
      <c r="A16" s="67" t="str">
        <f>Effectif!C16</f>
        <v>azerty azertty</v>
      </c>
      <c r="B16" s="68" t="str">
        <f>Effectif!D16</f>
        <v>14/11/2003</v>
      </c>
      <c r="C16" s="69">
        <f>Effectif!G16</f>
        <v>0</v>
      </c>
      <c r="D16" s="68">
        <f>Effectif!M16</f>
        <v>43902</v>
      </c>
      <c r="E16" s="69" t="str">
        <f>Effectif!N16</f>
        <v>Collectif</v>
      </c>
      <c r="F16" s="69">
        <f>Effectif!R16</f>
        <v>0</v>
      </c>
      <c r="G16" s="69">
        <f>Effectif!S16</f>
        <v>0</v>
      </c>
      <c r="H16" s="69" t="str">
        <f>Effectif!Z16</f>
        <v>Oui</v>
      </c>
      <c r="I16" s="68">
        <f>Effectif!AB16</f>
        <v>0</v>
      </c>
      <c r="J16" s="73" t="str">
        <f>Effectif!AD16</f>
        <v>Non</v>
      </c>
      <c r="K16" s="1"/>
    </row>
    <row r="17" spans="1:11" x14ac:dyDescent="0.25">
      <c r="A17" s="70" t="str">
        <f>Effectif!C17</f>
        <v>azerty azertty</v>
      </c>
      <c r="B17" s="71" t="str">
        <f>Effectif!D17</f>
        <v>10/12/2003</v>
      </c>
      <c r="C17" s="72">
        <f>Effectif!G17</f>
        <v>0</v>
      </c>
      <c r="D17" s="71">
        <f>Effectif!M17</f>
        <v>43809</v>
      </c>
      <c r="E17" s="72" t="str">
        <f>Effectif!N17</f>
        <v>Collectif</v>
      </c>
      <c r="F17" s="72">
        <f>Effectif!R17</f>
        <v>0</v>
      </c>
      <c r="G17" s="72">
        <f>Effectif!S17</f>
        <v>0</v>
      </c>
      <c r="H17" s="72" t="str">
        <f>Effectif!Z17</f>
        <v>Oui</v>
      </c>
      <c r="I17" s="71">
        <f>Effectif!AB17</f>
        <v>0</v>
      </c>
      <c r="J17" s="74" t="str">
        <f>Effectif!AD17</f>
        <v>Oui</v>
      </c>
      <c r="K17" s="1"/>
    </row>
    <row r="18" spans="1:11" x14ac:dyDescent="0.25">
      <c r="A18" s="67" t="str">
        <f>Effectif!C18</f>
        <v>azerty azertty</v>
      </c>
      <c r="B18" s="68" t="str">
        <f>Effectif!D18</f>
        <v>01/01/2004</v>
      </c>
      <c r="C18" s="69">
        <f>Effectif!G18</f>
        <v>0</v>
      </c>
      <c r="D18" s="68">
        <f>Effectif!M18</f>
        <v>43823</v>
      </c>
      <c r="E18" s="69" t="str">
        <f>Effectif!N18</f>
        <v>Collectif</v>
      </c>
      <c r="F18" s="69">
        <f>Effectif!R18</f>
        <v>0</v>
      </c>
      <c r="G18" s="69">
        <f>Effectif!S18</f>
        <v>0</v>
      </c>
      <c r="H18" s="69" t="str">
        <f>Effectif!Z18</f>
        <v>Oui</v>
      </c>
      <c r="I18" s="68">
        <f>Effectif!AB18</f>
        <v>0</v>
      </c>
      <c r="J18" s="73" t="str">
        <f>Effectif!AD18</f>
        <v>Oui</v>
      </c>
      <c r="K18" s="1"/>
    </row>
    <row r="19" spans="1:11" x14ac:dyDescent="0.25">
      <c r="A19" s="70" t="str">
        <f>Effectif!C19</f>
        <v>azerty azertty</v>
      </c>
      <c r="B19" s="71" t="str">
        <f>Effectif!D19</f>
        <v>04/09/2003</v>
      </c>
      <c r="C19" s="72">
        <f>Effectif!G19</f>
        <v>0</v>
      </c>
      <c r="D19" s="71">
        <f>Effectif!M19</f>
        <v>43434</v>
      </c>
      <c r="E19" s="72" t="str">
        <f>Effectif!N19</f>
        <v>Semi_autonomie</v>
      </c>
      <c r="F19" s="72">
        <f>Effectif!R19</f>
        <v>0</v>
      </c>
      <c r="G19" s="72">
        <f>Effectif!S19</f>
        <v>0</v>
      </c>
      <c r="H19" s="72" t="str">
        <f>Effectif!Z19</f>
        <v>Oui</v>
      </c>
      <c r="I19" s="71">
        <f>Effectif!AB19</f>
        <v>0</v>
      </c>
      <c r="J19" s="74" t="str">
        <f>Effectif!AD19</f>
        <v>Oui</v>
      </c>
      <c r="K19" s="1"/>
    </row>
    <row r="20" spans="1:11" x14ac:dyDescent="0.25">
      <c r="A20" s="67" t="str">
        <f>Effectif!C20</f>
        <v>azerty azertty</v>
      </c>
      <c r="B20" s="68" t="str">
        <f>Effectif!D20</f>
        <v>31/12/2002</v>
      </c>
      <c r="C20" s="69">
        <f>Effectif!G20</f>
        <v>0</v>
      </c>
      <c r="D20" s="68">
        <f>Effectif!M20</f>
        <v>43385</v>
      </c>
      <c r="E20" s="69" t="str">
        <f>Effectif!N20</f>
        <v>Collectif</v>
      </c>
      <c r="F20" s="69">
        <f>Effectif!R20</f>
        <v>0</v>
      </c>
      <c r="G20" s="69">
        <f>Effectif!S20</f>
        <v>0</v>
      </c>
      <c r="H20" s="69" t="str">
        <f>Effectif!Z20</f>
        <v>Oui</v>
      </c>
      <c r="I20" s="68">
        <f>Effectif!AB20</f>
        <v>0</v>
      </c>
      <c r="J20" s="73" t="str">
        <f>Effectif!AD20</f>
        <v>Oui</v>
      </c>
      <c r="K20" s="1"/>
    </row>
    <row r="21" spans="1:11" x14ac:dyDescent="0.25">
      <c r="A21" s="70" t="str">
        <f>Effectif!C21</f>
        <v>azerty azertty</v>
      </c>
      <c r="B21" s="71" t="str">
        <f>Effectif!D21</f>
        <v>30/10/2001</v>
      </c>
      <c r="C21" s="72">
        <f>Effectif!G21</f>
        <v>0</v>
      </c>
      <c r="D21" s="71">
        <f>Effectif!M21</f>
        <v>43434</v>
      </c>
      <c r="E21" s="72" t="str">
        <f>Effectif!N21</f>
        <v>Semi_autonomie</v>
      </c>
      <c r="F21" s="72">
        <f>Effectif!R21</f>
        <v>0</v>
      </c>
      <c r="G21" s="72">
        <f>Effectif!S21</f>
        <v>0</v>
      </c>
      <c r="H21" s="72" t="str">
        <f>Effectif!Z21</f>
        <v>Oui</v>
      </c>
      <c r="I21" s="71">
        <f>Effectif!AB21</f>
        <v>0</v>
      </c>
      <c r="J21" s="74" t="str">
        <f>Effectif!AD21</f>
        <v>Oui</v>
      </c>
      <c r="K21" s="1"/>
    </row>
    <row r="22" spans="1:11" x14ac:dyDescent="0.25">
      <c r="A22" s="67" t="str">
        <f>Effectif!C22</f>
        <v>azerty azertty</v>
      </c>
      <c r="B22" s="68" t="str">
        <f>Effectif!D22</f>
        <v>20/03/2002</v>
      </c>
      <c r="C22" s="69">
        <f>Effectif!G22</f>
        <v>0</v>
      </c>
      <c r="D22" s="68">
        <f>Effectif!M22</f>
        <v>43434</v>
      </c>
      <c r="E22" s="69" t="str">
        <f>Effectif!N22</f>
        <v>Collectif</v>
      </c>
      <c r="F22" s="69">
        <f>Effectif!R22</f>
        <v>0</v>
      </c>
      <c r="G22" s="69">
        <f>Effectif!S22</f>
        <v>0</v>
      </c>
      <c r="H22" s="69" t="str">
        <f>Effectif!Z22</f>
        <v>Oui</v>
      </c>
      <c r="I22" s="68">
        <f>Effectif!AB22</f>
        <v>0</v>
      </c>
      <c r="J22" s="73" t="str">
        <f>Effectif!AD22</f>
        <v>Oui</v>
      </c>
      <c r="K22" s="1"/>
    </row>
    <row r="23" spans="1:11" x14ac:dyDescent="0.25">
      <c r="A23" s="70" t="str">
        <f>Effectif!C23</f>
        <v>azerty azertty</v>
      </c>
      <c r="B23" s="71" t="str">
        <f>Effectif!D23</f>
        <v>17/11/2004</v>
      </c>
      <c r="C23" s="72">
        <f>Effectif!G23</f>
        <v>0</v>
      </c>
      <c r="D23" s="71">
        <f>Effectif!M23</f>
        <v>43907</v>
      </c>
      <c r="E23" s="72" t="str">
        <f>Effectif!N23</f>
        <v>Collectif</v>
      </c>
      <c r="F23" s="72">
        <f>Effectif!R23</f>
        <v>0</v>
      </c>
      <c r="G23" s="72">
        <f>Effectif!S23</f>
        <v>0</v>
      </c>
      <c r="H23" s="72" t="str">
        <f>Effectif!Z23</f>
        <v>Non</v>
      </c>
      <c r="I23" s="71">
        <f>Effectif!AB23</f>
        <v>0</v>
      </c>
      <c r="J23" s="74" t="str">
        <f>Effectif!AD23</f>
        <v>Non</v>
      </c>
      <c r="K23" s="1"/>
    </row>
    <row r="24" spans="1:11" x14ac:dyDescent="0.25">
      <c r="A24" s="67" t="str">
        <f>Effectif!C24</f>
        <v>azerty azertty</v>
      </c>
      <c r="B24" s="68" t="str">
        <f>Effectif!D24</f>
        <v>14/06/2003</v>
      </c>
      <c r="C24" s="69">
        <f>Effectif!G24</f>
        <v>0</v>
      </c>
      <c r="D24" s="68">
        <f>Effectif!M24</f>
        <v>43867</v>
      </c>
      <c r="E24" s="69" t="str">
        <f>Effectif!N24</f>
        <v>Collectif</v>
      </c>
      <c r="F24" s="69">
        <f>Effectif!R24</f>
        <v>0</v>
      </c>
      <c r="G24" s="69">
        <f>Effectif!S24</f>
        <v>0</v>
      </c>
      <c r="H24" s="69" t="str">
        <f>Effectif!Z24</f>
        <v>Oui</v>
      </c>
      <c r="I24" s="68">
        <f>Effectif!AB24</f>
        <v>0</v>
      </c>
      <c r="J24" s="73" t="str">
        <f>Effectif!AD24</f>
        <v>Non</v>
      </c>
      <c r="K24" s="1"/>
    </row>
    <row r="25" spans="1:11" x14ac:dyDescent="0.25">
      <c r="A25" s="70" t="str">
        <f>Effectif!C25</f>
        <v>azerty azertty</v>
      </c>
      <c r="B25" s="71" t="str">
        <f>Effectif!D25</f>
        <v>22/08/2003</v>
      </c>
      <c r="C25" s="72">
        <f>Effectif!G25</f>
        <v>0</v>
      </c>
      <c r="D25" s="71">
        <f>Effectif!M25</f>
        <v>43854</v>
      </c>
      <c r="E25" s="72" t="str">
        <f>Effectif!N25</f>
        <v>Collectif</v>
      </c>
      <c r="F25" s="72">
        <f>Effectif!R25</f>
        <v>0</v>
      </c>
      <c r="G25" s="72">
        <f>Effectif!S25</f>
        <v>0</v>
      </c>
      <c r="H25" s="72" t="str">
        <f>Effectif!Z25</f>
        <v>Oui</v>
      </c>
      <c r="I25" s="71">
        <f>Effectif!AB25</f>
        <v>0</v>
      </c>
      <c r="J25" s="74" t="str">
        <f>Effectif!AD25</f>
        <v>Non</v>
      </c>
      <c r="K25" s="1"/>
    </row>
    <row r="26" spans="1:11" x14ac:dyDescent="0.25">
      <c r="A26" s="67" t="str">
        <f>Effectif!C26</f>
        <v>azerty azertty</v>
      </c>
      <c r="B26" s="68" t="str">
        <f>Effectif!D26</f>
        <v>27/07/2004</v>
      </c>
      <c r="C26" s="69">
        <f>Effectif!G26</f>
        <v>0</v>
      </c>
      <c r="D26" s="68">
        <f>Effectif!M26</f>
        <v>43858</v>
      </c>
      <c r="E26" s="69" t="str">
        <f>Effectif!N26</f>
        <v>Collectif</v>
      </c>
      <c r="F26" s="69">
        <f>Effectif!R26</f>
        <v>0</v>
      </c>
      <c r="G26" s="69">
        <f>Effectif!S26</f>
        <v>0</v>
      </c>
      <c r="H26" s="69" t="str">
        <f>Effectif!Z26</f>
        <v>Oui</v>
      </c>
      <c r="I26" s="68">
        <f>Effectif!AB26</f>
        <v>0</v>
      </c>
      <c r="J26" s="73" t="str">
        <f>Effectif!AD26</f>
        <v>Oui</v>
      </c>
      <c r="K26" s="1"/>
    </row>
    <row r="27" spans="1:11" x14ac:dyDescent="0.25">
      <c r="A27" s="70" t="str">
        <f>Effectif!C27</f>
        <v>azerty azertty</v>
      </c>
      <c r="B27" s="71" t="str">
        <f>Effectif!D27</f>
        <v>08/04/2004</v>
      </c>
      <c r="C27" s="72">
        <f>Effectif!G27</f>
        <v>0</v>
      </c>
      <c r="D27" s="71">
        <f>Effectif!M27</f>
        <v>43434</v>
      </c>
      <c r="E27" s="72" t="str">
        <f>Effectif!N27</f>
        <v>Collectif</v>
      </c>
      <c r="F27" s="72">
        <f>Effectif!R27</f>
        <v>0</v>
      </c>
      <c r="G27" s="72">
        <f>Effectif!S27</f>
        <v>0</v>
      </c>
      <c r="H27" s="72" t="str">
        <f>Effectif!Z27</f>
        <v>Oui</v>
      </c>
      <c r="I27" s="71">
        <f>Effectif!AB27</f>
        <v>0</v>
      </c>
      <c r="J27" s="74" t="str">
        <f>Effectif!AD27</f>
        <v>Non</v>
      </c>
      <c r="K27" s="1"/>
    </row>
    <row r="28" spans="1:11" x14ac:dyDescent="0.25">
      <c r="A28" s="67" t="str">
        <f>Effectif!C28</f>
        <v>azerty azertty</v>
      </c>
      <c r="B28" s="68" t="str">
        <f>Effectif!D28</f>
        <v>25/01/2004</v>
      </c>
      <c r="C28" s="69">
        <f>Effectif!G28</f>
        <v>0</v>
      </c>
      <c r="D28" s="68">
        <f>Effectif!M28</f>
        <v>43902</v>
      </c>
      <c r="E28" s="69" t="str">
        <f>Effectif!N28</f>
        <v>Collectif</v>
      </c>
      <c r="F28" s="69">
        <f>Effectif!R28</f>
        <v>0</v>
      </c>
      <c r="G28" s="69">
        <f>Effectif!S28</f>
        <v>0</v>
      </c>
      <c r="H28" s="69" t="str">
        <f>Effectif!Z28</f>
        <v>Oui</v>
      </c>
      <c r="I28" s="68">
        <f>Effectif!AB28</f>
        <v>0</v>
      </c>
      <c r="J28" s="73" t="str">
        <f>Effectif!AD28</f>
        <v>Non</v>
      </c>
      <c r="K28" s="1"/>
    </row>
    <row r="29" spans="1:11" x14ac:dyDescent="0.25">
      <c r="A29" s="70" t="str">
        <f>Effectif!C29</f>
        <v>azerty azertty</v>
      </c>
      <c r="B29" s="71" t="str">
        <f>Effectif!D29</f>
        <v>06/03/2002</v>
      </c>
      <c r="C29" s="72">
        <f>Effectif!G29</f>
        <v>0</v>
      </c>
      <c r="D29" s="71">
        <f>Effectif!M29</f>
        <v>43434</v>
      </c>
      <c r="E29" s="72" t="str">
        <f>Effectif!N29</f>
        <v>Semi_autonomie</v>
      </c>
      <c r="F29" s="72">
        <f>Effectif!R29</f>
        <v>0</v>
      </c>
      <c r="G29" s="72">
        <f>Effectif!S29</f>
        <v>0</v>
      </c>
      <c r="H29" s="72" t="str">
        <f>Effectif!Z29</f>
        <v>Oui</v>
      </c>
      <c r="I29" s="71">
        <f>Effectif!AB29</f>
        <v>0</v>
      </c>
      <c r="J29" s="74" t="str">
        <f>Effectif!AD29</f>
        <v>Oui</v>
      </c>
      <c r="K29" s="1"/>
    </row>
    <row r="30" spans="1:11" x14ac:dyDescent="0.25">
      <c r="A30" s="67" t="str">
        <f>Effectif!C30</f>
        <v>azerty azertty</v>
      </c>
      <c r="B30" s="68" t="str">
        <f>Effectif!D30</f>
        <v>01/05/2002</v>
      </c>
      <c r="C30" s="69">
        <f>Effectif!G30</f>
        <v>0</v>
      </c>
      <c r="D30" s="68">
        <f>Effectif!M30</f>
        <v>43846</v>
      </c>
      <c r="E30" s="69" t="str">
        <f>Effectif!N30</f>
        <v>Collectif</v>
      </c>
      <c r="F30" s="69">
        <f>Effectif!R30</f>
        <v>0</v>
      </c>
      <c r="G30" s="69">
        <f>Effectif!S30</f>
        <v>0</v>
      </c>
      <c r="H30" s="69" t="str">
        <f>Effectif!Z30</f>
        <v>Oui</v>
      </c>
      <c r="I30" s="68">
        <f>Effectif!AB30</f>
        <v>0</v>
      </c>
      <c r="J30" s="73" t="str">
        <f>Effectif!AD30</f>
        <v>Oui</v>
      </c>
      <c r="K30" s="1"/>
    </row>
    <row r="31" spans="1:11" x14ac:dyDescent="0.25">
      <c r="A31" s="70" t="str">
        <f>Effectif!C31</f>
        <v>azerty azertty</v>
      </c>
      <c r="B31" s="71" t="str">
        <f>Effectif!D31</f>
        <v>05/05/2003</v>
      </c>
      <c r="C31" s="72">
        <f>Effectif!G31</f>
        <v>0</v>
      </c>
      <c r="D31" s="71">
        <f>Effectif!M31</f>
        <v>43796</v>
      </c>
      <c r="E31" s="72" t="str">
        <f>Effectif!N31</f>
        <v>Collectif</v>
      </c>
      <c r="F31" s="72">
        <f>Effectif!R31</f>
        <v>0</v>
      </c>
      <c r="G31" s="72">
        <f>Effectif!S31</f>
        <v>0</v>
      </c>
      <c r="H31" s="72" t="str">
        <f>Effectif!Z31</f>
        <v>Oui</v>
      </c>
      <c r="I31" s="71">
        <f>Effectif!AB31</f>
        <v>0</v>
      </c>
      <c r="J31" s="74" t="str">
        <f>Effectif!AD31</f>
        <v>Non</v>
      </c>
      <c r="K31" s="1"/>
    </row>
    <row r="32" spans="1:11" x14ac:dyDescent="0.25">
      <c r="A32" s="67" t="str">
        <f>Effectif!C32</f>
        <v>azerty azertty</v>
      </c>
      <c r="B32" s="68" t="str">
        <f>Effectif!D32</f>
        <v>10/12/2001</v>
      </c>
      <c r="C32" s="69">
        <f>Effectif!G32</f>
        <v>0</v>
      </c>
      <c r="D32" s="68">
        <f>Effectif!M32</f>
        <v>43508</v>
      </c>
      <c r="E32" s="69" t="str">
        <f>Effectif!N32</f>
        <v>Semi_autonomie</v>
      </c>
      <c r="F32" s="69">
        <f>Effectif!R32</f>
        <v>0</v>
      </c>
      <c r="G32" s="69">
        <f>Effectif!S32</f>
        <v>0</v>
      </c>
      <c r="H32" s="69" t="str">
        <f>Effectif!Z32</f>
        <v>Oui</v>
      </c>
      <c r="I32" s="68">
        <f>Effectif!AB32</f>
        <v>0</v>
      </c>
      <c r="J32" s="73" t="str">
        <f>Effectif!AD32</f>
        <v>Oui</v>
      </c>
      <c r="K32" s="1"/>
    </row>
    <row r="33" spans="1:11" x14ac:dyDescent="0.25">
      <c r="A33" s="70" t="str">
        <f>Effectif!C33</f>
        <v>azerty azertty</v>
      </c>
      <c r="B33" s="71" t="str">
        <f>Effectif!D33</f>
        <v>31/12/2003</v>
      </c>
      <c r="C33" s="72">
        <f>Effectif!G33</f>
        <v>0</v>
      </c>
      <c r="D33" s="71">
        <f>Effectif!M33</f>
        <v>43831</v>
      </c>
      <c r="E33" s="72" t="str">
        <f>Effectif!N33</f>
        <v>Collectif</v>
      </c>
      <c r="F33" s="72">
        <f>Effectif!R33</f>
        <v>0</v>
      </c>
      <c r="G33" s="72">
        <f>Effectif!S33</f>
        <v>0</v>
      </c>
      <c r="H33" s="72" t="str">
        <f>Effectif!Z33</f>
        <v>Oui</v>
      </c>
      <c r="I33" s="71">
        <f>Effectif!AB33</f>
        <v>0</v>
      </c>
      <c r="J33" s="74" t="str">
        <f>Effectif!AD33</f>
        <v>Non</v>
      </c>
      <c r="K33" s="1"/>
    </row>
    <row r="34" spans="1:11" x14ac:dyDescent="0.25">
      <c r="A34" s="67" t="str">
        <f>Effectif!C34</f>
        <v>azerty azertty</v>
      </c>
      <c r="B34" s="68" t="str">
        <f>Effectif!D34</f>
        <v>15/09/2003</v>
      </c>
      <c r="C34" s="69">
        <f>Effectif!G34</f>
        <v>0</v>
      </c>
      <c r="D34" s="68">
        <f>Effectif!M34</f>
        <v>43819</v>
      </c>
      <c r="E34" s="69" t="str">
        <f>Effectif!N34</f>
        <v>Collectif</v>
      </c>
      <c r="F34" s="69">
        <f>Effectif!R34</f>
        <v>0</v>
      </c>
      <c r="G34" s="69">
        <f>Effectif!S34</f>
        <v>0</v>
      </c>
      <c r="H34" s="69" t="str">
        <f>Effectif!Z34</f>
        <v>Oui</v>
      </c>
      <c r="I34" s="68">
        <f>Effectif!AB34</f>
        <v>0</v>
      </c>
      <c r="J34" s="73" t="str">
        <f>Effectif!AD34</f>
        <v>Non</v>
      </c>
      <c r="K34" s="1"/>
    </row>
    <row r="35" spans="1:11" x14ac:dyDescent="0.25">
      <c r="A35" s="70" t="str">
        <f>Effectif!C35</f>
        <v>azerty azertty</v>
      </c>
      <c r="B35" s="71" t="str">
        <f>Effectif!D35</f>
        <v>19/06/2004</v>
      </c>
      <c r="C35" s="72">
        <f>Effectif!G35</f>
        <v>0</v>
      </c>
      <c r="D35" s="71">
        <f>Effectif!M35</f>
        <v>43907</v>
      </c>
      <c r="E35" s="72" t="str">
        <f>Effectif!N35</f>
        <v>Collectif</v>
      </c>
      <c r="F35" s="72">
        <f>Effectif!R35</f>
        <v>0</v>
      </c>
      <c r="G35" s="72">
        <f>Effectif!S35</f>
        <v>0</v>
      </c>
      <c r="H35" s="72" t="str">
        <f>Effectif!Z35</f>
        <v>Oui</v>
      </c>
      <c r="I35" s="71">
        <f>Effectif!AB35</f>
        <v>0</v>
      </c>
      <c r="J35" s="74" t="str">
        <f>Effectif!AD35</f>
        <v>Non</v>
      </c>
      <c r="K35" s="1"/>
    </row>
    <row r="36" spans="1:11" x14ac:dyDescent="0.25">
      <c r="A36" s="67" t="str">
        <f>Effectif!C36</f>
        <v>azerty azertty</v>
      </c>
      <c r="B36" s="68" t="str">
        <f>Effectif!D36</f>
        <v>03/03/2003</v>
      </c>
      <c r="C36" s="69">
        <f>Effectif!G36</f>
        <v>0</v>
      </c>
      <c r="D36" s="68">
        <f>Effectif!M36</f>
        <v>43270</v>
      </c>
      <c r="E36" s="69" t="str">
        <f>Effectif!N36</f>
        <v>Semi_autonomie</v>
      </c>
      <c r="F36" s="69">
        <f>Effectif!R36</f>
        <v>0</v>
      </c>
      <c r="G36" s="69">
        <f>Effectif!S36</f>
        <v>0</v>
      </c>
      <c r="H36" s="69" t="str">
        <f>Effectif!Z36</f>
        <v>Oui</v>
      </c>
      <c r="I36" s="68">
        <f>Effectif!AB36</f>
        <v>0</v>
      </c>
      <c r="J36" s="73" t="str">
        <f>Effectif!AD36</f>
        <v>Non</v>
      </c>
      <c r="K36" s="1"/>
    </row>
    <row r="37" spans="1:11" x14ac:dyDescent="0.25">
      <c r="A37" s="70" t="str">
        <f>Effectif!C37</f>
        <v>azerty azertty</v>
      </c>
      <c r="B37" s="71" t="str">
        <f>Effectif!D37</f>
        <v>29/08/2004</v>
      </c>
      <c r="C37" s="72">
        <f>Effectif!G37</f>
        <v>0</v>
      </c>
      <c r="D37" s="71">
        <f>Effectif!M37</f>
        <v>43788</v>
      </c>
      <c r="E37" s="72" t="str">
        <f>Effectif!N37</f>
        <v>Collectif</v>
      </c>
      <c r="F37" s="72">
        <f>Effectif!R37</f>
        <v>0</v>
      </c>
      <c r="G37" s="72">
        <f>Effectif!S37</f>
        <v>0</v>
      </c>
      <c r="H37" s="72" t="str">
        <f>Effectif!Z37</f>
        <v>Oui</v>
      </c>
      <c r="I37" s="71">
        <f>Effectif!AB37</f>
        <v>0</v>
      </c>
      <c r="J37" s="74" t="str">
        <f>Effectif!AD37</f>
        <v>Non</v>
      </c>
      <c r="K37" s="1"/>
    </row>
    <row r="38" spans="1:11" x14ac:dyDescent="0.25">
      <c r="A38" s="67" t="str">
        <f>Effectif!C38</f>
        <v>azerty azertty</v>
      </c>
      <c r="B38" s="68" t="str">
        <f>Effectif!D38</f>
        <v>23/12/2002</v>
      </c>
      <c r="C38" s="69">
        <f>Effectif!G38</f>
        <v>0</v>
      </c>
      <c r="D38" s="68">
        <f>Effectif!M38</f>
        <v>43850</v>
      </c>
      <c r="E38" s="69" t="str">
        <f>Effectif!N38</f>
        <v>Collectif</v>
      </c>
      <c r="F38" s="69">
        <f>Effectif!R38</f>
        <v>0</v>
      </c>
      <c r="G38" s="69">
        <f>Effectif!S38</f>
        <v>0</v>
      </c>
      <c r="H38" s="69" t="str">
        <f>Effectif!Z38</f>
        <v>Oui</v>
      </c>
      <c r="I38" s="68">
        <f>Effectif!AB38</f>
        <v>0</v>
      </c>
      <c r="J38" s="73" t="str">
        <f>Effectif!AD38</f>
        <v>Oui</v>
      </c>
      <c r="K38" s="1"/>
    </row>
    <row r="39" spans="1:11" x14ac:dyDescent="0.25">
      <c r="A39" s="70" t="str">
        <f>Effectif!C39</f>
        <v>azerty azertty</v>
      </c>
      <c r="B39" s="71" t="str">
        <f>Effectif!D39</f>
        <v>16/07/2003</v>
      </c>
      <c r="C39" s="72">
        <f>Effectif!G39</f>
        <v>0</v>
      </c>
      <c r="D39" s="71">
        <f>Effectif!M39</f>
        <v>43902</v>
      </c>
      <c r="E39" s="72" t="str">
        <f>Effectif!N39</f>
        <v>Collectif</v>
      </c>
      <c r="F39" s="72">
        <f>Effectif!R39</f>
        <v>0</v>
      </c>
      <c r="G39" s="72">
        <f>Effectif!S39</f>
        <v>0</v>
      </c>
      <c r="H39" s="72" t="str">
        <f>Effectif!Z39</f>
        <v>Oui</v>
      </c>
      <c r="I39" s="71">
        <f>Effectif!AB39</f>
        <v>0</v>
      </c>
      <c r="J39" s="74" t="str">
        <f>Effectif!AD39</f>
        <v>Non</v>
      </c>
      <c r="K39" s="1"/>
    </row>
    <row r="40" spans="1:11" x14ac:dyDescent="0.25">
      <c r="A40" s="67" t="str">
        <f>Effectif!C40</f>
        <v>azerty azertty</v>
      </c>
      <c r="B40" s="68" t="str">
        <f>Effectif!D40</f>
        <v>24/12/2001</v>
      </c>
      <c r="C40" s="69">
        <f>Effectif!G40</f>
        <v>0</v>
      </c>
      <c r="D40" s="68">
        <f>Effectif!M40</f>
        <v>43434</v>
      </c>
      <c r="E40" s="69" t="str">
        <f>Effectif!N40</f>
        <v>Collectif</v>
      </c>
      <c r="F40" s="69">
        <f>Effectif!R40</f>
        <v>0</v>
      </c>
      <c r="G40" s="69">
        <f>Effectif!S40</f>
        <v>0</v>
      </c>
      <c r="H40" s="69" t="str">
        <f>Effectif!Z40</f>
        <v>Oui</v>
      </c>
      <c r="I40" s="68">
        <f>Effectif!AB40</f>
        <v>0</v>
      </c>
      <c r="J40" s="73" t="str">
        <f>Effectif!AD40</f>
        <v>Oui</v>
      </c>
      <c r="K40" s="1"/>
    </row>
    <row r="41" spans="1:11" x14ac:dyDescent="0.25">
      <c r="A41" s="70" t="str">
        <f>Effectif!C41</f>
        <v>azerty azertty</v>
      </c>
      <c r="B41" s="71" t="str">
        <f>Effectif!D41</f>
        <v>20/06/2002</v>
      </c>
      <c r="C41" s="72">
        <f>Effectif!G41</f>
        <v>0</v>
      </c>
      <c r="D41" s="71">
        <f>Effectif!M41</f>
        <v>43825</v>
      </c>
      <c r="E41" s="72" t="str">
        <f>Effectif!N41</f>
        <v>Collectif</v>
      </c>
      <c r="F41" s="72">
        <f>Effectif!R41</f>
        <v>0</v>
      </c>
      <c r="G41" s="72">
        <f>Effectif!S41</f>
        <v>0</v>
      </c>
      <c r="H41" s="72" t="str">
        <f>Effectif!Z41</f>
        <v>Oui</v>
      </c>
      <c r="I41" s="71">
        <f>Effectif!AB41</f>
        <v>0</v>
      </c>
      <c r="J41" s="74" t="str">
        <f>Effectif!AD41</f>
        <v>Non</v>
      </c>
      <c r="K41" s="1"/>
    </row>
    <row r="42" spans="1:11" x14ac:dyDescent="0.25">
      <c r="A42" s="67" t="str">
        <f>Effectif!C42</f>
        <v>azerty azertty</v>
      </c>
      <c r="B42" s="68" t="str">
        <f>Effectif!D42</f>
        <v>13/02/2003</v>
      </c>
      <c r="C42" s="69">
        <f>Effectif!G42</f>
        <v>0</v>
      </c>
      <c r="D42" s="68">
        <f>Effectif!M42</f>
        <v>43852</v>
      </c>
      <c r="E42" s="69" t="str">
        <f>Effectif!N42</f>
        <v>Collectif</v>
      </c>
      <c r="F42" s="69">
        <f>Effectif!R42</f>
        <v>0</v>
      </c>
      <c r="G42" s="69">
        <f>Effectif!S42</f>
        <v>0</v>
      </c>
      <c r="H42" s="69" t="str">
        <f>Effectif!Z42</f>
        <v>Oui</v>
      </c>
      <c r="I42" s="68">
        <f>Effectif!AB42</f>
        <v>0</v>
      </c>
      <c r="J42" s="73" t="str">
        <f>Effectif!AD42</f>
        <v>Non</v>
      </c>
      <c r="K42" s="1"/>
    </row>
    <row r="43" spans="1:11" x14ac:dyDescent="0.25">
      <c r="A43" s="70" t="str">
        <f>Effectif!C43</f>
        <v>azerty azertty</v>
      </c>
      <c r="B43" s="71" t="str">
        <f>Effectif!D43</f>
        <v>15/11/2001</v>
      </c>
      <c r="C43" s="72">
        <f>Effectif!G43</f>
        <v>0</v>
      </c>
      <c r="D43" s="71">
        <f>Effectif!M43</f>
        <v>43445</v>
      </c>
      <c r="E43" s="72" t="str">
        <f>Effectif!N43</f>
        <v>Semi_autonomie</v>
      </c>
      <c r="F43" s="72">
        <f>Effectif!R43</f>
        <v>0</v>
      </c>
      <c r="G43" s="72">
        <f>Effectif!S43</f>
        <v>0</v>
      </c>
      <c r="H43" s="72" t="str">
        <f>Effectif!Z43</f>
        <v>Oui</v>
      </c>
      <c r="I43" s="71">
        <f>Effectif!AB43</f>
        <v>0</v>
      </c>
      <c r="J43" s="74" t="str">
        <f>Effectif!AD43</f>
        <v>Oui</v>
      </c>
      <c r="K43" s="1"/>
    </row>
    <row r="44" spans="1:11" x14ac:dyDescent="0.25">
      <c r="A44" s="67" t="str">
        <f>Effectif!C44</f>
        <v>azerty azertty</v>
      </c>
      <c r="B44" s="68" t="str">
        <f>Effectif!D44</f>
        <v>15/09/2001</v>
      </c>
      <c r="C44" s="69">
        <f>Effectif!G44</f>
        <v>0</v>
      </c>
      <c r="D44" s="68">
        <f>Effectif!M44</f>
        <v>43434</v>
      </c>
      <c r="E44" s="69" t="str">
        <f>Effectif!N44</f>
        <v>Collectif</v>
      </c>
      <c r="F44" s="69">
        <f>Effectif!R44</f>
        <v>0</v>
      </c>
      <c r="G44" s="69">
        <f>Effectif!S44</f>
        <v>0</v>
      </c>
      <c r="H44" s="69" t="str">
        <f>Effectif!Z44</f>
        <v>Oui</v>
      </c>
      <c r="I44" s="68">
        <f>Effectif!AB44</f>
        <v>0</v>
      </c>
      <c r="J44" s="73" t="str">
        <f>Effectif!AD44</f>
        <v>Oui</v>
      </c>
      <c r="K44" s="1"/>
    </row>
    <row r="45" spans="1:11" x14ac:dyDescent="0.25">
      <c r="A45" s="70" t="str">
        <f>Effectif!C45</f>
        <v>azerty azertty</v>
      </c>
      <c r="B45" s="71" t="str">
        <f>Effectif!D45</f>
        <v>31/12/2003</v>
      </c>
      <c r="C45" s="72">
        <f>Effectif!G45</f>
        <v>0</v>
      </c>
      <c r="D45" s="71">
        <f>Effectif!M45</f>
        <v>44153</v>
      </c>
      <c r="E45" s="72" t="str">
        <f>Effectif!N45</f>
        <v>Semi_autonomie</v>
      </c>
      <c r="F45" s="72">
        <f>Effectif!R45</f>
        <v>0</v>
      </c>
      <c r="G45" s="72">
        <f>Effectif!S45</f>
        <v>0</v>
      </c>
      <c r="H45" s="72" t="str">
        <f>Effectif!Z45</f>
        <v>Oui</v>
      </c>
      <c r="I45" s="71">
        <f>Effectif!AB45</f>
        <v>0</v>
      </c>
      <c r="J45" s="74" t="str">
        <f>Effectif!AD45</f>
        <v>Oui</v>
      </c>
      <c r="K45" s="1"/>
    </row>
    <row r="46" spans="1:11" x14ac:dyDescent="0.25">
      <c r="A46" s="67" t="str">
        <f>Effectif!C46</f>
        <v>azerty azertty</v>
      </c>
      <c r="B46" s="68" t="str">
        <f>Effectif!D46</f>
        <v>31/12/2002</v>
      </c>
      <c r="C46" s="69">
        <f>Effectif!G46</f>
        <v>0</v>
      </c>
      <c r="D46" s="68">
        <f>Effectif!M46</f>
        <v>43508</v>
      </c>
      <c r="E46" s="69" t="str">
        <f>Effectif!N46</f>
        <v>Collectif</v>
      </c>
      <c r="F46" s="69">
        <f>Effectif!R46</f>
        <v>0</v>
      </c>
      <c r="G46" s="69">
        <f>Effectif!S46</f>
        <v>0</v>
      </c>
      <c r="H46" s="69" t="str">
        <f>Effectif!Z46</f>
        <v>Oui</v>
      </c>
      <c r="I46" s="68">
        <f>Effectif!AB46</f>
        <v>0</v>
      </c>
      <c r="J46" s="73" t="str">
        <f>Effectif!AD46</f>
        <v>Oui</v>
      </c>
      <c r="K46" s="1"/>
    </row>
    <row r="47" spans="1:11" x14ac:dyDescent="0.25">
      <c r="A47" s="70" t="str">
        <f>Effectif!C47</f>
        <v>azerty azertty</v>
      </c>
      <c r="B47" s="71" t="str">
        <f>Effectif!D47</f>
        <v>16/07/2002</v>
      </c>
      <c r="C47" s="72">
        <f>Effectif!G47</f>
        <v>0</v>
      </c>
      <c r="D47" s="71">
        <f>Effectif!M47</f>
        <v>43971</v>
      </c>
      <c r="E47" s="72" t="str">
        <f>Effectif!N47</f>
        <v>Collectif</v>
      </c>
      <c r="F47" s="72">
        <f>Effectif!R47</f>
        <v>0</v>
      </c>
      <c r="G47" s="72">
        <f>Effectif!S47</f>
        <v>0</v>
      </c>
      <c r="H47" s="72" t="str">
        <f>Effectif!Z47</f>
        <v>Non</v>
      </c>
      <c r="I47" s="71">
        <f>Effectif!AB47</f>
        <v>0</v>
      </c>
      <c r="J47" s="74" t="str">
        <f>Effectif!AD47</f>
        <v>Non</v>
      </c>
      <c r="K47" s="1"/>
    </row>
    <row r="48" spans="1:11" x14ac:dyDescent="0.25">
      <c r="A48" s="67" t="str">
        <f>Effectif!C48</f>
        <v>azerty azertty</v>
      </c>
      <c r="B48" s="68" t="str">
        <f>Effectif!D48</f>
        <v>10/12/2003</v>
      </c>
      <c r="C48" s="69">
        <f>Effectif!G48</f>
        <v>0</v>
      </c>
      <c r="D48" s="68">
        <f>Effectif!M48</f>
        <v>43825</v>
      </c>
      <c r="E48" s="69" t="str">
        <f>Effectif!N48</f>
        <v>Collectif</v>
      </c>
      <c r="F48" s="69">
        <f>Effectif!R48</f>
        <v>0</v>
      </c>
      <c r="G48" s="69">
        <f>Effectif!S48</f>
        <v>0</v>
      </c>
      <c r="H48" s="69" t="str">
        <f>Effectif!Z48</f>
        <v>Oui</v>
      </c>
      <c r="I48" s="68">
        <f>Effectif!AB48</f>
        <v>0</v>
      </c>
      <c r="J48" s="73" t="str">
        <f>Effectif!AD48</f>
        <v>Non</v>
      </c>
      <c r="K48" s="1"/>
    </row>
    <row r="49" spans="1:11" x14ac:dyDescent="0.25">
      <c r="A49" s="70" t="str">
        <f>Effectif!C49</f>
        <v>azerty azertty</v>
      </c>
      <c r="B49" s="71" t="str">
        <f>Effectif!D49</f>
        <v>02/06/2003</v>
      </c>
      <c r="C49" s="72">
        <f>Effectif!G49</f>
        <v>0</v>
      </c>
      <c r="D49" s="71">
        <f>Effectif!M49</f>
        <v>0</v>
      </c>
      <c r="E49" s="72" t="str">
        <f>Effectif!N49</f>
        <v>Collectif</v>
      </c>
      <c r="F49" s="72">
        <f>Effectif!R49</f>
        <v>0</v>
      </c>
      <c r="G49" s="72">
        <f>Effectif!S49</f>
        <v>0</v>
      </c>
      <c r="H49" s="72" t="str">
        <f>Effectif!Z49</f>
        <v>Non</v>
      </c>
      <c r="I49" s="71">
        <f>Effectif!AB49</f>
        <v>0</v>
      </c>
      <c r="J49" s="74" t="str">
        <f>Effectif!AD49</f>
        <v>Non</v>
      </c>
      <c r="K49" s="1"/>
    </row>
    <row r="50" spans="1:11" x14ac:dyDescent="0.25">
      <c r="A50" s="67" t="str">
        <f>Effectif!C50</f>
        <v>azerty azertty</v>
      </c>
      <c r="B50" s="68" t="str">
        <f>Effectif!D50</f>
        <v>02/01/2003</v>
      </c>
      <c r="C50" s="69">
        <f>Effectif!G50</f>
        <v>0</v>
      </c>
      <c r="D50" s="68">
        <f>Effectif!M50</f>
        <v>43515</v>
      </c>
      <c r="E50" s="69" t="str">
        <f>Effectif!N50</f>
        <v>Semi_autonomie</v>
      </c>
      <c r="F50" s="69">
        <f>Effectif!R50</f>
        <v>0</v>
      </c>
      <c r="G50" s="69">
        <f>Effectif!S50</f>
        <v>0</v>
      </c>
      <c r="H50" s="69" t="str">
        <f>Effectif!Z50</f>
        <v>Oui</v>
      </c>
      <c r="I50" s="68">
        <f>Effectif!AB50</f>
        <v>0</v>
      </c>
      <c r="J50" s="73" t="str">
        <f>Effectif!AD50</f>
        <v>Oui</v>
      </c>
      <c r="K50" s="1"/>
    </row>
    <row r="51" spans="1:11" x14ac:dyDescent="0.25">
      <c r="A51" s="70" t="str">
        <f>Effectif!C51</f>
        <v>azerty azertty</v>
      </c>
      <c r="B51" s="71" t="str">
        <f>Effectif!D51</f>
        <v>31/12/2002</v>
      </c>
      <c r="C51" s="72">
        <f>Effectif!G51</f>
        <v>0</v>
      </c>
      <c r="D51" s="71">
        <f>Effectif!M51</f>
        <v>43434</v>
      </c>
      <c r="E51" s="72" t="str">
        <f>Effectif!N51</f>
        <v>Semi_autonomie</v>
      </c>
      <c r="F51" s="72">
        <f>Effectif!R51</f>
        <v>0</v>
      </c>
      <c r="G51" s="72">
        <f>Effectif!S51</f>
        <v>0</v>
      </c>
      <c r="H51" s="72" t="str">
        <f>Effectif!Z51</f>
        <v>Oui</v>
      </c>
      <c r="I51" s="71">
        <f>Effectif!AB51</f>
        <v>0</v>
      </c>
      <c r="J51" s="74" t="str">
        <f>Effectif!AD51</f>
        <v>Oui</v>
      </c>
      <c r="K51" s="1"/>
    </row>
    <row r="52" spans="1:11" x14ac:dyDescent="0.25">
      <c r="A52" s="67" t="str">
        <f>Effectif!C52</f>
        <v>azerty azertty</v>
      </c>
      <c r="B52" s="68" t="str">
        <f>Effectif!D52</f>
        <v>01/01/2003</v>
      </c>
      <c r="C52" s="69">
        <f>Effectif!G52</f>
        <v>0</v>
      </c>
      <c r="D52" s="68">
        <f>Effectif!M52</f>
        <v>43495</v>
      </c>
      <c r="E52" s="69" t="str">
        <f>Effectif!N52</f>
        <v>Semi_autonomie</v>
      </c>
      <c r="F52" s="69">
        <f>Effectif!R52</f>
        <v>0</v>
      </c>
      <c r="G52" s="69">
        <f>Effectif!S52</f>
        <v>0</v>
      </c>
      <c r="H52" s="69" t="str">
        <f>Effectif!Z52</f>
        <v>Oui</v>
      </c>
      <c r="I52" s="68">
        <f>Effectif!AB52</f>
        <v>0</v>
      </c>
      <c r="J52" s="73" t="str">
        <f>Effectif!AD52</f>
        <v>Oui</v>
      </c>
      <c r="K52" s="1"/>
    </row>
    <row r="53" spans="1:11" x14ac:dyDescent="0.25">
      <c r="A53" s="70" t="str">
        <f>Effectif!C53</f>
        <v>azerty azertty</v>
      </c>
      <c r="B53" s="71" t="str">
        <f>Effectif!D53</f>
        <v>06/07/2002</v>
      </c>
      <c r="C53" s="72">
        <f>Effectif!G53</f>
        <v>0</v>
      </c>
      <c r="D53" s="71">
        <f>Effectif!M53</f>
        <v>43434</v>
      </c>
      <c r="E53" s="72" t="str">
        <f>Effectif!N53</f>
        <v>Collectif</v>
      </c>
      <c r="F53" s="72">
        <f>Effectif!R53</f>
        <v>0</v>
      </c>
      <c r="G53" s="72">
        <f>Effectif!S53</f>
        <v>0</v>
      </c>
      <c r="H53" s="72" t="str">
        <f>Effectif!Z53</f>
        <v>Oui</v>
      </c>
      <c r="I53" s="71">
        <f>Effectif!AB53</f>
        <v>0</v>
      </c>
      <c r="J53" s="74" t="str">
        <f>Effectif!AD53</f>
        <v>Non</v>
      </c>
      <c r="K53" s="1"/>
    </row>
    <row r="54" spans="1:11" x14ac:dyDescent="0.25">
      <c r="A54" s="67" t="str">
        <f>Effectif!C54</f>
        <v>azerty azertty</v>
      </c>
      <c r="B54" s="68" t="str">
        <f>Effectif!D54</f>
        <v>10/05/2002</v>
      </c>
      <c r="C54" s="69">
        <f>Effectif!G54</f>
        <v>0</v>
      </c>
      <c r="D54" s="68">
        <f>Effectif!M54</f>
        <v>43445</v>
      </c>
      <c r="E54" s="69" t="str">
        <f>Effectif!N54</f>
        <v>Semi_autonomie</v>
      </c>
      <c r="F54" s="69">
        <f>Effectif!R54</f>
        <v>0</v>
      </c>
      <c r="G54" s="69">
        <f>Effectif!S54</f>
        <v>0</v>
      </c>
      <c r="H54" s="69" t="str">
        <f>Effectif!Z54</f>
        <v>Oui</v>
      </c>
      <c r="I54" s="68">
        <f>Effectif!AB54</f>
        <v>0</v>
      </c>
      <c r="J54" s="73" t="str">
        <f>Effectif!AD54</f>
        <v>Oui</v>
      </c>
      <c r="K54" s="1"/>
    </row>
    <row r="55" spans="1:11" x14ac:dyDescent="0.25">
      <c r="A55" s="70" t="str">
        <f>Effectif!C55</f>
        <v>azerty azertty</v>
      </c>
      <c r="B55" s="71" t="str">
        <f>Effectif!D55</f>
        <v>02/10/2002</v>
      </c>
      <c r="C55" s="72">
        <f>Effectif!G55</f>
        <v>0</v>
      </c>
      <c r="D55" s="71">
        <f>Effectif!M55</f>
        <v>43509</v>
      </c>
      <c r="E55" s="72" t="str">
        <f>Effectif!N55</f>
        <v>Collectif</v>
      </c>
      <c r="F55" s="72">
        <f>Effectif!R55</f>
        <v>0</v>
      </c>
      <c r="G55" s="72">
        <f>Effectif!S55</f>
        <v>0</v>
      </c>
      <c r="H55" s="72" t="str">
        <f>Effectif!Z55</f>
        <v>Oui</v>
      </c>
      <c r="I55" s="71">
        <f>Effectif!AB55</f>
        <v>0</v>
      </c>
      <c r="J55" s="74" t="str">
        <f>Effectif!AD55</f>
        <v>Oui</v>
      </c>
      <c r="K55" s="1"/>
    </row>
    <row r="56" spans="1:11" x14ac:dyDescent="0.25">
      <c r="A56" s="67" t="str">
        <f>Effectif!C56</f>
        <v>azerty azertty</v>
      </c>
      <c r="B56" s="68" t="str">
        <f>Effectif!D56</f>
        <v>07/02/2003</v>
      </c>
      <c r="C56" s="69">
        <f>Effectif!G56</f>
        <v>0</v>
      </c>
      <c r="D56" s="68">
        <f>Effectif!M56</f>
        <v>43812</v>
      </c>
      <c r="E56" s="69" t="str">
        <f>Effectif!N56</f>
        <v>Collectif</v>
      </c>
      <c r="F56" s="69">
        <f>Effectif!R56</f>
        <v>0</v>
      </c>
      <c r="G56" s="69">
        <f>Effectif!S56</f>
        <v>0</v>
      </c>
      <c r="H56" s="69" t="str">
        <f>Effectif!Z56</f>
        <v>Oui</v>
      </c>
      <c r="I56" s="68">
        <f>Effectif!AB56</f>
        <v>0</v>
      </c>
      <c r="J56" s="73" t="str">
        <f>Effectif!AD56</f>
        <v>Oui</v>
      </c>
      <c r="K56" s="1"/>
    </row>
    <row r="57" spans="1:11" x14ac:dyDescent="0.25">
      <c r="A57" s="70" t="str">
        <f>Effectif!C57</f>
        <v>azerty azertty</v>
      </c>
      <c r="B57" s="71" t="str">
        <f>Effectif!D57</f>
        <v>08/05/2003</v>
      </c>
      <c r="C57" s="72">
        <f>Effectif!G57</f>
        <v>0</v>
      </c>
      <c r="D57" s="71">
        <f>Effectif!M57</f>
        <v>43709</v>
      </c>
      <c r="E57" s="72" t="str">
        <f>Effectif!N57</f>
        <v>Collectif</v>
      </c>
      <c r="F57" s="72">
        <f>Effectif!R57</f>
        <v>0</v>
      </c>
      <c r="G57" s="72">
        <f>Effectif!S57</f>
        <v>0</v>
      </c>
      <c r="H57" s="72" t="str">
        <f>Effectif!Z57</f>
        <v>Oui</v>
      </c>
      <c r="I57" s="71">
        <f>Effectif!AB57</f>
        <v>0</v>
      </c>
      <c r="J57" s="74" t="str">
        <f>Effectif!AD57</f>
        <v>Oui</v>
      </c>
      <c r="K57" s="1"/>
    </row>
    <row r="58" spans="1:11" x14ac:dyDescent="0.25">
      <c r="A58" s="67" t="str">
        <f>Effectif!C58</f>
        <v>azerty azertty</v>
      </c>
      <c r="B58" s="68" t="str">
        <f>Effectif!D58</f>
        <v>01/12/2001</v>
      </c>
      <c r="C58" s="69">
        <f>Effectif!G58</f>
        <v>0</v>
      </c>
      <c r="D58" s="68">
        <f>Effectif!M58</f>
        <v>43434</v>
      </c>
      <c r="E58" s="69" t="str">
        <f>Effectif!N58</f>
        <v>Collectif</v>
      </c>
      <c r="F58" s="69">
        <f>Effectif!R58</f>
        <v>0</v>
      </c>
      <c r="G58" s="69">
        <f>Effectif!S58</f>
        <v>0</v>
      </c>
      <c r="H58" s="69" t="str">
        <f>Effectif!Z58</f>
        <v>Oui</v>
      </c>
      <c r="I58" s="68">
        <f>Effectif!AB58</f>
        <v>0</v>
      </c>
      <c r="J58" s="73" t="str">
        <f>Effectif!AD58</f>
        <v>Oui</v>
      </c>
      <c r="K58" s="1"/>
    </row>
    <row r="59" spans="1:11" x14ac:dyDescent="0.25">
      <c r="A59" s="70" t="str">
        <f>Effectif!C59</f>
        <v>azerty azertty</v>
      </c>
      <c r="B59" s="71" t="str">
        <f>Effectif!D59</f>
        <v>05/03/2003</v>
      </c>
      <c r="C59" s="72">
        <f>Effectif!G59</f>
        <v>0</v>
      </c>
      <c r="D59" s="71">
        <f>Effectif!M59</f>
        <v>43434</v>
      </c>
      <c r="E59" s="72" t="str">
        <f>Effectif!N59</f>
        <v>Collectif</v>
      </c>
      <c r="F59" s="72">
        <f>Effectif!R59</f>
        <v>0</v>
      </c>
      <c r="G59" s="72">
        <f>Effectif!S59</f>
        <v>0</v>
      </c>
      <c r="H59" s="72" t="str">
        <f>Effectif!Z59</f>
        <v>Oui</v>
      </c>
      <c r="I59" s="71">
        <f>Effectif!AB59</f>
        <v>0</v>
      </c>
      <c r="J59" s="74" t="str">
        <f>Effectif!AD59</f>
        <v>Non</v>
      </c>
      <c r="K59" s="1"/>
    </row>
    <row r="60" spans="1:11" x14ac:dyDescent="0.25">
      <c r="A60" s="67" t="str">
        <f>Effectif!C60</f>
        <v>azerty azertty</v>
      </c>
      <c r="B60" s="68" t="str">
        <f>Effectif!D60</f>
        <v>09/07/2002</v>
      </c>
      <c r="C60" s="69">
        <f>Effectif!G60</f>
        <v>0</v>
      </c>
      <c r="D60" s="68">
        <f>Effectif!M60</f>
        <v>43434</v>
      </c>
      <c r="E60" s="69" t="str">
        <f>Effectif!N60</f>
        <v>Semi_autonomie</v>
      </c>
      <c r="F60" s="69">
        <f>Effectif!R60</f>
        <v>0</v>
      </c>
      <c r="G60" s="69">
        <f>Effectif!S60</f>
        <v>0</v>
      </c>
      <c r="H60" s="69" t="str">
        <f>Effectif!Z60</f>
        <v>Oui</v>
      </c>
      <c r="I60" s="68">
        <f>Effectif!AB60</f>
        <v>0</v>
      </c>
      <c r="J60" s="73" t="str">
        <f>Effectif!AD60</f>
        <v>Oui</v>
      </c>
      <c r="K60" s="1"/>
    </row>
    <row r="61" spans="1:11" x14ac:dyDescent="0.25">
      <c r="A61" s="70" t="str">
        <f>Effectif!C61</f>
        <v>azerty azertty</v>
      </c>
      <c r="B61" s="71" t="str">
        <f>Effectif!D61</f>
        <v>31/10/2003</v>
      </c>
      <c r="C61" s="72">
        <f>Effectif!G61</f>
        <v>0</v>
      </c>
      <c r="D61" s="71">
        <f>Effectif!M61</f>
        <v>43839</v>
      </c>
      <c r="E61" s="72" t="str">
        <f>Effectif!N61</f>
        <v>Collectif</v>
      </c>
      <c r="F61" s="72">
        <f>Effectif!R61</f>
        <v>0</v>
      </c>
      <c r="G61" s="72">
        <f>Effectif!S61</f>
        <v>0</v>
      </c>
      <c r="H61" s="72" t="str">
        <f>Effectif!Z61</f>
        <v>Oui</v>
      </c>
      <c r="I61" s="71">
        <f>Effectif!AB61</f>
        <v>0</v>
      </c>
      <c r="J61" s="74" t="str">
        <f>Effectif!AD61</f>
        <v>Non</v>
      </c>
      <c r="K61" s="1"/>
    </row>
    <row r="62" spans="1:11" x14ac:dyDescent="0.25">
      <c r="A62" s="67" t="str">
        <f>Effectif!C62</f>
        <v>azerty azertty</v>
      </c>
      <c r="B62" s="68" t="str">
        <f>Effectif!D62</f>
        <v>31/12/2003</v>
      </c>
      <c r="C62" s="69">
        <f>Effectif!G62</f>
        <v>0</v>
      </c>
      <c r="D62" s="68">
        <f>Effectif!M62</f>
        <v>43434</v>
      </c>
      <c r="E62" s="69" t="str">
        <f>Effectif!N62</f>
        <v>Collectif</v>
      </c>
      <c r="F62" s="69">
        <f>Effectif!R62</f>
        <v>0</v>
      </c>
      <c r="G62" s="69">
        <f>Effectif!S62</f>
        <v>0</v>
      </c>
      <c r="H62" s="69" t="str">
        <f>Effectif!Z62</f>
        <v>Non</v>
      </c>
      <c r="I62" s="68">
        <f>Effectif!AB62</f>
        <v>0</v>
      </c>
      <c r="J62" s="73" t="str">
        <f>Effectif!AD62</f>
        <v>Oui</v>
      </c>
      <c r="K62" s="1"/>
    </row>
    <row r="63" spans="1:11" x14ac:dyDescent="0.25">
      <c r="A63" s="67" t="str">
        <f>Effectif!C63</f>
        <v>azerty azertty</v>
      </c>
      <c r="B63" s="68" t="str">
        <f>Effectif!D63</f>
        <v>31/12/2004</v>
      </c>
      <c r="C63" s="69">
        <f>Effectif!G63</f>
        <v>0</v>
      </c>
      <c r="D63" s="68">
        <f>Effectif!M63</f>
        <v>43710</v>
      </c>
      <c r="E63" s="69" t="str">
        <f>Effectif!N63</f>
        <v>Collectif</v>
      </c>
      <c r="F63" s="69">
        <f>Effectif!R63</f>
        <v>0</v>
      </c>
      <c r="G63" s="69">
        <f>Effectif!S63</f>
        <v>0</v>
      </c>
      <c r="H63" s="69" t="str">
        <f>Effectif!Z63</f>
        <v>Non</v>
      </c>
      <c r="I63" s="68">
        <f>Effectif!AB63</f>
        <v>0</v>
      </c>
      <c r="J63" s="73" t="str">
        <f>Effectif!AD63</f>
        <v>Non</v>
      </c>
    </row>
    <row r="64" spans="1:11" x14ac:dyDescent="0.25">
      <c r="A64" s="67">
        <f>Effectif!C64</f>
        <v>0</v>
      </c>
      <c r="B64" s="68">
        <f>Effectif!D64</f>
        <v>0</v>
      </c>
      <c r="C64" s="69">
        <f>Effectif!G64</f>
        <v>0</v>
      </c>
      <c r="D64" s="68">
        <f>Effectif!M64</f>
        <v>0</v>
      </c>
      <c r="E64" s="69">
        <f>Effectif!N64</f>
        <v>0</v>
      </c>
      <c r="F64" s="69">
        <f>Effectif!R64</f>
        <v>0</v>
      </c>
      <c r="G64" s="69">
        <f>Effectif!S64</f>
        <v>0</v>
      </c>
      <c r="H64" s="69" t="str">
        <f>Effectif!Z64</f>
        <v>Non</v>
      </c>
      <c r="I64" s="68">
        <f>Effectif!AB64</f>
        <v>0</v>
      </c>
      <c r="J64" s="73" t="str">
        <f>Effectif!AD64</f>
        <v>Non</v>
      </c>
    </row>
  </sheetData>
  <sheetProtection selectLockedCells="1" selectUnlockedCells="1"/>
  <customSheetViews>
    <customSheetView guid="{EE943BA9-0B80-4629-8DFD-5400001CD553}" state="hidden">
      <selection activeCell="B14" sqref="B14"/>
      <pageMargins left="0.70866141732283472" right="0.70866141732283472" top="0.74803149606299213" bottom="0.74803149606299213" header="0.31496062992125984" footer="0.31496062992125984"/>
      <printOptions horizontalCentered="1"/>
      <pageSetup paperSize="8" orientation="landscape" r:id="rId1"/>
    </customSheetView>
    <customSheetView guid="{23892BE3-6C12-4C60-B754-ED0B7FB9276C}" state="hidden">
      <selection activeCell="C4" sqref="C4"/>
      <pageMargins left="0.70866141732283472" right="0.70866141732283472" top="0.74803149606299213" bottom="0.74803149606299213" header="0.31496062992125984" footer="0.31496062992125984"/>
      <printOptions horizontalCentered="1"/>
      <pageSetup paperSize="8" orientation="landscape" r:id="rId2"/>
    </customSheetView>
  </customSheetViews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3"/>
  <dimension ref="A1:R65"/>
  <sheetViews>
    <sheetView topLeftCell="M45" workbookViewId="0">
      <selection activeCell="R64" sqref="A64:R64"/>
    </sheetView>
  </sheetViews>
  <sheetFormatPr baseColWidth="10" defaultRowHeight="15" x14ac:dyDescent="0.25"/>
  <cols>
    <col min="1" max="1" width="42.5703125" style="20" bestFit="1" customWidth="1"/>
    <col min="2" max="2" width="14.140625" style="1" bestFit="1" customWidth="1"/>
    <col min="3" max="3" width="9" style="1" bestFit="1" customWidth="1"/>
    <col min="4" max="4" width="16.7109375" style="1" bestFit="1" customWidth="1"/>
    <col min="5" max="5" width="13.85546875" style="1" customWidth="1"/>
    <col min="6" max="6" width="18.140625" style="1" bestFit="1" customWidth="1"/>
    <col min="7" max="7" width="19.85546875" style="1" bestFit="1" customWidth="1"/>
    <col min="8" max="8" width="15" style="1" bestFit="1" customWidth="1"/>
    <col min="9" max="9" width="25" style="1" bestFit="1" customWidth="1"/>
    <col min="10" max="10" width="22.42578125" style="1" bestFit="1" customWidth="1"/>
    <col min="11" max="13" width="11.140625" style="1" customWidth="1"/>
    <col min="14" max="14" width="14.28515625" style="1" bestFit="1" customWidth="1"/>
    <col min="15" max="15" width="20.42578125" style="1" bestFit="1" customWidth="1"/>
    <col min="16" max="16" width="21.28515625" style="1" bestFit="1" customWidth="1"/>
    <col min="17" max="17" width="18.85546875" style="1" bestFit="1" customWidth="1"/>
    <col min="18" max="18" width="16.85546875" style="1" bestFit="1" customWidth="1"/>
    <col min="19" max="16384" width="11.42578125" style="1"/>
  </cols>
  <sheetData>
    <row r="1" spans="1:18" s="30" customFormat="1" ht="30.75" thickTop="1" x14ac:dyDescent="0.25">
      <c r="A1" s="75" t="s">
        <v>118</v>
      </c>
      <c r="B1" s="76" t="s">
        <v>2</v>
      </c>
      <c r="C1" s="76" t="s">
        <v>3</v>
      </c>
      <c r="D1" s="76" t="s">
        <v>136</v>
      </c>
      <c r="E1" s="76" t="s">
        <v>27</v>
      </c>
      <c r="F1" s="76" t="s">
        <v>147</v>
      </c>
      <c r="G1" s="76" t="s">
        <v>22</v>
      </c>
      <c r="H1" s="76" t="s">
        <v>4</v>
      </c>
      <c r="I1" s="76" t="s">
        <v>150</v>
      </c>
      <c r="J1" s="76" t="s">
        <v>44</v>
      </c>
      <c r="K1" s="76" t="s">
        <v>134</v>
      </c>
      <c r="L1" s="76" t="s">
        <v>12</v>
      </c>
      <c r="M1" s="76" t="s">
        <v>41</v>
      </c>
      <c r="N1" s="76" t="s">
        <v>11</v>
      </c>
      <c r="O1" s="76" t="s">
        <v>121</v>
      </c>
      <c r="P1" s="76" t="s">
        <v>31</v>
      </c>
      <c r="Q1" s="76" t="s">
        <v>45</v>
      </c>
      <c r="R1" s="77" t="s">
        <v>91</v>
      </c>
    </row>
    <row r="2" spans="1:18" x14ac:dyDescent="0.25">
      <c r="A2" s="78" t="str">
        <f>Effectif!C2</f>
        <v>azerty azertty</v>
      </c>
      <c r="B2" s="80" t="str">
        <f>Effectif!D2</f>
        <v>18/07/2004</v>
      </c>
      <c r="C2" s="81">
        <f ca="1">Effectif!E2</f>
        <v>15</v>
      </c>
      <c r="D2" s="81">
        <f>Effectif!G2</f>
        <v>0</v>
      </c>
      <c r="E2" s="80">
        <f>Effectif!J2</f>
        <v>43866</v>
      </c>
      <c r="F2" s="81" t="str">
        <f>Effectif!N2</f>
        <v>Collectif</v>
      </c>
      <c r="G2" s="80">
        <f>Effectif!O2</f>
        <v>0</v>
      </c>
      <c r="H2" s="81">
        <f>Effectif!R2</f>
        <v>0</v>
      </c>
      <c r="I2" s="80" t="str">
        <f>Effectif!U2</f>
        <v>Ordonnance de placement</v>
      </c>
      <c r="J2" s="80">
        <f>Effectif!V2</f>
        <v>0</v>
      </c>
      <c r="K2" s="81" t="str">
        <f>Effectif!AJ2</f>
        <v>Oui</v>
      </c>
      <c r="L2" s="81" t="str">
        <f>Effectif!AK2</f>
        <v>Non</v>
      </c>
      <c r="M2" s="81" t="str">
        <f>Effectif!AL2</f>
        <v>Non</v>
      </c>
      <c r="N2" s="81" t="str">
        <f>Effectif!AM2</f>
        <v>Non</v>
      </c>
      <c r="O2" s="81">
        <f>Effectif!AN2</f>
        <v>0</v>
      </c>
      <c r="P2" s="81">
        <f>Effectif!AQ2</f>
        <v>0</v>
      </c>
      <c r="Q2" s="81">
        <f>Effectif!AT2</f>
        <v>0</v>
      </c>
      <c r="R2" s="93">
        <f>Effectif!AU2</f>
        <v>0</v>
      </c>
    </row>
    <row r="3" spans="1:18" x14ac:dyDescent="0.25">
      <c r="A3" s="82" t="str">
        <f>Effectif!C3</f>
        <v>azerty azertty</v>
      </c>
      <c r="B3" s="84" t="str">
        <f>Effectif!D3</f>
        <v>08/04/2003</v>
      </c>
      <c r="C3" s="85">
        <f ca="1">Effectif!E3</f>
        <v>17</v>
      </c>
      <c r="D3" s="85">
        <f>Effectif!G3</f>
        <v>0</v>
      </c>
      <c r="E3" s="84">
        <f>Effectif!J3</f>
        <v>43637</v>
      </c>
      <c r="F3" s="85" t="str">
        <f>Effectif!N3</f>
        <v>Collectif</v>
      </c>
      <c r="G3" s="84">
        <f>Effectif!O3</f>
        <v>0</v>
      </c>
      <c r="H3" s="85">
        <f>Effectif!R3</f>
        <v>0</v>
      </c>
      <c r="I3" s="84" t="str">
        <f>Effectif!U3</f>
        <v>Ordonnance de placement</v>
      </c>
      <c r="J3" s="84">
        <f>Effectif!V3</f>
        <v>0</v>
      </c>
      <c r="K3" s="85" t="str">
        <f>Effectif!AJ3</f>
        <v>Oui</v>
      </c>
      <c r="L3" s="85" t="str">
        <f>Effectif!AK3</f>
        <v>Non</v>
      </c>
      <c r="M3" s="85" t="str">
        <f>Effectif!AL3</f>
        <v>Non</v>
      </c>
      <c r="N3" s="85" t="str">
        <f>Effectif!AM3</f>
        <v>Non</v>
      </c>
      <c r="O3" s="85">
        <f>Effectif!AN3</f>
        <v>0</v>
      </c>
      <c r="P3" s="85">
        <f>Effectif!AQ3</f>
        <v>0</v>
      </c>
      <c r="Q3" s="85">
        <f>Effectif!AT3</f>
        <v>0</v>
      </c>
      <c r="R3" s="94">
        <f>Effectif!AU3</f>
        <v>0</v>
      </c>
    </row>
    <row r="4" spans="1:18" x14ac:dyDescent="0.25">
      <c r="A4" s="78" t="str">
        <f>Effectif!C4</f>
        <v>azerty azertty</v>
      </c>
      <c r="B4" s="80" t="str">
        <f>Effectif!D4</f>
        <v>15/11/2003</v>
      </c>
      <c r="C4" s="81">
        <f ca="1">Effectif!E4</f>
        <v>16</v>
      </c>
      <c r="D4" s="81">
        <f>Effectif!G4</f>
        <v>0</v>
      </c>
      <c r="E4" s="80">
        <f>Effectif!J4</f>
        <v>43815</v>
      </c>
      <c r="F4" s="81" t="str">
        <f>Effectif!N4</f>
        <v>Collectif</v>
      </c>
      <c r="G4" s="80">
        <f>Effectif!O4</f>
        <v>0</v>
      </c>
      <c r="H4" s="81">
        <f>Effectif!R4</f>
        <v>0</v>
      </c>
      <c r="I4" s="80" t="str">
        <f>Effectif!U4</f>
        <v>Ordonnance de placement</v>
      </c>
      <c r="J4" s="80">
        <f>Effectif!V4</f>
        <v>0</v>
      </c>
      <c r="K4" s="81" t="str">
        <f>Effectif!AJ4</f>
        <v>Oui</v>
      </c>
      <c r="L4" s="81" t="str">
        <f>Effectif!AK4</f>
        <v>Non</v>
      </c>
      <c r="M4" s="81" t="str">
        <f>Effectif!AL4</f>
        <v>Non</v>
      </c>
      <c r="N4" s="81" t="str">
        <f>Effectif!AM4</f>
        <v>Non</v>
      </c>
      <c r="O4" s="81">
        <f>Effectif!AN4</f>
        <v>0</v>
      </c>
      <c r="P4" s="81">
        <f>Effectif!AQ4</f>
        <v>0</v>
      </c>
      <c r="Q4" s="81">
        <f>Effectif!AT4</f>
        <v>0</v>
      </c>
      <c r="R4" s="93">
        <f>Effectif!AU4</f>
        <v>0</v>
      </c>
    </row>
    <row r="5" spans="1:18" x14ac:dyDescent="0.25">
      <c r="A5" s="82" t="str">
        <f>Effectif!C5</f>
        <v>azerty azertty</v>
      </c>
      <c r="B5" s="84" t="str">
        <f>Effectif!D5</f>
        <v>06/06/2004</v>
      </c>
      <c r="C5" s="85">
        <f ca="1">Effectif!E5</f>
        <v>15</v>
      </c>
      <c r="D5" s="85">
        <f>Effectif!G5</f>
        <v>0</v>
      </c>
      <c r="E5" s="84">
        <f>Effectif!J5</f>
        <v>43734</v>
      </c>
      <c r="F5" s="85" t="str">
        <f>Effectif!N5</f>
        <v>Collectif</v>
      </c>
      <c r="G5" s="84">
        <f>Effectif!O5</f>
        <v>0</v>
      </c>
      <c r="H5" s="85">
        <f>Effectif!R5</f>
        <v>0</v>
      </c>
      <c r="I5" s="84" t="str">
        <f>Effectif!U5</f>
        <v>Tutelle</v>
      </c>
      <c r="J5" s="84">
        <f>Effectif!V5</f>
        <v>0</v>
      </c>
      <c r="K5" s="85" t="str">
        <f>Effectif!AJ5</f>
        <v>Oui</v>
      </c>
      <c r="L5" s="85" t="str">
        <f>Effectif!AK5</f>
        <v>Non</v>
      </c>
      <c r="M5" s="85" t="str">
        <f>Effectif!AL5</f>
        <v>Non</v>
      </c>
      <c r="N5" s="85" t="str">
        <f>Effectif!AM5</f>
        <v>Non</v>
      </c>
      <c r="O5" s="85">
        <f>Effectif!AN5</f>
        <v>0</v>
      </c>
      <c r="P5" s="85">
        <f>Effectif!AQ5</f>
        <v>0</v>
      </c>
      <c r="Q5" s="85" t="str">
        <f>Effectif!AT5</f>
        <v>J._JAURES</v>
      </c>
      <c r="R5" s="94" t="str">
        <f>Effectif!AU5</f>
        <v>3éme FLS</v>
      </c>
    </row>
    <row r="6" spans="1:18" x14ac:dyDescent="0.25">
      <c r="A6" s="78" t="str">
        <f>Effectif!C6</f>
        <v>azerty azertty</v>
      </c>
      <c r="B6" s="80" t="str">
        <f>Effectif!D6</f>
        <v>10/09/2003</v>
      </c>
      <c r="C6" s="81">
        <f ca="1">Effectif!E6</f>
        <v>16</v>
      </c>
      <c r="D6" s="81">
        <f>Effectif!G6</f>
        <v>0</v>
      </c>
      <c r="E6" s="80">
        <f>Effectif!J6</f>
        <v>43678</v>
      </c>
      <c r="F6" s="81" t="str">
        <f>Effectif!N6</f>
        <v>Collectif</v>
      </c>
      <c r="G6" s="80">
        <f>Effectif!O6</f>
        <v>0</v>
      </c>
      <c r="H6" s="81">
        <f>Effectif!R6</f>
        <v>0</v>
      </c>
      <c r="I6" s="80" t="str">
        <f>Effectif!U6</f>
        <v>Ordonnance de placement</v>
      </c>
      <c r="J6" s="80">
        <f>Effectif!V6</f>
        <v>0</v>
      </c>
      <c r="K6" s="81" t="str">
        <f>Effectif!AJ6</f>
        <v>Oui</v>
      </c>
      <c r="L6" s="81" t="str">
        <f>Effectif!AK6</f>
        <v>Non</v>
      </c>
      <c r="M6" s="81" t="str">
        <f>Effectif!AL6</f>
        <v>Non</v>
      </c>
      <c r="N6" s="81" t="str">
        <f>Effectif!AM6</f>
        <v>Non</v>
      </c>
      <c r="O6" s="81">
        <f>Effectif!AN6</f>
        <v>0</v>
      </c>
      <c r="P6" s="81">
        <f>Effectif!AQ6</f>
        <v>0</v>
      </c>
      <c r="Q6" s="81">
        <f>Effectif!AT6</f>
        <v>0</v>
      </c>
      <c r="R6" s="93">
        <f>Effectif!AU6</f>
        <v>0</v>
      </c>
    </row>
    <row r="7" spans="1:18" x14ac:dyDescent="0.25">
      <c r="A7" s="82" t="str">
        <f>Effectif!C7</f>
        <v>azerty azertty</v>
      </c>
      <c r="B7" s="84" t="str">
        <f>Effectif!D7</f>
        <v>30/10/2003</v>
      </c>
      <c r="C7" s="85">
        <f ca="1">Effectif!E7</f>
        <v>16</v>
      </c>
      <c r="D7" s="85">
        <f>Effectif!G7</f>
        <v>0</v>
      </c>
      <c r="E7" s="84">
        <f>Effectif!J7</f>
        <v>0</v>
      </c>
      <c r="F7" s="85" t="str">
        <f>Effectif!N7</f>
        <v>Collectif</v>
      </c>
      <c r="G7" s="84">
        <f>Effectif!O7</f>
        <v>0</v>
      </c>
      <c r="H7" s="85">
        <f>Effectif!R7</f>
        <v>0</v>
      </c>
      <c r="I7" s="84" t="str">
        <f>Effectif!U7</f>
        <v>Ordonnance de placement</v>
      </c>
      <c r="J7" s="84">
        <f>Effectif!V7</f>
        <v>0</v>
      </c>
      <c r="K7" s="85" t="str">
        <f>Effectif!AJ7</f>
        <v>Oui</v>
      </c>
      <c r="L7" s="85" t="str">
        <f>Effectif!AK7</f>
        <v>Non</v>
      </c>
      <c r="M7" s="85" t="str">
        <f>Effectif!AL7</f>
        <v>Non</v>
      </c>
      <c r="N7" s="85" t="str">
        <f>Effectif!AM7</f>
        <v>Non</v>
      </c>
      <c r="O7" s="85">
        <f>Effectif!AN7</f>
        <v>0</v>
      </c>
      <c r="P7" s="85">
        <f>Effectif!AQ7</f>
        <v>0</v>
      </c>
      <c r="Q7" s="85">
        <f>Effectif!AT7</f>
        <v>0</v>
      </c>
      <c r="R7" s="94">
        <f>Effectif!AU7</f>
        <v>0</v>
      </c>
    </row>
    <row r="8" spans="1:18" x14ac:dyDescent="0.25">
      <c r="A8" s="78" t="str">
        <f>Effectif!C8</f>
        <v>azerty azertty</v>
      </c>
      <c r="B8" s="80" t="str">
        <f>Effectif!D8</f>
        <v>15/04/2003</v>
      </c>
      <c r="C8" s="81">
        <f ca="1">Effectif!E8</f>
        <v>17</v>
      </c>
      <c r="D8" s="81">
        <f>Effectif!G8</f>
        <v>0</v>
      </c>
      <c r="E8" s="80">
        <f>Effectif!J8</f>
        <v>43466</v>
      </c>
      <c r="F8" s="81" t="str">
        <f>Effectif!N8</f>
        <v>Collectif</v>
      </c>
      <c r="G8" s="80">
        <f>Effectif!O8</f>
        <v>0</v>
      </c>
      <c r="H8" s="81">
        <f>Effectif!R8</f>
        <v>0</v>
      </c>
      <c r="I8" s="80" t="str">
        <f>Effectif!U8</f>
        <v>Ordonnance de placement</v>
      </c>
      <c r="J8" s="80">
        <f>Effectif!V8</f>
        <v>0</v>
      </c>
      <c r="K8" s="81" t="str">
        <f>Effectif!AJ8</f>
        <v>Oui</v>
      </c>
      <c r="L8" s="81" t="str">
        <f>Effectif!AK8</f>
        <v>Non</v>
      </c>
      <c r="M8" s="81" t="str">
        <f>Effectif!AL8</f>
        <v>Non</v>
      </c>
      <c r="N8" s="81" t="str">
        <f>Effectif!AM8</f>
        <v>Non</v>
      </c>
      <c r="O8" s="81">
        <f>Effectif!AN8</f>
        <v>0</v>
      </c>
      <c r="P8" s="81">
        <f>Effectif!AQ8</f>
        <v>0</v>
      </c>
      <c r="Q8" s="81">
        <f>Effectif!AT8</f>
        <v>0</v>
      </c>
      <c r="R8" s="93">
        <f>Effectif!AU8</f>
        <v>0</v>
      </c>
    </row>
    <row r="9" spans="1:18" x14ac:dyDescent="0.25">
      <c r="A9" s="82" t="str">
        <f>Effectif!C9</f>
        <v>azerty azertty</v>
      </c>
      <c r="B9" s="84" t="str">
        <f>Effectif!D9</f>
        <v>13/05/2003</v>
      </c>
      <c r="C9" s="85">
        <f ca="1">Effectif!E9</f>
        <v>17</v>
      </c>
      <c r="D9" s="85">
        <f>Effectif!G9</f>
        <v>0</v>
      </c>
      <c r="E9" s="84">
        <f>Effectif!J9</f>
        <v>43709</v>
      </c>
      <c r="F9" s="85" t="str">
        <f>Effectif!N9</f>
        <v>Collectif</v>
      </c>
      <c r="G9" s="84">
        <f>Effectif!O9</f>
        <v>0</v>
      </c>
      <c r="H9" s="85">
        <f>Effectif!R9</f>
        <v>0</v>
      </c>
      <c r="I9" s="84" t="str">
        <f>Effectif!U9</f>
        <v>Ordonnance de placement</v>
      </c>
      <c r="J9" s="84">
        <f>Effectif!V9</f>
        <v>0</v>
      </c>
      <c r="K9" s="85" t="str">
        <f>Effectif!AJ9</f>
        <v>Oui</v>
      </c>
      <c r="L9" s="85" t="str">
        <f>Effectif!AK9</f>
        <v>Non</v>
      </c>
      <c r="M9" s="85" t="str">
        <f>Effectif!AL9</f>
        <v>Non</v>
      </c>
      <c r="N9" s="85" t="str">
        <f>Effectif!AM9</f>
        <v>Non</v>
      </c>
      <c r="O9" s="85">
        <f>Effectif!AN9</f>
        <v>0</v>
      </c>
      <c r="P9" s="85">
        <f>Effectif!AQ9</f>
        <v>0</v>
      </c>
      <c r="Q9" s="85">
        <f>Effectif!AT9</f>
        <v>0</v>
      </c>
      <c r="R9" s="94">
        <f>Effectif!AU9</f>
        <v>0</v>
      </c>
    </row>
    <row r="10" spans="1:18" x14ac:dyDescent="0.25">
      <c r="A10" s="78" t="str">
        <f>Effectif!C10</f>
        <v>azerty azertty</v>
      </c>
      <c r="B10" s="80" t="str">
        <f>Effectif!D10</f>
        <v>23/11/2002</v>
      </c>
      <c r="C10" s="81">
        <f ca="1">Effectif!E10</f>
        <v>17</v>
      </c>
      <c r="D10" s="81">
        <f>Effectif!G10</f>
        <v>0</v>
      </c>
      <c r="E10" s="80">
        <f>Effectif!J10</f>
        <v>43101</v>
      </c>
      <c r="F10" s="81" t="str">
        <f>Effectif!N10</f>
        <v>Collectif</v>
      </c>
      <c r="G10" s="80">
        <f>Effectif!O10</f>
        <v>0</v>
      </c>
      <c r="H10" s="81">
        <f>Effectif!R10</f>
        <v>0</v>
      </c>
      <c r="I10" s="80" t="str">
        <f>Effectif!U10</f>
        <v>Ordonnance de placement</v>
      </c>
      <c r="J10" s="80">
        <f>Effectif!V10</f>
        <v>0</v>
      </c>
      <c r="K10" s="81" t="str">
        <f>Effectif!AJ10</f>
        <v>Oui</v>
      </c>
      <c r="L10" s="81" t="str">
        <f>Effectif!AK10</f>
        <v>Non</v>
      </c>
      <c r="M10" s="81" t="str">
        <f>Effectif!AL10</f>
        <v>Non</v>
      </c>
      <c r="N10" s="81" t="str">
        <f>Effectif!AM10</f>
        <v>Non</v>
      </c>
      <c r="O10" s="81">
        <f>Effectif!AN10</f>
        <v>0</v>
      </c>
      <c r="P10" s="81">
        <f>Effectif!AQ10</f>
        <v>0</v>
      </c>
      <c r="Q10" s="81" t="str">
        <f>Effectif!AT10</f>
        <v>H._DUNANT</v>
      </c>
      <c r="R10" s="93" t="str">
        <f>Effectif!AU10</f>
        <v>3éme</v>
      </c>
    </row>
    <row r="11" spans="1:18" x14ac:dyDescent="0.25">
      <c r="A11" s="82" t="str">
        <f>Effectif!C11</f>
        <v>azerty azertty</v>
      </c>
      <c r="B11" s="84" t="str">
        <f>Effectif!D11</f>
        <v>15/12/2002</v>
      </c>
      <c r="C11" s="85">
        <f ca="1">Effectif!E11</f>
        <v>17</v>
      </c>
      <c r="D11" s="85">
        <f>Effectif!G11</f>
        <v>0</v>
      </c>
      <c r="E11" s="84">
        <f>Effectif!J11</f>
        <v>0</v>
      </c>
      <c r="F11" s="85" t="str">
        <f>Effectif!N11</f>
        <v>Collectif</v>
      </c>
      <c r="G11" s="84">
        <f>Effectif!O11</f>
        <v>0</v>
      </c>
      <c r="H11" s="85">
        <f>Effectif!R11</f>
        <v>0</v>
      </c>
      <c r="I11" s="84" t="str">
        <f>Effectif!U11</f>
        <v>Ordonnance de placement</v>
      </c>
      <c r="J11" s="84">
        <f>Effectif!V11</f>
        <v>0</v>
      </c>
      <c r="K11" s="85" t="str">
        <f>Effectif!AJ11</f>
        <v>Oui</v>
      </c>
      <c r="L11" s="85" t="str">
        <f>Effectif!AK11</f>
        <v>Non</v>
      </c>
      <c r="M11" s="85" t="str">
        <f>Effectif!AL11</f>
        <v>Non</v>
      </c>
      <c r="N11" s="85" t="str">
        <f>Effectif!AM11</f>
        <v>Non</v>
      </c>
      <c r="O11" s="85">
        <f>Effectif!AN11</f>
        <v>0</v>
      </c>
      <c r="P11" s="85">
        <f>Effectif!AQ11</f>
        <v>0</v>
      </c>
      <c r="Q11" s="85">
        <f>Effectif!AT11</f>
        <v>0</v>
      </c>
      <c r="R11" s="94">
        <f>Effectif!AU11</f>
        <v>0</v>
      </c>
    </row>
    <row r="12" spans="1:18" x14ac:dyDescent="0.25">
      <c r="A12" s="78" t="str">
        <f>Effectif!C12</f>
        <v>azerty azertty</v>
      </c>
      <c r="B12" s="80" t="str">
        <f>Effectif!D12</f>
        <v>10/12/2002</v>
      </c>
      <c r="C12" s="81">
        <f ca="1">Effectif!E12</f>
        <v>17</v>
      </c>
      <c r="D12" s="81">
        <f>Effectif!G12</f>
        <v>0</v>
      </c>
      <c r="E12" s="80">
        <f>Effectif!J12</f>
        <v>42979</v>
      </c>
      <c r="F12" s="81" t="str">
        <f>Effectif!N12</f>
        <v>Collectif</v>
      </c>
      <c r="G12" s="80">
        <f>Effectif!O12</f>
        <v>0</v>
      </c>
      <c r="H12" s="81">
        <f>Effectif!R12</f>
        <v>0</v>
      </c>
      <c r="I12" s="80" t="str">
        <f>Effectif!U12</f>
        <v>Ordonnance de placement</v>
      </c>
      <c r="J12" s="80">
        <f>Effectif!V12</f>
        <v>0</v>
      </c>
      <c r="K12" s="81" t="str">
        <f>Effectif!AJ12</f>
        <v>Oui</v>
      </c>
      <c r="L12" s="81" t="str">
        <f>Effectif!AK12</f>
        <v>Non</v>
      </c>
      <c r="M12" s="81" t="str">
        <f>Effectif!AL12</f>
        <v>Oui</v>
      </c>
      <c r="N12" s="81" t="str">
        <f>Effectif!AM12</f>
        <v>Non</v>
      </c>
      <c r="O12" s="81">
        <f>Effectif!AN12</f>
        <v>0</v>
      </c>
      <c r="P12" s="81">
        <f>Effectif!AQ12</f>
        <v>0</v>
      </c>
      <c r="Q12" s="81">
        <f>Effectif!AT12</f>
        <v>0</v>
      </c>
      <c r="R12" s="93">
        <f>Effectif!AU12</f>
        <v>0</v>
      </c>
    </row>
    <row r="13" spans="1:18" x14ac:dyDescent="0.25">
      <c r="A13" s="82" t="str">
        <f>Effectif!C13</f>
        <v>azerty azertty</v>
      </c>
      <c r="B13" s="84" t="str">
        <f>Effectif!D13</f>
        <v>02/04/2004</v>
      </c>
      <c r="C13" s="85">
        <f ca="1">Effectif!E13</f>
        <v>16</v>
      </c>
      <c r="D13" s="85">
        <f>Effectif!G13</f>
        <v>0</v>
      </c>
      <c r="E13" s="84">
        <f>Effectif!J13</f>
        <v>43374</v>
      </c>
      <c r="F13" s="85" t="str">
        <f>Effectif!N13</f>
        <v>Collectif</v>
      </c>
      <c r="G13" s="84">
        <f>Effectif!O13</f>
        <v>0</v>
      </c>
      <c r="H13" s="85">
        <f>Effectif!R13</f>
        <v>0</v>
      </c>
      <c r="I13" s="84" t="str">
        <f>Effectif!U13</f>
        <v>Ordonnance de placement</v>
      </c>
      <c r="J13" s="84">
        <f>Effectif!V13</f>
        <v>0</v>
      </c>
      <c r="K13" s="85" t="str">
        <f>Effectif!AJ13</f>
        <v>Oui</v>
      </c>
      <c r="L13" s="85" t="str">
        <f>Effectif!AK13</f>
        <v>Oui</v>
      </c>
      <c r="M13" s="85" t="str">
        <f>Effectif!AL13</f>
        <v>Non</v>
      </c>
      <c r="N13" s="85" t="str">
        <f>Effectif!AM13</f>
        <v>Non</v>
      </c>
      <c r="O13" s="85">
        <f>Effectif!AN13</f>
        <v>0</v>
      </c>
      <c r="P13" s="85" t="str">
        <f>Effectif!AQ13</f>
        <v>Nationalité</v>
      </c>
      <c r="Q13" s="85" t="str">
        <f>Effectif!AT13</f>
        <v>J._JAURES</v>
      </c>
      <c r="R13" s="94" t="str">
        <f>Effectif!AU13</f>
        <v>3éme</v>
      </c>
    </row>
    <row r="14" spans="1:18" x14ac:dyDescent="0.25">
      <c r="A14" s="78" t="str">
        <f>Effectif!C14</f>
        <v>azerty azertty</v>
      </c>
      <c r="B14" s="80" t="str">
        <f>Effectif!D14</f>
        <v>10/10/2002</v>
      </c>
      <c r="C14" s="81">
        <f ca="1">Effectif!E14</f>
        <v>17</v>
      </c>
      <c r="D14" s="81">
        <f>Effectif!G14</f>
        <v>0</v>
      </c>
      <c r="E14" s="80">
        <f>Effectif!J14</f>
        <v>43282</v>
      </c>
      <c r="F14" s="81" t="str">
        <f>Effectif!N14</f>
        <v>Semi_autonomie</v>
      </c>
      <c r="G14" s="80">
        <f>Effectif!O14</f>
        <v>0</v>
      </c>
      <c r="H14" s="81">
        <f>Effectif!R14</f>
        <v>0</v>
      </c>
      <c r="I14" s="80" t="str">
        <f>Effectif!U14</f>
        <v>Ordonnance de placement</v>
      </c>
      <c r="J14" s="80">
        <f>Effectif!V14</f>
        <v>0</v>
      </c>
      <c r="K14" s="81" t="str">
        <f>Effectif!AJ14</f>
        <v>Oui</v>
      </c>
      <c r="L14" s="81" t="str">
        <f>Effectif!AK14</f>
        <v>Oui</v>
      </c>
      <c r="M14" s="81" t="str">
        <f>Effectif!AL14</f>
        <v>Oui</v>
      </c>
      <c r="N14" s="81" t="str">
        <f>Effectif!AM14</f>
        <v>Oui</v>
      </c>
      <c r="O14" s="81">
        <f>Effectif!AN14</f>
        <v>0</v>
      </c>
      <c r="P14" s="81">
        <f>Effectif!AQ14</f>
        <v>0</v>
      </c>
      <c r="Q14" s="81" t="str">
        <f>Effectif!AT14</f>
        <v>CFA</v>
      </c>
      <c r="R14" s="93" t="str">
        <f>Effectif!AU14</f>
        <v>Tourneur-fraiseur</v>
      </c>
    </row>
    <row r="15" spans="1:18" x14ac:dyDescent="0.25">
      <c r="A15" s="82" t="str">
        <f>Effectif!C15</f>
        <v>azerty azertty</v>
      </c>
      <c r="B15" s="84" t="str">
        <f>Effectif!D15</f>
        <v>23/02/2004</v>
      </c>
      <c r="C15" s="85">
        <f ca="1">Effectif!E15</f>
        <v>16</v>
      </c>
      <c r="D15" s="85">
        <f>Effectif!G15</f>
        <v>0</v>
      </c>
      <c r="E15" s="84">
        <f>Effectif!J15</f>
        <v>43497</v>
      </c>
      <c r="F15" s="85" t="str">
        <f>Effectif!N15</f>
        <v>Collectif</v>
      </c>
      <c r="G15" s="84">
        <f>Effectif!O15</f>
        <v>0</v>
      </c>
      <c r="H15" s="85">
        <f>Effectif!R15</f>
        <v>0</v>
      </c>
      <c r="I15" s="84" t="str">
        <f>Effectif!U15</f>
        <v>Ordonnance de placement</v>
      </c>
      <c r="J15" s="84">
        <f>Effectif!V15</f>
        <v>0</v>
      </c>
      <c r="K15" s="85" t="str">
        <f>Effectif!AJ15</f>
        <v>Oui</v>
      </c>
      <c r="L15" s="85" t="str">
        <f>Effectif!AK15</f>
        <v>Non</v>
      </c>
      <c r="M15" s="85" t="str">
        <f>Effectif!AL15</f>
        <v>Non</v>
      </c>
      <c r="N15" s="85" t="str">
        <f>Effectif!AM15</f>
        <v>Non</v>
      </c>
      <c r="O15" s="85">
        <f>Effectif!AN15</f>
        <v>0</v>
      </c>
      <c r="P15" s="85">
        <f>Effectif!AQ15</f>
        <v>0</v>
      </c>
      <c r="Q15" s="85" t="str">
        <f>Effectif!AT15</f>
        <v>CFA</v>
      </c>
      <c r="R15" s="94" t="str">
        <f>Effectif!AU15</f>
        <v>Mécanicien</v>
      </c>
    </row>
    <row r="16" spans="1:18" x14ac:dyDescent="0.25">
      <c r="A16" s="78" t="str">
        <f>Effectif!C16</f>
        <v>azerty azertty</v>
      </c>
      <c r="B16" s="80" t="str">
        <f>Effectif!D16</f>
        <v>14/11/2003</v>
      </c>
      <c r="C16" s="81">
        <f ca="1">Effectif!E16</f>
        <v>16</v>
      </c>
      <c r="D16" s="81">
        <f>Effectif!G16</f>
        <v>0</v>
      </c>
      <c r="E16" s="80">
        <f>Effectif!J16</f>
        <v>43800</v>
      </c>
      <c r="F16" s="81" t="str">
        <f>Effectif!N16</f>
        <v>Collectif</v>
      </c>
      <c r="G16" s="80">
        <f>Effectif!O16</f>
        <v>0</v>
      </c>
      <c r="H16" s="81">
        <f>Effectif!R16</f>
        <v>0</v>
      </c>
      <c r="I16" s="80" t="str">
        <f>Effectif!U16</f>
        <v>Ordonnance de placement</v>
      </c>
      <c r="J16" s="80">
        <f>Effectif!V16</f>
        <v>0</v>
      </c>
      <c r="K16" s="81" t="str">
        <f>Effectif!AJ16</f>
        <v>Oui</v>
      </c>
      <c r="L16" s="81" t="str">
        <f>Effectif!AK16</f>
        <v>Non</v>
      </c>
      <c r="M16" s="81" t="str">
        <f>Effectif!AL16</f>
        <v>Non</v>
      </c>
      <c r="N16" s="81" t="str">
        <f>Effectif!AM16</f>
        <v>Non</v>
      </c>
      <c r="O16" s="81">
        <f>Effectif!AN16</f>
        <v>0</v>
      </c>
      <c r="P16" s="81">
        <f>Effectif!AQ16</f>
        <v>0</v>
      </c>
      <c r="Q16" s="81">
        <f>Effectif!AT16</f>
        <v>0</v>
      </c>
      <c r="R16" s="93">
        <f>Effectif!AU16</f>
        <v>0</v>
      </c>
    </row>
    <row r="17" spans="1:18" x14ac:dyDescent="0.25">
      <c r="A17" s="82" t="str">
        <f>Effectif!C17</f>
        <v>azerty azertty</v>
      </c>
      <c r="B17" s="84" t="str">
        <f>Effectif!D17</f>
        <v>10/12/2003</v>
      </c>
      <c r="C17" s="85">
        <f ca="1">Effectif!E17</f>
        <v>16</v>
      </c>
      <c r="D17" s="85">
        <f>Effectif!G17</f>
        <v>0</v>
      </c>
      <c r="E17" s="84">
        <f>Effectif!J17</f>
        <v>43647</v>
      </c>
      <c r="F17" s="85" t="str">
        <f>Effectif!N17</f>
        <v>Collectif</v>
      </c>
      <c r="G17" s="84">
        <f>Effectif!O17</f>
        <v>0</v>
      </c>
      <c r="H17" s="85">
        <f>Effectif!R17</f>
        <v>0</v>
      </c>
      <c r="I17" s="84" t="str">
        <f>Effectif!U17</f>
        <v>Ordonnance de placement</v>
      </c>
      <c r="J17" s="84">
        <f>Effectif!V17</f>
        <v>0</v>
      </c>
      <c r="K17" s="85" t="str">
        <f>Effectif!AJ17</f>
        <v>Oui</v>
      </c>
      <c r="L17" s="85" t="str">
        <f>Effectif!AK17</f>
        <v>Non</v>
      </c>
      <c r="M17" s="85" t="str">
        <f>Effectif!AL17</f>
        <v>Non</v>
      </c>
      <c r="N17" s="85" t="str">
        <f>Effectif!AM17</f>
        <v>Non</v>
      </c>
      <c r="O17" s="85">
        <f>Effectif!AN17</f>
        <v>0</v>
      </c>
      <c r="P17" s="85">
        <f>Effectif!AQ17</f>
        <v>0</v>
      </c>
      <c r="Q17" s="85" t="str">
        <f>Effectif!AT17</f>
        <v>CFA</v>
      </c>
      <c r="R17" s="94" t="str">
        <f>Effectif!AU17</f>
        <v>Mécanicien</v>
      </c>
    </row>
    <row r="18" spans="1:18" x14ac:dyDescent="0.25">
      <c r="A18" s="78" t="str">
        <f>Effectif!C18</f>
        <v>azerty azertty</v>
      </c>
      <c r="B18" s="80" t="str">
        <f>Effectif!D18</f>
        <v>01/01/2004</v>
      </c>
      <c r="C18" s="81">
        <f ca="1">Effectif!E18</f>
        <v>16</v>
      </c>
      <c r="D18" s="81">
        <f>Effectif!G18</f>
        <v>0</v>
      </c>
      <c r="E18" s="80">
        <f>Effectif!J18</f>
        <v>0</v>
      </c>
      <c r="F18" s="81" t="str">
        <f>Effectif!N18</f>
        <v>Collectif</v>
      </c>
      <c r="G18" s="80">
        <f>Effectif!O18</f>
        <v>0</v>
      </c>
      <c r="H18" s="81">
        <f>Effectif!R18</f>
        <v>0</v>
      </c>
      <c r="I18" s="80" t="str">
        <f>Effectif!U18</f>
        <v>Ordonnance de placement</v>
      </c>
      <c r="J18" s="80">
        <f>Effectif!V18</f>
        <v>0</v>
      </c>
      <c r="K18" s="81" t="str">
        <f>Effectif!AJ18</f>
        <v>Oui</v>
      </c>
      <c r="L18" s="81" t="str">
        <f>Effectif!AK18</f>
        <v>Non</v>
      </c>
      <c r="M18" s="81" t="str">
        <f>Effectif!AL18</f>
        <v>Non</v>
      </c>
      <c r="N18" s="81" t="str">
        <f>Effectif!AM18</f>
        <v>Non</v>
      </c>
      <c r="O18" s="81">
        <f>Effectif!AN18</f>
        <v>0</v>
      </c>
      <c r="P18" s="81">
        <f>Effectif!AQ18</f>
        <v>0</v>
      </c>
      <c r="Q18" s="81" t="str">
        <f>Effectif!AT18</f>
        <v>CFA</v>
      </c>
      <c r="R18" s="93" t="str">
        <f>Effectif!AU18</f>
        <v>Mécanicien</v>
      </c>
    </row>
    <row r="19" spans="1:18" x14ac:dyDescent="0.25">
      <c r="A19" s="82" t="str">
        <f>Effectif!C19</f>
        <v>azerty azertty</v>
      </c>
      <c r="B19" s="84" t="str">
        <f>Effectif!D19</f>
        <v>04/09/2003</v>
      </c>
      <c r="C19" s="85">
        <f ca="1">Effectif!E19</f>
        <v>16</v>
      </c>
      <c r="D19" s="85">
        <f>Effectif!G19</f>
        <v>0</v>
      </c>
      <c r="E19" s="84">
        <f>Effectif!J19</f>
        <v>43282</v>
      </c>
      <c r="F19" s="85" t="str">
        <f>Effectif!N19</f>
        <v>Semi_autonomie</v>
      </c>
      <c r="G19" s="84">
        <f>Effectif!O19</f>
        <v>0</v>
      </c>
      <c r="H19" s="85">
        <f>Effectif!R19</f>
        <v>0</v>
      </c>
      <c r="I19" s="84" t="str">
        <f>Effectif!U19</f>
        <v>Ordonnance de placement</v>
      </c>
      <c r="J19" s="84">
        <f>Effectif!V19</f>
        <v>0</v>
      </c>
      <c r="K19" s="85" t="str">
        <f>Effectif!AJ19</f>
        <v>Oui</v>
      </c>
      <c r="L19" s="85" t="str">
        <f>Effectif!AK19</f>
        <v>Non</v>
      </c>
      <c r="M19" s="85" t="str">
        <f>Effectif!AL19</f>
        <v>Non</v>
      </c>
      <c r="N19" s="85" t="str">
        <f>Effectif!AM19</f>
        <v>Non</v>
      </c>
      <c r="O19" s="85">
        <f>Effectif!AN19</f>
        <v>0</v>
      </c>
      <c r="P19" s="85">
        <f>Effectif!AQ19</f>
        <v>0</v>
      </c>
      <c r="Q19" s="85" t="str">
        <f>Effectif!AT19</f>
        <v>CFA</v>
      </c>
      <c r="R19" s="94" t="str">
        <f>Effectif!AU19</f>
        <v>Serveur</v>
      </c>
    </row>
    <row r="20" spans="1:18" x14ac:dyDescent="0.25">
      <c r="A20" s="78" t="str">
        <f>Effectif!C20</f>
        <v>azerty azertty</v>
      </c>
      <c r="B20" s="80" t="str">
        <f>Effectif!D20</f>
        <v>31/12/2002</v>
      </c>
      <c r="C20" s="81">
        <f ca="1">Effectif!E20</f>
        <v>17</v>
      </c>
      <c r="D20" s="81">
        <f>Effectif!G20</f>
        <v>0</v>
      </c>
      <c r="E20" s="80">
        <f>Effectif!J20</f>
        <v>43344</v>
      </c>
      <c r="F20" s="81" t="str">
        <f>Effectif!N20</f>
        <v>Collectif</v>
      </c>
      <c r="G20" s="80">
        <f>Effectif!O20</f>
        <v>0</v>
      </c>
      <c r="H20" s="81">
        <f>Effectif!R20</f>
        <v>0</v>
      </c>
      <c r="I20" s="80" t="str">
        <f>Effectif!U20</f>
        <v>Ordonnance de placement</v>
      </c>
      <c r="J20" s="80">
        <f>Effectif!V20</f>
        <v>0</v>
      </c>
      <c r="K20" s="81" t="str">
        <f>Effectif!AJ20</f>
        <v>Oui</v>
      </c>
      <c r="L20" s="81" t="str">
        <f>Effectif!AK20</f>
        <v>Non</v>
      </c>
      <c r="M20" s="81" t="str">
        <f>Effectif!AL20</f>
        <v>Non</v>
      </c>
      <c r="N20" s="81" t="str">
        <f>Effectif!AM20</f>
        <v>Non</v>
      </c>
      <c r="O20" s="81">
        <f>Effectif!AN20</f>
        <v>0</v>
      </c>
      <c r="P20" s="81">
        <f>Effectif!AQ20</f>
        <v>0</v>
      </c>
      <c r="Q20" s="81" t="str">
        <f>Effectif!AT20</f>
        <v>CFA</v>
      </c>
      <c r="R20" s="93" t="str">
        <f>Effectif!AU20</f>
        <v>Cuisinier</v>
      </c>
    </row>
    <row r="21" spans="1:18" x14ac:dyDescent="0.25">
      <c r="A21" s="82" t="str">
        <f>Effectif!C21</f>
        <v>azerty azertty</v>
      </c>
      <c r="B21" s="84" t="str">
        <f>Effectif!D21</f>
        <v>30/10/2001</v>
      </c>
      <c r="C21" s="85">
        <f ca="1">Effectif!E21</f>
        <v>18</v>
      </c>
      <c r="D21" s="85">
        <f>Effectif!G21</f>
        <v>0</v>
      </c>
      <c r="E21" s="84">
        <f>Effectif!J21</f>
        <v>43132</v>
      </c>
      <c r="F21" s="85" t="str">
        <f>Effectif!N21</f>
        <v>Semi_autonomie</v>
      </c>
      <c r="G21" s="84">
        <f>Effectif!O21</f>
        <v>0</v>
      </c>
      <c r="H21" s="85">
        <f>Effectif!R21</f>
        <v>0</v>
      </c>
      <c r="I21" s="84" t="str">
        <f>Effectif!U21</f>
        <v>ATJM en réalisation</v>
      </c>
      <c r="J21" s="84">
        <f>Effectif!V21</f>
        <v>44012</v>
      </c>
      <c r="K21" s="85" t="str">
        <f>Effectif!AJ21</f>
        <v>Oui</v>
      </c>
      <c r="L21" s="85" t="str">
        <f>Effectif!AK21</f>
        <v>Oui</v>
      </c>
      <c r="M21" s="85" t="str">
        <f>Effectif!AL21</f>
        <v>Oui</v>
      </c>
      <c r="N21" s="85" t="str">
        <f>Effectif!AM21</f>
        <v>Non</v>
      </c>
      <c r="O21" s="85">
        <f>Effectif!AN21</f>
        <v>0</v>
      </c>
      <c r="P21" s="85" t="str">
        <f>Effectif!AQ21</f>
        <v>Travailleur temporaire</v>
      </c>
      <c r="Q21" s="85" t="str">
        <f>Effectif!AT21</f>
        <v>CFA</v>
      </c>
      <c r="R21" s="94" t="str">
        <f>Effectif!AU21</f>
        <v>Pâtissier</v>
      </c>
    </row>
    <row r="22" spans="1:18" x14ac:dyDescent="0.25">
      <c r="A22" s="78" t="str">
        <f>Effectif!C22</f>
        <v>azerty azertty</v>
      </c>
      <c r="B22" s="80" t="str">
        <f>Effectif!D22</f>
        <v>20/03/2002</v>
      </c>
      <c r="C22" s="81">
        <f ca="1">Effectif!E22</f>
        <v>18</v>
      </c>
      <c r="D22" s="81">
        <f>Effectif!G22</f>
        <v>0</v>
      </c>
      <c r="E22" s="80">
        <f>Effectif!J22</f>
        <v>43191</v>
      </c>
      <c r="F22" s="81" t="str">
        <f>Effectif!N22</f>
        <v>Collectif</v>
      </c>
      <c r="G22" s="80">
        <f>Effectif!O22</f>
        <v>0</v>
      </c>
      <c r="H22" s="81">
        <f>Effectif!R22</f>
        <v>0</v>
      </c>
      <c r="I22" s="80" t="str">
        <f>Effectif!U22</f>
        <v>ATJM en réalisation</v>
      </c>
      <c r="J22" s="80">
        <f>Effectif!V22</f>
        <v>0</v>
      </c>
      <c r="K22" s="81" t="str">
        <f>Effectif!AJ22</f>
        <v>Oui</v>
      </c>
      <c r="L22" s="81" t="str">
        <f>Effectif!AK22</f>
        <v>Oui</v>
      </c>
      <c r="M22" s="81" t="str">
        <f>Effectif!AL22</f>
        <v>Non</v>
      </c>
      <c r="N22" s="81" t="str">
        <f>Effectif!AM22</f>
        <v>Non</v>
      </c>
      <c r="O22" s="81">
        <f>Effectif!AN22</f>
        <v>0</v>
      </c>
      <c r="P22" s="81" t="str">
        <f>Effectif!AQ22</f>
        <v>Travailleur temporaire</v>
      </c>
      <c r="Q22" s="81" t="str">
        <f>Effectif!AT22</f>
        <v>CFA</v>
      </c>
      <c r="R22" s="93" t="str">
        <f>Effectif!AU22</f>
        <v>Parcours 4</v>
      </c>
    </row>
    <row r="23" spans="1:18" x14ac:dyDescent="0.25">
      <c r="A23" s="82" t="str">
        <f>Effectif!C23</f>
        <v>azerty azertty</v>
      </c>
      <c r="B23" s="84" t="str">
        <f>Effectif!D23</f>
        <v>17/11/2004</v>
      </c>
      <c r="C23" s="85">
        <f ca="1">Effectif!E23</f>
        <v>15</v>
      </c>
      <c r="D23" s="85">
        <f>Effectif!G23</f>
        <v>0</v>
      </c>
      <c r="E23" s="84">
        <f>Effectif!J23</f>
        <v>43865</v>
      </c>
      <c r="F23" s="85" t="str">
        <f>Effectif!N23</f>
        <v>Collectif</v>
      </c>
      <c r="G23" s="84">
        <f>Effectif!O23</f>
        <v>0</v>
      </c>
      <c r="H23" s="85">
        <f>Effectif!R23</f>
        <v>0</v>
      </c>
      <c r="I23" s="84" t="str">
        <f>Effectif!U23</f>
        <v>Ordonnance de placement</v>
      </c>
      <c r="J23" s="84">
        <f>Effectif!V23</f>
        <v>0</v>
      </c>
      <c r="K23" s="85" t="str">
        <f>Effectif!AJ23</f>
        <v>Oui</v>
      </c>
      <c r="L23" s="85" t="str">
        <f>Effectif!AK23</f>
        <v>Non</v>
      </c>
      <c r="M23" s="85" t="str">
        <f>Effectif!AL23</f>
        <v>Non</v>
      </c>
      <c r="N23" s="85" t="str">
        <f>Effectif!AM23</f>
        <v>Non</v>
      </c>
      <c r="O23" s="85">
        <f>Effectif!AN23</f>
        <v>0</v>
      </c>
      <c r="P23" s="85">
        <f>Effectif!AQ23</f>
        <v>0</v>
      </c>
      <c r="Q23" s="85">
        <f>Effectif!AT23</f>
        <v>0</v>
      </c>
      <c r="R23" s="94">
        <f>Effectif!AU23</f>
        <v>0</v>
      </c>
    </row>
    <row r="24" spans="1:18" x14ac:dyDescent="0.25">
      <c r="A24" s="78" t="str">
        <f>Effectif!C24</f>
        <v>azerty azertty</v>
      </c>
      <c r="B24" s="80" t="str">
        <f>Effectif!D24</f>
        <v>14/06/2003</v>
      </c>
      <c r="C24" s="81">
        <f ca="1">Effectif!E24</f>
        <v>16</v>
      </c>
      <c r="D24" s="81">
        <f>Effectif!G24</f>
        <v>0</v>
      </c>
      <c r="E24" s="80">
        <f>Effectif!J24</f>
        <v>43843</v>
      </c>
      <c r="F24" s="81" t="str">
        <f>Effectif!N24</f>
        <v>Collectif</v>
      </c>
      <c r="G24" s="80">
        <f>Effectif!O24</f>
        <v>0</v>
      </c>
      <c r="H24" s="81">
        <f>Effectif!R24</f>
        <v>0</v>
      </c>
      <c r="I24" s="80" t="str">
        <f>Effectif!U24</f>
        <v>Ordonnance de placement</v>
      </c>
      <c r="J24" s="80">
        <f>Effectif!V24</f>
        <v>0</v>
      </c>
      <c r="K24" s="81" t="str">
        <f>Effectif!AJ24</f>
        <v>Oui</v>
      </c>
      <c r="L24" s="81" t="str">
        <f>Effectif!AK24</f>
        <v>Non</v>
      </c>
      <c r="M24" s="81" t="str">
        <f>Effectif!AL24</f>
        <v>Non</v>
      </c>
      <c r="N24" s="81" t="str">
        <f>Effectif!AM24</f>
        <v>Non</v>
      </c>
      <c r="O24" s="81">
        <f>Effectif!AN24</f>
        <v>0</v>
      </c>
      <c r="P24" s="81">
        <f>Effectif!AQ24</f>
        <v>0</v>
      </c>
      <c r="Q24" s="81">
        <f>Effectif!AT24</f>
        <v>0</v>
      </c>
      <c r="R24" s="93">
        <f>Effectif!AU24</f>
        <v>0</v>
      </c>
    </row>
    <row r="25" spans="1:18" x14ac:dyDescent="0.25">
      <c r="A25" s="82" t="str">
        <f>Effectif!C25</f>
        <v>azerty azertty</v>
      </c>
      <c r="B25" s="84" t="str">
        <f>Effectif!D25</f>
        <v>22/08/2003</v>
      </c>
      <c r="C25" s="85">
        <f ca="1">Effectif!E25</f>
        <v>16</v>
      </c>
      <c r="D25" s="85">
        <f>Effectif!G25</f>
        <v>0</v>
      </c>
      <c r="E25" s="84">
        <f>Effectif!J25</f>
        <v>43766</v>
      </c>
      <c r="F25" s="85" t="str">
        <f>Effectif!N25</f>
        <v>Collectif</v>
      </c>
      <c r="G25" s="84">
        <f>Effectif!O25</f>
        <v>0</v>
      </c>
      <c r="H25" s="85">
        <f>Effectif!R25</f>
        <v>0</v>
      </c>
      <c r="I25" s="84" t="str">
        <f>Effectif!U25</f>
        <v>Ordonnance de placement</v>
      </c>
      <c r="J25" s="84">
        <f>Effectif!V25</f>
        <v>0</v>
      </c>
      <c r="K25" s="85" t="str">
        <f>Effectif!AJ25</f>
        <v>Oui</v>
      </c>
      <c r="L25" s="85" t="str">
        <f>Effectif!AK25</f>
        <v>Non</v>
      </c>
      <c r="M25" s="85" t="str">
        <f>Effectif!AL25</f>
        <v>Non</v>
      </c>
      <c r="N25" s="85" t="str">
        <f>Effectif!AM25</f>
        <v>Non</v>
      </c>
      <c r="O25" s="85">
        <f>Effectif!AN25</f>
        <v>0</v>
      </c>
      <c r="P25" s="85">
        <f>Effectif!AQ25</f>
        <v>0</v>
      </c>
      <c r="Q25" s="85">
        <f>Effectif!AT25</f>
        <v>0</v>
      </c>
      <c r="R25" s="94">
        <f>Effectif!AU25</f>
        <v>0</v>
      </c>
    </row>
    <row r="26" spans="1:18" x14ac:dyDescent="0.25">
      <c r="A26" s="78" t="str">
        <f>Effectif!C26</f>
        <v>azerty azertty</v>
      </c>
      <c r="B26" s="80" t="str">
        <f>Effectif!D26</f>
        <v>27/07/2004</v>
      </c>
      <c r="C26" s="81">
        <f ca="1">Effectif!E26</f>
        <v>15</v>
      </c>
      <c r="D26" s="81">
        <f>Effectif!G26</f>
        <v>0</v>
      </c>
      <c r="E26" s="80">
        <f>Effectif!J26</f>
        <v>43444</v>
      </c>
      <c r="F26" s="81" t="str">
        <f>Effectif!N26</f>
        <v>Collectif</v>
      </c>
      <c r="G26" s="80">
        <f>Effectif!O26</f>
        <v>0</v>
      </c>
      <c r="H26" s="81">
        <f>Effectif!R26</f>
        <v>0</v>
      </c>
      <c r="I26" s="80" t="str">
        <f>Effectif!U26</f>
        <v>Ordonnance de placement</v>
      </c>
      <c r="J26" s="80">
        <f>Effectif!V26</f>
        <v>0</v>
      </c>
      <c r="K26" s="81" t="str">
        <f>Effectif!AJ26</f>
        <v>Oui</v>
      </c>
      <c r="L26" s="81" t="str">
        <f>Effectif!AK26</f>
        <v>Non</v>
      </c>
      <c r="M26" s="81" t="str">
        <f>Effectif!AL26</f>
        <v>Non</v>
      </c>
      <c r="N26" s="81" t="str">
        <f>Effectif!AM26</f>
        <v>Non</v>
      </c>
      <c r="O26" s="81">
        <f>Effectif!AN26</f>
        <v>0</v>
      </c>
      <c r="P26" s="81">
        <f>Effectif!AQ26</f>
        <v>0</v>
      </c>
      <c r="Q26" s="81" t="str">
        <f>Effectif!AT26</f>
        <v>St_MICHEL</v>
      </c>
      <c r="R26" s="93" t="str">
        <f>Effectif!AU26</f>
        <v>3éme</v>
      </c>
    </row>
    <row r="27" spans="1:18" x14ac:dyDescent="0.25">
      <c r="A27" s="82" t="str">
        <f>Effectif!C27</f>
        <v>azerty azertty</v>
      </c>
      <c r="B27" s="84" t="str">
        <f>Effectif!D27</f>
        <v>08/04/2004</v>
      </c>
      <c r="C27" s="85">
        <f ca="1">Effectif!E27</f>
        <v>16</v>
      </c>
      <c r="D27" s="85">
        <f>Effectif!G27</f>
        <v>0</v>
      </c>
      <c r="E27" s="84">
        <f>Effectif!J27</f>
        <v>43374</v>
      </c>
      <c r="F27" s="85" t="str">
        <f>Effectif!N27</f>
        <v>Collectif</v>
      </c>
      <c r="G27" s="84">
        <f>Effectif!O27</f>
        <v>0</v>
      </c>
      <c r="H27" s="85">
        <f>Effectif!R27</f>
        <v>0</v>
      </c>
      <c r="I27" s="84" t="str">
        <f>Effectif!U27</f>
        <v>Ordonnance de placement</v>
      </c>
      <c r="J27" s="84">
        <f>Effectif!V27</f>
        <v>0</v>
      </c>
      <c r="K27" s="85" t="str">
        <f>Effectif!AJ27</f>
        <v>Oui</v>
      </c>
      <c r="L27" s="85" t="str">
        <f>Effectif!AK27</f>
        <v>Non</v>
      </c>
      <c r="M27" s="85" t="str">
        <f>Effectif!AL27</f>
        <v>Non</v>
      </c>
      <c r="N27" s="85" t="str">
        <f>Effectif!AM27</f>
        <v>Non</v>
      </c>
      <c r="O27" s="85">
        <f>Effectif!AN27</f>
        <v>0</v>
      </c>
      <c r="P27" s="85">
        <f>Effectif!AQ27</f>
        <v>0</v>
      </c>
      <c r="Q27" s="85" t="str">
        <f>Effectif!AT27</f>
        <v>G._POLITZER</v>
      </c>
      <c r="R27" s="94" t="str">
        <f>Effectif!AU27</f>
        <v>3éme</v>
      </c>
    </row>
    <row r="28" spans="1:18" x14ac:dyDescent="0.25">
      <c r="A28" s="78" t="str">
        <f>Effectif!C28</f>
        <v>azerty azertty</v>
      </c>
      <c r="B28" s="80" t="str">
        <f>Effectif!D28</f>
        <v>25/01/2004</v>
      </c>
      <c r="C28" s="81">
        <f ca="1">Effectif!E28</f>
        <v>16</v>
      </c>
      <c r="D28" s="81">
        <f>Effectif!G28</f>
        <v>0</v>
      </c>
      <c r="E28" s="80">
        <f>Effectif!J28</f>
        <v>43824</v>
      </c>
      <c r="F28" s="81" t="str">
        <f>Effectif!N28</f>
        <v>Collectif</v>
      </c>
      <c r="G28" s="80">
        <f>Effectif!O28</f>
        <v>0</v>
      </c>
      <c r="H28" s="81">
        <f>Effectif!R28</f>
        <v>0</v>
      </c>
      <c r="I28" s="80" t="str">
        <f>Effectif!U28</f>
        <v>Ordonnance de placement</v>
      </c>
      <c r="J28" s="80">
        <f>Effectif!V28</f>
        <v>0</v>
      </c>
      <c r="K28" s="81" t="str">
        <f>Effectif!AJ28</f>
        <v>Oui</v>
      </c>
      <c r="L28" s="81" t="str">
        <f>Effectif!AK28</f>
        <v>Non</v>
      </c>
      <c r="M28" s="81" t="str">
        <f>Effectif!AL28</f>
        <v>Non</v>
      </c>
      <c r="N28" s="81" t="str">
        <f>Effectif!AM28</f>
        <v>Non</v>
      </c>
      <c r="O28" s="81">
        <f>Effectif!AN28</f>
        <v>0</v>
      </c>
      <c r="P28" s="81">
        <f>Effectif!AQ28</f>
        <v>0</v>
      </c>
      <c r="Q28" s="81">
        <f>Effectif!AT28</f>
        <v>0</v>
      </c>
      <c r="R28" s="93">
        <f>Effectif!AU28</f>
        <v>0</v>
      </c>
    </row>
    <row r="29" spans="1:18" x14ac:dyDescent="0.25">
      <c r="A29" s="82" t="str">
        <f>Effectif!C29</f>
        <v>azerty azertty</v>
      </c>
      <c r="B29" s="84" t="str">
        <f>Effectif!D29</f>
        <v>06/03/2002</v>
      </c>
      <c r="C29" s="85">
        <f ca="1">Effectif!E29</f>
        <v>18</v>
      </c>
      <c r="D29" s="85">
        <f>Effectif!G29</f>
        <v>0</v>
      </c>
      <c r="E29" s="84">
        <f>Effectif!J29</f>
        <v>43191</v>
      </c>
      <c r="F29" s="85" t="str">
        <f>Effectif!N29</f>
        <v>Semi_autonomie</v>
      </c>
      <c r="G29" s="84">
        <f>Effectif!O29</f>
        <v>0</v>
      </c>
      <c r="H29" s="85">
        <f>Effectif!R29</f>
        <v>0</v>
      </c>
      <c r="I29" s="84" t="str">
        <f>Effectif!U29</f>
        <v>ATJM accordé</v>
      </c>
      <c r="J29" s="84">
        <f>Effectif!V29</f>
        <v>44134</v>
      </c>
      <c r="K29" s="85" t="str">
        <f>Effectif!AJ29</f>
        <v>Oui</v>
      </c>
      <c r="L29" s="85" t="str">
        <f>Effectif!AK29</f>
        <v>Oui</v>
      </c>
      <c r="M29" s="85" t="str">
        <f>Effectif!AL29</f>
        <v>Oui</v>
      </c>
      <c r="N29" s="85" t="str">
        <f>Effectif!AM29</f>
        <v>Non</v>
      </c>
      <c r="O29" s="85">
        <f>Effectif!AN29</f>
        <v>0</v>
      </c>
      <c r="P29" s="85" t="str">
        <f>Effectif!AQ29</f>
        <v>Travailleur temporaire</v>
      </c>
      <c r="Q29" s="85" t="str">
        <f>Effectif!AT29</f>
        <v>CFA</v>
      </c>
      <c r="R29" s="94" t="str">
        <f>Effectif!AU29</f>
        <v>Carreleur</v>
      </c>
    </row>
    <row r="30" spans="1:18" x14ac:dyDescent="0.25">
      <c r="A30" s="78" t="str">
        <f>Effectif!C30</f>
        <v>azerty azertty</v>
      </c>
      <c r="B30" s="80" t="str">
        <f>Effectif!D30</f>
        <v>01/05/2002</v>
      </c>
      <c r="C30" s="81">
        <f ca="1">Effectif!E30</f>
        <v>18</v>
      </c>
      <c r="D30" s="81">
        <f>Effectif!G30</f>
        <v>0</v>
      </c>
      <c r="E30" s="80">
        <f>Effectif!J30</f>
        <v>43040</v>
      </c>
      <c r="F30" s="81" t="str">
        <f>Effectif!N30</f>
        <v>Collectif</v>
      </c>
      <c r="G30" s="80">
        <f>Effectif!O30</f>
        <v>0</v>
      </c>
      <c r="H30" s="81">
        <f>Effectif!R30</f>
        <v>0</v>
      </c>
      <c r="I30" s="80" t="str">
        <f>Effectif!U30</f>
        <v>ATJM en réalisation</v>
      </c>
      <c r="J30" s="80">
        <f>Effectif!V30</f>
        <v>0</v>
      </c>
      <c r="K30" s="81" t="str">
        <f>Effectif!AJ30</f>
        <v>Oui</v>
      </c>
      <c r="L30" s="81" t="str">
        <f>Effectif!AK30</f>
        <v>Non</v>
      </c>
      <c r="M30" s="81" t="str">
        <f>Effectif!AL30</f>
        <v>Non</v>
      </c>
      <c r="N30" s="81" t="str">
        <f>Effectif!AM30</f>
        <v>Non</v>
      </c>
      <c r="O30" s="81">
        <f>Effectif!AN30</f>
        <v>0</v>
      </c>
      <c r="P30" s="81" t="str">
        <f>Effectif!AQ30</f>
        <v>Vie privée et familiale</v>
      </c>
      <c r="Q30" s="81">
        <f>Effectif!AT30</f>
        <v>0</v>
      </c>
      <c r="R30" s="93">
        <f>Effectif!AU30</f>
        <v>0</v>
      </c>
    </row>
    <row r="31" spans="1:18" x14ac:dyDescent="0.25">
      <c r="A31" s="82" t="str">
        <f>Effectif!C31</f>
        <v>azerty azertty</v>
      </c>
      <c r="B31" s="84" t="str">
        <f>Effectif!D31</f>
        <v>05/05/2003</v>
      </c>
      <c r="C31" s="85">
        <f ca="1">Effectif!E31</f>
        <v>17</v>
      </c>
      <c r="D31" s="85">
        <f>Effectif!G31</f>
        <v>0</v>
      </c>
      <c r="E31" s="84">
        <f>Effectif!J31</f>
        <v>0</v>
      </c>
      <c r="F31" s="85" t="str">
        <f>Effectif!N31</f>
        <v>Collectif</v>
      </c>
      <c r="G31" s="84">
        <f>Effectif!O31</f>
        <v>0</v>
      </c>
      <c r="H31" s="85">
        <f>Effectif!R31</f>
        <v>0</v>
      </c>
      <c r="I31" s="84" t="str">
        <f>Effectif!U31</f>
        <v>Ordonnance de placement</v>
      </c>
      <c r="J31" s="84">
        <f>Effectif!V31</f>
        <v>0</v>
      </c>
      <c r="K31" s="85" t="str">
        <f>Effectif!AJ31</f>
        <v>Oui</v>
      </c>
      <c r="L31" s="85" t="str">
        <f>Effectif!AK31</f>
        <v>Non</v>
      </c>
      <c r="M31" s="85" t="str">
        <f>Effectif!AL31</f>
        <v>Non</v>
      </c>
      <c r="N31" s="85" t="str">
        <f>Effectif!AM31</f>
        <v>Non</v>
      </c>
      <c r="O31" s="85">
        <f>Effectif!AN31</f>
        <v>0</v>
      </c>
      <c r="P31" s="85">
        <f>Effectif!AQ31</f>
        <v>0</v>
      </c>
      <c r="Q31" s="85" t="str">
        <f>Effectif!AT31</f>
        <v>L._SEDAR_SENGHOR</v>
      </c>
      <c r="R31" s="94" t="str">
        <f>Effectif!AU31</f>
        <v>2nde</v>
      </c>
    </row>
    <row r="32" spans="1:18" x14ac:dyDescent="0.25">
      <c r="A32" s="78" t="str">
        <f>Effectif!C32</f>
        <v>azerty azertty</v>
      </c>
      <c r="B32" s="80" t="str">
        <f>Effectif!D32</f>
        <v>10/12/2001</v>
      </c>
      <c r="C32" s="81">
        <f ca="1">Effectif!E32</f>
        <v>18</v>
      </c>
      <c r="D32" s="81">
        <f>Effectif!G32</f>
        <v>0</v>
      </c>
      <c r="E32" s="80">
        <f>Effectif!J32</f>
        <v>0</v>
      </c>
      <c r="F32" s="81" t="str">
        <f>Effectif!N32</f>
        <v>Semi_autonomie</v>
      </c>
      <c r="G32" s="80">
        <f>Effectif!O32</f>
        <v>0</v>
      </c>
      <c r="H32" s="81">
        <f>Effectif!R32</f>
        <v>0</v>
      </c>
      <c r="I32" s="80" t="str">
        <f>Effectif!U32</f>
        <v>ATJM en réalisation</v>
      </c>
      <c r="J32" s="80">
        <f>Effectif!V32</f>
        <v>43982</v>
      </c>
      <c r="K32" s="81" t="str">
        <f>Effectif!AJ32</f>
        <v>Oui</v>
      </c>
      <c r="L32" s="81" t="str">
        <f>Effectif!AK32</f>
        <v>Oui</v>
      </c>
      <c r="M32" s="81" t="str">
        <f>Effectif!AL32</f>
        <v>Oui</v>
      </c>
      <c r="N32" s="81" t="str">
        <f>Effectif!AM32</f>
        <v>Non</v>
      </c>
      <c r="O32" s="81">
        <f>Effectif!AN32</f>
        <v>0</v>
      </c>
      <c r="P32" s="81" t="str">
        <f>Effectif!AQ32</f>
        <v>Travailleur temporaire</v>
      </c>
      <c r="Q32" s="81" t="str">
        <f>Effectif!AT32</f>
        <v>CFA</v>
      </c>
      <c r="R32" s="93" t="str">
        <f>Effectif!AU32</f>
        <v>Maçon</v>
      </c>
    </row>
    <row r="33" spans="1:18" x14ac:dyDescent="0.25">
      <c r="A33" s="82" t="str">
        <f>Effectif!C33</f>
        <v>azerty azertty</v>
      </c>
      <c r="B33" s="84" t="str">
        <f>Effectif!D33</f>
        <v>31/12/2003</v>
      </c>
      <c r="C33" s="85">
        <f ca="1">Effectif!E33</f>
        <v>16</v>
      </c>
      <c r="D33" s="85">
        <f>Effectif!G33</f>
        <v>0</v>
      </c>
      <c r="E33" s="84">
        <f>Effectif!J33</f>
        <v>43647</v>
      </c>
      <c r="F33" s="85" t="str">
        <f>Effectif!N33</f>
        <v>Collectif</v>
      </c>
      <c r="G33" s="84">
        <f>Effectif!O33</f>
        <v>0</v>
      </c>
      <c r="H33" s="85">
        <f>Effectif!R33</f>
        <v>0</v>
      </c>
      <c r="I33" s="84" t="str">
        <f>Effectif!U33</f>
        <v>Ordonnance de placement</v>
      </c>
      <c r="J33" s="84">
        <f>Effectif!V33</f>
        <v>0</v>
      </c>
      <c r="K33" s="85" t="str">
        <f>Effectif!AJ33</f>
        <v>Oui</v>
      </c>
      <c r="L33" s="85" t="str">
        <f>Effectif!AK33</f>
        <v>Non</v>
      </c>
      <c r="M33" s="85" t="str">
        <f>Effectif!AL33</f>
        <v>Non</v>
      </c>
      <c r="N33" s="85" t="str">
        <f>Effectif!AM33</f>
        <v>Non</v>
      </c>
      <c r="O33" s="85">
        <f>Effectif!AN33</f>
        <v>0</v>
      </c>
      <c r="P33" s="85">
        <f>Effectif!AQ33</f>
        <v>0</v>
      </c>
      <c r="Q33" s="85" t="str">
        <f>Effectif!AT33</f>
        <v>G._POLITZER</v>
      </c>
      <c r="R33" s="94" t="str">
        <f>Effectif!AU33</f>
        <v>3éme FLS</v>
      </c>
    </row>
    <row r="34" spans="1:18" x14ac:dyDescent="0.25">
      <c r="A34" s="78" t="str">
        <f>Effectif!C34</f>
        <v>azerty azertty</v>
      </c>
      <c r="B34" s="80" t="str">
        <f>Effectif!D34</f>
        <v>15/09/2003</v>
      </c>
      <c r="C34" s="81">
        <f ca="1">Effectif!E34</f>
        <v>16</v>
      </c>
      <c r="D34" s="81">
        <f>Effectif!G34</f>
        <v>0</v>
      </c>
      <c r="E34" s="80">
        <f>Effectif!J34</f>
        <v>43735</v>
      </c>
      <c r="F34" s="81" t="str">
        <f>Effectif!N34</f>
        <v>Collectif</v>
      </c>
      <c r="G34" s="80">
        <f>Effectif!O34</f>
        <v>0</v>
      </c>
      <c r="H34" s="81">
        <f>Effectif!R34</f>
        <v>0</v>
      </c>
      <c r="I34" s="80" t="str">
        <f>Effectif!U34</f>
        <v>Ordonnance de placement</v>
      </c>
      <c r="J34" s="80">
        <f>Effectif!V34</f>
        <v>0</v>
      </c>
      <c r="K34" s="81" t="str">
        <f>Effectif!AJ34</f>
        <v>Oui</v>
      </c>
      <c r="L34" s="81" t="str">
        <f>Effectif!AK34</f>
        <v>Non</v>
      </c>
      <c r="M34" s="81" t="str">
        <f>Effectif!AL34</f>
        <v>Non</v>
      </c>
      <c r="N34" s="81" t="str">
        <f>Effectif!AM34</f>
        <v>Non</v>
      </c>
      <c r="O34" s="81">
        <f>Effectif!AN34</f>
        <v>0</v>
      </c>
      <c r="P34" s="81">
        <f>Effectif!AQ34</f>
        <v>0</v>
      </c>
      <c r="Q34" s="81">
        <f>Effectif!AT34</f>
        <v>0</v>
      </c>
      <c r="R34" s="93">
        <f>Effectif!AU34</f>
        <v>0</v>
      </c>
    </row>
    <row r="35" spans="1:18" x14ac:dyDescent="0.25">
      <c r="A35" s="82" t="str">
        <f>Effectif!C35</f>
        <v>azerty azertty</v>
      </c>
      <c r="B35" s="84" t="str">
        <f>Effectif!D35</f>
        <v>19/06/2004</v>
      </c>
      <c r="C35" s="85">
        <f ca="1">Effectif!E35</f>
        <v>15</v>
      </c>
      <c r="D35" s="85">
        <f>Effectif!G35</f>
        <v>0</v>
      </c>
      <c r="E35" s="84">
        <f>Effectif!J35</f>
        <v>43843</v>
      </c>
      <c r="F35" s="85" t="str">
        <f>Effectif!N35</f>
        <v>Collectif</v>
      </c>
      <c r="G35" s="84">
        <f>Effectif!O35</f>
        <v>0</v>
      </c>
      <c r="H35" s="85">
        <f>Effectif!R35</f>
        <v>0</v>
      </c>
      <c r="I35" s="84" t="str">
        <f>Effectif!U35</f>
        <v>Ordonnance de placement</v>
      </c>
      <c r="J35" s="84">
        <f>Effectif!V35</f>
        <v>0</v>
      </c>
      <c r="K35" s="85" t="str">
        <f>Effectif!AJ35</f>
        <v>Oui</v>
      </c>
      <c r="L35" s="85" t="str">
        <f>Effectif!AK35</f>
        <v>Non</v>
      </c>
      <c r="M35" s="85" t="str">
        <f>Effectif!AL35</f>
        <v>Non</v>
      </c>
      <c r="N35" s="85" t="str">
        <f>Effectif!AM35</f>
        <v>Non</v>
      </c>
      <c r="O35" s="85">
        <f>Effectif!AN35</f>
        <v>0</v>
      </c>
      <c r="P35" s="85">
        <f>Effectif!AQ35</f>
        <v>0</v>
      </c>
      <c r="Q35" s="85">
        <f>Effectif!AT35</f>
        <v>0</v>
      </c>
      <c r="R35" s="94">
        <f>Effectif!AU35</f>
        <v>0</v>
      </c>
    </row>
    <row r="36" spans="1:18" x14ac:dyDescent="0.25">
      <c r="A36" s="78" t="str">
        <f>Effectif!C36</f>
        <v>azerty azertty</v>
      </c>
      <c r="B36" s="80" t="str">
        <f>Effectif!D36</f>
        <v>03/03/2003</v>
      </c>
      <c r="C36" s="81">
        <f ca="1">Effectif!E36</f>
        <v>17</v>
      </c>
      <c r="D36" s="81">
        <f>Effectif!G36</f>
        <v>0</v>
      </c>
      <c r="E36" s="80">
        <f>Effectif!J36</f>
        <v>43434</v>
      </c>
      <c r="F36" s="81" t="str">
        <f>Effectif!N36</f>
        <v>Semi_autonomie</v>
      </c>
      <c r="G36" s="80">
        <f>Effectif!O36</f>
        <v>0</v>
      </c>
      <c r="H36" s="81">
        <f>Effectif!R36</f>
        <v>0</v>
      </c>
      <c r="I36" s="80" t="str">
        <f>Effectif!U36</f>
        <v>Ordonnance de placement</v>
      </c>
      <c r="J36" s="80">
        <f>Effectif!V36</f>
        <v>0</v>
      </c>
      <c r="K36" s="81" t="str">
        <f>Effectif!AJ36</f>
        <v>Oui</v>
      </c>
      <c r="L36" s="81" t="str">
        <f>Effectif!AK36</f>
        <v>Oui</v>
      </c>
      <c r="M36" s="81">
        <f>Effectif!AL36</f>
        <v>0</v>
      </c>
      <c r="N36" s="81">
        <f>Effectif!AM36</f>
        <v>0</v>
      </c>
      <c r="O36" s="81">
        <f>Effectif!AN36</f>
        <v>0</v>
      </c>
      <c r="P36" s="81">
        <f>Effectif!AQ36</f>
        <v>0</v>
      </c>
      <c r="Q36" s="81" t="str">
        <f>Effectif!AT36</f>
        <v>CFA</v>
      </c>
      <c r="R36" s="93">
        <f>Effectif!AU36</f>
        <v>0</v>
      </c>
    </row>
    <row r="37" spans="1:18" x14ac:dyDescent="0.25">
      <c r="A37" s="82" t="str">
        <f>Effectif!C37</f>
        <v>azerty azertty</v>
      </c>
      <c r="B37" s="84" t="str">
        <f>Effectif!D37</f>
        <v>29/08/2004</v>
      </c>
      <c r="C37" s="85">
        <f ca="1">Effectif!E37</f>
        <v>15</v>
      </c>
      <c r="D37" s="85">
        <f>Effectif!G37</f>
        <v>0</v>
      </c>
      <c r="E37" s="84">
        <f>Effectif!J37</f>
        <v>0</v>
      </c>
      <c r="F37" s="85" t="str">
        <f>Effectif!N37</f>
        <v>Collectif</v>
      </c>
      <c r="G37" s="84">
        <f>Effectif!O37</f>
        <v>0</v>
      </c>
      <c r="H37" s="85">
        <f>Effectif!R37</f>
        <v>0</v>
      </c>
      <c r="I37" s="84" t="str">
        <f>Effectif!U37</f>
        <v>Ordonnance de placement</v>
      </c>
      <c r="J37" s="84">
        <f>Effectif!V37</f>
        <v>0</v>
      </c>
      <c r="K37" s="85" t="str">
        <f>Effectif!AJ37</f>
        <v>Oui</v>
      </c>
      <c r="L37" s="85" t="str">
        <f>Effectif!AK37</f>
        <v>Oui</v>
      </c>
      <c r="M37" s="85" t="str">
        <f>Effectif!AL37</f>
        <v>Non</v>
      </c>
      <c r="N37" s="85" t="str">
        <f>Effectif!AM37</f>
        <v>Non</v>
      </c>
      <c r="O37" s="85">
        <f>Effectif!AN37</f>
        <v>0</v>
      </c>
      <c r="P37" s="85">
        <f>Effectif!AQ37</f>
        <v>0</v>
      </c>
      <c r="Q37" s="85" t="str">
        <f>Effectif!AT37</f>
        <v>G._POLITZER</v>
      </c>
      <c r="R37" s="94" t="str">
        <f>Effectif!AU37</f>
        <v>3éme FLS</v>
      </c>
    </row>
    <row r="38" spans="1:18" x14ac:dyDescent="0.25">
      <c r="A38" s="78" t="str">
        <f>Effectif!C38</f>
        <v>azerty azertty</v>
      </c>
      <c r="B38" s="80" t="str">
        <f>Effectif!D38</f>
        <v>23/12/2002</v>
      </c>
      <c r="C38" s="81">
        <f ca="1">Effectif!E38</f>
        <v>17</v>
      </c>
      <c r="D38" s="81">
        <f>Effectif!G38</f>
        <v>0</v>
      </c>
      <c r="E38" s="80">
        <f>Effectif!J38</f>
        <v>0</v>
      </c>
      <c r="F38" s="81" t="str">
        <f>Effectif!N38</f>
        <v>Collectif</v>
      </c>
      <c r="G38" s="80">
        <f>Effectif!O38</f>
        <v>0</v>
      </c>
      <c r="H38" s="81">
        <f>Effectif!R38</f>
        <v>0</v>
      </c>
      <c r="I38" s="80" t="str">
        <f>Effectif!U38</f>
        <v>Ordonnance de placement</v>
      </c>
      <c r="J38" s="80">
        <f>Effectif!V38</f>
        <v>0</v>
      </c>
      <c r="K38" s="81" t="str">
        <f>Effectif!AJ38</f>
        <v>Oui</v>
      </c>
      <c r="L38" s="81" t="str">
        <f>Effectif!AK38</f>
        <v>Non</v>
      </c>
      <c r="M38" s="81" t="str">
        <f>Effectif!AL38</f>
        <v>Non</v>
      </c>
      <c r="N38" s="81" t="str">
        <f>Effectif!AM38</f>
        <v>Non</v>
      </c>
      <c r="O38" s="81">
        <f>Effectif!AN38</f>
        <v>0</v>
      </c>
      <c r="P38" s="81">
        <f>Effectif!AQ38</f>
        <v>0</v>
      </c>
      <c r="Q38" s="81">
        <f>Effectif!AT38</f>
        <v>0</v>
      </c>
      <c r="R38" s="93">
        <f>Effectif!AU38</f>
        <v>0</v>
      </c>
    </row>
    <row r="39" spans="1:18" x14ac:dyDescent="0.25">
      <c r="A39" s="82" t="str">
        <f>Effectif!C39</f>
        <v>azerty azertty</v>
      </c>
      <c r="B39" s="84" t="str">
        <f>Effectif!D39</f>
        <v>16/07/2003</v>
      </c>
      <c r="C39" s="85">
        <f ca="1">Effectif!E39</f>
        <v>16</v>
      </c>
      <c r="D39" s="85">
        <f>Effectif!G39</f>
        <v>0</v>
      </c>
      <c r="E39" s="84">
        <f>Effectif!J39</f>
        <v>43800</v>
      </c>
      <c r="F39" s="85" t="str">
        <f>Effectif!N39</f>
        <v>Collectif</v>
      </c>
      <c r="G39" s="84">
        <f>Effectif!O39</f>
        <v>0</v>
      </c>
      <c r="H39" s="85">
        <f>Effectif!R39</f>
        <v>0</v>
      </c>
      <c r="I39" s="84" t="str">
        <f>Effectif!U39</f>
        <v>Ordonnance de placement</v>
      </c>
      <c r="J39" s="84">
        <f>Effectif!V39</f>
        <v>0</v>
      </c>
      <c r="K39" s="85" t="str">
        <f>Effectif!AJ39</f>
        <v>Oui</v>
      </c>
      <c r="L39" s="85" t="str">
        <f>Effectif!AK39</f>
        <v>Non</v>
      </c>
      <c r="M39" s="85" t="str">
        <f>Effectif!AL39</f>
        <v>Non</v>
      </c>
      <c r="N39" s="85" t="str">
        <f>Effectif!AM39</f>
        <v>Non</v>
      </c>
      <c r="O39" s="85">
        <f>Effectif!AN39</f>
        <v>0</v>
      </c>
      <c r="P39" s="85">
        <f>Effectif!AQ39</f>
        <v>0</v>
      </c>
      <c r="Q39" s="85">
        <f>Effectif!AT39</f>
        <v>0</v>
      </c>
      <c r="R39" s="94">
        <f>Effectif!AU39</f>
        <v>0</v>
      </c>
    </row>
    <row r="40" spans="1:18" x14ac:dyDescent="0.25">
      <c r="A40" s="78" t="str">
        <f>Effectif!C40</f>
        <v>azerty azertty</v>
      </c>
      <c r="B40" s="80" t="str">
        <f>Effectif!D40</f>
        <v>24/12/2001</v>
      </c>
      <c r="C40" s="81">
        <f ca="1">Effectif!E40</f>
        <v>18</v>
      </c>
      <c r="D40" s="81">
        <f>Effectif!G40</f>
        <v>0</v>
      </c>
      <c r="E40" s="80">
        <f>Effectif!J40</f>
        <v>43246</v>
      </c>
      <c r="F40" s="81" t="str">
        <f>Effectif!N40</f>
        <v>Collectif</v>
      </c>
      <c r="G40" s="80">
        <f>Effectif!O40</f>
        <v>0</v>
      </c>
      <c r="H40" s="81">
        <f>Effectif!R40</f>
        <v>0</v>
      </c>
      <c r="I40" s="80" t="str">
        <f>Effectif!U40</f>
        <v>ATJM en réalisation</v>
      </c>
      <c r="J40" s="80">
        <f>Effectif!V40</f>
        <v>44012</v>
      </c>
      <c r="K40" s="81" t="str">
        <f>Effectif!AJ40</f>
        <v>Oui</v>
      </c>
      <c r="L40" s="81" t="str">
        <f>Effectif!AK40</f>
        <v>Oui</v>
      </c>
      <c r="M40" s="81" t="str">
        <f>Effectif!AL40</f>
        <v>Oui</v>
      </c>
      <c r="N40" s="81" t="str">
        <f>Effectif!AM40</f>
        <v>Non</v>
      </c>
      <c r="O40" s="81">
        <f>Effectif!AN40</f>
        <v>0</v>
      </c>
      <c r="P40" s="81" t="str">
        <f>Effectif!AQ40</f>
        <v>Travailleur temporaire</v>
      </c>
      <c r="Q40" s="81">
        <f>Effectif!AT40</f>
        <v>0</v>
      </c>
      <c r="R40" s="93">
        <f>Effectif!AU40</f>
        <v>0</v>
      </c>
    </row>
    <row r="41" spans="1:18" x14ac:dyDescent="0.25">
      <c r="A41" s="82" t="str">
        <f>Effectif!C41</f>
        <v>azerty azertty</v>
      </c>
      <c r="B41" s="84" t="str">
        <f>Effectif!D41</f>
        <v>20/06/2002</v>
      </c>
      <c r="C41" s="85">
        <f ca="1">Effectif!E41</f>
        <v>17</v>
      </c>
      <c r="D41" s="85">
        <f>Effectif!G41</f>
        <v>0</v>
      </c>
      <c r="E41" s="84">
        <f>Effectif!J41</f>
        <v>43678</v>
      </c>
      <c r="F41" s="85" t="str">
        <f>Effectif!N41</f>
        <v>Collectif</v>
      </c>
      <c r="G41" s="84">
        <f>Effectif!O41</f>
        <v>0</v>
      </c>
      <c r="H41" s="85">
        <f>Effectif!R41</f>
        <v>0</v>
      </c>
      <c r="I41" s="84" t="str">
        <f>Effectif!U41</f>
        <v>Ordonnance de placement</v>
      </c>
      <c r="J41" s="84">
        <f>Effectif!V41</f>
        <v>0</v>
      </c>
      <c r="K41" s="85" t="str">
        <f>Effectif!AJ41</f>
        <v>Oui</v>
      </c>
      <c r="L41" s="85" t="str">
        <f>Effectif!AK41</f>
        <v>Non</v>
      </c>
      <c r="M41" s="85" t="str">
        <f>Effectif!AL41</f>
        <v>Non</v>
      </c>
      <c r="N41" s="85" t="str">
        <f>Effectif!AM41</f>
        <v>Non</v>
      </c>
      <c r="O41" s="85">
        <f>Effectif!AN41</f>
        <v>0</v>
      </c>
      <c r="P41" s="85">
        <f>Effectif!AQ41</f>
        <v>0</v>
      </c>
      <c r="Q41" s="85">
        <f>Effectif!AT41</f>
        <v>0</v>
      </c>
      <c r="R41" s="94">
        <f>Effectif!AU41</f>
        <v>0</v>
      </c>
    </row>
    <row r="42" spans="1:18" x14ac:dyDescent="0.25">
      <c r="A42" s="78" t="str">
        <f>Effectif!C42</f>
        <v>azerty azertty</v>
      </c>
      <c r="B42" s="80" t="str">
        <f>Effectif!D42</f>
        <v>13/02/2003</v>
      </c>
      <c r="C42" s="81">
        <f ca="1">Effectif!E42</f>
        <v>17</v>
      </c>
      <c r="D42" s="81">
        <f>Effectif!G42</f>
        <v>0</v>
      </c>
      <c r="E42" s="80">
        <f>Effectif!J42</f>
        <v>43819</v>
      </c>
      <c r="F42" s="81" t="str">
        <f>Effectif!N42</f>
        <v>Collectif</v>
      </c>
      <c r="G42" s="80">
        <f>Effectif!O42</f>
        <v>0</v>
      </c>
      <c r="H42" s="81">
        <f>Effectif!R42</f>
        <v>0</v>
      </c>
      <c r="I42" s="80" t="str">
        <f>Effectif!U42</f>
        <v>Ordonnance de placement</v>
      </c>
      <c r="J42" s="80">
        <f>Effectif!V42</f>
        <v>0</v>
      </c>
      <c r="K42" s="81" t="str">
        <f>Effectif!AJ42</f>
        <v>Oui</v>
      </c>
      <c r="L42" s="81" t="str">
        <f>Effectif!AK42</f>
        <v>Non</v>
      </c>
      <c r="M42" s="81" t="str">
        <f>Effectif!AL42</f>
        <v>Non</v>
      </c>
      <c r="N42" s="81" t="str">
        <f>Effectif!AM42</f>
        <v>Non</v>
      </c>
      <c r="O42" s="81">
        <f>Effectif!AN42</f>
        <v>0</v>
      </c>
      <c r="P42" s="81" t="str">
        <f>Effectif!AQ42</f>
        <v>Travailleur temporaire</v>
      </c>
      <c r="Q42" s="81">
        <f>Effectif!AT42</f>
        <v>0</v>
      </c>
      <c r="R42" s="93">
        <f>Effectif!AU42</f>
        <v>0</v>
      </c>
    </row>
    <row r="43" spans="1:18" x14ac:dyDescent="0.25">
      <c r="A43" s="82" t="str">
        <f>Effectif!C43</f>
        <v>azerty azertty</v>
      </c>
      <c r="B43" s="84" t="str">
        <f>Effectif!D43</f>
        <v>15/11/2001</v>
      </c>
      <c r="C43" s="85">
        <f ca="1">Effectif!E43</f>
        <v>18</v>
      </c>
      <c r="D43" s="85">
        <f>Effectif!G43</f>
        <v>0</v>
      </c>
      <c r="E43" s="84">
        <f>Effectif!J43</f>
        <v>43084</v>
      </c>
      <c r="F43" s="85" t="str">
        <f>Effectif!N43</f>
        <v>Semi_autonomie</v>
      </c>
      <c r="G43" s="84">
        <f>Effectif!O43</f>
        <v>0</v>
      </c>
      <c r="H43" s="85">
        <f>Effectif!R43</f>
        <v>0</v>
      </c>
      <c r="I43" s="84" t="str">
        <f>Effectif!U43</f>
        <v>ATJM en réalisation</v>
      </c>
      <c r="J43" s="84">
        <f>Effectif!V43</f>
        <v>43966</v>
      </c>
      <c r="K43" s="85" t="str">
        <f>Effectif!AJ43</f>
        <v>Oui</v>
      </c>
      <c r="L43" s="85" t="str">
        <f>Effectif!AK43</f>
        <v>Oui</v>
      </c>
      <c r="M43" s="85" t="str">
        <f>Effectif!AL43</f>
        <v>Oui</v>
      </c>
      <c r="N43" s="85" t="str">
        <f>Effectif!AM43</f>
        <v>Non</v>
      </c>
      <c r="O43" s="85">
        <f>Effectif!AN43</f>
        <v>0</v>
      </c>
      <c r="P43" s="85" t="str">
        <f>Effectif!AQ43</f>
        <v>Travailleur temporaire</v>
      </c>
      <c r="Q43" s="85" t="str">
        <f>Effectif!AT43</f>
        <v>CFA</v>
      </c>
      <c r="R43" s="94" t="str">
        <f>Effectif!AU43</f>
        <v>Cuisinier</v>
      </c>
    </row>
    <row r="44" spans="1:18" x14ac:dyDescent="0.25">
      <c r="A44" s="78" t="str">
        <f>Effectif!C44</f>
        <v>azerty azertty</v>
      </c>
      <c r="B44" s="80" t="str">
        <f>Effectif!D44</f>
        <v>15/09/2001</v>
      </c>
      <c r="C44" s="81">
        <f ca="1">Effectif!E44</f>
        <v>18</v>
      </c>
      <c r="D44" s="81">
        <f>Effectif!G44</f>
        <v>0</v>
      </c>
      <c r="E44" s="80">
        <f>Effectif!J44</f>
        <v>43101</v>
      </c>
      <c r="F44" s="81" t="str">
        <f>Effectif!N44</f>
        <v>Collectif</v>
      </c>
      <c r="G44" s="80">
        <f>Effectif!O44</f>
        <v>0</v>
      </c>
      <c r="H44" s="81">
        <f>Effectif!R44</f>
        <v>0</v>
      </c>
      <c r="I44" s="80" t="str">
        <f>Effectif!U44</f>
        <v>ATJM accordé</v>
      </c>
      <c r="J44" s="80">
        <f>Effectif!V44</f>
        <v>44074</v>
      </c>
      <c r="K44" s="81" t="str">
        <f>Effectif!AJ44</f>
        <v>Oui</v>
      </c>
      <c r="L44" s="81" t="str">
        <f>Effectif!AK44</f>
        <v>Oui</v>
      </c>
      <c r="M44" s="81" t="str">
        <f>Effectif!AL44</f>
        <v>Non</v>
      </c>
      <c r="N44" s="81" t="str">
        <f>Effectif!AM44</f>
        <v>Oui</v>
      </c>
      <c r="O44" s="81">
        <f>Effectif!AN44</f>
        <v>0</v>
      </c>
      <c r="P44" s="81" t="str">
        <f>Effectif!AQ44</f>
        <v>Travailleur temporaire</v>
      </c>
      <c r="Q44" s="81" t="str">
        <f>Effectif!AT44</f>
        <v>CFA</v>
      </c>
      <c r="R44" s="93" t="str">
        <f>Effectif!AU44</f>
        <v>Cuisinier</v>
      </c>
    </row>
    <row r="45" spans="1:18" x14ac:dyDescent="0.25">
      <c r="A45" s="82" t="str">
        <f>Effectif!C45</f>
        <v>azerty azertty</v>
      </c>
      <c r="B45" s="84" t="str">
        <f>Effectif!D45</f>
        <v>31/12/2003</v>
      </c>
      <c r="C45" s="85">
        <f ca="1">Effectif!E45</f>
        <v>16</v>
      </c>
      <c r="D45" s="85">
        <f>Effectif!G45</f>
        <v>0</v>
      </c>
      <c r="E45" s="84">
        <f>Effectif!J45</f>
        <v>43632</v>
      </c>
      <c r="F45" s="85" t="str">
        <f>Effectif!N45</f>
        <v>Semi_autonomie</v>
      </c>
      <c r="G45" s="84">
        <f>Effectif!O45</f>
        <v>0</v>
      </c>
      <c r="H45" s="85">
        <f>Effectif!R45</f>
        <v>0</v>
      </c>
      <c r="I45" s="84" t="str">
        <f>Effectif!U45</f>
        <v>Ordonnance de placement</v>
      </c>
      <c r="J45" s="84">
        <f>Effectif!V45</f>
        <v>0</v>
      </c>
      <c r="K45" s="85" t="str">
        <f>Effectif!AJ45</f>
        <v>Oui</v>
      </c>
      <c r="L45" s="85" t="str">
        <f>Effectif!AK45</f>
        <v>Non</v>
      </c>
      <c r="M45" s="85" t="str">
        <f>Effectif!AL45</f>
        <v>Non</v>
      </c>
      <c r="N45" s="85" t="str">
        <f>Effectif!AM45</f>
        <v>Non</v>
      </c>
      <c r="O45" s="85">
        <f>Effectif!AN45</f>
        <v>0</v>
      </c>
      <c r="P45" s="85">
        <f>Effectif!AQ45</f>
        <v>0</v>
      </c>
      <c r="Q45" s="85">
        <f>Effectif!AT45</f>
        <v>0</v>
      </c>
      <c r="R45" s="94">
        <f>Effectif!AU45</f>
        <v>0</v>
      </c>
    </row>
    <row r="46" spans="1:18" x14ac:dyDescent="0.25">
      <c r="A46" s="78" t="str">
        <f>Effectif!C46</f>
        <v>azerty azertty</v>
      </c>
      <c r="B46" s="80" t="str">
        <f>Effectif!D46</f>
        <v>31/12/2002</v>
      </c>
      <c r="C46" s="81">
        <f ca="1">Effectif!E46</f>
        <v>17</v>
      </c>
      <c r="D46" s="81">
        <f>Effectif!G46</f>
        <v>0</v>
      </c>
      <c r="E46" s="80">
        <f>Effectif!J46</f>
        <v>43252</v>
      </c>
      <c r="F46" s="81" t="str">
        <f>Effectif!N46</f>
        <v>Collectif</v>
      </c>
      <c r="G46" s="80">
        <f>Effectif!O46</f>
        <v>0</v>
      </c>
      <c r="H46" s="81">
        <f>Effectif!R46</f>
        <v>0</v>
      </c>
      <c r="I46" s="80" t="str">
        <f>Effectif!U46</f>
        <v>Ordonnance de placement</v>
      </c>
      <c r="J46" s="80">
        <f>Effectif!V46</f>
        <v>0</v>
      </c>
      <c r="K46" s="81" t="str">
        <f>Effectif!AJ46</f>
        <v>Oui</v>
      </c>
      <c r="L46" s="81" t="str">
        <f>Effectif!AK46</f>
        <v>Non</v>
      </c>
      <c r="M46" s="81" t="str">
        <f>Effectif!AL46</f>
        <v>Non</v>
      </c>
      <c r="N46" s="81" t="str">
        <f>Effectif!AM46</f>
        <v>Non</v>
      </c>
      <c r="O46" s="81">
        <f>Effectif!AN46</f>
        <v>0</v>
      </c>
      <c r="P46" s="81">
        <f>Effectif!AQ46</f>
        <v>0</v>
      </c>
      <c r="Q46" s="81" t="str">
        <f>Effectif!AT46</f>
        <v>CFA</v>
      </c>
      <c r="R46" s="93" t="str">
        <f>Effectif!AU46</f>
        <v>Parcours 4</v>
      </c>
    </row>
    <row r="47" spans="1:18" x14ac:dyDescent="0.25">
      <c r="A47" s="82" t="str">
        <f>Effectif!C47</f>
        <v>azerty azertty</v>
      </c>
      <c r="B47" s="84" t="str">
        <f>Effectif!D47</f>
        <v>16/07/2002</v>
      </c>
      <c r="C47" s="85">
        <f ca="1">Effectif!E47</f>
        <v>17</v>
      </c>
      <c r="D47" s="85">
        <f>Effectif!G47</f>
        <v>0</v>
      </c>
      <c r="E47" s="84">
        <f>Effectif!J47</f>
        <v>43825</v>
      </c>
      <c r="F47" s="85" t="str">
        <f>Effectif!N47</f>
        <v>Collectif</v>
      </c>
      <c r="G47" s="84">
        <f>Effectif!O47</f>
        <v>0</v>
      </c>
      <c r="H47" s="85">
        <f>Effectif!R47</f>
        <v>0</v>
      </c>
      <c r="I47" s="84" t="str">
        <f>Effectif!U47</f>
        <v>Ordonnance de placement</v>
      </c>
      <c r="J47" s="84">
        <f>Effectif!V47</f>
        <v>0</v>
      </c>
      <c r="K47" s="85" t="str">
        <f>Effectif!AJ47</f>
        <v>Oui</v>
      </c>
      <c r="L47" s="85" t="str">
        <f>Effectif!AK47</f>
        <v>Non</v>
      </c>
      <c r="M47" s="85" t="str">
        <f>Effectif!AL47</f>
        <v>Non</v>
      </c>
      <c r="N47" s="85" t="str">
        <f>Effectif!AM47</f>
        <v>Non</v>
      </c>
      <c r="O47" s="85">
        <f>Effectif!AN47</f>
        <v>0</v>
      </c>
      <c r="P47" s="85">
        <f>Effectif!AQ47</f>
        <v>0</v>
      </c>
      <c r="Q47" s="85">
        <f>Effectif!AT47</f>
        <v>0</v>
      </c>
      <c r="R47" s="94">
        <f>Effectif!AU47</f>
        <v>0</v>
      </c>
    </row>
    <row r="48" spans="1:18" x14ac:dyDescent="0.25">
      <c r="A48" s="78" t="str">
        <f>Effectif!C48</f>
        <v>azerty azertty</v>
      </c>
      <c r="B48" s="80" t="str">
        <f>Effectif!D48</f>
        <v>10/12/2003</v>
      </c>
      <c r="C48" s="81">
        <f ca="1">Effectif!E48</f>
        <v>16</v>
      </c>
      <c r="D48" s="81">
        <f>Effectif!G48</f>
        <v>0</v>
      </c>
      <c r="E48" s="80">
        <f>Effectif!J48</f>
        <v>43724</v>
      </c>
      <c r="F48" s="81" t="str">
        <f>Effectif!N48</f>
        <v>Collectif</v>
      </c>
      <c r="G48" s="80">
        <f>Effectif!O48</f>
        <v>0</v>
      </c>
      <c r="H48" s="81">
        <f>Effectif!R48</f>
        <v>0</v>
      </c>
      <c r="I48" s="80" t="str">
        <f>Effectif!U48</f>
        <v>Ordonnance de placement</v>
      </c>
      <c r="J48" s="80">
        <f>Effectif!V48</f>
        <v>0</v>
      </c>
      <c r="K48" s="81" t="str">
        <f>Effectif!AJ48</f>
        <v>Oui</v>
      </c>
      <c r="L48" s="81" t="str">
        <f>Effectif!AK48</f>
        <v>Non</v>
      </c>
      <c r="M48" s="81" t="str">
        <f>Effectif!AL48</f>
        <v>Non</v>
      </c>
      <c r="N48" s="81" t="str">
        <f>Effectif!AM48</f>
        <v>Non</v>
      </c>
      <c r="O48" s="81">
        <f>Effectif!AN48</f>
        <v>0</v>
      </c>
      <c r="P48" s="81">
        <f>Effectif!AQ48</f>
        <v>0</v>
      </c>
      <c r="Q48" s="81">
        <f>Effectif!AT48</f>
        <v>0</v>
      </c>
      <c r="R48" s="93">
        <f>Effectif!AU48</f>
        <v>0</v>
      </c>
    </row>
    <row r="49" spans="1:18" x14ac:dyDescent="0.25">
      <c r="A49" s="82" t="str">
        <f>Effectif!C49</f>
        <v>azerty azertty</v>
      </c>
      <c r="B49" s="84" t="str">
        <f>Effectif!D49</f>
        <v>02/06/2003</v>
      </c>
      <c r="C49" s="85">
        <f ca="1">Effectif!E49</f>
        <v>16</v>
      </c>
      <c r="D49" s="85">
        <f>Effectif!G49</f>
        <v>0</v>
      </c>
      <c r="E49" s="84">
        <f>Effectif!J49</f>
        <v>0</v>
      </c>
      <c r="F49" s="85" t="str">
        <f>Effectif!N49</f>
        <v>Collectif</v>
      </c>
      <c r="G49" s="84">
        <f>Effectif!O49</f>
        <v>0</v>
      </c>
      <c r="H49" s="85">
        <f>Effectif!R49</f>
        <v>0</v>
      </c>
      <c r="I49" s="84" t="str">
        <f>Effectif!U49</f>
        <v>Ordonnance de placement</v>
      </c>
      <c r="J49" s="84">
        <f>Effectif!V49</f>
        <v>0</v>
      </c>
      <c r="K49" s="85" t="str">
        <f>Effectif!AJ49</f>
        <v>Oui</v>
      </c>
      <c r="L49" s="85" t="str">
        <f>Effectif!AK49</f>
        <v>Non</v>
      </c>
      <c r="M49" s="85" t="str">
        <f>Effectif!AL49</f>
        <v>Non</v>
      </c>
      <c r="N49" s="85" t="str">
        <f>Effectif!AM49</f>
        <v>Non</v>
      </c>
      <c r="O49" s="85">
        <f>Effectif!AN49</f>
        <v>0</v>
      </c>
      <c r="P49" s="85">
        <f>Effectif!AQ49</f>
        <v>0</v>
      </c>
      <c r="Q49" s="85">
        <f>Effectif!AT49</f>
        <v>0</v>
      </c>
      <c r="R49" s="94">
        <f>Effectif!AU49</f>
        <v>0</v>
      </c>
    </row>
    <row r="50" spans="1:18" x14ac:dyDescent="0.25">
      <c r="A50" s="78" t="str">
        <f>Effectif!C50</f>
        <v>azerty azertty</v>
      </c>
      <c r="B50" s="80" t="str">
        <f>Effectif!D50</f>
        <v>02/01/2003</v>
      </c>
      <c r="C50" s="81">
        <f ca="1">Effectif!E50</f>
        <v>17</v>
      </c>
      <c r="D50" s="81">
        <f>Effectif!G50</f>
        <v>0</v>
      </c>
      <c r="E50" s="80">
        <f>Effectif!J50</f>
        <v>43405</v>
      </c>
      <c r="F50" s="81" t="str">
        <f>Effectif!N50</f>
        <v>Semi_autonomie</v>
      </c>
      <c r="G50" s="80">
        <f>Effectif!O50</f>
        <v>0</v>
      </c>
      <c r="H50" s="81">
        <f>Effectif!R50</f>
        <v>0</v>
      </c>
      <c r="I50" s="80" t="str">
        <f>Effectif!U50</f>
        <v>Ordonnance de placement</v>
      </c>
      <c r="J50" s="80">
        <f>Effectif!V50</f>
        <v>0</v>
      </c>
      <c r="K50" s="81" t="str">
        <f>Effectif!AJ50</f>
        <v>Oui</v>
      </c>
      <c r="L50" s="81" t="str">
        <f>Effectif!AK50</f>
        <v>Oui</v>
      </c>
      <c r="M50" s="81" t="str">
        <f>Effectif!AL50</f>
        <v>Oui</v>
      </c>
      <c r="N50" s="81" t="str">
        <f>Effectif!AM50</f>
        <v>Non</v>
      </c>
      <c r="O50" s="81">
        <f>Effectif!AN50</f>
        <v>0</v>
      </c>
      <c r="P50" s="81">
        <f>Effectif!AQ50</f>
        <v>0</v>
      </c>
      <c r="Q50" s="81" t="str">
        <f>Effectif!AT50</f>
        <v>CFA</v>
      </c>
      <c r="R50" s="93" t="str">
        <f>Effectif!AU50</f>
        <v>Cuisinier</v>
      </c>
    </row>
    <row r="51" spans="1:18" x14ac:dyDescent="0.25">
      <c r="A51" s="82" t="str">
        <f>Effectif!C51</f>
        <v>azerty azertty</v>
      </c>
      <c r="B51" s="84" t="str">
        <f>Effectif!D51</f>
        <v>31/12/2002</v>
      </c>
      <c r="C51" s="85">
        <f ca="1">Effectif!E51</f>
        <v>17</v>
      </c>
      <c r="D51" s="85">
        <f>Effectif!G51</f>
        <v>0</v>
      </c>
      <c r="E51" s="84">
        <f>Effectif!J51</f>
        <v>0</v>
      </c>
      <c r="F51" s="85" t="str">
        <f>Effectif!N51</f>
        <v>Semi_autonomie</v>
      </c>
      <c r="G51" s="84">
        <f>Effectif!O51</f>
        <v>0</v>
      </c>
      <c r="H51" s="85">
        <f>Effectif!R51</f>
        <v>0</v>
      </c>
      <c r="I51" s="84" t="str">
        <f>Effectif!U51</f>
        <v>Ordonnance de placement</v>
      </c>
      <c r="J51" s="84">
        <f>Effectif!V51</f>
        <v>0</v>
      </c>
      <c r="K51" s="85" t="str">
        <f>Effectif!AJ51</f>
        <v>Oui</v>
      </c>
      <c r="L51" s="85" t="str">
        <f>Effectif!AK51</f>
        <v>Oui</v>
      </c>
      <c r="M51" s="85" t="str">
        <f>Effectif!AL51</f>
        <v>Oui</v>
      </c>
      <c r="N51" s="85" t="str">
        <f>Effectif!AM51</f>
        <v>Non</v>
      </c>
      <c r="O51" s="85">
        <f>Effectif!AN51</f>
        <v>0</v>
      </c>
      <c r="P51" s="85">
        <f>Effectif!AQ51</f>
        <v>0</v>
      </c>
      <c r="Q51" s="85" t="str">
        <f>Effectif!AT51</f>
        <v>CFA</v>
      </c>
      <c r="R51" s="94" t="str">
        <f>Effectif!AU51</f>
        <v>Parcours 4</v>
      </c>
    </row>
    <row r="52" spans="1:18" x14ac:dyDescent="0.25">
      <c r="A52" s="78" t="str">
        <f>Effectif!C52</f>
        <v>azerty azertty</v>
      </c>
      <c r="B52" s="80" t="str">
        <f>Effectif!D52</f>
        <v>01/01/2003</v>
      </c>
      <c r="C52" s="81">
        <f ca="1">Effectif!E52</f>
        <v>17</v>
      </c>
      <c r="D52" s="81">
        <f>Effectif!G52</f>
        <v>0</v>
      </c>
      <c r="E52" s="80">
        <f>Effectif!J52</f>
        <v>42783</v>
      </c>
      <c r="F52" s="81" t="str">
        <f>Effectif!N52</f>
        <v>Semi_autonomie</v>
      </c>
      <c r="G52" s="80">
        <f>Effectif!O52</f>
        <v>0</v>
      </c>
      <c r="H52" s="81">
        <f>Effectif!R52</f>
        <v>0</v>
      </c>
      <c r="I52" s="80" t="str">
        <f>Effectif!U52</f>
        <v>Ordonnance de placement</v>
      </c>
      <c r="J52" s="80">
        <f>Effectif!V52</f>
        <v>0</v>
      </c>
      <c r="K52" s="81" t="str">
        <f>Effectif!AJ52</f>
        <v>Oui</v>
      </c>
      <c r="L52" s="81" t="str">
        <f>Effectif!AK52</f>
        <v>Non</v>
      </c>
      <c r="M52" s="81" t="str">
        <f>Effectif!AL52</f>
        <v>Non</v>
      </c>
      <c r="N52" s="81" t="str">
        <f>Effectif!AM52</f>
        <v>Non</v>
      </c>
      <c r="O52" s="81">
        <f>Effectif!AN52</f>
        <v>0</v>
      </c>
      <c r="P52" s="81" t="str">
        <f>Effectif!AQ52</f>
        <v>Nationalité</v>
      </c>
      <c r="Q52" s="81" t="str">
        <f>Effectif!AT52</f>
        <v>CFA</v>
      </c>
      <c r="R52" s="93" t="str">
        <f>Effectif!AU52</f>
        <v>Peintre</v>
      </c>
    </row>
    <row r="53" spans="1:18" x14ac:dyDescent="0.25">
      <c r="A53" s="82" t="str">
        <f>Effectif!C53</f>
        <v>azerty azertty</v>
      </c>
      <c r="B53" s="84" t="str">
        <f>Effectif!D53</f>
        <v>06/07/2002</v>
      </c>
      <c r="C53" s="85">
        <f ca="1">Effectif!E53</f>
        <v>17</v>
      </c>
      <c r="D53" s="85">
        <f>Effectif!G53</f>
        <v>0</v>
      </c>
      <c r="E53" s="84">
        <f>Effectif!J53</f>
        <v>43221</v>
      </c>
      <c r="F53" s="85" t="str">
        <f>Effectif!N53</f>
        <v>Collectif</v>
      </c>
      <c r="G53" s="84">
        <f>Effectif!O53</f>
        <v>0</v>
      </c>
      <c r="H53" s="85">
        <f>Effectif!R53</f>
        <v>0</v>
      </c>
      <c r="I53" s="84" t="str">
        <f>Effectif!U53</f>
        <v>Ordonnance de placement</v>
      </c>
      <c r="J53" s="84">
        <f>Effectif!V53</f>
        <v>0</v>
      </c>
      <c r="K53" s="85" t="str">
        <f>Effectif!AJ53</f>
        <v>Oui</v>
      </c>
      <c r="L53" s="85" t="str">
        <f>Effectif!AK53</f>
        <v>Oui</v>
      </c>
      <c r="M53" s="85" t="str">
        <f>Effectif!AL53</f>
        <v>Oui</v>
      </c>
      <c r="N53" s="85" t="str">
        <f>Effectif!AM53</f>
        <v>Non</v>
      </c>
      <c r="O53" s="85">
        <f>Effectif!AN53</f>
        <v>0</v>
      </c>
      <c r="P53" s="85">
        <f>Effectif!AQ53</f>
        <v>0</v>
      </c>
      <c r="Q53" s="85">
        <f>Effectif!AT53</f>
        <v>0</v>
      </c>
      <c r="R53" s="94">
        <f>Effectif!AU53</f>
        <v>0</v>
      </c>
    </row>
    <row r="54" spans="1:18" x14ac:dyDescent="0.25">
      <c r="A54" s="78" t="str">
        <f>Effectif!C54</f>
        <v>azerty azertty</v>
      </c>
      <c r="B54" s="80" t="str">
        <f>Effectif!D54</f>
        <v>10/05/2002</v>
      </c>
      <c r="C54" s="81">
        <f ca="1">Effectif!E54</f>
        <v>18</v>
      </c>
      <c r="D54" s="81">
        <f>Effectif!G54</f>
        <v>0</v>
      </c>
      <c r="E54" s="80">
        <f>Effectif!J54</f>
        <v>42736</v>
      </c>
      <c r="F54" s="81" t="str">
        <f>Effectif!N54</f>
        <v>Semi_autonomie</v>
      </c>
      <c r="G54" s="80">
        <f>Effectif!O54</f>
        <v>0</v>
      </c>
      <c r="H54" s="81">
        <f>Effectif!R54</f>
        <v>0</v>
      </c>
      <c r="I54" s="80" t="str">
        <f>Effectif!U54</f>
        <v>ATJM en réalisation</v>
      </c>
      <c r="J54" s="80">
        <f>Effectif!V54</f>
        <v>0</v>
      </c>
      <c r="K54" s="81" t="str">
        <f>Effectif!AJ54</f>
        <v>Oui</v>
      </c>
      <c r="L54" s="81" t="str">
        <f>Effectif!AK54</f>
        <v>Oui</v>
      </c>
      <c r="M54" s="81" t="str">
        <f>Effectif!AL54</f>
        <v>Oui</v>
      </c>
      <c r="N54" s="81" t="str">
        <f>Effectif!AM54</f>
        <v>Oui</v>
      </c>
      <c r="O54" s="81">
        <f>Effectif!AN54</f>
        <v>0</v>
      </c>
      <c r="P54" s="81" t="str">
        <f>Effectif!AQ54</f>
        <v>Nationalité</v>
      </c>
      <c r="Q54" s="81">
        <f>Effectif!AT54</f>
        <v>0</v>
      </c>
      <c r="R54" s="93">
        <f>Effectif!AU54</f>
        <v>0</v>
      </c>
    </row>
    <row r="55" spans="1:18" x14ac:dyDescent="0.25">
      <c r="A55" s="82" t="str">
        <f>Effectif!C55</f>
        <v>azerty azertty</v>
      </c>
      <c r="B55" s="84" t="str">
        <f>Effectif!D55</f>
        <v>02/10/2002</v>
      </c>
      <c r="C55" s="85">
        <f ca="1">Effectif!E55</f>
        <v>17</v>
      </c>
      <c r="D55" s="85">
        <f>Effectif!G55</f>
        <v>0</v>
      </c>
      <c r="E55" s="84">
        <f>Effectif!J55</f>
        <v>0</v>
      </c>
      <c r="F55" s="85" t="str">
        <f>Effectif!N55</f>
        <v>Collectif</v>
      </c>
      <c r="G55" s="84">
        <f>Effectif!O55</f>
        <v>0</v>
      </c>
      <c r="H55" s="85">
        <f>Effectif!R55</f>
        <v>0</v>
      </c>
      <c r="I55" s="84" t="str">
        <f>Effectif!U55</f>
        <v>Ordonnance de placement</v>
      </c>
      <c r="J55" s="84">
        <f>Effectif!V55</f>
        <v>0</v>
      </c>
      <c r="K55" s="85" t="str">
        <f>Effectif!AJ55</f>
        <v>Oui</v>
      </c>
      <c r="L55" s="85" t="str">
        <f>Effectif!AK55</f>
        <v>Oui</v>
      </c>
      <c r="M55" s="85" t="str">
        <f>Effectif!AL55</f>
        <v>Oui</v>
      </c>
      <c r="N55" s="85" t="str">
        <f>Effectif!AM55</f>
        <v>Non</v>
      </c>
      <c r="O55" s="85">
        <f>Effectif!AN55</f>
        <v>0</v>
      </c>
      <c r="P55" s="85">
        <f>Effectif!AQ55</f>
        <v>0</v>
      </c>
      <c r="Q55" s="85">
        <f>Effectif!AT55</f>
        <v>0</v>
      </c>
      <c r="R55" s="94">
        <f>Effectif!AU55</f>
        <v>0</v>
      </c>
    </row>
    <row r="56" spans="1:18" x14ac:dyDescent="0.25">
      <c r="A56" s="78" t="str">
        <f>Effectif!C56</f>
        <v>azerty azertty</v>
      </c>
      <c r="B56" s="80" t="str">
        <f>Effectif!D56</f>
        <v>07/02/2003</v>
      </c>
      <c r="C56" s="81">
        <f ca="1">Effectif!E56</f>
        <v>17</v>
      </c>
      <c r="D56" s="81">
        <f>Effectif!G56</f>
        <v>0</v>
      </c>
      <c r="E56" s="80">
        <f>Effectif!J56</f>
        <v>0</v>
      </c>
      <c r="F56" s="81" t="str">
        <f>Effectif!N56</f>
        <v>Collectif</v>
      </c>
      <c r="G56" s="80">
        <f>Effectif!O56</f>
        <v>0</v>
      </c>
      <c r="H56" s="81">
        <f>Effectif!R56</f>
        <v>0</v>
      </c>
      <c r="I56" s="80" t="str">
        <f>Effectif!U56</f>
        <v>Ordonnance de placement</v>
      </c>
      <c r="J56" s="80">
        <f>Effectif!V56</f>
        <v>0</v>
      </c>
      <c r="K56" s="81" t="str">
        <f>Effectif!AJ56</f>
        <v>Oui</v>
      </c>
      <c r="L56" s="81" t="str">
        <f>Effectif!AK56</f>
        <v>Oui</v>
      </c>
      <c r="M56" s="81" t="str">
        <f>Effectif!AL56</f>
        <v>Non</v>
      </c>
      <c r="N56" s="81" t="str">
        <f>Effectif!AM56</f>
        <v>Non</v>
      </c>
      <c r="O56" s="81">
        <f>Effectif!AN56</f>
        <v>0</v>
      </c>
      <c r="P56" s="81">
        <f>Effectif!AQ56</f>
        <v>0</v>
      </c>
      <c r="Q56" s="81">
        <f>Effectif!AT56</f>
        <v>0</v>
      </c>
      <c r="R56" s="93">
        <f>Effectif!AU56</f>
        <v>0</v>
      </c>
    </row>
    <row r="57" spans="1:18" x14ac:dyDescent="0.25">
      <c r="A57" s="82" t="str">
        <f>Effectif!C57</f>
        <v>azerty azertty</v>
      </c>
      <c r="B57" s="84" t="str">
        <f>Effectif!D57</f>
        <v>08/05/2003</v>
      </c>
      <c r="C57" s="85">
        <f ca="1">Effectif!E57</f>
        <v>17</v>
      </c>
      <c r="D57" s="85">
        <f>Effectif!G57</f>
        <v>0</v>
      </c>
      <c r="E57" s="84">
        <f>Effectif!J57</f>
        <v>43556</v>
      </c>
      <c r="F57" s="85" t="str">
        <f>Effectif!N57</f>
        <v>Collectif</v>
      </c>
      <c r="G57" s="84">
        <f>Effectif!O57</f>
        <v>0</v>
      </c>
      <c r="H57" s="85">
        <f>Effectif!R57</f>
        <v>0</v>
      </c>
      <c r="I57" s="84" t="str">
        <f>Effectif!U57</f>
        <v>Ordonnance de placement</v>
      </c>
      <c r="J57" s="84">
        <f>Effectif!V57</f>
        <v>0</v>
      </c>
      <c r="K57" s="85" t="str">
        <f>Effectif!AJ57</f>
        <v>Oui</v>
      </c>
      <c r="L57" s="85" t="str">
        <f>Effectif!AK57</f>
        <v>Oui</v>
      </c>
      <c r="M57" s="85" t="str">
        <f>Effectif!AL57</f>
        <v>Non</v>
      </c>
      <c r="N57" s="85" t="str">
        <f>Effectif!AM57</f>
        <v>Non</v>
      </c>
      <c r="O57" s="85">
        <f>Effectif!AN57</f>
        <v>0</v>
      </c>
      <c r="P57" s="85">
        <f>Effectif!AQ57</f>
        <v>0</v>
      </c>
      <c r="Q57" s="85" t="str">
        <f>Effectif!AT57</f>
        <v>L._SEDAR_SENGHOR</v>
      </c>
      <c r="R57" s="94" t="str">
        <f>Effectif!AU57</f>
        <v>2nde</v>
      </c>
    </row>
    <row r="58" spans="1:18" x14ac:dyDescent="0.25">
      <c r="A58" s="78" t="str">
        <f>Effectif!C58</f>
        <v>azerty azertty</v>
      </c>
      <c r="B58" s="80" t="str">
        <f>Effectif!D58</f>
        <v>01/12/2001</v>
      </c>
      <c r="C58" s="81">
        <f ca="1">Effectif!E58</f>
        <v>18</v>
      </c>
      <c r="D58" s="81">
        <f>Effectif!G58</f>
        <v>0</v>
      </c>
      <c r="E58" s="80">
        <f>Effectif!J58</f>
        <v>43313</v>
      </c>
      <c r="F58" s="81" t="str">
        <f>Effectif!N58</f>
        <v>Collectif</v>
      </c>
      <c r="G58" s="80">
        <f>Effectif!O58</f>
        <v>0</v>
      </c>
      <c r="H58" s="81">
        <f>Effectif!R58</f>
        <v>0</v>
      </c>
      <c r="I58" s="80" t="str">
        <f>Effectif!U58</f>
        <v>ATJM en réalisation</v>
      </c>
      <c r="J58" s="80">
        <f>Effectif!V58</f>
        <v>43981</v>
      </c>
      <c r="K58" s="81" t="str">
        <f>Effectif!AJ58</f>
        <v>Oui</v>
      </c>
      <c r="L58" s="81" t="str">
        <f>Effectif!AK58</f>
        <v>Oui</v>
      </c>
      <c r="M58" s="81" t="str">
        <f>Effectif!AL58</f>
        <v>Non</v>
      </c>
      <c r="N58" s="81" t="str">
        <f>Effectif!AM58</f>
        <v>Non</v>
      </c>
      <c r="O58" s="81">
        <f>Effectif!AN58</f>
        <v>0</v>
      </c>
      <c r="P58" s="81" t="str">
        <f>Effectif!AQ58</f>
        <v>Travailleur temporaire</v>
      </c>
      <c r="Q58" s="81" t="str">
        <f>Effectif!AT58</f>
        <v>CFA</v>
      </c>
      <c r="R58" s="93" t="str">
        <f>Effectif!AU58</f>
        <v>Mécanicien</v>
      </c>
    </row>
    <row r="59" spans="1:18" x14ac:dyDescent="0.25">
      <c r="A59" s="82" t="str">
        <f>Effectif!C59</f>
        <v>azerty azertty</v>
      </c>
      <c r="B59" s="84" t="str">
        <f>Effectif!D59</f>
        <v>05/03/2003</v>
      </c>
      <c r="C59" s="85">
        <f ca="1">Effectif!E59</f>
        <v>17</v>
      </c>
      <c r="D59" s="85">
        <f>Effectif!G59</f>
        <v>0</v>
      </c>
      <c r="E59" s="84">
        <f>Effectif!J59</f>
        <v>43260</v>
      </c>
      <c r="F59" s="85" t="str">
        <f>Effectif!N59</f>
        <v>Collectif</v>
      </c>
      <c r="G59" s="84">
        <f>Effectif!O59</f>
        <v>0</v>
      </c>
      <c r="H59" s="85">
        <f>Effectif!R59</f>
        <v>0</v>
      </c>
      <c r="I59" s="84" t="str">
        <f>Effectif!U59</f>
        <v>Ordonnance de placement</v>
      </c>
      <c r="J59" s="84">
        <f>Effectif!V59</f>
        <v>0</v>
      </c>
      <c r="K59" s="85" t="str">
        <f>Effectif!AJ59</f>
        <v>Oui</v>
      </c>
      <c r="L59" s="85" t="str">
        <f>Effectif!AK59</f>
        <v>Oui</v>
      </c>
      <c r="M59" s="85" t="str">
        <f>Effectif!AL59</f>
        <v>Non</v>
      </c>
      <c r="N59" s="85" t="str">
        <f>Effectif!AM59</f>
        <v>Non</v>
      </c>
      <c r="O59" s="85">
        <f>Effectif!AN59</f>
        <v>0</v>
      </c>
      <c r="P59" s="85">
        <f>Effectif!AQ59</f>
        <v>0</v>
      </c>
      <c r="Q59" s="85" t="str">
        <f>Effectif!AT59</f>
        <v>CFA</v>
      </c>
      <c r="R59" s="94" t="str">
        <f>Effectif!AU59</f>
        <v>Parcours 4</v>
      </c>
    </row>
    <row r="60" spans="1:18" x14ac:dyDescent="0.25">
      <c r="A60" s="78" t="str">
        <f>Effectif!C60</f>
        <v>azerty azertty</v>
      </c>
      <c r="B60" s="80" t="str">
        <f>Effectif!D60</f>
        <v>09/07/2002</v>
      </c>
      <c r="C60" s="81">
        <f ca="1">Effectif!E60</f>
        <v>17</v>
      </c>
      <c r="D60" s="81">
        <f>Effectif!G60</f>
        <v>0</v>
      </c>
      <c r="E60" s="80">
        <f>Effectif!J60</f>
        <v>43313</v>
      </c>
      <c r="F60" s="81" t="str">
        <f>Effectif!N60</f>
        <v>Semi_autonomie</v>
      </c>
      <c r="G60" s="80">
        <f>Effectif!O60</f>
        <v>0</v>
      </c>
      <c r="H60" s="81">
        <f>Effectif!R60</f>
        <v>0</v>
      </c>
      <c r="I60" s="80" t="str">
        <f>Effectif!U60</f>
        <v>Ordonnance de placement</v>
      </c>
      <c r="J60" s="80">
        <f>Effectif!V60</f>
        <v>0</v>
      </c>
      <c r="K60" s="81" t="str">
        <f>Effectif!AJ60</f>
        <v>Oui</v>
      </c>
      <c r="L60" s="81" t="str">
        <f>Effectif!AK60</f>
        <v>Oui</v>
      </c>
      <c r="M60" s="81" t="str">
        <f>Effectif!AL60</f>
        <v>Non</v>
      </c>
      <c r="N60" s="81" t="str">
        <f>Effectif!AM60</f>
        <v>Non</v>
      </c>
      <c r="O60" s="81">
        <f>Effectif!AN60</f>
        <v>0</v>
      </c>
      <c r="P60" s="81">
        <f>Effectif!AQ60</f>
        <v>0</v>
      </c>
      <c r="Q60" s="81" t="str">
        <f>Effectif!AT60</f>
        <v>CFA</v>
      </c>
      <c r="R60" s="93" t="str">
        <f>Effectif!AU60</f>
        <v>Serveur</v>
      </c>
    </row>
    <row r="61" spans="1:18" x14ac:dyDescent="0.25">
      <c r="A61" s="82" t="str">
        <f>Effectif!C61</f>
        <v>azerty azertty</v>
      </c>
      <c r="B61" s="84" t="str">
        <f>Effectif!D61</f>
        <v>31/10/2003</v>
      </c>
      <c r="C61" s="85">
        <f ca="1">Effectif!E61</f>
        <v>16</v>
      </c>
      <c r="D61" s="85">
        <f>Effectif!G61</f>
        <v>0</v>
      </c>
      <c r="E61" s="84">
        <f>Effectif!J61</f>
        <v>0</v>
      </c>
      <c r="F61" s="85" t="str">
        <f>Effectif!N61</f>
        <v>Collectif</v>
      </c>
      <c r="G61" s="84">
        <f>Effectif!O61</f>
        <v>0</v>
      </c>
      <c r="H61" s="85">
        <f>Effectif!R61</f>
        <v>0</v>
      </c>
      <c r="I61" s="84" t="str">
        <f>Effectif!U61</f>
        <v>Ordonnance de placement</v>
      </c>
      <c r="J61" s="84">
        <f>Effectif!V61</f>
        <v>0</v>
      </c>
      <c r="K61" s="85" t="str">
        <f>Effectif!AJ61</f>
        <v>Oui</v>
      </c>
      <c r="L61" s="85" t="str">
        <f>Effectif!AK61</f>
        <v>Non</v>
      </c>
      <c r="M61" s="85" t="str">
        <f>Effectif!AL61</f>
        <v>Non</v>
      </c>
      <c r="N61" s="85" t="str">
        <f>Effectif!AM61</f>
        <v>Non</v>
      </c>
      <c r="O61" s="85">
        <f>Effectif!AN61</f>
        <v>0</v>
      </c>
      <c r="P61" s="85">
        <f>Effectif!AQ61</f>
        <v>0</v>
      </c>
      <c r="Q61" s="85">
        <f>Effectif!AT61</f>
        <v>0</v>
      </c>
      <c r="R61" s="94">
        <f>Effectif!AU61</f>
        <v>0</v>
      </c>
    </row>
    <row r="62" spans="1:18" x14ac:dyDescent="0.25">
      <c r="A62" s="78" t="str">
        <f>Effectif!C62</f>
        <v>azerty azertty</v>
      </c>
      <c r="B62" s="80" t="str">
        <f>Effectif!D62</f>
        <v>31/12/2003</v>
      </c>
      <c r="C62" s="81">
        <f ca="1">Effectif!E62</f>
        <v>16</v>
      </c>
      <c r="D62" s="81">
        <f>Effectif!G62</f>
        <v>0</v>
      </c>
      <c r="E62" s="80">
        <f>Effectif!J62</f>
        <v>43101</v>
      </c>
      <c r="F62" s="81" t="str">
        <f>Effectif!N62</f>
        <v>Collectif</v>
      </c>
      <c r="G62" s="80">
        <f>Effectif!O62</f>
        <v>0</v>
      </c>
      <c r="H62" s="81">
        <f>Effectif!R62</f>
        <v>0</v>
      </c>
      <c r="I62" s="80" t="str">
        <f>Effectif!U62</f>
        <v>Ordonnance de placement</v>
      </c>
      <c r="J62" s="80">
        <f>Effectif!V62</f>
        <v>0</v>
      </c>
      <c r="K62" s="81" t="str">
        <f>Effectif!AJ62</f>
        <v>Oui</v>
      </c>
      <c r="L62" s="81" t="str">
        <f>Effectif!AK62</f>
        <v>Oui</v>
      </c>
      <c r="M62" s="81" t="str">
        <f>Effectif!AL62</f>
        <v>Oui</v>
      </c>
      <c r="N62" s="81" t="str">
        <f>Effectif!AM62</f>
        <v>Non</v>
      </c>
      <c r="O62" s="81">
        <f>Effectif!AN62</f>
        <v>0</v>
      </c>
      <c r="P62" s="81" t="str">
        <f>Effectif!AQ62</f>
        <v>Travailleur temporaire</v>
      </c>
      <c r="Q62" s="81" t="str">
        <f>Effectif!AT62</f>
        <v>CFA</v>
      </c>
      <c r="R62" s="93" t="str">
        <f>Effectif!AU62</f>
        <v>Parcours 4</v>
      </c>
    </row>
    <row r="63" spans="1:18" x14ac:dyDescent="0.25">
      <c r="A63" s="78" t="str">
        <f>Effectif!C63</f>
        <v>azerty azertty</v>
      </c>
      <c r="B63" s="80" t="str">
        <f>Effectif!D63</f>
        <v>31/12/2004</v>
      </c>
      <c r="C63" s="81">
        <f ca="1">Effectif!E63</f>
        <v>15</v>
      </c>
      <c r="D63" s="81">
        <f>Effectif!G63</f>
        <v>0</v>
      </c>
      <c r="E63" s="80">
        <f>Effectif!J63</f>
        <v>0</v>
      </c>
      <c r="F63" s="81" t="str">
        <f>Effectif!N63</f>
        <v>Collectif</v>
      </c>
      <c r="G63" s="80">
        <f>Effectif!O63</f>
        <v>0</v>
      </c>
      <c r="H63" s="81">
        <f>Effectif!R63</f>
        <v>0</v>
      </c>
      <c r="I63" s="80" t="str">
        <f>Effectif!U63</f>
        <v>Ordonnance de placement</v>
      </c>
      <c r="J63" s="80">
        <f>Effectif!V63</f>
        <v>0</v>
      </c>
      <c r="K63" s="81" t="str">
        <f>Effectif!AJ63</f>
        <v>Oui</v>
      </c>
      <c r="L63" s="81" t="str">
        <f>Effectif!AK63</f>
        <v>Non</v>
      </c>
      <c r="M63" s="81" t="str">
        <f>Effectif!AL63</f>
        <v>Non</v>
      </c>
      <c r="N63" s="81" t="str">
        <f>Effectif!AM63</f>
        <v>Non</v>
      </c>
      <c r="O63" s="81">
        <f>Effectif!AN63</f>
        <v>0</v>
      </c>
      <c r="P63" s="81">
        <f>Effectif!AQ63</f>
        <v>0</v>
      </c>
      <c r="Q63" s="81" t="str">
        <f>Effectif!AT63</f>
        <v>G._POLITZER</v>
      </c>
      <c r="R63" s="93" t="str">
        <f>Effectif!AU63</f>
        <v>3éme</v>
      </c>
    </row>
    <row r="64" spans="1:18" ht="15.75" thickBot="1" x14ac:dyDescent="0.3">
      <c r="A64" s="86">
        <f>Effectif!C64</f>
        <v>0</v>
      </c>
      <c r="B64" s="87">
        <f>Effectif!D64</f>
        <v>0</v>
      </c>
      <c r="C64" s="88" t="str">
        <f ca="1">Effectif!E64</f>
        <v>Inconnu</v>
      </c>
      <c r="D64" s="88">
        <f>Effectif!G64</f>
        <v>0</v>
      </c>
      <c r="E64" s="87">
        <f>Effectif!J64</f>
        <v>0</v>
      </c>
      <c r="F64" s="88">
        <f>Effectif!N64</f>
        <v>0</v>
      </c>
      <c r="G64" s="87">
        <f>Effectif!O64</f>
        <v>0</v>
      </c>
      <c r="H64" s="88">
        <f>Effectif!R64</f>
        <v>0</v>
      </c>
      <c r="I64" s="87">
        <f>Effectif!U64</f>
        <v>0</v>
      </c>
      <c r="J64" s="87">
        <f>Effectif!V64</f>
        <v>0</v>
      </c>
      <c r="K64" s="88" t="str">
        <f>Effectif!AJ64</f>
        <v>Oui</v>
      </c>
      <c r="L64" s="88" t="str">
        <f>Effectif!AK64</f>
        <v>Non</v>
      </c>
      <c r="M64" s="88" t="str">
        <f>Effectif!AL64</f>
        <v>Non</v>
      </c>
      <c r="N64" s="88" t="str">
        <f>Effectif!AM64</f>
        <v>Non</v>
      </c>
      <c r="O64" s="88">
        <f>Effectif!AN64</f>
        <v>0</v>
      </c>
      <c r="P64" s="88">
        <f>Effectif!AQ64</f>
        <v>0</v>
      </c>
      <c r="Q64" s="88">
        <f>Effectif!AT64</f>
        <v>0</v>
      </c>
      <c r="R64" s="95">
        <f>Effectif!AU64</f>
        <v>0</v>
      </c>
    </row>
    <row r="65" ht="15.75" thickTop="1" x14ac:dyDescent="0.25"/>
  </sheetData>
  <customSheetViews>
    <customSheetView guid="{EE943BA9-0B80-4629-8DFD-5400001CD553}" state="hidden">
      <selection sqref="A1:Y47"/>
      <pageMargins left="0.7" right="0.7" top="0.75" bottom="0.75" header="0.3" footer="0.3"/>
      <pageSetup paperSize="9" orientation="portrait" verticalDpi="0" r:id="rId1"/>
    </customSheetView>
    <customSheetView guid="{23892BE3-6C12-4C60-B754-ED0B7FB9276C}" state="hidden">
      <selection sqref="A1:Y47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H30"/>
  <sheetViews>
    <sheetView workbookViewId="0">
      <selection activeCell="H33" sqref="H33"/>
    </sheetView>
  </sheetViews>
  <sheetFormatPr baseColWidth="10" defaultRowHeight="15" x14ac:dyDescent="0.25"/>
  <cols>
    <col min="1" max="1" width="32.5703125" style="97" bestFit="1" customWidth="1"/>
    <col min="2" max="2" width="4.5703125" style="96" bestFit="1" customWidth="1"/>
    <col min="4" max="4" width="37.140625" style="97" bestFit="1" customWidth="1"/>
    <col min="5" max="5" width="10.7109375" style="96" bestFit="1" customWidth="1"/>
    <col min="7" max="7" width="39" style="97" bestFit="1" customWidth="1"/>
    <col min="8" max="8" width="18.5703125" style="96" customWidth="1"/>
  </cols>
  <sheetData>
    <row r="1" spans="1:8" ht="17.25" thickTop="1" thickBot="1" x14ac:dyDescent="0.3">
      <c r="A1" s="63" t="s">
        <v>171</v>
      </c>
      <c r="B1" s="107" t="s">
        <v>225</v>
      </c>
      <c r="D1" s="63" t="s">
        <v>100</v>
      </c>
      <c r="E1" s="107" t="s">
        <v>225</v>
      </c>
      <c r="G1" s="63" t="s">
        <v>153</v>
      </c>
      <c r="H1" s="107" t="s">
        <v>225</v>
      </c>
    </row>
    <row r="2" spans="1:8" ht="15.75" thickTop="1" x14ac:dyDescent="0.25">
      <c r="A2" s="108" t="s">
        <v>172</v>
      </c>
      <c r="B2" s="109">
        <f>COUNTA(Effectif!A2:A64)</f>
        <v>63</v>
      </c>
      <c r="D2" s="128" t="s">
        <v>173</v>
      </c>
      <c r="E2" s="109">
        <f>COUNTIF(Effectif!O2:O64,"B._BOQUET")</f>
        <v>0</v>
      </c>
      <c r="G2" s="128" t="s">
        <v>174</v>
      </c>
      <c r="H2" s="109">
        <f>COUNTIF(Effectif!R2:R64,"D._CHAHARANE")</f>
        <v>0</v>
      </c>
    </row>
    <row r="3" spans="1:8" x14ac:dyDescent="0.25">
      <c r="A3" s="110" t="s">
        <v>175</v>
      </c>
      <c r="B3" s="111">
        <f ca="1">AVERAGE(Effectif!E2:E64)</f>
        <v>16.596774193548388</v>
      </c>
      <c r="D3" s="110" t="s">
        <v>176</v>
      </c>
      <c r="E3" s="105">
        <f>COUNTIF(Effectif!O1:O62,"L._GUIGNARD")</f>
        <v>0</v>
      </c>
      <c r="G3" s="110" t="s">
        <v>177</v>
      </c>
      <c r="H3" s="105">
        <f>COUNTIF(Effectif!R2:R64,"J._CADIN")</f>
        <v>0</v>
      </c>
    </row>
    <row r="4" spans="1:8" x14ac:dyDescent="0.25">
      <c r="A4" s="112"/>
      <c r="B4" s="113"/>
      <c r="D4" s="108" t="s">
        <v>178</v>
      </c>
      <c r="E4" s="106">
        <f>COUNTIF(Effectif!O2:O64,"H._LETESSIER")</f>
        <v>0</v>
      </c>
      <c r="G4" s="108" t="s">
        <v>179</v>
      </c>
      <c r="H4" s="106">
        <f>COUNTIF(Effectif!R2:R64,"A._FRERET")</f>
        <v>0</v>
      </c>
    </row>
    <row r="5" spans="1:8" ht="15.75" thickBot="1" x14ac:dyDescent="0.3">
      <c r="A5" s="114"/>
      <c r="B5" s="115"/>
      <c r="D5" s="129" t="s">
        <v>181</v>
      </c>
      <c r="E5" s="104">
        <f>COUNTIF(Effectif!O3:O65,"ES")</f>
        <v>0</v>
      </c>
      <c r="G5" s="110" t="s">
        <v>182</v>
      </c>
      <c r="H5" s="105">
        <f>COUNTIF(Effectif!R2:R64,"S._LACOSTE")</f>
        <v>0</v>
      </c>
    </row>
    <row r="6" spans="1:8" ht="17.25" thickTop="1" thickBot="1" x14ac:dyDescent="0.3">
      <c r="A6" s="63" t="s">
        <v>226</v>
      </c>
      <c r="B6" s="116" t="s">
        <v>225</v>
      </c>
      <c r="G6" s="108" t="s">
        <v>184</v>
      </c>
      <c r="H6" s="106">
        <f>COUNTIF(Effectif!R2:R64,"V._LECUYER")</f>
        <v>0</v>
      </c>
    </row>
    <row r="7" spans="1:8" ht="17.25" thickTop="1" thickBot="1" x14ac:dyDescent="0.3">
      <c r="A7" s="117" t="s">
        <v>180</v>
      </c>
      <c r="B7" s="118">
        <f>COUNTA(Effectif!H2:H64)</f>
        <v>0</v>
      </c>
      <c r="D7" s="130" t="s">
        <v>100</v>
      </c>
      <c r="E7" s="131" t="s">
        <v>225</v>
      </c>
      <c r="G7" s="129" t="s">
        <v>185</v>
      </c>
      <c r="H7" s="104">
        <f>COUNTIF(Effectif!R2:R64,"E._MOULINET")</f>
        <v>0</v>
      </c>
    </row>
    <row r="8" spans="1:8" ht="16.5" thickTop="1" thickBot="1" x14ac:dyDescent="0.3">
      <c r="A8" s="119" t="s">
        <v>183</v>
      </c>
      <c r="B8" s="103">
        <f>COUNTA(Effectif!I2:I64)</f>
        <v>0</v>
      </c>
      <c r="D8" s="128" t="s">
        <v>223</v>
      </c>
      <c r="E8" s="132">
        <f>AVERAGE(Effectif!J2:J64)</f>
        <v>43456.918367346938</v>
      </c>
    </row>
    <row r="9" spans="1:8" ht="17.25" thickTop="1" thickBot="1" x14ac:dyDescent="0.3">
      <c r="D9" s="110" t="s">
        <v>188</v>
      </c>
      <c r="E9" s="133">
        <f>LARGE(Effectif!J2:J64,1)</f>
        <v>43866</v>
      </c>
      <c r="G9" s="63" t="s">
        <v>189</v>
      </c>
      <c r="H9" s="107" t="s">
        <v>225</v>
      </c>
    </row>
    <row r="10" spans="1:8" ht="17.25" thickTop="1" thickBot="1" x14ac:dyDescent="0.3">
      <c r="A10" s="63" t="s">
        <v>186</v>
      </c>
      <c r="B10" s="107" t="s">
        <v>225</v>
      </c>
      <c r="D10" s="108" t="s">
        <v>191</v>
      </c>
      <c r="E10" s="134">
        <f>SMALL(Effectif!J2:J64,1)</f>
        <v>42736</v>
      </c>
      <c r="G10" s="128" t="s">
        <v>192</v>
      </c>
      <c r="H10" s="109">
        <f>COUNTIF(Effectif!U2:U64,"Ordonnance de placement")</f>
        <v>51</v>
      </c>
    </row>
    <row r="11" spans="1:8" ht="15.75" thickTop="1" x14ac:dyDescent="0.25">
      <c r="A11" s="128" t="s">
        <v>187</v>
      </c>
      <c r="B11" s="109">
        <f>COUNTIF(Effectif!G2:G64,"Afghan")</f>
        <v>0</v>
      </c>
      <c r="D11" s="110" t="s">
        <v>224</v>
      </c>
      <c r="E11" s="133">
        <f>AVERAGE(Effectif!M2:M64)</f>
        <v>43680.610169491527</v>
      </c>
      <c r="G11" s="110" t="s">
        <v>195</v>
      </c>
      <c r="H11" s="105">
        <f>COUNTIF(Effectif!U2:U64,"Tutelle")</f>
        <v>1</v>
      </c>
    </row>
    <row r="12" spans="1:8" x14ac:dyDescent="0.25">
      <c r="A12" s="110" t="s">
        <v>190</v>
      </c>
      <c r="B12" s="105">
        <f>COUNTIF(Effectif!G2:G64,"arménien")</f>
        <v>0</v>
      </c>
      <c r="D12" s="108" t="s">
        <v>194</v>
      </c>
      <c r="E12" s="134">
        <f>LARGE(Effectif!M2:M64,1)</f>
        <v>44153</v>
      </c>
      <c r="G12" s="108" t="s">
        <v>198</v>
      </c>
      <c r="H12" s="106">
        <f>COUNTIF(Effectif!U2:U64,"ATJM accordé")</f>
        <v>2</v>
      </c>
    </row>
    <row r="13" spans="1:8" x14ac:dyDescent="0.25">
      <c r="A13" s="108" t="s">
        <v>193</v>
      </c>
      <c r="B13" s="106">
        <f>COUNTIF(Effectif!G2:G64,"bangladais")</f>
        <v>0</v>
      </c>
      <c r="D13" s="129" t="s">
        <v>197</v>
      </c>
      <c r="E13" s="135">
        <f>SMALL(Effectif!M2:M64,1)</f>
        <v>43270</v>
      </c>
      <c r="G13" s="110" t="s">
        <v>320</v>
      </c>
      <c r="H13" s="105">
        <f>COUNTIF(Effectif!U2:U64,"ATJM en réalisation")</f>
        <v>8</v>
      </c>
    </row>
    <row r="14" spans="1:8" ht="15.75" thickBot="1" x14ac:dyDescent="0.3">
      <c r="A14" s="110" t="s">
        <v>196</v>
      </c>
      <c r="B14" s="105">
        <f>COUNTIF(Effectif!G2:G64,"burkinais")</f>
        <v>0</v>
      </c>
      <c r="D14" s="19"/>
      <c r="E14" s="98"/>
      <c r="G14" s="119" t="s">
        <v>202</v>
      </c>
      <c r="H14" s="103">
        <f>COUNTIF(Effectif!U2:U64,"ATJM à faire")</f>
        <v>0</v>
      </c>
    </row>
    <row r="15" spans="1:8" ht="17.25" thickTop="1" thickBot="1" x14ac:dyDescent="0.3">
      <c r="A15" s="108" t="s">
        <v>199</v>
      </c>
      <c r="B15" s="106">
        <f>COUNTIF(Effectif!G2:G64,"congolais")</f>
        <v>0</v>
      </c>
      <c r="D15" s="63" t="s">
        <v>201</v>
      </c>
      <c r="E15" s="107" t="s">
        <v>225</v>
      </c>
      <c r="G15" s="99"/>
      <c r="H15" s="100"/>
    </row>
    <row r="16" spans="1:8" ht="17.25" thickTop="1" thickBot="1" x14ac:dyDescent="0.3">
      <c r="A16" s="110" t="s">
        <v>200</v>
      </c>
      <c r="B16" s="105">
        <f>COUNTIF(Effectif!G2:G64,"ivoirien")</f>
        <v>0</v>
      </c>
      <c r="D16" s="136" t="s">
        <v>204</v>
      </c>
      <c r="E16" s="137">
        <f>COUNTA(Effectif!AN2:AN64)-COUNTIF(Effectif!AN2:AN64,"Inconnu")</f>
        <v>0</v>
      </c>
      <c r="G16" s="63" t="s">
        <v>30</v>
      </c>
      <c r="H16" s="107" t="s">
        <v>225</v>
      </c>
    </row>
    <row r="17" spans="1:8" ht="16.5" thickTop="1" thickBot="1" x14ac:dyDescent="0.3">
      <c r="A17" s="108" t="s">
        <v>203</v>
      </c>
      <c r="B17" s="106">
        <f>COUNTIF(Effectif!G2:G64,"gambien")</f>
        <v>0</v>
      </c>
      <c r="G17" s="128" t="s">
        <v>7</v>
      </c>
      <c r="H17" s="109">
        <f>COUNTIF(Effectif!AS2:AS64,"college")</f>
        <v>8</v>
      </c>
    </row>
    <row r="18" spans="1:8" ht="17.25" thickTop="1" thickBot="1" x14ac:dyDescent="0.3">
      <c r="A18" s="110" t="s">
        <v>205</v>
      </c>
      <c r="B18" s="105">
        <f>COUNTIF(Effectif!G2:G64,"guinéen")</f>
        <v>0</v>
      </c>
      <c r="D18" s="63" t="s">
        <v>207</v>
      </c>
      <c r="E18" s="107" t="s">
        <v>225</v>
      </c>
      <c r="G18" s="110" t="s">
        <v>9</v>
      </c>
      <c r="H18" s="105">
        <f>COUNTIF(Effectif!AS2:AS64,"lycee")</f>
        <v>3</v>
      </c>
    </row>
    <row r="19" spans="1:8" ht="15.75" thickTop="1" x14ac:dyDescent="0.25">
      <c r="A19" s="108" t="s">
        <v>206</v>
      </c>
      <c r="B19" s="106">
        <f>COUNTIF(Effectif!G2:G64,"malien")</f>
        <v>0</v>
      </c>
      <c r="D19" s="128" t="s">
        <v>209</v>
      </c>
      <c r="E19" s="109">
        <f>COUNTIF(Effectif!AJ2:AJ64,"Oui")</f>
        <v>63</v>
      </c>
      <c r="G19" s="108" t="s">
        <v>212</v>
      </c>
      <c r="H19" s="106">
        <f>COUNTIF(Effectif!AS4:AS64,"lycee_professionnel")</f>
        <v>2</v>
      </c>
    </row>
    <row r="20" spans="1:8" x14ac:dyDescent="0.25">
      <c r="A20" s="110" t="s">
        <v>208</v>
      </c>
      <c r="B20" s="105">
        <f>COUNTIF(Effectif!G2:G64,"pakistanais")</f>
        <v>0</v>
      </c>
      <c r="D20" s="110" t="s">
        <v>211</v>
      </c>
      <c r="E20" s="105">
        <f>COUNTIF(Effectif!AK2:AK64,"Oui")</f>
        <v>22</v>
      </c>
      <c r="G20" s="110" t="s">
        <v>8</v>
      </c>
      <c r="H20" s="105">
        <f>COUNTIF(Effectif!AS2:AS64,"apprentissage")</f>
        <v>21</v>
      </c>
    </row>
    <row r="21" spans="1:8" x14ac:dyDescent="0.25">
      <c r="A21" s="108" t="s">
        <v>210</v>
      </c>
      <c r="B21" s="106">
        <f>COUNTIF(Effectif!G2:G64,"tunisien")</f>
        <v>0</v>
      </c>
      <c r="D21" s="108" t="s">
        <v>213</v>
      </c>
      <c r="E21" s="106">
        <f>COUNTIF(Effectif!AL2:AL64,"Oui")</f>
        <v>13</v>
      </c>
      <c r="G21" s="119" t="s">
        <v>88</v>
      </c>
      <c r="H21" s="103">
        <f>B2-SUM(H17:H20)</f>
        <v>29</v>
      </c>
    </row>
    <row r="22" spans="1:8" ht="15.75" thickBot="1" x14ac:dyDescent="0.3">
      <c r="A22" s="129" t="s">
        <v>29</v>
      </c>
      <c r="B22" s="104">
        <f>COUNTA(Effectif!A2:A64)-(SUM(B11:B21))</f>
        <v>63</v>
      </c>
      <c r="D22" s="129" t="s">
        <v>214</v>
      </c>
      <c r="E22" s="104">
        <f>COUNTIF(Effectif!AM2:AM64,"Oui")</f>
        <v>3</v>
      </c>
    </row>
    <row r="23" spans="1:8" ht="17.25" thickTop="1" thickBot="1" x14ac:dyDescent="0.3">
      <c r="G23" s="63" t="s">
        <v>56</v>
      </c>
      <c r="H23" s="107" t="s">
        <v>225</v>
      </c>
    </row>
    <row r="24" spans="1:8" ht="17.25" thickTop="1" thickBot="1" x14ac:dyDescent="0.3">
      <c r="A24" s="63" t="s">
        <v>215</v>
      </c>
      <c r="B24" s="107" t="s">
        <v>225</v>
      </c>
      <c r="D24" s="63" t="s">
        <v>217</v>
      </c>
      <c r="E24" s="107" t="s">
        <v>225</v>
      </c>
      <c r="G24" s="128" t="s">
        <v>219</v>
      </c>
      <c r="H24" s="109">
        <f>COUNTIF(Effectif!AE2:AE64,"Mois")</f>
        <v>27</v>
      </c>
    </row>
    <row r="25" spans="1:8" ht="15.75" thickTop="1" x14ac:dyDescent="0.25">
      <c r="A25" s="128" t="s">
        <v>216</v>
      </c>
      <c r="B25" s="109">
        <f>COUNTIF(Effectif!Z2:Z64,"Oui")</f>
        <v>55</v>
      </c>
      <c r="D25" s="128" t="s">
        <v>36</v>
      </c>
      <c r="E25" s="109">
        <f>COUNTIF(Effectif!AQ2:AQ64,"Vie privée et familiale")</f>
        <v>1</v>
      </c>
      <c r="G25" s="129" t="s">
        <v>220</v>
      </c>
      <c r="H25" s="104">
        <f>COUNTIF(Effectif!AE2:AE62,"Trimestre")</f>
        <v>34</v>
      </c>
    </row>
    <row r="26" spans="1:8" ht="15.75" thickBot="1" x14ac:dyDescent="0.3">
      <c r="A26" s="129" t="s">
        <v>218</v>
      </c>
      <c r="B26" s="104">
        <f>COUNTIF(Effectif!AC2:AC64,"Oui")</f>
        <v>19</v>
      </c>
      <c r="D26" s="110" t="s">
        <v>33</v>
      </c>
      <c r="E26" s="105">
        <f>COUNTIF(Effectif!AQ2:AQ64,"Travailleur temporaire")</f>
        <v>10</v>
      </c>
    </row>
    <row r="27" spans="1:8" ht="17.25" thickTop="1" thickBot="1" x14ac:dyDescent="0.3">
      <c r="D27" s="119" t="s">
        <v>34</v>
      </c>
      <c r="E27" s="103">
        <f>COUNTIF(Effectif!AQ2:AQ64,"nationalité")</f>
        <v>3</v>
      </c>
      <c r="G27" s="63" t="s">
        <v>315</v>
      </c>
      <c r="H27" s="107"/>
    </row>
    <row r="28" spans="1:8" ht="17.25" thickTop="1" thickBot="1" x14ac:dyDescent="0.3">
      <c r="A28" s="63" t="s">
        <v>221</v>
      </c>
      <c r="B28" s="107" t="s">
        <v>225</v>
      </c>
      <c r="G28" s="108" t="s">
        <v>316</v>
      </c>
      <c r="H28" s="203">
        <f>SUMIF(Effectif!AE2:AE63,"Trimestre",Effectif!AG2:AG63)</f>
        <v>801</v>
      </c>
    </row>
    <row r="29" spans="1:8" ht="15.75" thickTop="1" x14ac:dyDescent="0.25">
      <c r="A29" s="136" t="s">
        <v>222</v>
      </c>
      <c r="B29" s="137">
        <f>COUNTIF(Effectif!AD2:AD64,"Oui")</f>
        <v>34</v>
      </c>
      <c r="G29" s="110" t="s">
        <v>317</v>
      </c>
      <c r="H29" s="204">
        <f>SUMIF(Effectif!AE2:AE63,"Mois",Effectif!AG2:AG63)</f>
        <v>463.49999999999983</v>
      </c>
    </row>
    <row r="30" spans="1:8" x14ac:dyDescent="0.25">
      <c r="G30" s="119" t="s">
        <v>318</v>
      </c>
      <c r="H30" s="103">
        <f>SUM(H28:H29)</f>
        <v>1264.4999999999998</v>
      </c>
    </row>
  </sheetData>
  <customSheetViews>
    <customSheetView guid="{EE943BA9-0B80-4629-8DFD-5400001CD553}" printArea="1" state="hidden" topLeftCell="A12">
      <selection activeCell="H29" sqref="H29"/>
      <pageMargins left="0.7" right="0.7" top="0.75" bottom="0.75" header="0.3" footer="0.3"/>
      <pageSetup paperSize="9" orientation="portrait" verticalDpi="0" r:id="rId1"/>
    </customSheetView>
    <customSheetView guid="{23892BE3-6C12-4C60-B754-ED0B7FB9276C}" state="hidden">
      <selection sqref="A1:H31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/>
  <dimension ref="A1:AY1"/>
  <sheetViews>
    <sheetView workbookViewId="0">
      <selection activeCell="AO7" sqref="AO7"/>
    </sheetView>
  </sheetViews>
  <sheetFormatPr baseColWidth="10" defaultRowHeight="15" x14ac:dyDescent="0.25"/>
  <cols>
    <col min="4" max="4" width="11.85546875" bestFit="1" customWidth="1"/>
    <col min="6" max="6" width="10.28515625" bestFit="1" customWidth="1"/>
    <col min="7" max="7" width="13.28515625" bestFit="1" customWidth="1"/>
    <col min="10" max="10" width="11.85546875" bestFit="1" customWidth="1"/>
    <col min="13" max="13" width="11.85546875" bestFit="1" customWidth="1"/>
    <col min="15" max="15" width="17" bestFit="1" customWidth="1"/>
    <col min="17" max="17" width="7.7109375" bestFit="1" customWidth="1"/>
    <col min="18" max="18" width="12.42578125" bestFit="1" customWidth="1"/>
    <col min="19" max="19" width="14" bestFit="1" customWidth="1"/>
    <col min="20" max="20" width="22" bestFit="1" customWidth="1"/>
    <col min="21" max="21" width="25.7109375" bestFit="1" customWidth="1"/>
    <col min="23" max="23" width="17.140625" bestFit="1" customWidth="1"/>
    <col min="27" max="27" width="23.42578125" bestFit="1" customWidth="1"/>
    <col min="28" max="28" width="11.85546875" bestFit="1" customWidth="1"/>
    <col min="29" max="29" width="4.7109375" bestFit="1" customWidth="1"/>
    <col min="30" max="30" width="8.5703125" bestFit="1" customWidth="1"/>
    <col min="31" max="31" width="9.140625" bestFit="1" customWidth="1"/>
    <col min="42" max="42" width="4.7109375" bestFit="1" customWidth="1"/>
    <col min="43" max="43" width="9.5703125" bestFit="1" customWidth="1"/>
    <col min="44" max="44" width="14.5703125" bestFit="1" customWidth="1"/>
    <col min="45" max="45" width="6.7109375" bestFit="1" customWidth="1"/>
    <col min="46" max="46" width="3.42578125" bestFit="1" customWidth="1"/>
    <col min="47" max="47" width="14.85546875" bestFit="1" customWidth="1"/>
    <col min="48" max="48" width="11.28515625" bestFit="1" customWidth="1"/>
    <col min="49" max="49" width="16.42578125" hidden="1" customWidth="1"/>
    <col min="50" max="50" width="9.28515625" bestFit="1" customWidth="1"/>
  </cols>
  <sheetData>
    <row r="1" spans="1:51" ht="48.75" customHeight="1" thickTop="1" x14ac:dyDescent="0.25">
      <c r="A1" s="56" t="s">
        <v>0</v>
      </c>
      <c r="B1" s="57" t="s">
        <v>1</v>
      </c>
      <c r="C1" s="57" t="s">
        <v>118</v>
      </c>
      <c r="D1" s="57" t="s">
        <v>2</v>
      </c>
      <c r="E1" s="57" t="s">
        <v>3</v>
      </c>
      <c r="F1" s="57" t="s">
        <v>26</v>
      </c>
      <c r="G1" s="57" t="s">
        <v>136</v>
      </c>
      <c r="H1" s="57" t="s">
        <v>140</v>
      </c>
      <c r="I1" s="57" t="s">
        <v>39</v>
      </c>
      <c r="J1" s="57" t="s">
        <v>27</v>
      </c>
      <c r="K1" s="57" t="s">
        <v>132</v>
      </c>
      <c r="L1" s="57" t="s">
        <v>14</v>
      </c>
      <c r="M1" s="57" t="s">
        <v>38</v>
      </c>
      <c r="N1" s="57" t="s">
        <v>147</v>
      </c>
      <c r="O1" s="57" t="s">
        <v>22</v>
      </c>
      <c r="P1" s="57" t="s">
        <v>13</v>
      </c>
      <c r="Q1" s="57" t="s">
        <v>142</v>
      </c>
      <c r="R1" s="57" t="s">
        <v>4</v>
      </c>
      <c r="S1" s="57" t="s">
        <v>5</v>
      </c>
      <c r="T1" s="57" t="s">
        <v>40</v>
      </c>
      <c r="U1" s="57" t="s">
        <v>150</v>
      </c>
      <c r="V1" s="57" t="s">
        <v>44</v>
      </c>
      <c r="W1" s="57" t="s">
        <v>92</v>
      </c>
      <c r="X1" s="57" t="s">
        <v>42</v>
      </c>
      <c r="Y1" s="57" t="s">
        <v>162</v>
      </c>
      <c r="Z1" s="57" t="s">
        <v>6</v>
      </c>
      <c r="AA1" s="57" t="s">
        <v>166</v>
      </c>
      <c r="AB1" s="57" t="s">
        <v>47</v>
      </c>
      <c r="AC1" s="57" t="s">
        <v>93</v>
      </c>
      <c r="AD1" s="57" t="s">
        <v>122</v>
      </c>
      <c r="AE1" s="57" t="s">
        <v>54</v>
      </c>
      <c r="AF1" s="57" t="s">
        <v>55</v>
      </c>
      <c r="AG1" s="57" t="s">
        <v>137</v>
      </c>
      <c r="AH1" s="57" t="s">
        <v>134</v>
      </c>
      <c r="AI1" s="57" t="s">
        <v>12</v>
      </c>
      <c r="AJ1" s="57" t="s">
        <v>41</v>
      </c>
      <c r="AK1" s="57" t="s">
        <v>11</v>
      </c>
      <c r="AL1" s="57" t="s">
        <v>121</v>
      </c>
      <c r="AM1" s="57" t="s">
        <v>169</v>
      </c>
      <c r="AN1" s="57" t="s">
        <v>148</v>
      </c>
      <c r="AO1" s="57" t="s">
        <v>31</v>
      </c>
      <c r="AP1" s="57" t="s">
        <v>163</v>
      </c>
      <c r="AQ1" s="57" t="s">
        <v>30</v>
      </c>
      <c r="AR1" s="57" t="s">
        <v>45</v>
      </c>
      <c r="AS1" s="57" t="s">
        <v>91</v>
      </c>
      <c r="AT1" s="57" t="s">
        <v>141</v>
      </c>
      <c r="AU1" s="57" t="s">
        <v>46</v>
      </c>
      <c r="AV1" s="58" t="s">
        <v>10</v>
      </c>
      <c r="AW1" s="58" t="s">
        <v>164</v>
      </c>
      <c r="AX1" s="58" t="s">
        <v>167</v>
      </c>
      <c r="AY1" s="59" t="s">
        <v>170</v>
      </c>
    </row>
  </sheetData>
  <customSheetViews>
    <customSheetView guid="{EE943BA9-0B80-4629-8DFD-5400001CD553}" hiddenColumns="1">
      <selection activeCell="AO7" sqref="AO7"/>
      <pageMargins left="0.7" right="0.7" top="0.75" bottom="0.75" header="0.3" footer="0.3"/>
      <pageSetup paperSize="9" orientation="portrait" verticalDpi="0" r:id="rId1"/>
    </customSheetView>
    <customSheetView guid="{23892BE3-6C12-4C60-B754-ED0B7FB9276C}" hiddenColumns="1">
      <selection activeCell="AO7" sqref="AO7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pageSetUpPr fitToPage="1"/>
  </sheetPr>
  <dimension ref="A1:L81"/>
  <sheetViews>
    <sheetView topLeftCell="A79" workbookViewId="0">
      <selection activeCell="A52" sqref="A52:G92"/>
    </sheetView>
  </sheetViews>
  <sheetFormatPr baseColWidth="10" defaultColWidth="11.42578125" defaultRowHeight="15" x14ac:dyDescent="0.25"/>
  <cols>
    <col min="1" max="1" width="17.85546875" style="2" bestFit="1" customWidth="1"/>
    <col min="2" max="2" width="17" style="2" bestFit="1" customWidth="1"/>
    <col min="3" max="3" width="11.42578125" style="2"/>
    <col min="4" max="4" width="24.7109375" style="2" bestFit="1" customWidth="1"/>
    <col min="5" max="5" width="12.7109375" style="2" bestFit="1" customWidth="1"/>
    <col min="6" max="6" width="13.28515625" style="2" customWidth="1"/>
    <col min="7" max="7" width="14.42578125" style="2" bestFit="1" customWidth="1"/>
    <col min="8" max="9" width="11.42578125" style="2"/>
    <col min="10" max="10" width="10.7109375" style="2" bestFit="1" customWidth="1"/>
    <col min="11" max="16384" width="11.42578125" style="2"/>
  </cols>
  <sheetData>
    <row r="1" spans="1:12" ht="29.25" customHeight="1" thickTop="1" x14ac:dyDescent="0.25">
      <c r="A1" s="222" t="s">
        <v>319</v>
      </c>
      <c r="B1" s="223"/>
      <c r="C1" s="223"/>
      <c r="D1" s="223"/>
      <c r="E1" s="228" t="s">
        <v>13</v>
      </c>
      <c r="F1" s="231" t="e">
        <f>VLOOKUP(A1,Effectif!C2:AW65,14,FALSE)</f>
        <v>#N/A</v>
      </c>
      <c r="G1" s="232"/>
      <c r="J1" s="212" t="e">
        <f>VLOOKUP(A1,Effectif!C2:AW65,1,FALSE)</f>
        <v>#N/A</v>
      </c>
      <c r="K1" s="213"/>
      <c r="L1" s="214"/>
    </row>
    <row r="2" spans="1:12" ht="15" customHeight="1" x14ac:dyDescent="0.25">
      <c r="A2" s="224"/>
      <c r="B2" s="225"/>
      <c r="C2" s="225"/>
      <c r="D2" s="225"/>
      <c r="E2" s="229"/>
      <c r="F2" s="233"/>
      <c r="G2" s="234"/>
      <c r="J2" s="215"/>
      <c r="K2" s="216"/>
      <c r="L2" s="217"/>
    </row>
    <row r="3" spans="1:12" x14ac:dyDescent="0.25">
      <c r="A3" s="224"/>
      <c r="B3" s="225"/>
      <c r="C3" s="225"/>
      <c r="D3" s="225"/>
      <c r="E3" s="229"/>
      <c r="F3" s="233"/>
      <c r="G3" s="234"/>
      <c r="J3" s="215"/>
      <c r="K3" s="216"/>
      <c r="L3" s="217"/>
    </row>
    <row r="4" spans="1:12" ht="15.75" thickBot="1" x14ac:dyDescent="0.3">
      <c r="A4" s="226"/>
      <c r="B4" s="227"/>
      <c r="C4" s="227"/>
      <c r="D4" s="227"/>
      <c r="E4" s="230"/>
      <c r="F4" s="235"/>
      <c r="G4" s="236"/>
      <c r="J4" s="215"/>
      <c r="K4" s="216"/>
      <c r="L4" s="217"/>
    </row>
    <row r="5" spans="1:12" ht="15.75" customHeight="1" thickTop="1" x14ac:dyDescent="0.25">
      <c r="A5" s="50"/>
      <c r="B5" s="50"/>
      <c r="C5" s="50"/>
      <c r="D5" s="50"/>
      <c r="E5" s="51"/>
      <c r="F5" s="52"/>
      <c r="G5" s="52"/>
      <c r="J5" s="215"/>
      <c r="K5" s="216"/>
      <c r="L5" s="217"/>
    </row>
    <row r="6" spans="1:12" ht="15.75" customHeight="1" thickBot="1" x14ac:dyDescent="0.3">
      <c r="A6" s="45"/>
      <c r="B6" s="45"/>
      <c r="C6" s="45"/>
      <c r="D6" s="45"/>
      <c r="E6" s="46"/>
      <c r="F6" s="47"/>
      <c r="G6" s="47"/>
      <c r="J6" s="215"/>
      <c r="K6" s="216"/>
      <c r="L6" s="217"/>
    </row>
    <row r="7" spans="1:12" ht="15.75" thickTop="1" x14ac:dyDescent="0.25">
      <c r="A7" s="31"/>
      <c r="B7" s="26"/>
      <c r="C7" s="26"/>
      <c r="D7" s="26"/>
      <c r="E7" s="26"/>
      <c r="F7" s="26"/>
      <c r="G7" s="32"/>
      <c r="J7" s="215"/>
      <c r="K7" s="216"/>
      <c r="L7" s="217"/>
    </row>
    <row r="8" spans="1:12" x14ac:dyDescent="0.25">
      <c r="A8" s="181" t="s">
        <v>94</v>
      </c>
      <c r="B8" s="179"/>
      <c r="C8" s="12" t="e">
        <f>VLOOKUP(A1,Effectif!C2:AW65,2,FALSE)</f>
        <v>#N/A</v>
      </c>
      <c r="D8" s="179"/>
      <c r="E8" s="182" t="s">
        <v>99</v>
      </c>
      <c r="G8" s="180"/>
      <c r="J8" s="215"/>
      <c r="K8" s="216"/>
      <c r="L8" s="217"/>
    </row>
    <row r="9" spans="1:12" x14ac:dyDescent="0.25">
      <c r="A9" s="181" t="s">
        <v>95</v>
      </c>
      <c r="B9" s="179"/>
      <c r="C9" s="179" t="e">
        <f>VLOOKUP(A1,Effectif!C2:AW65,5,FALSE)</f>
        <v>#N/A</v>
      </c>
      <c r="D9" s="179"/>
      <c r="E9" s="184" t="s">
        <v>100</v>
      </c>
      <c r="G9" s="183"/>
      <c r="J9" s="215"/>
      <c r="K9" s="216"/>
      <c r="L9" s="217"/>
    </row>
    <row r="10" spans="1:12" x14ac:dyDescent="0.25">
      <c r="A10" s="181" t="s">
        <v>96</v>
      </c>
      <c r="B10" s="179"/>
      <c r="C10" s="179" t="s">
        <v>120</v>
      </c>
      <c r="D10" s="179"/>
      <c r="E10" s="179" t="s">
        <v>101</v>
      </c>
      <c r="G10" s="185"/>
      <c r="J10" s="215"/>
      <c r="K10" s="216"/>
      <c r="L10" s="217"/>
    </row>
    <row r="11" spans="1:12" x14ac:dyDescent="0.25">
      <c r="A11" s="181"/>
      <c r="B11" s="179"/>
      <c r="C11" s="179"/>
      <c r="D11" s="179"/>
      <c r="E11" s="179" t="s">
        <v>102</v>
      </c>
      <c r="G11" s="180"/>
      <c r="J11" s="215"/>
      <c r="K11" s="216"/>
      <c r="L11" s="217"/>
    </row>
    <row r="12" spans="1:12" x14ac:dyDescent="0.25">
      <c r="A12" s="181" t="s">
        <v>26</v>
      </c>
      <c r="B12" s="179"/>
      <c r="C12" s="179" t="s">
        <v>119</v>
      </c>
      <c r="D12" s="179"/>
      <c r="E12" s="179"/>
      <c r="G12" s="180"/>
      <c r="J12" s="215"/>
      <c r="K12" s="216"/>
      <c r="L12" s="217"/>
    </row>
    <row r="13" spans="1:12" x14ac:dyDescent="0.25">
      <c r="A13" s="181" t="s">
        <v>97</v>
      </c>
      <c r="B13" s="179"/>
      <c r="C13" s="12" t="e">
        <f>VLOOKUP(A1,Effectif!C2:AW65,8,FALSE)</f>
        <v>#N/A</v>
      </c>
      <c r="D13" s="179"/>
      <c r="E13" s="182" t="s">
        <v>108</v>
      </c>
      <c r="G13" s="180"/>
      <c r="J13" s="215"/>
      <c r="K13" s="216"/>
      <c r="L13" s="217"/>
    </row>
    <row r="14" spans="1:12" x14ac:dyDescent="0.25">
      <c r="A14" s="181" t="s">
        <v>98</v>
      </c>
      <c r="B14" s="26"/>
      <c r="C14" s="12" t="e">
        <f>VLOOKUP(A1,Effectif!C2:AW65,11,FALSE)</f>
        <v>#N/A</v>
      </c>
      <c r="D14" s="26"/>
      <c r="E14" s="208" t="e">
        <f>VLOOKUP(A1,Effectif!C2:AAS62,6,FALSE)</f>
        <v>#N/A</v>
      </c>
      <c r="G14" s="183"/>
      <c r="J14" s="215"/>
      <c r="K14" s="216"/>
      <c r="L14" s="217"/>
    </row>
    <row r="15" spans="1:12" x14ac:dyDescent="0.25">
      <c r="A15" s="31"/>
      <c r="G15" s="32"/>
      <c r="J15" s="215"/>
      <c r="K15" s="216"/>
      <c r="L15" s="217"/>
    </row>
    <row r="16" spans="1:12" x14ac:dyDescent="0.25">
      <c r="A16" s="31"/>
      <c r="B16" s="27"/>
      <c r="C16" s="12"/>
      <c r="D16" s="12"/>
      <c r="E16" s="12"/>
      <c r="F16" s="26"/>
      <c r="G16" s="32"/>
      <c r="J16" s="215"/>
      <c r="K16" s="216"/>
      <c r="L16" s="217"/>
    </row>
    <row r="17" spans="1:12" x14ac:dyDescent="0.25">
      <c r="A17" s="33"/>
      <c r="B17" s="29"/>
      <c r="C17" s="29"/>
      <c r="D17" s="29"/>
      <c r="E17" s="29"/>
      <c r="F17" s="29"/>
      <c r="G17" s="34"/>
      <c r="J17" s="215"/>
      <c r="K17" s="216"/>
      <c r="L17" s="217"/>
    </row>
    <row r="18" spans="1:12" x14ac:dyDescent="0.25">
      <c r="A18" s="35"/>
      <c r="B18" s="28"/>
      <c r="C18" s="28"/>
      <c r="D18" s="28"/>
      <c r="E18" s="28"/>
      <c r="F18" s="28"/>
      <c r="G18" s="36"/>
      <c r="J18" s="215"/>
      <c r="K18" s="216"/>
      <c r="L18" s="217"/>
    </row>
    <row r="19" spans="1:12" x14ac:dyDescent="0.25">
      <c r="A19" s="37" t="s">
        <v>165</v>
      </c>
      <c r="B19" s="13" t="s">
        <v>100</v>
      </c>
      <c r="C19" s="26"/>
      <c r="D19" s="27" t="s">
        <v>104</v>
      </c>
      <c r="E19" s="26" t="e">
        <f>VLOOKUP(A1,Effectif!C2:AW65,43,FALSE)</f>
        <v>#N/A</v>
      </c>
      <c r="F19" s="14" t="s">
        <v>149</v>
      </c>
      <c r="G19" s="38" t="e">
        <f>VLOOKUP(A1,Effectif!C2:AW65,44,FALSE)</f>
        <v>#N/A</v>
      </c>
      <c r="J19" s="215"/>
      <c r="K19" s="216"/>
      <c r="L19" s="217"/>
    </row>
    <row r="20" spans="1:12" x14ac:dyDescent="0.25">
      <c r="A20" s="37" t="s">
        <v>103</v>
      </c>
      <c r="B20" s="221" t="e">
        <f>VLOOKUP(A1,Effectif!C2:AW65,13,FALSE)</f>
        <v>#N/A</v>
      </c>
      <c r="C20" s="221"/>
      <c r="D20" s="27" t="s">
        <v>157</v>
      </c>
      <c r="E20" s="26" t="e">
        <f>VLOOKUP(A1,Effectif!C2:AW65,45,FALSE)</f>
        <v>#N/A</v>
      </c>
      <c r="F20" s="26"/>
      <c r="G20" s="32"/>
      <c r="J20" s="215"/>
      <c r="K20" s="216"/>
      <c r="L20" s="217"/>
    </row>
    <row r="21" spans="1:12" ht="15.75" thickBot="1" x14ac:dyDescent="0.3">
      <c r="A21" s="39"/>
      <c r="B21" s="40"/>
      <c r="C21" s="40"/>
      <c r="D21" s="40"/>
      <c r="E21" s="40"/>
      <c r="F21" s="40"/>
      <c r="G21" s="41"/>
      <c r="J21" s="215"/>
      <c r="K21" s="216"/>
      <c r="L21" s="217"/>
    </row>
    <row r="22" spans="1:12" ht="16.5" thickTop="1" thickBot="1" x14ac:dyDescent="0.3">
      <c r="J22" s="215"/>
      <c r="K22" s="216"/>
      <c r="L22" s="217"/>
    </row>
    <row r="23" spans="1:12" ht="15.75" thickTop="1" x14ac:dyDescent="0.25">
      <c r="A23" s="237" t="s">
        <v>105</v>
      </c>
      <c r="B23" s="238"/>
      <c r="C23" s="238"/>
      <c r="D23" s="238"/>
      <c r="E23" s="238"/>
      <c r="F23" s="238"/>
      <c r="G23" s="239"/>
      <c r="J23" s="215"/>
      <c r="K23" s="216"/>
      <c r="L23" s="217"/>
    </row>
    <row r="24" spans="1:12" x14ac:dyDescent="0.25">
      <c r="A24" s="35"/>
      <c r="B24" s="28"/>
      <c r="C24" s="28"/>
      <c r="D24" s="28"/>
      <c r="E24" s="28"/>
      <c r="F24" s="28"/>
      <c r="G24" s="36"/>
      <c r="J24" s="215"/>
      <c r="K24" s="216"/>
      <c r="L24" s="217"/>
    </row>
    <row r="25" spans="1:12" x14ac:dyDescent="0.25">
      <c r="A25" s="240" t="s">
        <v>110</v>
      </c>
      <c r="B25" s="241"/>
      <c r="C25" s="221" t="e">
        <f>VLOOKUP(A1,Effectif!C2:AW65,16,FALSE)</f>
        <v>#N/A</v>
      </c>
      <c r="D25" s="221"/>
      <c r="E25" s="221"/>
      <c r="F25" s="26"/>
      <c r="G25" s="32"/>
      <c r="J25" s="215"/>
      <c r="K25" s="216"/>
      <c r="L25" s="217"/>
    </row>
    <row r="26" spans="1:12" x14ac:dyDescent="0.25">
      <c r="A26" s="240" t="s">
        <v>109</v>
      </c>
      <c r="B26" s="241"/>
      <c r="C26" s="221" t="e">
        <f>VLOOKUP(A1,Effectif!C2:AW65,17,FALSE)</f>
        <v>#N/A</v>
      </c>
      <c r="D26" s="221"/>
      <c r="E26" s="221"/>
      <c r="F26" s="26"/>
      <c r="G26" s="32"/>
      <c r="J26" s="215"/>
      <c r="K26" s="216"/>
      <c r="L26" s="217"/>
    </row>
    <row r="27" spans="1:12" x14ac:dyDescent="0.25">
      <c r="A27" s="240" t="s">
        <v>107</v>
      </c>
      <c r="B27" s="241"/>
      <c r="C27" s="221" t="e">
        <f>VLOOKUP(A1,Effectif!C2:AW65,18,FALSE)</f>
        <v>#N/A</v>
      </c>
      <c r="D27" s="221"/>
      <c r="E27" s="221"/>
      <c r="F27" s="26"/>
      <c r="G27" s="32"/>
      <c r="J27" s="215"/>
      <c r="K27" s="216"/>
      <c r="L27" s="217"/>
    </row>
    <row r="28" spans="1:12" x14ac:dyDescent="0.25">
      <c r="A28" s="31"/>
      <c r="B28" s="26"/>
      <c r="C28" s="26"/>
      <c r="D28" s="26"/>
      <c r="E28" s="26"/>
      <c r="F28" s="26"/>
      <c r="G28" s="32"/>
      <c r="J28" s="215"/>
      <c r="K28" s="216"/>
      <c r="L28" s="217"/>
    </row>
    <row r="29" spans="1:12" x14ac:dyDescent="0.25">
      <c r="A29" s="240" t="s">
        <v>106</v>
      </c>
      <c r="B29" s="241"/>
      <c r="C29" s="221" t="e">
        <f>VLOOKUP(A1,Effectif!C2:BB65,38,FALSE)</f>
        <v>#N/A</v>
      </c>
      <c r="D29" s="221"/>
      <c r="E29" s="221"/>
      <c r="F29" s="26"/>
      <c r="G29" s="32"/>
      <c r="J29" s="215"/>
      <c r="K29" s="216"/>
      <c r="L29" s="217"/>
    </row>
    <row r="30" spans="1:12" x14ac:dyDescent="0.25">
      <c r="A30" s="240" t="s">
        <v>107</v>
      </c>
      <c r="B30" s="241"/>
      <c r="C30" s="221" t="e">
        <f>VLOOKUP(A1,Effectif!C2:BB65,40,FALSE)</f>
        <v>#N/A</v>
      </c>
      <c r="D30" s="221"/>
      <c r="E30" s="221"/>
      <c r="F30" s="26"/>
      <c r="G30" s="32"/>
      <c r="J30" s="215"/>
      <c r="K30" s="216"/>
      <c r="L30" s="217"/>
    </row>
    <row r="31" spans="1:12" x14ac:dyDescent="0.25">
      <c r="A31" s="181" t="s">
        <v>108</v>
      </c>
      <c r="B31" s="182"/>
      <c r="C31" s="244" t="e">
        <f>VLOOKUP(A1,Effectif!C2:BB65,39,FALSE)</f>
        <v>#N/A</v>
      </c>
      <c r="D31" s="244"/>
      <c r="E31" s="244"/>
      <c r="F31" s="179"/>
      <c r="G31" s="180"/>
      <c r="J31" s="215"/>
      <c r="K31" s="216"/>
      <c r="L31" s="217"/>
    </row>
    <row r="32" spans="1:12" ht="15.75" thickBot="1" x14ac:dyDescent="0.3">
      <c r="A32" s="39"/>
      <c r="B32" s="40"/>
      <c r="C32" s="40"/>
      <c r="D32" s="40"/>
      <c r="E32" s="40"/>
      <c r="F32" s="40"/>
      <c r="G32" s="41"/>
      <c r="J32" s="215"/>
      <c r="K32" s="216"/>
      <c r="L32" s="217"/>
    </row>
    <row r="33" spans="1:12" ht="16.5" thickTop="1" thickBot="1" x14ac:dyDescent="0.3">
      <c r="J33" s="215"/>
      <c r="K33" s="216"/>
      <c r="L33" s="217"/>
    </row>
    <row r="34" spans="1:12" ht="15.75" thickTop="1" x14ac:dyDescent="0.25">
      <c r="A34" s="237" t="s">
        <v>111</v>
      </c>
      <c r="B34" s="238"/>
      <c r="C34" s="238"/>
      <c r="D34" s="238"/>
      <c r="E34" s="238"/>
      <c r="F34" s="238"/>
      <c r="G34" s="239"/>
      <c r="J34" s="215"/>
      <c r="K34" s="216"/>
      <c r="L34" s="217"/>
    </row>
    <row r="35" spans="1:12" x14ac:dyDescent="0.25">
      <c r="A35" s="35"/>
      <c r="B35" s="28"/>
      <c r="C35" s="28"/>
      <c r="D35" s="28"/>
      <c r="E35" s="28"/>
      <c r="F35" s="28"/>
      <c r="G35" s="36"/>
      <c r="J35" s="215"/>
      <c r="K35" s="216"/>
      <c r="L35" s="217"/>
    </row>
    <row r="36" spans="1:12" x14ac:dyDescent="0.25">
      <c r="A36" s="55" t="s">
        <v>156</v>
      </c>
      <c r="B36" s="249" t="e">
        <f>VLOOKUP(A1,Effectif!C2:AW65,19,FALSE)</f>
        <v>#N/A</v>
      </c>
      <c r="C36" s="249"/>
      <c r="D36" s="53" t="s">
        <v>158</v>
      </c>
      <c r="E36" s="221" t="e">
        <f>VLOOKUP(A1,Effectif!C2:AW65,12,FALSE)</f>
        <v>#N/A</v>
      </c>
      <c r="F36" s="221"/>
      <c r="G36" s="48"/>
      <c r="J36" s="215"/>
      <c r="K36" s="216"/>
      <c r="L36" s="217"/>
    </row>
    <row r="37" spans="1:12" ht="15.75" thickBot="1" x14ac:dyDescent="0.3">
      <c r="A37" s="42"/>
      <c r="B37" s="43"/>
      <c r="C37" s="43"/>
      <c r="D37" s="43"/>
      <c r="E37" s="43"/>
      <c r="F37" s="43"/>
      <c r="G37" s="44"/>
      <c r="J37" s="215"/>
      <c r="K37" s="216"/>
      <c r="L37" s="217"/>
    </row>
    <row r="38" spans="1:12" ht="16.5" thickTop="1" thickBot="1" x14ac:dyDescent="0.3">
      <c r="J38" s="215"/>
      <c r="K38" s="216"/>
      <c r="L38" s="217"/>
    </row>
    <row r="39" spans="1:12" ht="15.75" thickTop="1" x14ac:dyDescent="0.25">
      <c r="A39" s="237" t="s">
        <v>112</v>
      </c>
      <c r="B39" s="238"/>
      <c r="C39" s="238"/>
      <c r="D39" s="238"/>
      <c r="E39" s="238"/>
      <c r="F39" s="238"/>
      <c r="G39" s="239"/>
      <c r="J39" s="215"/>
      <c r="K39" s="216"/>
      <c r="L39" s="217"/>
    </row>
    <row r="40" spans="1:12" x14ac:dyDescent="0.25">
      <c r="A40" s="35"/>
      <c r="B40" s="28"/>
      <c r="C40" s="28"/>
      <c r="D40" s="28"/>
      <c r="E40" s="28"/>
      <c r="F40" s="28"/>
      <c r="G40" s="36"/>
      <c r="J40" s="215"/>
      <c r="K40" s="216"/>
      <c r="L40" s="217"/>
    </row>
    <row r="41" spans="1:12" x14ac:dyDescent="0.25">
      <c r="A41" s="240" t="s">
        <v>113</v>
      </c>
      <c r="B41" s="241"/>
      <c r="C41" s="221" t="s">
        <v>153</v>
      </c>
      <c r="D41" s="221"/>
      <c r="E41" s="221"/>
      <c r="F41" s="221"/>
      <c r="G41" s="250"/>
      <c r="J41" s="215"/>
      <c r="K41" s="216"/>
      <c r="L41" s="217"/>
    </row>
    <row r="42" spans="1:12" x14ac:dyDescent="0.25">
      <c r="A42" s="240" t="s">
        <v>114</v>
      </c>
      <c r="B42" s="241"/>
      <c r="C42" s="221" t="s">
        <v>153</v>
      </c>
      <c r="D42" s="221"/>
      <c r="E42" s="221"/>
      <c r="F42" s="221"/>
      <c r="G42" s="250"/>
      <c r="J42" s="215"/>
      <c r="K42" s="216"/>
      <c r="L42" s="217"/>
    </row>
    <row r="43" spans="1:12" x14ac:dyDescent="0.25">
      <c r="A43" s="240" t="s">
        <v>115</v>
      </c>
      <c r="B43" s="241"/>
      <c r="C43" s="221" t="s">
        <v>153</v>
      </c>
      <c r="D43" s="221"/>
      <c r="E43" s="221"/>
      <c r="F43" s="221"/>
      <c r="G43" s="250"/>
      <c r="J43" s="215"/>
      <c r="K43" s="216"/>
      <c r="L43" s="217"/>
    </row>
    <row r="44" spans="1:12" ht="15.75" thickBot="1" x14ac:dyDescent="0.3">
      <c r="A44" s="39"/>
      <c r="B44" s="40"/>
      <c r="C44" s="40"/>
      <c r="D44" s="40"/>
      <c r="E44" s="40"/>
      <c r="F44" s="40"/>
      <c r="G44" s="41"/>
      <c r="J44" s="215"/>
      <c r="K44" s="216"/>
      <c r="L44" s="217"/>
    </row>
    <row r="45" spans="1:12" ht="16.5" thickTop="1" thickBot="1" x14ac:dyDescent="0.3">
      <c r="J45" s="215"/>
      <c r="K45" s="216"/>
      <c r="L45" s="217"/>
    </row>
    <row r="46" spans="1:12" ht="15.75" thickTop="1" x14ac:dyDescent="0.25">
      <c r="A46" s="237" t="s">
        <v>116</v>
      </c>
      <c r="B46" s="238"/>
      <c r="C46" s="238"/>
      <c r="D46" s="238"/>
      <c r="E46" s="238"/>
      <c r="F46" s="238"/>
      <c r="G46" s="239"/>
      <c r="J46" s="215"/>
      <c r="K46" s="216"/>
      <c r="L46" s="217"/>
    </row>
    <row r="47" spans="1:12" x14ac:dyDescent="0.25">
      <c r="A47" s="35"/>
      <c r="B47" s="28"/>
      <c r="C47" s="28"/>
      <c r="D47" s="28"/>
      <c r="E47" s="28"/>
      <c r="F47" s="28"/>
      <c r="G47" s="36"/>
      <c r="J47" s="215"/>
      <c r="K47" s="216"/>
      <c r="L47" s="217"/>
    </row>
    <row r="48" spans="1:12" ht="15.75" thickBot="1" x14ac:dyDescent="0.3">
      <c r="A48" s="37" t="s">
        <v>117</v>
      </c>
      <c r="B48" s="49" t="e">
        <f>VLOOKUP(A1,Effectif!C2:AW65,24,FALSE)</f>
        <v>#N/A</v>
      </c>
      <c r="C48" s="26"/>
      <c r="D48" s="27" t="s">
        <v>154</v>
      </c>
      <c r="E48" s="247" t="e">
        <f>VLOOKUP(A1,Effectif!C2:AW65,26,FALSE)</f>
        <v>#N/A</v>
      </c>
      <c r="F48" s="247"/>
      <c r="G48" s="32"/>
      <c r="J48" s="218"/>
      <c r="K48" s="219"/>
      <c r="L48" s="220"/>
    </row>
    <row r="49" spans="1:7" ht="15.75" thickTop="1" x14ac:dyDescent="0.25">
      <c r="A49" s="181" t="s">
        <v>234</v>
      </c>
      <c r="B49" s="248" t="e">
        <f>VLOOKUP(A1,Effectif!C2:AW65,25,FALSE)</f>
        <v>#N/A</v>
      </c>
      <c r="C49" s="248"/>
      <c r="D49" s="248"/>
      <c r="E49" s="26"/>
      <c r="F49" s="26"/>
      <c r="G49" s="32"/>
    </row>
    <row r="50" spans="1:7" ht="15.75" thickBot="1" x14ac:dyDescent="0.3">
      <c r="A50" s="39"/>
      <c r="B50" s="40"/>
      <c r="C50" s="40"/>
      <c r="D50" s="40"/>
      <c r="E50" s="40"/>
      <c r="F50" s="40"/>
      <c r="G50" s="41"/>
    </row>
    <row r="51" spans="1:7" ht="15.75" thickTop="1" x14ac:dyDescent="0.25"/>
    <row r="70" spans="1:6" ht="21" x14ac:dyDescent="0.35">
      <c r="B70" s="189"/>
      <c r="C70" s="246" t="s">
        <v>231</v>
      </c>
      <c r="D70" s="246"/>
      <c r="E70" s="189"/>
      <c r="F70"/>
    </row>
    <row r="71" spans="1:6" x14ac:dyDescent="0.25">
      <c r="B71"/>
      <c r="C71"/>
      <c r="D71"/>
      <c r="E71"/>
      <c r="F71"/>
    </row>
    <row r="72" spans="1:6" x14ac:dyDescent="0.25">
      <c r="B72"/>
      <c r="C72"/>
      <c r="D72"/>
      <c r="E72"/>
      <c r="F72"/>
    </row>
    <row r="73" spans="1:6" x14ac:dyDescent="0.25">
      <c r="B73" s="245" t="s">
        <v>232</v>
      </c>
      <c r="C73" s="245"/>
      <c r="D73" s="245"/>
      <c r="E73" s="245"/>
      <c r="F73" s="245"/>
    </row>
    <row r="74" spans="1:6" x14ac:dyDescent="0.25">
      <c r="B74" s="245"/>
      <c r="C74" s="245"/>
      <c r="D74" s="245"/>
      <c r="E74" s="245"/>
      <c r="F74" s="245"/>
    </row>
    <row r="75" spans="1:6" ht="15" customHeight="1" x14ac:dyDescent="0.25">
      <c r="B75" s="186" t="s">
        <v>233</v>
      </c>
      <c r="C75" s="242" t="e">
        <f>VLOOKUP(A1,Effectif!C1:AW65,1,FALSE)</f>
        <v>#N/A</v>
      </c>
      <c r="D75" s="242"/>
      <c r="E75" s="186" t="s">
        <v>235</v>
      </c>
      <c r="F75" s="190" t="e">
        <f>VLOOKUP(A1,Effectif!C1:AW67,2,FALSE)</f>
        <v>#N/A</v>
      </c>
    </row>
    <row r="76" spans="1:6" x14ac:dyDescent="0.25">
      <c r="B76" s="243" t="s">
        <v>239</v>
      </c>
      <c r="C76" s="243"/>
      <c r="D76" s="243"/>
      <c r="E76" s="243"/>
      <c r="F76" s="243"/>
    </row>
    <row r="77" spans="1:6" x14ac:dyDescent="0.25">
      <c r="B77" s="187" t="s">
        <v>236</v>
      </c>
      <c r="C77" s="190" t="e">
        <f>VLOOKUP(A1,Effectif!C1:AW67,11,FALSE)</f>
        <v>#N/A</v>
      </c>
      <c r="D77" s="187"/>
      <c r="E77" s="187"/>
      <c r="F77" s="187"/>
    </row>
    <row r="79" spans="1:6" x14ac:dyDescent="0.25">
      <c r="B79" s="2" t="s">
        <v>237</v>
      </c>
    </row>
    <row r="80" spans="1:6" x14ac:dyDescent="0.25">
      <c r="A80" s="2" t="str">
        <f>Effectif!A67&amp;" "&amp;Effectif!B67</f>
        <v xml:space="preserve"> </v>
      </c>
    </row>
    <row r="81" spans="2:3" x14ac:dyDescent="0.25">
      <c r="B81" s="2" t="s">
        <v>238</v>
      </c>
      <c r="C81" s="188">
        <f ca="1">TODAY()</f>
        <v>43973</v>
      </c>
    </row>
  </sheetData>
  <customSheetViews>
    <customSheetView guid="{EE943BA9-0B80-4629-8DFD-5400001CD553}" fitToPage="1" topLeftCell="A13">
      <selection activeCell="J1" sqref="J1:L48"/>
      <pageMargins left="0.23622047244094491" right="0.23622047244094491" top="0.74803149606299213" bottom="0.74803149606299213" header="0.31496062992125984" footer="0.31496062992125984"/>
      <printOptions horizontalCentered="1"/>
      <pageSetup paperSize="9" scale="53" orientation="portrait" r:id="rId1"/>
    </customSheetView>
    <customSheetView guid="{23892BE3-6C12-4C60-B754-ED0B7FB9276C}" fitToPage="1" topLeftCell="A48">
      <selection activeCell="B70" sqref="B70"/>
      <pageMargins left="0.23622047244094491" right="0.23622047244094491" top="0.74803149606299213" bottom="0.74803149606299213" header="0.31496062992125984" footer="0.31496062992125984"/>
      <printOptions horizontalCentered="1"/>
      <pageSetup paperSize="9" scale="81" orientation="portrait" r:id="rId2"/>
    </customSheetView>
  </customSheetViews>
  <mergeCells count="34">
    <mergeCell ref="B76:F76"/>
    <mergeCell ref="C31:E31"/>
    <mergeCell ref="B73:F74"/>
    <mergeCell ref="C70:D70"/>
    <mergeCell ref="E48:F48"/>
    <mergeCell ref="B49:D49"/>
    <mergeCell ref="B36:C36"/>
    <mergeCell ref="E36:F36"/>
    <mergeCell ref="A46:G46"/>
    <mergeCell ref="C41:G41"/>
    <mergeCell ref="C42:G42"/>
    <mergeCell ref="C43:G43"/>
    <mergeCell ref="A41:B41"/>
    <mergeCell ref="B20:C20"/>
    <mergeCell ref="C26:E26"/>
    <mergeCell ref="A26:B26"/>
    <mergeCell ref="A27:B27"/>
    <mergeCell ref="C75:D75"/>
    <mergeCell ref="J1:L48"/>
    <mergeCell ref="C30:E30"/>
    <mergeCell ref="A1:D4"/>
    <mergeCell ref="E1:E4"/>
    <mergeCell ref="F1:G4"/>
    <mergeCell ref="A39:G39"/>
    <mergeCell ref="C27:E27"/>
    <mergeCell ref="C29:E29"/>
    <mergeCell ref="A29:B29"/>
    <mergeCell ref="A23:G23"/>
    <mergeCell ref="A34:G34"/>
    <mergeCell ref="A25:B25"/>
    <mergeCell ref="A42:B42"/>
    <mergeCell ref="A43:B43"/>
    <mergeCell ref="C25:E25"/>
    <mergeCell ref="A30:B30"/>
  </mergeCells>
  <dataValidations count="1">
    <dataValidation type="list" allowBlank="1" showInputMessage="1" showErrorMessage="1" sqref="A6" xr:uid="{00000000-0002-0000-0600-000000000000}">
      <formula1>liste_jeune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600-000001000000}">
          <x14:formula1>
            <xm:f>Effectif!$C$2:$C$64</xm:f>
          </x14:formula1>
          <xm:sqref>A1:D4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pageSetUpPr fitToPage="1"/>
  </sheetPr>
  <dimension ref="A1:I62"/>
  <sheetViews>
    <sheetView workbookViewId="0">
      <selection activeCell="M5" sqref="M5"/>
    </sheetView>
  </sheetViews>
  <sheetFormatPr baseColWidth="10" defaultColWidth="11.42578125" defaultRowHeight="15" x14ac:dyDescent="0.25"/>
  <cols>
    <col min="1" max="1" width="3.5703125" style="17" bestFit="1" customWidth="1"/>
    <col min="2" max="2" width="18.7109375" style="18" bestFit="1" customWidth="1"/>
    <col min="3" max="3" width="32.28515625" style="18" bestFit="1" customWidth="1"/>
    <col min="4" max="4" width="13.5703125" style="16" bestFit="1" customWidth="1"/>
    <col min="5" max="7" width="8.7109375" style="16" bestFit="1" customWidth="1"/>
    <col min="8" max="8" width="8.7109375" style="16" customWidth="1"/>
    <col min="9" max="9" width="16.42578125" style="16" bestFit="1" customWidth="1"/>
    <col min="10" max="16384" width="11.42578125" style="16"/>
  </cols>
  <sheetData>
    <row r="1" spans="1:9" x14ac:dyDescent="0.25">
      <c r="A1" s="15"/>
      <c r="B1" s="121" t="s">
        <v>0</v>
      </c>
      <c r="C1" s="121" t="s">
        <v>1</v>
      </c>
      <c r="D1" s="121" t="s">
        <v>13</v>
      </c>
      <c r="E1" s="121" t="s">
        <v>123</v>
      </c>
      <c r="F1" s="121" t="s">
        <v>124</v>
      </c>
      <c r="G1" s="121" t="s">
        <v>125</v>
      </c>
      <c r="H1" s="121" t="s">
        <v>126</v>
      </c>
      <c r="I1" s="122" t="s">
        <v>131</v>
      </c>
    </row>
    <row r="2" spans="1:9" ht="15" customHeight="1" x14ac:dyDescent="0.25">
      <c r="A2" s="251" t="s">
        <v>127</v>
      </c>
      <c r="B2" s="123" t="str">
        <f>Effectif!A60</f>
        <v>azerty</v>
      </c>
      <c r="C2" s="123" t="str">
        <f>Effectif!B60</f>
        <v>azertty</v>
      </c>
      <c r="D2" s="124">
        <f>Effectif!P60</f>
        <v>0</v>
      </c>
      <c r="E2" s="124"/>
      <c r="F2" s="124"/>
      <c r="G2" s="124"/>
      <c r="H2" s="124"/>
      <c r="I2" s="125"/>
    </row>
    <row r="3" spans="1:9" x14ac:dyDescent="0.25">
      <c r="A3" s="252"/>
      <c r="B3" s="123" t="str">
        <f>Effectif!A49</f>
        <v>azerty</v>
      </c>
      <c r="C3" s="123" t="str">
        <f>Effectif!B49</f>
        <v>azertty</v>
      </c>
      <c r="D3" s="124">
        <f>Effectif!P49</f>
        <v>0</v>
      </c>
      <c r="E3" s="124"/>
      <c r="F3" s="124"/>
      <c r="G3" s="124"/>
      <c r="H3" s="124"/>
      <c r="I3" s="125"/>
    </row>
    <row r="4" spans="1:9" x14ac:dyDescent="0.25">
      <c r="A4" s="252"/>
      <c r="B4" s="123" t="str">
        <f>Effectif!A33</f>
        <v>azerty</v>
      </c>
      <c r="C4" s="123" t="str">
        <f>Effectif!B33</f>
        <v>azertty</v>
      </c>
      <c r="D4" s="124">
        <f>Effectif!P33</f>
        <v>0</v>
      </c>
      <c r="E4" s="124"/>
      <c r="F4" s="124"/>
      <c r="G4" s="124"/>
      <c r="H4" s="124"/>
      <c r="I4" s="125"/>
    </row>
    <row r="5" spans="1:9" x14ac:dyDescent="0.25">
      <c r="A5" s="252"/>
      <c r="B5" s="123" t="str">
        <f>Effectif!A39</f>
        <v>azerty</v>
      </c>
      <c r="C5" s="123" t="str">
        <f>Effectif!B39</f>
        <v>azertty</v>
      </c>
      <c r="D5" s="124">
        <f>Effectif!P39</f>
        <v>0</v>
      </c>
      <c r="E5" s="124"/>
      <c r="F5" s="124"/>
      <c r="G5" s="124"/>
      <c r="H5" s="124"/>
      <c r="I5" s="125"/>
    </row>
    <row r="6" spans="1:9" x14ac:dyDescent="0.25">
      <c r="A6" s="252"/>
      <c r="B6" s="123" t="str">
        <f>Effectif!A5</f>
        <v>azerty</v>
      </c>
      <c r="C6" s="123" t="str">
        <f>Effectif!B5</f>
        <v>azertty</v>
      </c>
      <c r="D6" s="124">
        <f>Effectif!P5</f>
        <v>0</v>
      </c>
      <c r="E6" s="124"/>
      <c r="F6" s="124"/>
      <c r="G6" s="124"/>
      <c r="H6" s="124"/>
      <c r="I6" s="125"/>
    </row>
    <row r="7" spans="1:9" x14ac:dyDescent="0.25">
      <c r="A7" s="252"/>
      <c r="B7" s="123" t="str">
        <f>Effectif!A48</f>
        <v>azerty</v>
      </c>
      <c r="C7" s="123" t="str">
        <f>Effectif!B48</f>
        <v>azertty</v>
      </c>
      <c r="D7" s="124">
        <f>Effectif!P48</f>
        <v>0</v>
      </c>
      <c r="E7" s="124"/>
      <c r="F7" s="124"/>
      <c r="G7" s="124"/>
      <c r="H7" s="124"/>
      <c r="I7" s="125"/>
    </row>
    <row r="8" spans="1:9" x14ac:dyDescent="0.25">
      <c r="A8" s="252"/>
      <c r="B8" s="123" t="str">
        <f>Effectif!A20</f>
        <v>azerty</v>
      </c>
      <c r="C8" s="123" t="str">
        <f>Effectif!B20</f>
        <v>azertty</v>
      </c>
      <c r="D8" s="124">
        <f>Effectif!P20</f>
        <v>0</v>
      </c>
      <c r="E8" s="124"/>
      <c r="F8" s="124"/>
      <c r="G8" s="124"/>
      <c r="H8" s="124"/>
      <c r="I8" s="125"/>
    </row>
    <row r="9" spans="1:9" ht="15" customHeight="1" x14ac:dyDescent="0.25">
      <c r="A9" s="255" t="s">
        <v>128</v>
      </c>
      <c r="B9" s="123" t="str">
        <f>Effectif!A14</f>
        <v>azerty</v>
      </c>
      <c r="C9" s="123" t="str">
        <f>Effectif!B14</f>
        <v>azertty</v>
      </c>
      <c r="D9" s="124">
        <f>Effectif!P14</f>
        <v>0</v>
      </c>
      <c r="E9" s="124"/>
      <c r="F9" s="124"/>
      <c r="G9" s="124"/>
      <c r="H9" s="124"/>
      <c r="I9" s="125"/>
    </row>
    <row r="10" spans="1:9" ht="15" customHeight="1" x14ac:dyDescent="0.25">
      <c r="A10" s="255"/>
      <c r="B10" s="123" t="str">
        <f>Effectif!A4</f>
        <v>azerty</v>
      </c>
      <c r="C10" s="123" t="str">
        <f>Effectif!B4</f>
        <v>azertty</v>
      </c>
      <c r="D10" s="124">
        <f>Effectif!P4</f>
        <v>0</v>
      </c>
      <c r="E10" s="124"/>
      <c r="F10" s="124"/>
      <c r="G10" s="124"/>
      <c r="H10" s="124"/>
      <c r="I10" s="125"/>
    </row>
    <row r="11" spans="1:9" x14ac:dyDescent="0.25">
      <c r="A11" s="255"/>
      <c r="B11" s="123" t="str">
        <f>Effectif!A53</f>
        <v>azerty</v>
      </c>
      <c r="C11" s="123" t="str">
        <f>Effectif!B53</f>
        <v>azertty</v>
      </c>
      <c r="D11" s="124">
        <f>Effectif!P53</f>
        <v>0</v>
      </c>
      <c r="E11" s="124"/>
      <c r="F11" s="124"/>
      <c r="G11" s="124"/>
      <c r="H11" s="124"/>
      <c r="I11" s="125"/>
    </row>
    <row r="12" spans="1:9" x14ac:dyDescent="0.25">
      <c r="A12" s="255"/>
      <c r="B12" s="123" t="str">
        <f>Effectif!A6</f>
        <v>azerty</v>
      </c>
      <c r="C12" s="123" t="str">
        <f>Effectif!B6</f>
        <v>azertty</v>
      </c>
      <c r="D12" s="124">
        <f>Effectif!P6</f>
        <v>0</v>
      </c>
      <c r="E12" s="124"/>
      <c r="F12" s="124"/>
      <c r="G12" s="124"/>
      <c r="H12" s="124"/>
      <c r="I12" s="125"/>
    </row>
    <row r="13" spans="1:9" x14ac:dyDescent="0.25">
      <c r="A13" s="255"/>
      <c r="B13" s="123" t="str">
        <f>Effectif!A7</f>
        <v>azerty</v>
      </c>
      <c r="C13" s="123" t="str">
        <f>Effectif!B7</f>
        <v>azertty</v>
      </c>
      <c r="D13" s="124">
        <f>Effectif!P7</f>
        <v>0</v>
      </c>
      <c r="E13" s="124"/>
      <c r="F13" s="124"/>
      <c r="G13" s="124"/>
      <c r="H13" s="124"/>
      <c r="I13" s="125"/>
    </row>
    <row r="14" spans="1:9" x14ac:dyDescent="0.25">
      <c r="A14" s="255"/>
      <c r="B14" s="123" t="str">
        <f>Effectif!A28</f>
        <v>azerty</v>
      </c>
      <c r="C14" s="123" t="str">
        <f>Effectif!B28</f>
        <v>azertty</v>
      </c>
      <c r="D14" s="124">
        <f>Effectif!P28</f>
        <v>0</v>
      </c>
      <c r="E14" s="124"/>
      <c r="F14" s="124"/>
      <c r="G14" s="124"/>
      <c r="H14" s="124"/>
      <c r="I14" s="125"/>
    </row>
    <row r="15" spans="1:9" x14ac:dyDescent="0.25">
      <c r="A15" s="255"/>
      <c r="B15" s="123" t="str">
        <f>Effectif!A42</f>
        <v>azerty</v>
      </c>
      <c r="C15" s="123" t="str">
        <f>Effectif!B42</f>
        <v>azertty</v>
      </c>
      <c r="D15" s="124">
        <f>Effectif!P42</f>
        <v>0</v>
      </c>
      <c r="E15" s="124"/>
      <c r="F15" s="124"/>
      <c r="G15" s="124"/>
      <c r="H15" s="124"/>
      <c r="I15" s="125"/>
    </row>
    <row r="16" spans="1:9" x14ac:dyDescent="0.25">
      <c r="A16" s="255"/>
      <c r="B16" s="123" t="str">
        <f>Effectif!A37</f>
        <v>azerty</v>
      </c>
      <c r="C16" s="123" t="str">
        <f>Effectif!B37</f>
        <v>azertty</v>
      </c>
      <c r="D16" s="124">
        <f>Effectif!P37</f>
        <v>0</v>
      </c>
      <c r="E16" s="124"/>
      <c r="F16" s="124"/>
      <c r="G16" s="124"/>
      <c r="H16" s="124"/>
      <c r="I16" s="125"/>
    </row>
    <row r="17" spans="1:9" x14ac:dyDescent="0.25">
      <c r="A17" s="255"/>
      <c r="B17" s="123" t="str">
        <f>Effectif!A41</f>
        <v>azerty</v>
      </c>
      <c r="C17" s="123" t="str">
        <f>Effectif!B41</f>
        <v>azertty</v>
      </c>
      <c r="D17" s="124">
        <f>Effectif!P41</f>
        <v>0</v>
      </c>
      <c r="E17" s="124"/>
      <c r="F17" s="124"/>
      <c r="G17" s="124"/>
      <c r="H17" s="124"/>
      <c r="I17" s="125"/>
    </row>
    <row r="18" spans="1:9" x14ac:dyDescent="0.25">
      <c r="A18" s="255"/>
      <c r="B18" s="123" t="str">
        <f>Effectif!A61</f>
        <v>azerty</v>
      </c>
      <c r="C18" s="123" t="str">
        <f>Effectif!B61</f>
        <v>azertty</v>
      </c>
      <c r="D18" s="124">
        <f>Effectif!P61</f>
        <v>0</v>
      </c>
      <c r="E18" s="124"/>
      <c r="F18" s="124"/>
      <c r="G18" s="124"/>
      <c r="H18" s="124"/>
      <c r="I18" s="125"/>
    </row>
    <row r="19" spans="1:9" x14ac:dyDescent="0.25">
      <c r="A19" s="255"/>
      <c r="B19" s="123" t="str">
        <f>Effectif!A47</f>
        <v>azerty</v>
      </c>
      <c r="C19" s="123" t="str">
        <f>Effectif!B47</f>
        <v>azertty</v>
      </c>
      <c r="D19" s="124">
        <f>Effectif!P47</f>
        <v>0</v>
      </c>
      <c r="E19" s="124"/>
      <c r="F19" s="124"/>
      <c r="G19" s="124"/>
      <c r="H19" s="124"/>
      <c r="I19" s="125"/>
    </row>
    <row r="20" spans="1:9" x14ac:dyDescent="0.25">
      <c r="A20" s="255"/>
      <c r="B20" s="123" t="str">
        <f>Effectif!A51</f>
        <v>azerty</v>
      </c>
      <c r="C20" s="123" t="str">
        <f>Effectif!B51</f>
        <v>azertty</v>
      </c>
      <c r="D20" s="124">
        <f>Effectif!P51</f>
        <v>0</v>
      </c>
      <c r="E20" s="124"/>
      <c r="F20" s="124"/>
      <c r="G20" s="124"/>
      <c r="H20" s="124"/>
      <c r="I20" s="125"/>
    </row>
    <row r="21" spans="1:9" x14ac:dyDescent="0.25">
      <c r="A21" s="255"/>
      <c r="B21" s="123" t="str">
        <f>Effectif!A2</f>
        <v>azerty</v>
      </c>
      <c r="C21" s="123" t="str">
        <f>Effectif!B2</f>
        <v>azertty</v>
      </c>
      <c r="D21" s="124">
        <f>Effectif!P2</f>
        <v>0</v>
      </c>
      <c r="E21" s="124"/>
      <c r="F21" s="124"/>
      <c r="G21" s="124"/>
      <c r="H21" s="124"/>
      <c r="I21" s="125"/>
    </row>
    <row r="22" spans="1:9" x14ac:dyDescent="0.25">
      <c r="A22" s="255"/>
      <c r="B22" s="123" t="str">
        <f>Effectif!A31</f>
        <v>azerty</v>
      </c>
      <c r="C22" s="123" t="str">
        <f>Effectif!B31</f>
        <v>azertty</v>
      </c>
      <c r="D22" s="124">
        <f>Effectif!P31</f>
        <v>0</v>
      </c>
      <c r="E22" s="124"/>
      <c r="F22" s="124"/>
      <c r="G22" s="124"/>
      <c r="H22" s="124"/>
      <c r="I22" s="125"/>
    </row>
    <row r="23" spans="1:9" x14ac:dyDescent="0.25">
      <c r="A23" s="255"/>
      <c r="B23" s="123" t="str">
        <f>Effectif!A45</f>
        <v>azerty</v>
      </c>
      <c r="C23" s="123" t="str">
        <f>Effectif!B45</f>
        <v>azertty</v>
      </c>
      <c r="D23" s="124">
        <f>Effectif!P45</f>
        <v>0</v>
      </c>
      <c r="E23" s="124"/>
      <c r="F23" s="124"/>
      <c r="G23" s="124"/>
      <c r="H23" s="124"/>
      <c r="I23" s="125"/>
    </row>
    <row r="24" spans="1:9" x14ac:dyDescent="0.25">
      <c r="A24" s="255"/>
      <c r="B24" s="123" t="str">
        <f>Effectif!A15</f>
        <v>azerty</v>
      </c>
      <c r="C24" s="123" t="str">
        <f>Effectif!B15</f>
        <v>azertty</v>
      </c>
      <c r="D24" s="124">
        <f>Effectif!P15</f>
        <v>0</v>
      </c>
      <c r="E24" s="124"/>
      <c r="F24" s="124"/>
      <c r="G24" s="124"/>
      <c r="H24" s="124"/>
      <c r="I24" s="125"/>
    </row>
    <row r="25" spans="1:9" x14ac:dyDescent="0.25">
      <c r="A25" s="255"/>
      <c r="B25" s="123" t="str">
        <f>Effectif!A46</f>
        <v>azerty</v>
      </c>
      <c r="C25" s="123" t="str">
        <f>Effectif!B46</f>
        <v>azertty</v>
      </c>
      <c r="D25" s="124">
        <f>Effectif!P46</f>
        <v>0</v>
      </c>
      <c r="E25" s="124"/>
      <c r="F25" s="124"/>
      <c r="G25" s="124"/>
      <c r="H25" s="124"/>
      <c r="I25" s="125"/>
    </row>
    <row r="26" spans="1:9" x14ac:dyDescent="0.25">
      <c r="A26" s="255"/>
      <c r="B26" s="123" t="str">
        <f>Effectif!A17</f>
        <v>azerty</v>
      </c>
      <c r="C26" s="123" t="str">
        <f>Effectif!B17</f>
        <v>azertty</v>
      </c>
      <c r="D26" s="124">
        <f>Effectif!P17</f>
        <v>0</v>
      </c>
      <c r="E26" s="124"/>
      <c r="F26" s="124"/>
      <c r="G26" s="124"/>
      <c r="H26" s="124"/>
      <c r="I26" s="125"/>
    </row>
    <row r="27" spans="1:9" x14ac:dyDescent="0.25">
      <c r="A27" s="255"/>
      <c r="B27" s="123" t="str">
        <f>Effectif!A57</f>
        <v>azerty</v>
      </c>
      <c r="C27" s="123" t="str">
        <f>Effectif!B57</f>
        <v>azertty</v>
      </c>
      <c r="D27" s="124">
        <f>Effectif!P57</f>
        <v>0</v>
      </c>
      <c r="E27" s="124"/>
      <c r="F27" s="124"/>
      <c r="G27" s="124"/>
      <c r="H27" s="124"/>
      <c r="I27" s="125"/>
    </row>
    <row r="28" spans="1:9" x14ac:dyDescent="0.25">
      <c r="A28" s="255"/>
      <c r="B28" s="123" t="str">
        <f>Effectif!A44</f>
        <v>azerty</v>
      </c>
      <c r="C28" s="123" t="str">
        <f>Effectif!B44</f>
        <v>azertty</v>
      </c>
      <c r="D28" s="124">
        <f>Effectif!P44</f>
        <v>0</v>
      </c>
      <c r="E28" s="124"/>
      <c r="F28" s="124"/>
      <c r="G28" s="124"/>
      <c r="H28" s="124"/>
      <c r="I28" s="125"/>
    </row>
    <row r="29" spans="1:9" x14ac:dyDescent="0.25">
      <c r="A29" s="255"/>
      <c r="B29" s="123" t="str">
        <f>Effectif!A3</f>
        <v>azerty</v>
      </c>
      <c r="C29" s="123" t="str">
        <f>Effectif!B3</f>
        <v>azertty</v>
      </c>
      <c r="D29" s="124">
        <f>Effectif!P3</f>
        <v>0</v>
      </c>
      <c r="E29" s="124"/>
      <c r="F29" s="124"/>
      <c r="G29" s="124"/>
      <c r="H29" s="124"/>
      <c r="I29" s="125"/>
    </row>
    <row r="30" spans="1:9" x14ac:dyDescent="0.25">
      <c r="A30" s="255"/>
      <c r="B30" s="123" t="str">
        <f>Effectif!A25</f>
        <v>azerty</v>
      </c>
      <c r="C30" s="123" t="str">
        <f>Effectif!B25</f>
        <v>azertty</v>
      </c>
      <c r="D30" s="124">
        <f>Effectif!P25</f>
        <v>0</v>
      </c>
      <c r="E30" s="124"/>
      <c r="F30" s="124"/>
      <c r="G30" s="124"/>
      <c r="H30" s="124"/>
      <c r="I30" s="125"/>
    </row>
    <row r="31" spans="1:9" x14ac:dyDescent="0.25">
      <c r="A31" s="256" t="s">
        <v>129</v>
      </c>
      <c r="B31" s="123" t="str">
        <f>Effectif!A36</f>
        <v>azerty</v>
      </c>
      <c r="C31" s="123" t="str">
        <f>Effectif!B36</f>
        <v>azertty</v>
      </c>
      <c r="D31" s="124">
        <f>Effectif!P36</f>
        <v>0</v>
      </c>
      <c r="E31" s="124"/>
      <c r="F31" s="124"/>
      <c r="G31" s="124"/>
      <c r="H31" s="124"/>
      <c r="I31" s="125"/>
    </row>
    <row r="32" spans="1:9" ht="15" customHeight="1" x14ac:dyDescent="0.25">
      <c r="A32" s="256"/>
      <c r="B32" s="123" t="str">
        <f>Effectif!A52</f>
        <v>azerty</v>
      </c>
      <c r="C32" s="123" t="str">
        <f>Effectif!B52</f>
        <v>azertty</v>
      </c>
      <c r="D32" s="124">
        <f>Effectif!P52</f>
        <v>0</v>
      </c>
      <c r="E32" s="124"/>
      <c r="F32" s="124"/>
      <c r="G32" s="124"/>
      <c r="H32" s="124"/>
      <c r="I32" s="125"/>
    </row>
    <row r="33" spans="1:9" ht="15" customHeight="1" x14ac:dyDescent="0.25">
      <c r="A33" s="256"/>
      <c r="B33" s="123" t="str">
        <f>Effectif!A21</f>
        <v>azerty</v>
      </c>
      <c r="C33" s="123" t="str">
        <f>Effectif!B21</f>
        <v>azertty</v>
      </c>
      <c r="D33" s="124">
        <f>Effectif!P21</f>
        <v>0</v>
      </c>
      <c r="E33" s="124"/>
      <c r="F33" s="124"/>
      <c r="G33" s="124"/>
      <c r="H33" s="124"/>
      <c r="I33" s="125"/>
    </row>
    <row r="34" spans="1:9" x14ac:dyDescent="0.25">
      <c r="A34" s="256"/>
      <c r="B34" s="123" t="str">
        <f>Effectif!A54</f>
        <v>azerty</v>
      </c>
      <c r="C34" s="123" t="str">
        <f>Effectif!B54</f>
        <v>azertty</v>
      </c>
      <c r="D34" s="124">
        <f>Effectif!P54</f>
        <v>0</v>
      </c>
      <c r="E34" s="124"/>
      <c r="F34" s="124"/>
      <c r="G34" s="124"/>
      <c r="H34" s="124"/>
      <c r="I34" s="125"/>
    </row>
    <row r="35" spans="1:9" x14ac:dyDescent="0.25">
      <c r="A35" s="256"/>
      <c r="B35" s="123" t="str">
        <f>Effectif!A29</f>
        <v>azerty</v>
      </c>
      <c r="C35" s="123" t="str">
        <f>Effectif!B29</f>
        <v>azertty</v>
      </c>
      <c r="D35" s="124">
        <f>Effectif!P29</f>
        <v>0</v>
      </c>
      <c r="E35" s="124"/>
      <c r="F35" s="124"/>
      <c r="G35" s="124"/>
      <c r="H35" s="124"/>
      <c r="I35" s="125"/>
    </row>
    <row r="36" spans="1:9" x14ac:dyDescent="0.25">
      <c r="A36" s="256"/>
      <c r="B36" s="123" t="str">
        <f>Effectif!A43</f>
        <v>azerty</v>
      </c>
      <c r="C36" s="123" t="str">
        <f>Effectif!B43</f>
        <v>azertty</v>
      </c>
      <c r="D36" s="124">
        <f>Effectif!P43</f>
        <v>0</v>
      </c>
      <c r="E36" s="124"/>
      <c r="F36" s="124"/>
      <c r="G36" s="124"/>
      <c r="H36" s="124"/>
      <c r="I36" s="125"/>
    </row>
    <row r="37" spans="1:9" x14ac:dyDescent="0.25">
      <c r="A37" s="256"/>
      <c r="B37" s="123" t="str">
        <f>Effectif!A32</f>
        <v>azerty</v>
      </c>
      <c r="C37" s="123" t="str">
        <f>Effectif!B32</f>
        <v>azertty</v>
      </c>
      <c r="D37" s="124">
        <f>Effectif!P32</f>
        <v>0</v>
      </c>
      <c r="E37" s="124"/>
      <c r="F37" s="124"/>
      <c r="G37" s="124"/>
      <c r="H37" s="124"/>
      <c r="I37" s="125"/>
    </row>
    <row r="38" spans="1:9" x14ac:dyDescent="0.25">
      <c r="A38" s="256"/>
      <c r="B38" s="123" t="str">
        <f>Effectif!A19</f>
        <v>azerty</v>
      </c>
      <c r="C38" s="123" t="str">
        <f>Effectif!B19</f>
        <v>azertty</v>
      </c>
      <c r="D38" s="124">
        <f>Effectif!P19</f>
        <v>0</v>
      </c>
      <c r="E38" s="124"/>
      <c r="F38" s="124"/>
      <c r="G38" s="124"/>
      <c r="H38" s="124"/>
      <c r="I38" s="125"/>
    </row>
    <row r="39" spans="1:9" x14ac:dyDescent="0.25">
      <c r="A39" s="256"/>
      <c r="B39" s="123" t="str">
        <f>Effectif!A50</f>
        <v>azerty</v>
      </c>
      <c r="C39" s="123" t="str">
        <f>Effectif!B50</f>
        <v>azertty</v>
      </c>
      <c r="D39" s="124">
        <f>Effectif!P50</f>
        <v>0</v>
      </c>
      <c r="E39" s="124"/>
      <c r="F39" s="124"/>
      <c r="G39" s="124"/>
      <c r="H39" s="124"/>
      <c r="I39" s="125"/>
    </row>
    <row r="40" spans="1:9" ht="15" customHeight="1" x14ac:dyDescent="0.25">
      <c r="A40" s="253" t="s">
        <v>130</v>
      </c>
      <c r="B40" s="123" t="str">
        <f>Effectif!A26</f>
        <v>azerty</v>
      </c>
      <c r="C40" s="123" t="str">
        <f>Effectif!B26</f>
        <v>azertty</v>
      </c>
      <c r="D40" s="124">
        <f>Effectif!P26</f>
        <v>0</v>
      </c>
      <c r="E40" s="124"/>
      <c r="F40" s="124"/>
      <c r="G40" s="124"/>
      <c r="H40" s="124"/>
      <c r="I40" s="125"/>
    </row>
    <row r="41" spans="1:9" ht="15" customHeight="1" x14ac:dyDescent="0.25">
      <c r="A41" s="253"/>
      <c r="B41" s="123" t="str">
        <f>Effectif!A24</f>
        <v>azerty</v>
      </c>
      <c r="C41" s="123" t="str">
        <f>Effectif!B24</f>
        <v>azertty</v>
      </c>
      <c r="D41" s="124">
        <f>Effectif!P24</f>
        <v>0</v>
      </c>
      <c r="E41" s="124"/>
      <c r="F41" s="124"/>
      <c r="G41" s="124"/>
      <c r="H41" s="124"/>
      <c r="I41" s="125"/>
    </row>
    <row r="42" spans="1:9" x14ac:dyDescent="0.25">
      <c r="A42" s="253"/>
      <c r="B42" s="123" t="str">
        <f>Effectif!A13</f>
        <v>azerty</v>
      </c>
      <c r="C42" s="123" t="str">
        <f>Effectif!B13</f>
        <v>azertty</v>
      </c>
      <c r="D42" s="124">
        <f>Effectif!P13</f>
        <v>0</v>
      </c>
      <c r="E42" s="124"/>
      <c r="F42" s="124"/>
      <c r="G42" s="124"/>
      <c r="H42" s="124"/>
      <c r="I42" s="125"/>
    </row>
    <row r="43" spans="1:9" x14ac:dyDescent="0.25">
      <c r="A43" s="253"/>
      <c r="B43" s="123" t="str">
        <f>Effectif!A30</f>
        <v>azerty</v>
      </c>
      <c r="C43" s="123" t="str">
        <f>Effectif!B30</f>
        <v>azertty</v>
      </c>
      <c r="D43" s="124">
        <f>Effectif!P30</f>
        <v>0</v>
      </c>
      <c r="E43" s="124"/>
      <c r="F43" s="124"/>
      <c r="G43" s="124"/>
      <c r="H43" s="124"/>
      <c r="I43" s="125"/>
    </row>
    <row r="44" spans="1:9" x14ac:dyDescent="0.25">
      <c r="A44" s="253"/>
      <c r="B44" s="123" t="str">
        <f>Effectif!A16</f>
        <v>azerty</v>
      </c>
      <c r="C44" s="123" t="str">
        <f>Effectif!B16</f>
        <v>azertty</v>
      </c>
      <c r="D44" s="124">
        <f>Effectif!P16</f>
        <v>0</v>
      </c>
      <c r="E44" s="124"/>
      <c r="F44" s="124"/>
      <c r="G44" s="124"/>
      <c r="H44" s="124"/>
      <c r="I44" s="125"/>
    </row>
    <row r="45" spans="1:9" x14ac:dyDescent="0.25">
      <c r="A45" s="253"/>
      <c r="B45" s="123" t="str">
        <f>Effectif!A35</f>
        <v>azerty</v>
      </c>
      <c r="C45" s="123" t="str">
        <f>Effectif!B35</f>
        <v>azertty</v>
      </c>
      <c r="D45" s="124">
        <f>Effectif!P35</f>
        <v>0</v>
      </c>
      <c r="E45" s="124"/>
      <c r="F45" s="124"/>
      <c r="G45" s="124"/>
      <c r="H45" s="124"/>
      <c r="I45" s="125"/>
    </row>
    <row r="46" spans="1:9" x14ac:dyDescent="0.25">
      <c r="A46" s="253"/>
      <c r="B46" s="123" t="str">
        <f>Effectif!A58</f>
        <v>azerty</v>
      </c>
      <c r="C46" s="123" t="str">
        <f>Effectif!B58</f>
        <v>azertty</v>
      </c>
      <c r="D46" s="124">
        <f>Effectif!P58</f>
        <v>0</v>
      </c>
      <c r="E46" s="124"/>
      <c r="F46" s="124"/>
      <c r="G46" s="124"/>
      <c r="H46" s="124"/>
      <c r="I46" s="125"/>
    </row>
    <row r="47" spans="1:9" x14ac:dyDescent="0.25">
      <c r="A47" s="253"/>
      <c r="B47" s="123" t="str">
        <f>Effectif!A34</f>
        <v>azerty</v>
      </c>
      <c r="C47" s="123" t="str">
        <f>Effectif!B34</f>
        <v>azertty</v>
      </c>
      <c r="D47" s="124">
        <f>Effectif!P34</f>
        <v>0</v>
      </c>
      <c r="E47" s="124"/>
      <c r="F47" s="124"/>
      <c r="G47" s="124"/>
      <c r="H47" s="124"/>
      <c r="I47" s="125"/>
    </row>
    <row r="48" spans="1:9" x14ac:dyDescent="0.25">
      <c r="A48" s="253"/>
      <c r="B48" s="123" t="str">
        <f>Effectif!A40</f>
        <v>azerty</v>
      </c>
      <c r="C48" s="123" t="str">
        <f>Effectif!B40</f>
        <v>azertty</v>
      </c>
      <c r="D48" s="124">
        <f>Effectif!P40</f>
        <v>0</v>
      </c>
      <c r="E48" s="124"/>
      <c r="F48" s="124"/>
      <c r="G48" s="124"/>
      <c r="H48" s="124"/>
      <c r="I48" s="125"/>
    </row>
    <row r="49" spans="1:9" x14ac:dyDescent="0.25">
      <c r="A49" s="253"/>
      <c r="B49" s="123" t="str">
        <f>Effectif!A27</f>
        <v>azerty</v>
      </c>
      <c r="C49" s="123" t="str">
        <f>Effectif!B27</f>
        <v>azertty</v>
      </c>
      <c r="D49" s="124">
        <f>Effectif!P27</f>
        <v>0</v>
      </c>
      <c r="E49" s="124"/>
      <c r="F49" s="124"/>
      <c r="G49" s="124"/>
      <c r="H49" s="124"/>
      <c r="I49" s="125"/>
    </row>
    <row r="50" spans="1:9" x14ac:dyDescent="0.25">
      <c r="A50" s="253"/>
      <c r="B50" s="123" t="str">
        <f>Effectif!A9</f>
        <v>azerty</v>
      </c>
      <c r="C50" s="123" t="str">
        <f>Effectif!B9</f>
        <v>azertty</v>
      </c>
      <c r="D50" s="124">
        <f>Effectif!P9</f>
        <v>0</v>
      </c>
      <c r="E50" s="124"/>
      <c r="F50" s="124"/>
      <c r="G50" s="124"/>
      <c r="H50" s="124"/>
      <c r="I50" s="125"/>
    </row>
    <row r="51" spans="1:9" x14ac:dyDescent="0.25">
      <c r="A51" s="253"/>
      <c r="B51" s="123" t="str">
        <f>Effectif!A55</f>
        <v>azerty</v>
      </c>
      <c r="C51" s="123" t="str">
        <f>Effectif!B55</f>
        <v>azertty</v>
      </c>
      <c r="D51" s="124">
        <f>Effectif!P55</f>
        <v>0</v>
      </c>
      <c r="E51" s="124"/>
      <c r="F51" s="124"/>
      <c r="G51" s="124"/>
      <c r="H51" s="124"/>
      <c r="I51" s="125"/>
    </row>
    <row r="52" spans="1:9" x14ac:dyDescent="0.25">
      <c r="A52" s="253"/>
      <c r="B52" s="123" t="str">
        <f>Effectif!A62</f>
        <v>azerty</v>
      </c>
      <c r="C52" s="123" t="str">
        <f>Effectif!B62</f>
        <v>azertty</v>
      </c>
      <c r="D52" s="124">
        <f>Effectif!P62</f>
        <v>0</v>
      </c>
      <c r="E52" s="124"/>
      <c r="F52" s="124"/>
      <c r="G52" s="124"/>
      <c r="H52" s="124"/>
      <c r="I52" s="125"/>
    </row>
    <row r="53" spans="1:9" x14ac:dyDescent="0.25">
      <c r="A53" s="253"/>
      <c r="B53" s="123" t="str">
        <f>Effectif!A23</f>
        <v>azerty</v>
      </c>
      <c r="C53" s="123" t="str">
        <f>Effectif!B23</f>
        <v>azertty</v>
      </c>
      <c r="D53" s="124">
        <f>Effectif!P23</f>
        <v>0</v>
      </c>
      <c r="E53" s="124"/>
      <c r="F53" s="124"/>
      <c r="G53" s="124"/>
      <c r="H53" s="124"/>
      <c r="I53" s="125"/>
    </row>
    <row r="54" spans="1:9" x14ac:dyDescent="0.25">
      <c r="A54" s="253"/>
      <c r="B54" s="123" t="str">
        <f>Effectif!A10</f>
        <v>azerty</v>
      </c>
      <c r="C54" s="123" t="str">
        <f>Effectif!B10</f>
        <v>azertty</v>
      </c>
      <c r="D54" s="124">
        <f>Effectif!P10</f>
        <v>0</v>
      </c>
      <c r="E54" s="124"/>
      <c r="F54" s="124"/>
      <c r="G54" s="124"/>
      <c r="H54" s="124"/>
      <c r="I54" s="125"/>
    </row>
    <row r="55" spans="1:9" x14ac:dyDescent="0.25">
      <c r="A55" s="253"/>
      <c r="B55" s="123" t="str">
        <f>Effectif!A59</f>
        <v>azerty</v>
      </c>
      <c r="C55" s="123" t="str">
        <f>Effectif!B59</f>
        <v>azertty</v>
      </c>
      <c r="D55" s="124">
        <f>Effectif!P59</f>
        <v>0</v>
      </c>
      <c r="E55" s="124"/>
      <c r="F55" s="124"/>
      <c r="G55" s="124"/>
      <c r="H55" s="124"/>
      <c r="I55" s="125"/>
    </row>
    <row r="56" spans="1:9" x14ac:dyDescent="0.25">
      <c r="A56" s="253"/>
      <c r="B56" s="123" t="str">
        <f>Effectif!A18</f>
        <v>azerty</v>
      </c>
      <c r="C56" s="123" t="str">
        <f>Effectif!B18</f>
        <v>azertty</v>
      </c>
      <c r="D56" s="124">
        <f>Effectif!P18</f>
        <v>0</v>
      </c>
      <c r="E56" s="124"/>
      <c r="F56" s="124"/>
      <c r="G56" s="124"/>
      <c r="H56" s="124"/>
      <c r="I56" s="125"/>
    </row>
    <row r="57" spans="1:9" x14ac:dyDescent="0.25">
      <c r="A57" s="253"/>
      <c r="B57" s="123" t="str">
        <f>Effectif!A11</f>
        <v>azerty</v>
      </c>
      <c r="C57" s="123" t="str">
        <f>Effectif!B11</f>
        <v>azertty</v>
      </c>
      <c r="D57" s="124">
        <f>Effectif!P11</f>
        <v>0</v>
      </c>
      <c r="E57" s="124"/>
      <c r="F57" s="124"/>
      <c r="G57" s="124"/>
      <c r="H57" s="124"/>
      <c r="I57" s="125"/>
    </row>
    <row r="58" spans="1:9" x14ac:dyDescent="0.25">
      <c r="A58" s="253"/>
      <c r="B58" s="123" t="str">
        <f>Effectif!A56</f>
        <v>azerty</v>
      </c>
      <c r="C58" s="123" t="str">
        <f>Effectif!B56</f>
        <v>azertty</v>
      </c>
      <c r="D58" s="124">
        <f>Effectif!P56</f>
        <v>0</v>
      </c>
      <c r="E58" s="124"/>
      <c r="F58" s="124"/>
      <c r="G58" s="124"/>
      <c r="H58" s="124"/>
      <c r="I58" s="125"/>
    </row>
    <row r="59" spans="1:9" x14ac:dyDescent="0.25">
      <c r="A59" s="253"/>
      <c r="B59" s="123" t="str">
        <f>Effectif!A12</f>
        <v>azerty</v>
      </c>
      <c r="C59" s="123" t="str">
        <f>Effectif!B12</f>
        <v>azertty</v>
      </c>
      <c r="D59" s="124">
        <f>Effectif!P12</f>
        <v>0</v>
      </c>
      <c r="E59" s="124"/>
      <c r="F59" s="124"/>
      <c r="G59" s="124"/>
      <c r="H59" s="124"/>
      <c r="I59" s="125"/>
    </row>
    <row r="60" spans="1:9" x14ac:dyDescent="0.25">
      <c r="A60" s="253"/>
      <c r="B60" s="123" t="str">
        <f>Effectif!A8</f>
        <v>azerty</v>
      </c>
      <c r="C60" s="123" t="str">
        <f>Effectif!B8</f>
        <v>azertty</v>
      </c>
      <c r="D60" s="124">
        <f>Effectif!P8</f>
        <v>0</v>
      </c>
      <c r="E60" s="124"/>
      <c r="F60" s="124"/>
      <c r="G60" s="124"/>
      <c r="H60" s="124"/>
      <c r="I60" s="125"/>
    </row>
    <row r="61" spans="1:9" x14ac:dyDescent="0.25">
      <c r="A61" s="253"/>
      <c r="B61" s="123" t="str">
        <f>Effectif!A38</f>
        <v>azerty</v>
      </c>
      <c r="C61" s="123" t="str">
        <f>Effectif!B38</f>
        <v>azertty</v>
      </c>
      <c r="D61" s="124">
        <f>Effectif!P38</f>
        <v>0</v>
      </c>
      <c r="E61" s="124"/>
      <c r="F61" s="124"/>
      <c r="G61" s="124"/>
      <c r="H61" s="124"/>
      <c r="I61" s="125"/>
    </row>
    <row r="62" spans="1:9" ht="15.75" thickBot="1" x14ac:dyDescent="0.3">
      <c r="A62" s="254"/>
      <c r="B62" s="126" t="str">
        <f>Effectif!A22</f>
        <v>azerty</v>
      </c>
      <c r="C62" s="126" t="str">
        <f>Effectif!B22</f>
        <v>azertty</v>
      </c>
      <c r="D62" s="127">
        <f>Effectif!P22</f>
        <v>0</v>
      </c>
      <c r="E62" s="127"/>
      <c r="F62" s="127"/>
      <c r="G62" s="127"/>
      <c r="H62" s="127"/>
      <c r="I62" s="120"/>
    </row>
  </sheetData>
  <sortState xmlns:xlrd2="http://schemas.microsoft.com/office/spreadsheetml/2017/richdata2" ref="B2:I62">
    <sortCondition ref="D2:D62"/>
  </sortState>
  <customSheetViews>
    <customSheetView guid="{EE943BA9-0B80-4629-8DFD-5400001CD553}" fitToPage="1" state="hidden">
      <selection activeCell="B2" sqref="B2:I62"/>
      <pageMargins left="0.7" right="0.7" top="0.75" bottom="0.75" header="0.3" footer="0.3"/>
      <pageSetup paperSize="9" scale="73" orientation="portrait" r:id="rId1"/>
    </customSheetView>
    <customSheetView guid="{23892BE3-6C12-4C60-B754-ED0B7FB9276C}" fitToPage="1" state="hidden">
      <selection activeCell="B2" sqref="B2:I62"/>
      <pageMargins left="0.7" right="0.7" top="0.75" bottom="0.75" header="0.3" footer="0.3"/>
      <pageSetup paperSize="9" scale="73" orientation="portrait" r:id="rId2"/>
    </customSheetView>
  </customSheetViews>
  <mergeCells count="4">
    <mergeCell ref="A2:A8"/>
    <mergeCell ref="A40:A62"/>
    <mergeCell ref="A9:A30"/>
    <mergeCell ref="A31:A39"/>
  </mergeCells>
  <conditionalFormatting sqref="B2:I62">
    <cfRule type="expression" dxfId="7" priority="5">
      <formula>$D2&lt;100</formula>
    </cfRule>
    <cfRule type="expression" dxfId="6" priority="6">
      <formula>$D2&lt;200</formula>
    </cfRule>
    <cfRule type="expression" dxfId="5" priority="7">
      <formula>$D2&lt;300</formula>
    </cfRule>
    <cfRule type="expression" dxfId="4" priority="8">
      <formula>$D2&gt;299</formula>
    </cfRule>
  </conditionalFormatting>
  <conditionalFormatting sqref="A31">
    <cfRule type="expression" dxfId="3" priority="1">
      <formula>$D31&lt;100</formula>
    </cfRule>
    <cfRule type="expression" dxfId="2" priority="2">
      <formula>$D31&lt;200</formula>
    </cfRule>
    <cfRule type="expression" dxfId="1" priority="3">
      <formula>$D31&lt;299</formula>
    </cfRule>
    <cfRule type="expression" dxfId="0" priority="4">
      <formula>$D31&lt;300</formula>
    </cfRule>
  </conditionalFormatting>
  <pageMargins left="0.7" right="0.7" top="0.75" bottom="0.75" header="0.3" footer="0.3"/>
  <pageSetup paperSize="9" scale="73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>
    <pageSetUpPr fitToPage="1"/>
  </sheetPr>
  <dimension ref="A1:H60"/>
  <sheetViews>
    <sheetView topLeftCell="A40" workbookViewId="0">
      <selection activeCell="H59" sqref="A59:H59"/>
    </sheetView>
  </sheetViews>
  <sheetFormatPr baseColWidth="10" defaultColWidth="17.140625" defaultRowHeight="15" x14ac:dyDescent="0.25"/>
  <cols>
    <col min="1" max="1" width="18.7109375" style="20" bestFit="1" customWidth="1"/>
    <col min="2" max="2" width="32.28515625" style="20" bestFit="1" customWidth="1"/>
    <col min="3" max="3" width="14.140625" style="1" bestFit="1" customWidth="1"/>
    <col min="4" max="4" width="9" style="1" bestFit="1" customWidth="1"/>
    <col min="5" max="5" width="15.5703125" style="1" bestFit="1" customWidth="1"/>
    <col min="6" max="6" width="18.140625" style="1" bestFit="1" customWidth="1"/>
    <col min="7" max="7" width="13.5703125" style="1" bestFit="1" customWidth="1"/>
    <col min="8" max="8" width="15" style="1" bestFit="1" customWidth="1"/>
    <col min="9" max="16384" width="17.140625" style="1"/>
  </cols>
  <sheetData>
    <row r="1" spans="1:8" s="23" customFormat="1" ht="30.75" thickTop="1" x14ac:dyDescent="0.25">
      <c r="A1" s="75" t="s">
        <v>0</v>
      </c>
      <c r="B1" s="76" t="s">
        <v>1</v>
      </c>
      <c r="C1" s="76" t="s">
        <v>2</v>
      </c>
      <c r="D1" s="76" t="s">
        <v>3</v>
      </c>
      <c r="E1" s="76" t="s">
        <v>34</v>
      </c>
      <c r="F1" s="76" t="s">
        <v>38</v>
      </c>
      <c r="G1" s="76" t="s">
        <v>13</v>
      </c>
      <c r="H1" s="77" t="s">
        <v>4</v>
      </c>
    </row>
    <row r="2" spans="1:8" x14ac:dyDescent="0.25">
      <c r="A2" s="78" t="str">
        <f>Effectif!A5</f>
        <v>azerty</v>
      </c>
      <c r="B2" s="79" t="str">
        <f>Effectif!B5</f>
        <v>azertty</v>
      </c>
      <c r="C2" s="80" t="str">
        <f>Effectif!D5</f>
        <v>06/06/2004</v>
      </c>
      <c r="D2" s="81">
        <f ca="1">Effectif!E5</f>
        <v>15</v>
      </c>
      <c r="E2" s="81">
        <f>Effectif!G5</f>
        <v>0</v>
      </c>
      <c r="F2" s="80">
        <f>Effectif!M5</f>
        <v>43825</v>
      </c>
      <c r="G2" s="81">
        <f>Effectif!P5</f>
        <v>0</v>
      </c>
      <c r="H2" s="93">
        <f>Effectif!R5</f>
        <v>0</v>
      </c>
    </row>
    <row r="3" spans="1:8" x14ac:dyDescent="0.25">
      <c r="A3" s="82" t="str">
        <f>Effectif!A6</f>
        <v>azerty</v>
      </c>
      <c r="B3" s="83" t="str">
        <f>Effectif!B6</f>
        <v>azertty</v>
      </c>
      <c r="C3" s="84" t="str">
        <f>Effectif!D6</f>
        <v>10/09/2003</v>
      </c>
      <c r="D3" s="85">
        <f ca="1">Effectif!E6</f>
        <v>16</v>
      </c>
      <c r="E3" s="85">
        <f>Effectif!G6</f>
        <v>0</v>
      </c>
      <c r="F3" s="84">
        <f>Effectif!M6</f>
        <v>43797</v>
      </c>
      <c r="G3" s="85">
        <f>Effectif!P6</f>
        <v>0</v>
      </c>
      <c r="H3" s="94">
        <f>Effectif!R6</f>
        <v>0</v>
      </c>
    </row>
    <row r="4" spans="1:8" x14ac:dyDescent="0.25">
      <c r="A4" s="78" t="str">
        <f>Effectif!A7</f>
        <v>azerty</v>
      </c>
      <c r="B4" s="79" t="str">
        <f>Effectif!B7</f>
        <v>azertty</v>
      </c>
      <c r="C4" s="80" t="str">
        <f>Effectif!D7</f>
        <v>30/10/2003</v>
      </c>
      <c r="D4" s="81">
        <f ca="1">Effectif!E7</f>
        <v>16</v>
      </c>
      <c r="E4" s="81">
        <f>Effectif!G7</f>
        <v>0</v>
      </c>
      <c r="F4" s="80">
        <f>Effectif!M7</f>
        <v>43797</v>
      </c>
      <c r="G4" s="81">
        <f>Effectif!P7</f>
        <v>0</v>
      </c>
      <c r="H4" s="93">
        <f>Effectif!R7</f>
        <v>0</v>
      </c>
    </row>
    <row r="5" spans="1:8" x14ac:dyDescent="0.25">
      <c r="A5" s="82" t="str">
        <f>Effectif!A8</f>
        <v>azerty</v>
      </c>
      <c r="B5" s="83" t="str">
        <f>Effectif!B8</f>
        <v>azertty</v>
      </c>
      <c r="C5" s="84" t="str">
        <f>Effectif!D8</f>
        <v>15/04/2003</v>
      </c>
      <c r="D5" s="85">
        <f ca="1">Effectif!E8</f>
        <v>17</v>
      </c>
      <c r="E5" s="85">
        <f>Effectif!G8</f>
        <v>0</v>
      </c>
      <c r="F5" s="84">
        <f>Effectif!M8</f>
        <v>43819</v>
      </c>
      <c r="G5" s="85">
        <f>Effectif!P8</f>
        <v>0</v>
      </c>
      <c r="H5" s="94">
        <f>Effectif!R8</f>
        <v>0</v>
      </c>
    </row>
    <row r="6" spans="1:8" x14ac:dyDescent="0.25">
      <c r="A6" s="78" t="str">
        <f>Effectif!A9</f>
        <v>azerty</v>
      </c>
      <c r="B6" s="79" t="str">
        <f>Effectif!B9</f>
        <v>azertty</v>
      </c>
      <c r="C6" s="80" t="str">
        <f>Effectif!D9</f>
        <v>13/05/2003</v>
      </c>
      <c r="D6" s="81">
        <f ca="1">Effectif!E9</f>
        <v>17</v>
      </c>
      <c r="E6" s="81">
        <f>Effectif!G9</f>
        <v>0</v>
      </c>
      <c r="F6" s="80">
        <f>Effectif!M9</f>
        <v>0</v>
      </c>
      <c r="G6" s="81">
        <f>Effectif!P9</f>
        <v>0</v>
      </c>
      <c r="H6" s="93">
        <f>Effectif!R9</f>
        <v>0</v>
      </c>
    </row>
    <row r="7" spans="1:8" x14ac:dyDescent="0.25">
      <c r="A7" s="82" t="str">
        <f>Effectif!A10</f>
        <v>azerty</v>
      </c>
      <c r="B7" s="83" t="str">
        <f>Effectif!B10</f>
        <v>azertty</v>
      </c>
      <c r="C7" s="84" t="str">
        <f>Effectif!D10</f>
        <v>23/11/2002</v>
      </c>
      <c r="D7" s="85">
        <f ca="1">Effectif!E10</f>
        <v>17</v>
      </c>
      <c r="E7" s="85">
        <f>Effectif!G10</f>
        <v>0</v>
      </c>
      <c r="F7" s="84">
        <f>Effectif!M10</f>
        <v>43683</v>
      </c>
      <c r="G7" s="85">
        <f>Effectif!P10</f>
        <v>0</v>
      </c>
      <c r="H7" s="94">
        <f>Effectif!R10</f>
        <v>0</v>
      </c>
    </row>
    <row r="8" spans="1:8" x14ac:dyDescent="0.25">
      <c r="A8" s="78" t="str">
        <f>Effectif!A11</f>
        <v>azerty</v>
      </c>
      <c r="B8" s="79" t="str">
        <f>Effectif!B11</f>
        <v>azertty</v>
      </c>
      <c r="C8" s="80" t="str">
        <f>Effectif!D11</f>
        <v>15/12/2002</v>
      </c>
      <c r="D8" s="81">
        <f ca="1">Effectif!E11</f>
        <v>17</v>
      </c>
      <c r="E8" s="81">
        <f>Effectif!G11</f>
        <v>0</v>
      </c>
      <c r="F8" s="80">
        <f>Effectif!M11</f>
        <v>43847</v>
      </c>
      <c r="G8" s="81">
        <f>Effectif!P11</f>
        <v>0</v>
      </c>
      <c r="H8" s="93">
        <f>Effectif!R11</f>
        <v>0</v>
      </c>
    </row>
    <row r="9" spans="1:8" x14ac:dyDescent="0.25">
      <c r="A9" s="82" t="str">
        <f>Effectif!A12</f>
        <v>azerty</v>
      </c>
      <c r="B9" s="83" t="str">
        <f>Effectif!B12</f>
        <v>azertty</v>
      </c>
      <c r="C9" s="84" t="str">
        <f>Effectif!D12</f>
        <v>10/12/2002</v>
      </c>
      <c r="D9" s="85">
        <f ca="1">Effectif!E12</f>
        <v>17</v>
      </c>
      <c r="E9" s="85">
        <f>Effectif!G12</f>
        <v>0</v>
      </c>
      <c r="F9" s="84" t="str">
        <f>Effectif!M12</f>
        <v>31/11/2018</v>
      </c>
      <c r="G9" s="85">
        <f>Effectif!P12</f>
        <v>0</v>
      </c>
      <c r="H9" s="94">
        <f>Effectif!R12</f>
        <v>0</v>
      </c>
    </row>
    <row r="10" spans="1:8" x14ac:dyDescent="0.25">
      <c r="A10" s="78" t="str">
        <f>Effectif!A13</f>
        <v>azerty</v>
      </c>
      <c r="B10" s="79" t="str">
        <f>Effectif!B13</f>
        <v>azertty</v>
      </c>
      <c r="C10" s="80" t="str">
        <f>Effectif!D13</f>
        <v>02/04/2004</v>
      </c>
      <c r="D10" s="81">
        <f ca="1">Effectif!E13</f>
        <v>16</v>
      </c>
      <c r="E10" s="81">
        <f>Effectif!G13</f>
        <v>0</v>
      </c>
      <c r="F10" s="80">
        <f>Effectif!M13</f>
        <v>43434</v>
      </c>
      <c r="G10" s="81">
        <f>Effectif!P13</f>
        <v>0</v>
      </c>
      <c r="H10" s="93">
        <f>Effectif!R13</f>
        <v>0</v>
      </c>
    </row>
    <row r="11" spans="1:8" x14ac:dyDescent="0.25">
      <c r="A11" s="82" t="str">
        <f>Effectif!A14</f>
        <v>azerty</v>
      </c>
      <c r="B11" s="83" t="str">
        <f>Effectif!B14</f>
        <v>azertty</v>
      </c>
      <c r="C11" s="84" t="str">
        <f>Effectif!D14</f>
        <v>10/10/2002</v>
      </c>
      <c r="D11" s="85">
        <f ca="1">Effectif!E14</f>
        <v>17</v>
      </c>
      <c r="E11" s="85">
        <f>Effectif!G14</f>
        <v>0</v>
      </c>
      <c r="F11" s="84">
        <f>Effectif!M14</f>
        <v>43508</v>
      </c>
      <c r="G11" s="85">
        <f>Effectif!P14</f>
        <v>0</v>
      </c>
      <c r="H11" s="94">
        <f>Effectif!R14</f>
        <v>0</v>
      </c>
    </row>
    <row r="12" spans="1:8" x14ac:dyDescent="0.25">
      <c r="A12" s="78" t="str">
        <f>Effectif!A15</f>
        <v>azerty</v>
      </c>
      <c r="B12" s="79" t="str">
        <f>Effectif!B15</f>
        <v>azertty</v>
      </c>
      <c r="C12" s="80" t="str">
        <f>Effectif!D15</f>
        <v>23/02/2004</v>
      </c>
      <c r="D12" s="81">
        <f ca="1">Effectif!E15</f>
        <v>16</v>
      </c>
      <c r="E12" s="81">
        <f>Effectif!G15</f>
        <v>0</v>
      </c>
      <c r="F12" s="80">
        <f>Effectif!M15</f>
        <v>43788</v>
      </c>
      <c r="G12" s="81">
        <f>Effectif!P15</f>
        <v>0</v>
      </c>
      <c r="H12" s="93">
        <f>Effectif!R15</f>
        <v>0</v>
      </c>
    </row>
    <row r="13" spans="1:8" x14ac:dyDescent="0.25">
      <c r="A13" s="82" t="str">
        <f>Effectif!A16</f>
        <v>azerty</v>
      </c>
      <c r="B13" s="83" t="str">
        <f>Effectif!B16</f>
        <v>azertty</v>
      </c>
      <c r="C13" s="84" t="str">
        <f>Effectif!D16</f>
        <v>14/11/2003</v>
      </c>
      <c r="D13" s="85">
        <f ca="1">Effectif!E16</f>
        <v>16</v>
      </c>
      <c r="E13" s="85">
        <f>Effectif!G16</f>
        <v>0</v>
      </c>
      <c r="F13" s="84">
        <f>Effectif!M16</f>
        <v>43902</v>
      </c>
      <c r="G13" s="85">
        <f>Effectif!P16</f>
        <v>0</v>
      </c>
      <c r="H13" s="94">
        <f>Effectif!R16</f>
        <v>0</v>
      </c>
    </row>
    <row r="14" spans="1:8" x14ac:dyDescent="0.25">
      <c r="A14" s="78" t="str">
        <f>Effectif!A17</f>
        <v>azerty</v>
      </c>
      <c r="B14" s="79" t="str">
        <f>Effectif!B17</f>
        <v>azertty</v>
      </c>
      <c r="C14" s="80" t="str">
        <f>Effectif!D17</f>
        <v>10/12/2003</v>
      </c>
      <c r="D14" s="81">
        <f ca="1">Effectif!E17</f>
        <v>16</v>
      </c>
      <c r="E14" s="81">
        <f>Effectif!G17</f>
        <v>0</v>
      </c>
      <c r="F14" s="80">
        <f>Effectif!M17</f>
        <v>43809</v>
      </c>
      <c r="G14" s="81">
        <f>Effectif!P17</f>
        <v>0</v>
      </c>
      <c r="H14" s="93">
        <f>Effectif!R17</f>
        <v>0</v>
      </c>
    </row>
    <row r="15" spans="1:8" x14ac:dyDescent="0.25">
      <c r="A15" s="82" t="str">
        <f>Effectif!A18</f>
        <v>azerty</v>
      </c>
      <c r="B15" s="83" t="str">
        <f>Effectif!B18</f>
        <v>azertty</v>
      </c>
      <c r="C15" s="84" t="str">
        <f>Effectif!D18</f>
        <v>01/01/2004</v>
      </c>
      <c r="D15" s="85">
        <f ca="1">Effectif!E18</f>
        <v>16</v>
      </c>
      <c r="E15" s="85">
        <f>Effectif!G18</f>
        <v>0</v>
      </c>
      <c r="F15" s="84">
        <f>Effectif!M18</f>
        <v>43823</v>
      </c>
      <c r="G15" s="85">
        <f>Effectif!P18</f>
        <v>0</v>
      </c>
      <c r="H15" s="94">
        <f>Effectif!R18</f>
        <v>0</v>
      </c>
    </row>
    <row r="16" spans="1:8" x14ac:dyDescent="0.25">
      <c r="A16" s="78" t="str">
        <f>Effectif!A19</f>
        <v>azerty</v>
      </c>
      <c r="B16" s="79" t="str">
        <f>Effectif!B19</f>
        <v>azertty</v>
      </c>
      <c r="C16" s="80" t="str">
        <f>Effectif!D19</f>
        <v>04/09/2003</v>
      </c>
      <c r="D16" s="81">
        <f ca="1">Effectif!E19</f>
        <v>16</v>
      </c>
      <c r="E16" s="81">
        <f>Effectif!G19</f>
        <v>0</v>
      </c>
      <c r="F16" s="80">
        <f>Effectif!M19</f>
        <v>43434</v>
      </c>
      <c r="G16" s="81">
        <f>Effectif!P19</f>
        <v>0</v>
      </c>
      <c r="H16" s="93">
        <f>Effectif!R19</f>
        <v>0</v>
      </c>
    </row>
    <row r="17" spans="1:8" x14ac:dyDescent="0.25">
      <c r="A17" s="82" t="str">
        <f>Effectif!A20</f>
        <v>azerty</v>
      </c>
      <c r="B17" s="83" t="str">
        <f>Effectif!B20</f>
        <v>azertty</v>
      </c>
      <c r="C17" s="84" t="str">
        <f>Effectif!D20</f>
        <v>31/12/2002</v>
      </c>
      <c r="D17" s="85">
        <f ca="1">Effectif!E20</f>
        <v>17</v>
      </c>
      <c r="E17" s="85">
        <f>Effectif!G20</f>
        <v>0</v>
      </c>
      <c r="F17" s="84">
        <f>Effectif!M20</f>
        <v>43385</v>
      </c>
      <c r="G17" s="85">
        <f>Effectif!P20</f>
        <v>0</v>
      </c>
      <c r="H17" s="94">
        <f>Effectif!R20</f>
        <v>0</v>
      </c>
    </row>
    <row r="18" spans="1:8" x14ac:dyDescent="0.25">
      <c r="A18" s="78" t="str">
        <f>Effectif!A21</f>
        <v>azerty</v>
      </c>
      <c r="B18" s="79" t="str">
        <f>Effectif!B21</f>
        <v>azertty</v>
      </c>
      <c r="C18" s="80" t="str">
        <f>Effectif!D21</f>
        <v>30/10/2001</v>
      </c>
      <c r="D18" s="81">
        <f ca="1">Effectif!E21</f>
        <v>18</v>
      </c>
      <c r="E18" s="81">
        <f>Effectif!G21</f>
        <v>0</v>
      </c>
      <c r="F18" s="80">
        <f>Effectif!M21</f>
        <v>43434</v>
      </c>
      <c r="G18" s="81">
        <f>Effectif!P21</f>
        <v>0</v>
      </c>
      <c r="H18" s="93">
        <f>Effectif!R21</f>
        <v>0</v>
      </c>
    </row>
    <row r="19" spans="1:8" x14ac:dyDescent="0.25">
      <c r="A19" s="82" t="str">
        <f>Effectif!A22</f>
        <v>azerty</v>
      </c>
      <c r="B19" s="83" t="str">
        <f>Effectif!B22</f>
        <v>azertty</v>
      </c>
      <c r="C19" s="84" t="str">
        <f>Effectif!D22</f>
        <v>20/03/2002</v>
      </c>
      <c r="D19" s="85">
        <f ca="1">Effectif!E22</f>
        <v>18</v>
      </c>
      <c r="E19" s="85">
        <f>Effectif!G22</f>
        <v>0</v>
      </c>
      <c r="F19" s="84">
        <f>Effectif!M22</f>
        <v>43434</v>
      </c>
      <c r="G19" s="85">
        <f>Effectif!P22</f>
        <v>0</v>
      </c>
      <c r="H19" s="94">
        <f>Effectif!R22</f>
        <v>0</v>
      </c>
    </row>
    <row r="20" spans="1:8" x14ac:dyDescent="0.25">
      <c r="A20" s="78" t="str">
        <f>Effectif!A23</f>
        <v>azerty</v>
      </c>
      <c r="B20" s="79" t="str">
        <f>Effectif!B23</f>
        <v>azertty</v>
      </c>
      <c r="C20" s="80" t="str">
        <f>Effectif!D23</f>
        <v>17/11/2004</v>
      </c>
      <c r="D20" s="81">
        <f ca="1">Effectif!E23</f>
        <v>15</v>
      </c>
      <c r="E20" s="81">
        <f>Effectif!G23</f>
        <v>0</v>
      </c>
      <c r="F20" s="80">
        <f>Effectif!M23</f>
        <v>43907</v>
      </c>
      <c r="G20" s="81">
        <f>Effectif!P23</f>
        <v>0</v>
      </c>
      <c r="H20" s="93">
        <f>Effectif!R23</f>
        <v>0</v>
      </c>
    </row>
    <row r="21" spans="1:8" x14ac:dyDescent="0.25">
      <c r="A21" s="82" t="str">
        <f>Effectif!A24</f>
        <v>azerty</v>
      </c>
      <c r="B21" s="83" t="str">
        <f>Effectif!B24</f>
        <v>azertty</v>
      </c>
      <c r="C21" s="84" t="str">
        <f>Effectif!D24</f>
        <v>14/06/2003</v>
      </c>
      <c r="D21" s="85">
        <f ca="1">Effectif!E24</f>
        <v>16</v>
      </c>
      <c r="E21" s="85">
        <f>Effectif!G24</f>
        <v>0</v>
      </c>
      <c r="F21" s="84">
        <f>Effectif!M24</f>
        <v>43867</v>
      </c>
      <c r="G21" s="85">
        <f>Effectif!P24</f>
        <v>0</v>
      </c>
      <c r="H21" s="94">
        <f>Effectif!R24</f>
        <v>0</v>
      </c>
    </row>
    <row r="22" spans="1:8" x14ac:dyDescent="0.25">
      <c r="A22" s="78" t="str">
        <f>Effectif!A25</f>
        <v>azerty</v>
      </c>
      <c r="B22" s="79" t="str">
        <f>Effectif!B25</f>
        <v>azertty</v>
      </c>
      <c r="C22" s="80" t="str">
        <f>Effectif!D25</f>
        <v>22/08/2003</v>
      </c>
      <c r="D22" s="81">
        <f ca="1">Effectif!E25</f>
        <v>16</v>
      </c>
      <c r="E22" s="81">
        <f>Effectif!G25</f>
        <v>0</v>
      </c>
      <c r="F22" s="80">
        <f>Effectif!M25</f>
        <v>43854</v>
      </c>
      <c r="G22" s="81">
        <f>Effectif!P25</f>
        <v>0</v>
      </c>
      <c r="H22" s="93">
        <f>Effectif!R25</f>
        <v>0</v>
      </c>
    </row>
    <row r="23" spans="1:8" x14ac:dyDescent="0.25">
      <c r="A23" s="82" t="str">
        <f>Effectif!A26</f>
        <v>azerty</v>
      </c>
      <c r="B23" s="83" t="str">
        <f>Effectif!B26</f>
        <v>azertty</v>
      </c>
      <c r="C23" s="84" t="str">
        <f>Effectif!D26</f>
        <v>27/07/2004</v>
      </c>
      <c r="D23" s="85">
        <f ca="1">Effectif!E26</f>
        <v>15</v>
      </c>
      <c r="E23" s="85">
        <f>Effectif!G26</f>
        <v>0</v>
      </c>
      <c r="F23" s="84">
        <f>Effectif!M26</f>
        <v>43858</v>
      </c>
      <c r="G23" s="85">
        <f>Effectif!P26</f>
        <v>0</v>
      </c>
      <c r="H23" s="94">
        <f>Effectif!R26</f>
        <v>0</v>
      </c>
    </row>
    <row r="24" spans="1:8" x14ac:dyDescent="0.25">
      <c r="A24" s="78" t="str">
        <f>Effectif!A27</f>
        <v>azerty</v>
      </c>
      <c r="B24" s="79" t="str">
        <f>Effectif!B27</f>
        <v>azertty</v>
      </c>
      <c r="C24" s="80" t="str">
        <f>Effectif!D27</f>
        <v>08/04/2004</v>
      </c>
      <c r="D24" s="81">
        <f ca="1">Effectif!E27</f>
        <v>16</v>
      </c>
      <c r="E24" s="81">
        <f>Effectif!G27</f>
        <v>0</v>
      </c>
      <c r="F24" s="80">
        <f>Effectif!M27</f>
        <v>43434</v>
      </c>
      <c r="G24" s="81">
        <f>Effectif!P27</f>
        <v>0</v>
      </c>
      <c r="H24" s="93">
        <f>Effectif!R27</f>
        <v>0</v>
      </c>
    </row>
    <row r="25" spans="1:8" x14ac:dyDescent="0.25">
      <c r="A25" s="82" t="str">
        <f>Effectif!A28</f>
        <v>azerty</v>
      </c>
      <c r="B25" s="83" t="str">
        <f>Effectif!B28</f>
        <v>azertty</v>
      </c>
      <c r="C25" s="84" t="str">
        <f>Effectif!D28</f>
        <v>25/01/2004</v>
      </c>
      <c r="D25" s="85">
        <f ca="1">Effectif!E28</f>
        <v>16</v>
      </c>
      <c r="E25" s="85">
        <f>Effectif!G28</f>
        <v>0</v>
      </c>
      <c r="F25" s="84">
        <f>Effectif!M28</f>
        <v>43902</v>
      </c>
      <c r="G25" s="85">
        <f>Effectif!P28</f>
        <v>0</v>
      </c>
      <c r="H25" s="94">
        <f>Effectif!R28</f>
        <v>0</v>
      </c>
    </row>
    <row r="26" spans="1:8" x14ac:dyDescent="0.25">
      <c r="A26" s="78" t="str">
        <f>Effectif!A29</f>
        <v>azerty</v>
      </c>
      <c r="B26" s="79" t="str">
        <f>Effectif!B29</f>
        <v>azertty</v>
      </c>
      <c r="C26" s="80" t="str">
        <f>Effectif!D29</f>
        <v>06/03/2002</v>
      </c>
      <c r="D26" s="81">
        <f ca="1">Effectif!E29</f>
        <v>18</v>
      </c>
      <c r="E26" s="81">
        <f>Effectif!G29</f>
        <v>0</v>
      </c>
      <c r="F26" s="80">
        <f>Effectif!M29</f>
        <v>43434</v>
      </c>
      <c r="G26" s="81">
        <f>Effectif!P29</f>
        <v>0</v>
      </c>
      <c r="H26" s="93">
        <f>Effectif!R29</f>
        <v>0</v>
      </c>
    </row>
    <row r="27" spans="1:8" x14ac:dyDescent="0.25">
      <c r="A27" s="82" t="str">
        <f>Effectif!A30</f>
        <v>azerty</v>
      </c>
      <c r="B27" s="83" t="str">
        <f>Effectif!B30</f>
        <v>azertty</v>
      </c>
      <c r="C27" s="84" t="str">
        <f>Effectif!D30</f>
        <v>01/05/2002</v>
      </c>
      <c r="D27" s="85">
        <f ca="1">Effectif!E30</f>
        <v>18</v>
      </c>
      <c r="E27" s="85">
        <f>Effectif!G30</f>
        <v>0</v>
      </c>
      <c r="F27" s="84">
        <f>Effectif!M30</f>
        <v>43846</v>
      </c>
      <c r="G27" s="85">
        <f>Effectif!P30</f>
        <v>0</v>
      </c>
      <c r="H27" s="94">
        <f>Effectif!R30</f>
        <v>0</v>
      </c>
    </row>
    <row r="28" spans="1:8" x14ac:dyDescent="0.25">
      <c r="A28" s="78" t="str">
        <f>Effectif!A31</f>
        <v>azerty</v>
      </c>
      <c r="B28" s="79" t="str">
        <f>Effectif!B31</f>
        <v>azertty</v>
      </c>
      <c r="C28" s="80" t="str">
        <f>Effectif!D31</f>
        <v>05/05/2003</v>
      </c>
      <c r="D28" s="81">
        <f ca="1">Effectif!E31</f>
        <v>17</v>
      </c>
      <c r="E28" s="81">
        <f>Effectif!G31</f>
        <v>0</v>
      </c>
      <c r="F28" s="80">
        <f>Effectif!M31</f>
        <v>43796</v>
      </c>
      <c r="G28" s="81">
        <f>Effectif!P31</f>
        <v>0</v>
      </c>
      <c r="H28" s="93">
        <f>Effectif!R31</f>
        <v>0</v>
      </c>
    </row>
    <row r="29" spans="1:8" x14ac:dyDescent="0.25">
      <c r="A29" s="82" t="str">
        <f>Effectif!A32</f>
        <v>azerty</v>
      </c>
      <c r="B29" s="83" t="str">
        <f>Effectif!B32</f>
        <v>azertty</v>
      </c>
      <c r="C29" s="84" t="str">
        <f>Effectif!D32</f>
        <v>10/12/2001</v>
      </c>
      <c r="D29" s="85">
        <f ca="1">Effectif!E32</f>
        <v>18</v>
      </c>
      <c r="E29" s="85">
        <f>Effectif!G32</f>
        <v>0</v>
      </c>
      <c r="F29" s="84">
        <f>Effectif!M32</f>
        <v>43508</v>
      </c>
      <c r="G29" s="85">
        <f>Effectif!P32</f>
        <v>0</v>
      </c>
      <c r="H29" s="94">
        <f>Effectif!R32</f>
        <v>0</v>
      </c>
    </row>
    <row r="30" spans="1:8" x14ac:dyDescent="0.25">
      <c r="A30" s="78" t="str">
        <f>Effectif!A33</f>
        <v>azerty</v>
      </c>
      <c r="B30" s="79" t="str">
        <f>Effectif!B33</f>
        <v>azertty</v>
      </c>
      <c r="C30" s="80" t="str">
        <f>Effectif!D33</f>
        <v>31/12/2003</v>
      </c>
      <c r="D30" s="81">
        <f ca="1">Effectif!E33</f>
        <v>16</v>
      </c>
      <c r="E30" s="81">
        <f>Effectif!G33</f>
        <v>0</v>
      </c>
      <c r="F30" s="80">
        <f>Effectif!M33</f>
        <v>43831</v>
      </c>
      <c r="G30" s="81">
        <f>Effectif!P33</f>
        <v>0</v>
      </c>
      <c r="H30" s="93">
        <f>Effectif!R33</f>
        <v>0</v>
      </c>
    </row>
    <row r="31" spans="1:8" x14ac:dyDescent="0.25">
      <c r="A31" s="82" t="str">
        <f>Effectif!A34</f>
        <v>azerty</v>
      </c>
      <c r="B31" s="83" t="str">
        <f>Effectif!B34</f>
        <v>azertty</v>
      </c>
      <c r="C31" s="84" t="str">
        <f>Effectif!D34</f>
        <v>15/09/2003</v>
      </c>
      <c r="D31" s="85">
        <f ca="1">Effectif!E34</f>
        <v>16</v>
      </c>
      <c r="E31" s="85">
        <f>Effectif!G34</f>
        <v>0</v>
      </c>
      <c r="F31" s="84">
        <f>Effectif!M34</f>
        <v>43819</v>
      </c>
      <c r="G31" s="85">
        <f>Effectif!P34</f>
        <v>0</v>
      </c>
      <c r="H31" s="94">
        <f>Effectif!R34</f>
        <v>0</v>
      </c>
    </row>
    <row r="32" spans="1:8" x14ac:dyDescent="0.25">
      <c r="A32" s="78" t="str">
        <f>Effectif!A36</f>
        <v>azerty</v>
      </c>
      <c r="B32" s="79" t="str">
        <f>Effectif!B36</f>
        <v>azertty</v>
      </c>
      <c r="C32" s="80" t="str">
        <f>Effectif!D36</f>
        <v>03/03/2003</v>
      </c>
      <c r="D32" s="81">
        <f ca="1">Effectif!E36</f>
        <v>17</v>
      </c>
      <c r="E32" s="81">
        <f>Effectif!G36</f>
        <v>0</v>
      </c>
      <c r="F32" s="80">
        <f>Effectif!M36</f>
        <v>43270</v>
      </c>
      <c r="G32" s="81">
        <f>Effectif!P36</f>
        <v>0</v>
      </c>
      <c r="H32" s="93">
        <f>Effectif!R36</f>
        <v>0</v>
      </c>
    </row>
    <row r="33" spans="1:8" x14ac:dyDescent="0.25">
      <c r="A33" s="82" t="str">
        <f>Effectif!A37</f>
        <v>azerty</v>
      </c>
      <c r="B33" s="83" t="str">
        <f>Effectif!B37</f>
        <v>azertty</v>
      </c>
      <c r="C33" s="84" t="str">
        <f>Effectif!D37</f>
        <v>29/08/2004</v>
      </c>
      <c r="D33" s="85">
        <f ca="1">Effectif!E37</f>
        <v>15</v>
      </c>
      <c r="E33" s="85">
        <f>Effectif!G37</f>
        <v>0</v>
      </c>
      <c r="F33" s="84">
        <f>Effectif!M37</f>
        <v>43788</v>
      </c>
      <c r="G33" s="85">
        <f>Effectif!P37</f>
        <v>0</v>
      </c>
      <c r="H33" s="94">
        <f>Effectif!R37</f>
        <v>0</v>
      </c>
    </row>
    <row r="34" spans="1:8" x14ac:dyDescent="0.25">
      <c r="A34" s="78" t="str">
        <f>Effectif!A38</f>
        <v>azerty</v>
      </c>
      <c r="B34" s="79" t="str">
        <f>Effectif!B38</f>
        <v>azertty</v>
      </c>
      <c r="C34" s="80" t="str">
        <f>Effectif!D38</f>
        <v>23/12/2002</v>
      </c>
      <c r="D34" s="81">
        <f ca="1">Effectif!E38</f>
        <v>17</v>
      </c>
      <c r="E34" s="81">
        <f>Effectif!G38</f>
        <v>0</v>
      </c>
      <c r="F34" s="80">
        <f>Effectif!M38</f>
        <v>43850</v>
      </c>
      <c r="G34" s="81">
        <f>Effectif!P38</f>
        <v>0</v>
      </c>
      <c r="H34" s="93">
        <f>Effectif!R38</f>
        <v>0</v>
      </c>
    </row>
    <row r="35" spans="1:8" x14ac:dyDescent="0.25">
      <c r="A35" s="82" t="str">
        <f>Effectif!A39</f>
        <v>azerty</v>
      </c>
      <c r="B35" s="83" t="str">
        <f>Effectif!B39</f>
        <v>azertty</v>
      </c>
      <c r="C35" s="84" t="str">
        <f>Effectif!D39</f>
        <v>16/07/2003</v>
      </c>
      <c r="D35" s="85">
        <f ca="1">Effectif!E39</f>
        <v>16</v>
      </c>
      <c r="E35" s="85">
        <f>Effectif!G39</f>
        <v>0</v>
      </c>
      <c r="F35" s="84">
        <f>Effectif!M39</f>
        <v>43902</v>
      </c>
      <c r="G35" s="85">
        <f>Effectif!P39</f>
        <v>0</v>
      </c>
      <c r="H35" s="94">
        <f>Effectif!R39</f>
        <v>0</v>
      </c>
    </row>
    <row r="36" spans="1:8" x14ac:dyDescent="0.25">
      <c r="A36" s="78" t="str">
        <f>Effectif!A40</f>
        <v>azerty</v>
      </c>
      <c r="B36" s="79" t="str">
        <f>Effectif!B40</f>
        <v>azertty</v>
      </c>
      <c r="C36" s="80" t="str">
        <f>Effectif!D40</f>
        <v>24/12/2001</v>
      </c>
      <c r="D36" s="81">
        <f ca="1">Effectif!E40</f>
        <v>18</v>
      </c>
      <c r="E36" s="81">
        <f>Effectif!G40</f>
        <v>0</v>
      </c>
      <c r="F36" s="80">
        <f>Effectif!M40</f>
        <v>43434</v>
      </c>
      <c r="G36" s="81">
        <f>Effectif!P40</f>
        <v>0</v>
      </c>
      <c r="H36" s="93">
        <f>Effectif!R40</f>
        <v>0</v>
      </c>
    </row>
    <row r="37" spans="1:8" x14ac:dyDescent="0.25">
      <c r="A37" s="82" t="str">
        <f>Effectif!A41</f>
        <v>azerty</v>
      </c>
      <c r="B37" s="83" t="str">
        <f>Effectif!B41</f>
        <v>azertty</v>
      </c>
      <c r="C37" s="84" t="str">
        <f>Effectif!D41</f>
        <v>20/06/2002</v>
      </c>
      <c r="D37" s="85">
        <f ca="1">Effectif!E41</f>
        <v>17</v>
      </c>
      <c r="E37" s="85">
        <f>Effectif!G41</f>
        <v>0</v>
      </c>
      <c r="F37" s="84">
        <f>Effectif!M41</f>
        <v>43825</v>
      </c>
      <c r="G37" s="85">
        <f>Effectif!P41</f>
        <v>0</v>
      </c>
      <c r="H37" s="94">
        <f>Effectif!R41</f>
        <v>0</v>
      </c>
    </row>
    <row r="38" spans="1:8" x14ac:dyDescent="0.25">
      <c r="A38" s="78" t="str">
        <f>Effectif!A42</f>
        <v>azerty</v>
      </c>
      <c r="B38" s="79" t="str">
        <f>Effectif!B42</f>
        <v>azertty</v>
      </c>
      <c r="C38" s="80" t="str">
        <f>Effectif!D42</f>
        <v>13/02/2003</v>
      </c>
      <c r="D38" s="81">
        <f ca="1">Effectif!E42</f>
        <v>17</v>
      </c>
      <c r="E38" s="81">
        <f>Effectif!G42</f>
        <v>0</v>
      </c>
      <c r="F38" s="80">
        <f>Effectif!M42</f>
        <v>43852</v>
      </c>
      <c r="G38" s="81">
        <f>Effectif!P42</f>
        <v>0</v>
      </c>
      <c r="H38" s="93">
        <f>Effectif!R42</f>
        <v>0</v>
      </c>
    </row>
    <row r="39" spans="1:8" x14ac:dyDescent="0.25">
      <c r="A39" s="82" t="str">
        <f>Effectif!A43</f>
        <v>azerty</v>
      </c>
      <c r="B39" s="83" t="str">
        <f>Effectif!B43</f>
        <v>azertty</v>
      </c>
      <c r="C39" s="84" t="str">
        <f>Effectif!D43</f>
        <v>15/11/2001</v>
      </c>
      <c r="D39" s="85">
        <f ca="1">Effectif!E43</f>
        <v>18</v>
      </c>
      <c r="E39" s="85">
        <f>Effectif!G43</f>
        <v>0</v>
      </c>
      <c r="F39" s="84">
        <f>Effectif!M43</f>
        <v>43445</v>
      </c>
      <c r="G39" s="85">
        <f>Effectif!P43</f>
        <v>0</v>
      </c>
      <c r="H39" s="94">
        <f>Effectif!R43</f>
        <v>0</v>
      </c>
    </row>
    <row r="40" spans="1:8" x14ac:dyDescent="0.25">
      <c r="A40" s="78" t="str">
        <f>Effectif!A44</f>
        <v>azerty</v>
      </c>
      <c r="B40" s="79" t="str">
        <f>Effectif!B44</f>
        <v>azertty</v>
      </c>
      <c r="C40" s="80" t="str">
        <f>Effectif!D44</f>
        <v>15/09/2001</v>
      </c>
      <c r="D40" s="81">
        <f ca="1">Effectif!E44</f>
        <v>18</v>
      </c>
      <c r="E40" s="81">
        <f>Effectif!G44</f>
        <v>0</v>
      </c>
      <c r="F40" s="80">
        <f>Effectif!M44</f>
        <v>43434</v>
      </c>
      <c r="G40" s="81">
        <f>Effectif!P44</f>
        <v>0</v>
      </c>
      <c r="H40" s="93">
        <f>Effectif!R44</f>
        <v>0</v>
      </c>
    </row>
    <row r="41" spans="1:8" x14ac:dyDescent="0.25">
      <c r="A41" s="82" t="str">
        <f>Effectif!A45</f>
        <v>azerty</v>
      </c>
      <c r="B41" s="83" t="str">
        <f>Effectif!B45</f>
        <v>azertty</v>
      </c>
      <c r="C41" s="84" t="str">
        <f>Effectif!D45</f>
        <v>31/12/2003</v>
      </c>
      <c r="D41" s="85">
        <f ca="1">Effectif!E45</f>
        <v>16</v>
      </c>
      <c r="E41" s="85">
        <f>Effectif!G45</f>
        <v>0</v>
      </c>
      <c r="F41" s="84">
        <f>Effectif!M45</f>
        <v>44153</v>
      </c>
      <c r="G41" s="85">
        <f>Effectif!P45</f>
        <v>0</v>
      </c>
      <c r="H41" s="94">
        <f>Effectif!R45</f>
        <v>0</v>
      </c>
    </row>
    <row r="42" spans="1:8" x14ac:dyDescent="0.25">
      <c r="A42" s="78" t="str">
        <f>Effectif!A46</f>
        <v>azerty</v>
      </c>
      <c r="B42" s="79" t="str">
        <f>Effectif!B46</f>
        <v>azertty</v>
      </c>
      <c r="C42" s="80" t="str">
        <f>Effectif!D46</f>
        <v>31/12/2002</v>
      </c>
      <c r="D42" s="81">
        <f ca="1">Effectif!E46</f>
        <v>17</v>
      </c>
      <c r="E42" s="81">
        <f>Effectif!G46</f>
        <v>0</v>
      </c>
      <c r="F42" s="80">
        <f>Effectif!M46</f>
        <v>43508</v>
      </c>
      <c r="G42" s="81">
        <f>Effectif!P46</f>
        <v>0</v>
      </c>
      <c r="H42" s="93">
        <f>Effectif!R46</f>
        <v>0</v>
      </c>
    </row>
    <row r="43" spans="1:8" x14ac:dyDescent="0.25">
      <c r="A43" s="82" t="str">
        <f>Effectif!A47</f>
        <v>azerty</v>
      </c>
      <c r="B43" s="83" t="str">
        <f>Effectif!B47</f>
        <v>azertty</v>
      </c>
      <c r="C43" s="84" t="str">
        <f>Effectif!D47</f>
        <v>16/07/2002</v>
      </c>
      <c r="D43" s="85">
        <f ca="1">Effectif!E47</f>
        <v>17</v>
      </c>
      <c r="E43" s="85">
        <f>Effectif!G47</f>
        <v>0</v>
      </c>
      <c r="F43" s="84">
        <f>Effectif!M47</f>
        <v>43971</v>
      </c>
      <c r="G43" s="85">
        <f>Effectif!P47</f>
        <v>0</v>
      </c>
      <c r="H43" s="94">
        <f>Effectif!R47</f>
        <v>0</v>
      </c>
    </row>
    <row r="44" spans="1:8" x14ac:dyDescent="0.25">
      <c r="A44" s="78" t="str">
        <f>Effectif!A48</f>
        <v>azerty</v>
      </c>
      <c r="B44" s="79" t="str">
        <f>Effectif!B48</f>
        <v>azertty</v>
      </c>
      <c r="C44" s="80" t="str">
        <f>Effectif!D48</f>
        <v>10/12/2003</v>
      </c>
      <c r="D44" s="81">
        <f ca="1">Effectif!E48</f>
        <v>16</v>
      </c>
      <c r="E44" s="81">
        <f>Effectif!G48</f>
        <v>0</v>
      </c>
      <c r="F44" s="80">
        <f>Effectif!M48</f>
        <v>43825</v>
      </c>
      <c r="G44" s="81">
        <f>Effectif!P48</f>
        <v>0</v>
      </c>
      <c r="H44" s="93">
        <f>Effectif!R48</f>
        <v>0</v>
      </c>
    </row>
    <row r="45" spans="1:8" x14ac:dyDescent="0.25">
      <c r="A45" s="82" t="str">
        <f>Effectif!A49</f>
        <v>azerty</v>
      </c>
      <c r="B45" s="83" t="str">
        <f>Effectif!B49</f>
        <v>azertty</v>
      </c>
      <c r="C45" s="84" t="str">
        <f>Effectif!D49</f>
        <v>02/06/2003</v>
      </c>
      <c r="D45" s="85">
        <f ca="1">Effectif!E49</f>
        <v>16</v>
      </c>
      <c r="E45" s="85">
        <f>Effectif!G49</f>
        <v>0</v>
      </c>
      <c r="F45" s="84">
        <f>Effectif!M49</f>
        <v>0</v>
      </c>
      <c r="G45" s="85">
        <f>Effectif!P49</f>
        <v>0</v>
      </c>
      <c r="H45" s="94">
        <f>Effectif!R49</f>
        <v>0</v>
      </c>
    </row>
    <row r="46" spans="1:8" x14ac:dyDescent="0.25">
      <c r="A46" s="78" t="str">
        <f>Effectif!A50</f>
        <v>azerty</v>
      </c>
      <c r="B46" s="79" t="str">
        <f>Effectif!B50</f>
        <v>azertty</v>
      </c>
      <c r="C46" s="80" t="str">
        <f>Effectif!D50</f>
        <v>02/01/2003</v>
      </c>
      <c r="D46" s="81">
        <f ca="1">Effectif!E50</f>
        <v>17</v>
      </c>
      <c r="E46" s="81">
        <f>Effectif!G50</f>
        <v>0</v>
      </c>
      <c r="F46" s="80">
        <f>Effectif!M50</f>
        <v>43515</v>
      </c>
      <c r="G46" s="81">
        <f>Effectif!P50</f>
        <v>0</v>
      </c>
      <c r="H46" s="93">
        <f>Effectif!R50</f>
        <v>0</v>
      </c>
    </row>
    <row r="47" spans="1:8" x14ac:dyDescent="0.25">
      <c r="A47" s="82" t="str">
        <f>Effectif!A51</f>
        <v>azerty</v>
      </c>
      <c r="B47" s="83" t="str">
        <f>Effectif!B51</f>
        <v>azertty</v>
      </c>
      <c r="C47" s="84" t="str">
        <f>Effectif!D51</f>
        <v>31/12/2002</v>
      </c>
      <c r="D47" s="85">
        <f ca="1">Effectif!E51</f>
        <v>17</v>
      </c>
      <c r="E47" s="85">
        <f>Effectif!G51</f>
        <v>0</v>
      </c>
      <c r="F47" s="84">
        <f>Effectif!M51</f>
        <v>43434</v>
      </c>
      <c r="G47" s="85">
        <f>Effectif!P51</f>
        <v>0</v>
      </c>
      <c r="H47" s="94">
        <f>Effectif!R51</f>
        <v>0</v>
      </c>
    </row>
    <row r="48" spans="1:8" x14ac:dyDescent="0.25">
      <c r="A48" s="78" t="str">
        <f>Effectif!A52</f>
        <v>azerty</v>
      </c>
      <c r="B48" s="79" t="str">
        <f>Effectif!B52</f>
        <v>azertty</v>
      </c>
      <c r="C48" s="80" t="str">
        <f>Effectif!D52</f>
        <v>01/01/2003</v>
      </c>
      <c r="D48" s="81">
        <f ca="1">Effectif!E52</f>
        <v>17</v>
      </c>
      <c r="E48" s="81">
        <f>Effectif!G52</f>
        <v>0</v>
      </c>
      <c r="F48" s="80">
        <f>Effectif!M52</f>
        <v>43495</v>
      </c>
      <c r="G48" s="81">
        <f>Effectif!P52</f>
        <v>0</v>
      </c>
      <c r="H48" s="93">
        <f>Effectif!R52</f>
        <v>0</v>
      </c>
    </row>
    <row r="49" spans="1:8" x14ac:dyDescent="0.25">
      <c r="A49" s="82" t="str">
        <f>Effectif!A53</f>
        <v>azerty</v>
      </c>
      <c r="B49" s="83" t="str">
        <f>Effectif!B53</f>
        <v>azertty</v>
      </c>
      <c r="C49" s="84" t="str">
        <f>Effectif!D53</f>
        <v>06/07/2002</v>
      </c>
      <c r="D49" s="85">
        <f ca="1">Effectif!E53</f>
        <v>17</v>
      </c>
      <c r="E49" s="85">
        <f>Effectif!G53</f>
        <v>0</v>
      </c>
      <c r="F49" s="84">
        <f>Effectif!M53</f>
        <v>43434</v>
      </c>
      <c r="G49" s="85">
        <f>Effectif!P53</f>
        <v>0</v>
      </c>
      <c r="H49" s="94">
        <f>Effectif!R53</f>
        <v>0</v>
      </c>
    </row>
    <row r="50" spans="1:8" x14ac:dyDescent="0.25">
      <c r="A50" s="78" t="str">
        <f>Effectif!A54</f>
        <v>azerty</v>
      </c>
      <c r="B50" s="79" t="str">
        <f>Effectif!B54</f>
        <v>azertty</v>
      </c>
      <c r="C50" s="80" t="str">
        <f>Effectif!D54</f>
        <v>10/05/2002</v>
      </c>
      <c r="D50" s="81">
        <f ca="1">Effectif!E54</f>
        <v>18</v>
      </c>
      <c r="E50" s="81">
        <f>Effectif!G54</f>
        <v>0</v>
      </c>
      <c r="F50" s="80">
        <f>Effectif!M54</f>
        <v>43445</v>
      </c>
      <c r="G50" s="81">
        <f>Effectif!P54</f>
        <v>0</v>
      </c>
      <c r="H50" s="93">
        <f>Effectif!R54</f>
        <v>0</v>
      </c>
    </row>
    <row r="51" spans="1:8" x14ac:dyDescent="0.25">
      <c r="A51" s="82" t="str">
        <f>Effectif!A55</f>
        <v>azerty</v>
      </c>
      <c r="B51" s="83" t="str">
        <f>Effectif!B55</f>
        <v>azertty</v>
      </c>
      <c r="C51" s="84" t="str">
        <f>Effectif!D55</f>
        <v>02/10/2002</v>
      </c>
      <c r="D51" s="85">
        <f ca="1">Effectif!E55</f>
        <v>17</v>
      </c>
      <c r="E51" s="85">
        <f>Effectif!G55</f>
        <v>0</v>
      </c>
      <c r="F51" s="84">
        <f>Effectif!M55</f>
        <v>43509</v>
      </c>
      <c r="G51" s="85">
        <f>Effectif!P55</f>
        <v>0</v>
      </c>
      <c r="H51" s="94">
        <f>Effectif!R55</f>
        <v>0</v>
      </c>
    </row>
    <row r="52" spans="1:8" x14ac:dyDescent="0.25">
      <c r="A52" s="78" t="str">
        <f>Effectif!A56</f>
        <v>azerty</v>
      </c>
      <c r="B52" s="79" t="str">
        <f>Effectif!B56</f>
        <v>azertty</v>
      </c>
      <c r="C52" s="80" t="str">
        <f>Effectif!D56</f>
        <v>07/02/2003</v>
      </c>
      <c r="D52" s="81">
        <f ca="1">Effectif!E56</f>
        <v>17</v>
      </c>
      <c r="E52" s="81">
        <f>Effectif!G56</f>
        <v>0</v>
      </c>
      <c r="F52" s="80">
        <f>Effectif!M56</f>
        <v>43812</v>
      </c>
      <c r="G52" s="81">
        <f>Effectif!P56</f>
        <v>0</v>
      </c>
      <c r="H52" s="93">
        <f>Effectif!R56</f>
        <v>0</v>
      </c>
    </row>
    <row r="53" spans="1:8" x14ac:dyDescent="0.25">
      <c r="A53" s="82" t="str">
        <f>Effectif!A57</f>
        <v>azerty</v>
      </c>
      <c r="B53" s="83" t="str">
        <f>Effectif!B57</f>
        <v>azertty</v>
      </c>
      <c r="C53" s="84" t="str">
        <f>Effectif!D57</f>
        <v>08/05/2003</v>
      </c>
      <c r="D53" s="85">
        <f ca="1">Effectif!E57</f>
        <v>17</v>
      </c>
      <c r="E53" s="85">
        <f>Effectif!G57</f>
        <v>0</v>
      </c>
      <c r="F53" s="84">
        <f>Effectif!M57</f>
        <v>43709</v>
      </c>
      <c r="G53" s="85">
        <f>Effectif!P57</f>
        <v>0</v>
      </c>
      <c r="H53" s="94">
        <f>Effectif!R57</f>
        <v>0</v>
      </c>
    </row>
    <row r="54" spans="1:8" x14ac:dyDescent="0.25">
      <c r="A54" s="78" t="str">
        <f>Effectif!A58</f>
        <v>azerty</v>
      </c>
      <c r="B54" s="79" t="str">
        <f>Effectif!B58</f>
        <v>azertty</v>
      </c>
      <c r="C54" s="80" t="str">
        <f>Effectif!D58</f>
        <v>01/12/2001</v>
      </c>
      <c r="D54" s="81">
        <f ca="1">Effectif!E58</f>
        <v>18</v>
      </c>
      <c r="E54" s="81">
        <f>Effectif!G58</f>
        <v>0</v>
      </c>
      <c r="F54" s="80">
        <f>Effectif!M58</f>
        <v>43434</v>
      </c>
      <c r="G54" s="81">
        <f>Effectif!P58</f>
        <v>0</v>
      </c>
      <c r="H54" s="93">
        <f>Effectif!R58</f>
        <v>0</v>
      </c>
    </row>
    <row r="55" spans="1:8" x14ac:dyDescent="0.25">
      <c r="A55" s="82" t="str">
        <f>Effectif!A59</f>
        <v>azerty</v>
      </c>
      <c r="B55" s="83" t="str">
        <f>Effectif!B59</f>
        <v>azertty</v>
      </c>
      <c r="C55" s="84" t="str">
        <f>Effectif!D59</f>
        <v>05/03/2003</v>
      </c>
      <c r="D55" s="85">
        <f ca="1">Effectif!E59</f>
        <v>17</v>
      </c>
      <c r="E55" s="85">
        <f>Effectif!G59</f>
        <v>0</v>
      </c>
      <c r="F55" s="84">
        <f>Effectif!M59</f>
        <v>43434</v>
      </c>
      <c r="G55" s="85">
        <f>Effectif!P59</f>
        <v>0</v>
      </c>
      <c r="H55" s="94">
        <f>Effectif!R59</f>
        <v>0</v>
      </c>
    </row>
    <row r="56" spans="1:8" x14ac:dyDescent="0.25">
      <c r="A56" s="78" t="str">
        <f>Effectif!A60</f>
        <v>azerty</v>
      </c>
      <c r="B56" s="79" t="str">
        <f>Effectif!B60</f>
        <v>azertty</v>
      </c>
      <c r="C56" s="80" t="str">
        <f>Effectif!D60</f>
        <v>09/07/2002</v>
      </c>
      <c r="D56" s="81">
        <f ca="1">Effectif!E60</f>
        <v>17</v>
      </c>
      <c r="E56" s="81">
        <f>Effectif!G60</f>
        <v>0</v>
      </c>
      <c r="F56" s="80">
        <f>Effectif!M60</f>
        <v>43434</v>
      </c>
      <c r="G56" s="81">
        <f>Effectif!P60</f>
        <v>0</v>
      </c>
      <c r="H56" s="93">
        <f>Effectif!R60</f>
        <v>0</v>
      </c>
    </row>
    <row r="57" spans="1:8" x14ac:dyDescent="0.25">
      <c r="A57" s="82" t="str">
        <f>Effectif!A61</f>
        <v>azerty</v>
      </c>
      <c r="B57" s="83" t="str">
        <f>Effectif!B61</f>
        <v>azertty</v>
      </c>
      <c r="C57" s="84" t="str">
        <f>Effectif!D61</f>
        <v>31/10/2003</v>
      </c>
      <c r="D57" s="85">
        <f ca="1">Effectif!E61</f>
        <v>16</v>
      </c>
      <c r="E57" s="85">
        <f>Effectif!G61</f>
        <v>0</v>
      </c>
      <c r="F57" s="84">
        <f>Effectif!M61</f>
        <v>43839</v>
      </c>
      <c r="G57" s="85">
        <f>Effectif!P61</f>
        <v>0</v>
      </c>
      <c r="H57" s="94">
        <f>Effectif!R61</f>
        <v>0</v>
      </c>
    </row>
    <row r="58" spans="1:8" x14ac:dyDescent="0.25">
      <c r="A58" s="78" t="str">
        <f>Effectif!A62</f>
        <v>azerty</v>
      </c>
      <c r="B58" s="79" t="str">
        <f>Effectif!B62</f>
        <v>azertty</v>
      </c>
      <c r="C58" s="80" t="str">
        <f>Effectif!D62</f>
        <v>31/12/2003</v>
      </c>
      <c r="D58" s="81">
        <f ca="1">Effectif!E62</f>
        <v>16</v>
      </c>
      <c r="E58" s="81">
        <f>Effectif!G62</f>
        <v>0</v>
      </c>
      <c r="F58" s="80">
        <f>Effectif!M62</f>
        <v>43434</v>
      </c>
      <c r="G58" s="81">
        <f>Effectif!P62</f>
        <v>0</v>
      </c>
      <c r="H58" s="93">
        <f>Effectif!R62</f>
        <v>0</v>
      </c>
    </row>
    <row r="59" spans="1:8" ht="15.75" thickBot="1" x14ac:dyDescent="0.3">
      <c r="A59" s="86" t="str">
        <f>Effectif!A63</f>
        <v>azerty</v>
      </c>
      <c r="B59" s="206" t="str">
        <f>Effectif!B63</f>
        <v>azertty</v>
      </c>
      <c r="C59" s="87" t="str">
        <f>Effectif!D63</f>
        <v>31/12/2004</v>
      </c>
      <c r="D59" s="88">
        <f ca="1">Effectif!E63</f>
        <v>15</v>
      </c>
      <c r="E59" s="88">
        <f>Effectif!G63</f>
        <v>0</v>
      </c>
      <c r="F59" s="87">
        <f>Effectif!M63</f>
        <v>43710</v>
      </c>
      <c r="G59" s="88">
        <f>Effectif!P63</f>
        <v>0</v>
      </c>
      <c r="H59" s="95">
        <f>Effectif!R63</f>
        <v>0</v>
      </c>
    </row>
    <row r="60" spans="1:8" ht="15.75" thickTop="1" x14ac:dyDescent="0.25"/>
  </sheetData>
  <sheetProtection selectLockedCells="1" selectUnlockedCells="1"/>
  <customSheetViews>
    <customSheetView guid="{EE943BA9-0B80-4629-8DFD-5400001CD553}" fitToPage="1" state="hidden">
      <selection activeCell="H1" sqref="H1"/>
      <pageMargins left="0" right="0" top="0" bottom="0" header="0.31496062992125984" footer="0.31496062992125984"/>
      <printOptions horizontalCentered="1" verticalCentered="1"/>
      <pageSetup paperSize="9" scale="63" orientation="landscape" verticalDpi="0" r:id="rId1"/>
    </customSheetView>
    <customSheetView guid="{23892BE3-6C12-4C60-B754-ED0B7FB9276C}" fitToPage="1" state="hidden">
      <selection activeCell="H1" sqref="H1"/>
      <pageMargins left="0" right="0" top="0" bottom="0" header="0.31496062992125984" footer="0.31496062992125984"/>
      <printOptions horizontalCentered="1" verticalCentered="1"/>
      <pageSetup paperSize="9" scale="63" orientation="landscape" verticalDpi="0" r:id="rId2"/>
    </customSheetView>
  </customSheetViews>
  <printOptions horizontalCentered="1" verticalCentered="1"/>
  <pageMargins left="0" right="0" top="0" bottom="0" header="0.31496062992125984" footer="0.31496062992125984"/>
  <pageSetup paperSize="9" scale="63" orientation="landscape" verticalDpi="0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:AG70"/>
  <sheetViews>
    <sheetView topLeftCell="A43" workbookViewId="0">
      <selection activeCell="A61" sqref="A61"/>
    </sheetView>
  </sheetViews>
  <sheetFormatPr baseColWidth="10" defaultColWidth="11.42578125" defaultRowHeight="15" x14ac:dyDescent="0.25"/>
  <cols>
    <col min="1" max="1" width="19.42578125" style="5" bestFit="1" customWidth="1"/>
    <col min="2" max="2" width="11.42578125" style="5"/>
    <col min="3" max="3" width="21" style="5" bestFit="1" customWidth="1"/>
    <col min="4" max="4" width="15" style="5" bestFit="1" customWidth="1"/>
    <col min="5" max="5" width="21.85546875" style="5" bestFit="1" customWidth="1"/>
    <col min="6" max="6" width="32.42578125" style="5" bestFit="1" customWidth="1"/>
    <col min="7" max="7" width="17.5703125" style="5" bestFit="1" customWidth="1"/>
    <col min="8" max="8" width="14" style="5" bestFit="1" customWidth="1"/>
    <col min="9" max="9" width="42.5703125" style="5" bestFit="1" customWidth="1"/>
    <col min="10" max="10" width="21.42578125" style="5" bestFit="1" customWidth="1"/>
    <col min="11" max="11" width="14.140625" style="5" bestFit="1" customWidth="1"/>
    <col min="12" max="12" width="9.85546875" style="5" bestFit="1" customWidth="1"/>
    <col min="13" max="13" width="11.42578125" style="5"/>
    <col min="14" max="14" width="8" style="5" bestFit="1" customWidth="1"/>
    <col min="15" max="16384" width="11.42578125" style="5"/>
  </cols>
  <sheetData>
    <row r="1" spans="1:33" ht="16.5" thickTop="1" thickBot="1" x14ac:dyDescent="0.3">
      <c r="A1" s="4" t="s">
        <v>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J1" s="4" t="s">
        <v>21</v>
      </c>
      <c r="L1" s="4" t="s">
        <v>23</v>
      </c>
      <c r="N1" s="4" t="s">
        <v>28</v>
      </c>
    </row>
    <row r="2" spans="1:33" ht="16.5" thickTop="1" thickBot="1" x14ac:dyDescent="0.3">
      <c r="A2" s="6"/>
      <c r="C2" s="6"/>
      <c r="D2" s="6"/>
      <c r="E2" s="6"/>
      <c r="F2" s="6"/>
      <c r="G2" s="6"/>
      <c r="H2" s="6"/>
      <c r="J2" s="6"/>
      <c r="L2" s="6" t="s">
        <v>24</v>
      </c>
      <c r="N2" s="6" t="s">
        <v>7</v>
      </c>
    </row>
    <row r="3" spans="1:33" ht="16.5" thickTop="1" thickBot="1" x14ac:dyDescent="0.3">
      <c r="A3" s="6"/>
      <c r="C3" s="6"/>
      <c r="D3" s="6"/>
      <c r="E3" s="6"/>
      <c r="F3" s="6"/>
      <c r="G3" s="6"/>
      <c r="H3" s="6"/>
      <c r="J3" s="6"/>
      <c r="L3" s="6" t="s">
        <v>25</v>
      </c>
      <c r="N3" s="6" t="s">
        <v>9</v>
      </c>
      <c r="AG3" s="5" t="str">
        <f>IF(AND(Z3="Oui",AS3="",AE3="Mois"),Paramètres!H56,"")&amp;IF(AND(Z3="Oui",AS3&lt;&gt;"",AE3="Mois"),Paramètres!H55,"")&amp;IF(AND(Z3="Non",AS3&lt;&gt;"",AE3="Mois"),Paramètres!H57,"")&amp;IF(AND(Z3="Non",AS3="",AE3="Mois"),"Rien","")&amp;IF(AND(Z3="Oui",AS3="",AE3="Trimestre"),Paramètres!$H$68,"")&amp;IF(AND(Z3="Oui",AS3&lt;&gt;"",AE3="Trimestre"),Paramètres!$H$67&amp;" €","")&amp;IF(AND(Z3="Non",AS3&lt;&gt;"",AE3="Trimestre"),Paramètres!$H$69,"")</f>
        <v/>
      </c>
    </row>
    <row r="4" spans="1:33" ht="16.5" thickTop="1" thickBot="1" x14ac:dyDescent="0.3">
      <c r="A4" s="6"/>
      <c r="F4" s="6"/>
      <c r="H4" s="6"/>
      <c r="J4" s="6"/>
      <c r="N4" s="6" t="s">
        <v>8</v>
      </c>
    </row>
    <row r="5" spans="1:33" ht="16.5" thickTop="1" thickBot="1" x14ac:dyDescent="0.3">
      <c r="A5" s="6"/>
      <c r="J5" s="6"/>
      <c r="N5" s="6" t="s">
        <v>29</v>
      </c>
    </row>
    <row r="6" spans="1:33" ht="16.5" thickTop="1" thickBot="1" x14ac:dyDescent="0.3">
      <c r="A6" s="6"/>
      <c r="C6" s="4" t="s">
        <v>32</v>
      </c>
      <c r="E6" s="4" t="s">
        <v>39</v>
      </c>
      <c r="F6" s="6"/>
      <c r="J6" s="6"/>
    </row>
    <row r="7" spans="1:33" ht="16.5" thickTop="1" thickBot="1" x14ac:dyDescent="0.3">
      <c r="A7" s="6"/>
      <c r="C7" s="6" t="s">
        <v>35</v>
      </c>
      <c r="E7" s="6"/>
      <c r="F7" s="7"/>
    </row>
    <row r="8" spans="1:33" ht="16.5" thickTop="1" thickBot="1" x14ac:dyDescent="0.3">
      <c r="C8" s="6" t="s">
        <v>37</v>
      </c>
      <c r="E8" s="6"/>
      <c r="F8" s="7"/>
    </row>
    <row r="9" spans="1:33" ht="16.5" thickTop="1" thickBot="1" x14ac:dyDescent="0.3">
      <c r="C9" s="6" t="s">
        <v>34</v>
      </c>
      <c r="E9" s="6"/>
      <c r="F9" s="7"/>
      <c r="I9" s="11"/>
      <c r="J9" s="4"/>
    </row>
    <row r="10" spans="1:33" ht="16.5" thickTop="1" thickBot="1" x14ac:dyDescent="0.3">
      <c r="A10" s="4" t="s">
        <v>48</v>
      </c>
      <c r="C10" s="6" t="s">
        <v>33</v>
      </c>
      <c r="E10" s="6"/>
      <c r="F10" s="7"/>
      <c r="I10" s="11"/>
      <c r="J10" s="6"/>
    </row>
    <row r="11" spans="1:33" ht="16.5" thickTop="1" thickBot="1" x14ac:dyDescent="0.3">
      <c r="A11" s="6" t="s">
        <v>88</v>
      </c>
      <c r="C11" s="6" t="s">
        <v>36</v>
      </c>
      <c r="E11" s="6"/>
      <c r="F11" s="7"/>
      <c r="I11" s="11"/>
      <c r="J11" s="6"/>
    </row>
    <row r="12" spans="1:33" ht="16.5" thickTop="1" thickBot="1" x14ac:dyDescent="0.3">
      <c r="A12" s="6" t="s">
        <v>29</v>
      </c>
      <c r="E12" s="6"/>
      <c r="F12" s="7"/>
      <c r="I12" s="11"/>
      <c r="J12" s="6"/>
    </row>
    <row r="13" spans="1:33" ht="16.5" thickTop="1" thickBot="1" x14ac:dyDescent="0.3">
      <c r="A13" s="6" t="s">
        <v>135</v>
      </c>
      <c r="E13" s="6"/>
      <c r="F13" s="7"/>
      <c r="H13" s="4" t="s">
        <v>137</v>
      </c>
      <c r="I13" s="11"/>
      <c r="J13" s="6"/>
    </row>
    <row r="14" spans="1:33" ht="16.5" thickTop="1" thickBot="1" x14ac:dyDescent="0.3">
      <c r="A14" s="6" t="s">
        <v>51</v>
      </c>
      <c r="C14" s="4" t="s">
        <v>56</v>
      </c>
      <c r="E14" s="6"/>
      <c r="F14" s="7"/>
      <c r="H14" s="6" t="s">
        <v>56</v>
      </c>
      <c r="I14" s="11"/>
      <c r="J14" s="6"/>
    </row>
    <row r="15" spans="1:33" ht="16.5" thickTop="1" thickBot="1" x14ac:dyDescent="0.3">
      <c r="A15" s="6" t="s">
        <v>50</v>
      </c>
      <c r="C15" s="8" t="s">
        <v>57</v>
      </c>
      <c r="E15" s="6"/>
      <c r="F15" s="7"/>
      <c r="H15" s="6" t="s">
        <v>138</v>
      </c>
      <c r="I15" s="11"/>
      <c r="J15" s="6"/>
    </row>
    <row r="16" spans="1:33" ht="16.5" thickTop="1" thickBot="1" x14ac:dyDescent="0.3">
      <c r="A16" s="6" t="s">
        <v>229</v>
      </c>
      <c r="C16" s="8" t="s">
        <v>58</v>
      </c>
      <c r="E16" s="6"/>
      <c r="F16" s="7"/>
      <c r="H16" s="6" t="s">
        <v>139</v>
      </c>
      <c r="I16" s="11"/>
      <c r="J16" s="6"/>
    </row>
    <row r="17" spans="1:11" ht="16.5" thickTop="1" thickBot="1" x14ac:dyDescent="0.3">
      <c r="C17" s="8" t="s">
        <v>88</v>
      </c>
      <c r="E17" s="6"/>
      <c r="F17" s="7"/>
      <c r="I17" s="11"/>
      <c r="J17" s="6"/>
    </row>
    <row r="18" spans="1:11" ht="16.5" thickTop="1" thickBot="1" x14ac:dyDescent="0.3">
      <c r="C18" s="10"/>
      <c r="E18" s="6"/>
      <c r="F18" s="7"/>
      <c r="I18" s="11"/>
    </row>
    <row r="19" spans="1:11" ht="16.5" thickTop="1" thickBot="1" x14ac:dyDescent="0.3">
      <c r="A19" s="4" t="s">
        <v>51</v>
      </c>
      <c r="E19" s="6"/>
      <c r="F19" s="7"/>
      <c r="H19" s="6" t="s">
        <v>24</v>
      </c>
      <c r="I19" s="11"/>
    </row>
    <row r="20" spans="1:11" ht="16.5" thickTop="1" thickBot="1" x14ac:dyDescent="0.3">
      <c r="A20" s="6" t="s">
        <v>78</v>
      </c>
      <c r="C20" s="4" t="s">
        <v>78</v>
      </c>
      <c r="E20" s="4" t="s">
        <v>59</v>
      </c>
      <c r="F20" s="8"/>
      <c r="H20" s="6" t="s">
        <v>25</v>
      </c>
      <c r="I20" s="11"/>
    </row>
    <row r="21" spans="1:11" ht="16.5" thickTop="1" thickBot="1" x14ac:dyDescent="0.3">
      <c r="A21" s="6" t="s">
        <v>79</v>
      </c>
      <c r="C21" s="8" t="s">
        <v>61</v>
      </c>
      <c r="E21" s="8" t="s">
        <v>241</v>
      </c>
      <c r="F21" s="54" t="str">
        <f ca="1">TEXT(EOMONTH(TODAY(),0),"jj/mm/aa")</f>
        <v>31/05/20</v>
      </c>
    </row>
    <row r="22" spans="1:11" ht="16.5" thickTop="1" thickBot="1" x14ac:dyDescent="0.3">
      <c r="A22" s="6" t="s">
        <v>80</v>
      </c>
      <c r="C22" s="8" t="s">
        <v>62</v>
      </c>
      <c r="E22" s="8" t="s">
        <v>242</v>
      </c>
      <c r="F22" s="54" t="str">
        <f ca="1">IF(OR(MONTH(TODAY())&lt;=2,MONTH(TODAY())=12),"28/02/20",IF(AND(MONTH(TODAY())&lt;=6,MONTH(TODAY())&gt;=3),"31/08/20","31/11/20"))</f>
        <v>31/08/20</v>
      </c>
      <c r="I22" s="11"/>
    </row>
    <row r="23" spans="1:11" ht="16.5" thickTop="1" thickBot="1" x14ac:dyDescent="0.3">
      <c r="A23" s="6" t="s">
        <v>52</v>
      </c>
      <c r="C23" s="8" t="s">
        <v>63</v>
      </c>
      <c r="E23" s="8" t="s">
        <v>88</v>
      </c>
      <c r="F23" s="54" t="s">
        <v>88</v>
      </c>
      <c r="I23" s="11"/>
    </row>
    <row r="24" spans="1:11" ht="16.5" thickTop="1" thickBot="1" x14ac:dyDescent="0.3">
      <c r="A24" s="6" t="s">
        <v>81</v>
      </c>
      <c r="C24" s="8" t="s">
        <v>60</v>
      </c>
      <c r="E24" s="8" t="s">
        <v>242</v>
      </c>
      <c r="F24" s="54" t="str">
        <f ca="1">IF(OR(MONTH(TODAY())&lt;=2,MONTH(TODAY())=12),"2eme trimestre",IF(AND(MONTH(TODAY())&lt;=6,MONTH(TODAY())&gt;=3),"3eme trimestre","1er trimestre"))</f>
        <v>3eme trimestre</v>
      </c>
      <c r="G24" s="9" t="s">
        <v>87</v>
      </c>
      <c r="I24" s="4" t="s">
        <v>148</v>
      </c>
      <c r="J24" s="6"/>
      <c r="K24" s="6"/>
    </row>
    <row r="25" spans="1:11" ht="16.5" thickTop="1" thickBot="1" x14ac:dyDescent="0.3">
      <c r="A25" s="6" t="s">
        <v>230</v>
      </c>
      <c r="E25" s="4" t="s">
        <v>86</v>
      </c>
      <c r="G25" s="21" t="s">
        <v>133</v>
      </c>
      <c r="I25" s="6"/>
      <c r="J25" s="7"/>
      <c r="K25" s="62"/>
    </row>
    <row r="26" spans="1:11" ht="16.5" thickTop="1" thickBot="1" x14ac:dyDescent="0.3">
      <c r="E26" s="8" t="s">
        <v>64</v>
      </c>
      <c r="G26" s="8" t="s">
        <v>73</v>
      </c>
      <c r="I26" s="6"/>
      <c r="J26" s="7"/>
      <c r="K26" s="62"/>
    </row>
    <row r="27" spans="1:11" ht="16.5" thickTop="1" thickBot="1" x14ac:dyDescent="0.3">
      <c r="A27" s="4" t="s">
        <v>50</v>
      </c>
      <c r="C27" s="4" t="s">
        <v>79</v>
      </c>
      <c r="E27" s="8" t="s">
        <v>65</v>
      </c>
      <c r="G27" s="8" t="s">
        <v>75</v>
      </c>
      <c r="I27" s="6"/>
      <c r="J27" s="7"/>
      <c r="K27" s="62"/>
    </row>
    <row r="28" spans="1:11" ht="16.5" thickTop="1" thickBot="1" x14ac:dyDescent="0.3">
      <c r="A28" s="6" t="s">
        <v>82</v>
      </c>
      <c r="C28" s="8" t="s">
        <v>61</v>
      </c>
      <c r="E28" s="8" t="s">
        <v>66</v>
      </c>
      <c r="G28" s="8" t="s">
        <v>69</v>
      </c>
      <c r="I28" s="6"/>
      <c r="J28" s="7"/>
      <c r="K28" s="62"/>
    </row>
    <row r="29" spans="1:11" ht="16.5" thickTop="1" thickBot="1" x14ac:dyDescent="0.3">
      <c r="A29" s="6" t="s">
        <v>83</v>
      </c>
      <c r="C29" s="8" t="s">
        <v>62</v>
      </c>
      <c r="G29" s="8" t="s">
        <v>77</v>
      </c>
      <c r="I29" s="6"/>
      <c r="J29" s="7"/>
      <c r="K29" s="62"/>
    </row>
    <row r="30" spans="1:11" ht="16.5" thickTop="1" thickBot="1" x14ac:dyDescent="0.3">
      <c r="A30" s="6" t="s">
        <v>53</v>
      </c>
      <c r="C30" s="8" t="s">
        <v>63</v>
      </c>
      <c r="G30" s="8" t="s">
        <v>89</v>
      </c>
      <c r="I30" s="6"/>
      <c r="J30" s="7"/>
      <c r="K30" s="62"/>
    </row>
    <row r="31" spans="1:11" ht="16.5" thickTop="1" thickBot="1" x14ac:dyDescent="0.3">
      <c r="A31" s="6" t="s">
        <v>84</v>
      </c>
      <c r="C31" s="8" t="s">
        <v>60</v>
      </c>
      <c r="E31" s="4" t="s">
        <v>83</v>
      </c>
      <c r="G31" s="8" t="s">
        <v>71</v>
      </c>
      <c r="I31" s="6"/>
      <c r="J31" s="7"/>
      <c r="K31" s="62"/>
    </row>
    <row r="32" spans="1:11" ht="16.5" thickTop="1" thickBot="1" x14ac:dyDescent="0.3">
      <c r="A32" s="6" t="s">
        <v>85</v>
      </c>
      <c r="C32" s="10"/>
      <c r="E32" s="8" t="s">
        <v>64</v>
      </c>
      <c r="G32" s="8" t="s">
        <v>72</v>
      </c>
      <c r="I32" s="6"/>
      <c r="J32" s="7"/>
      <c r="K32" s="62"/>
    </row>
    <row r="33" spans="1:9" ht="16.5" thickTop="1" thickBot="1" x14ac:dyDescent="0.3">
      <c r="E33" s="8" t="s">
        <v>65</v>
      </c>
      <c r="G33" s="8" t="s">
        <v>76</v>
      </c>
      <c r="I33" s="11"/>
    </row>
    <row r="34" spans="1:9" ht="16.5" thickTop="1" thickBot="1" x14ac:dyDescent="0.3">
      <c r="A34" s="4" t="s">
        <v>135</v>
      </c>
      <c r="C34" s="4" t="s">
        <v>80</v>
      </c>
      <c r="E34" s="8" t="s">
        <v>66</v>
      </c>
      <c r="G34" s="8" t="s">
        <v>74</v>
      </c>
      <c r="I34" s="11"/>
    </row>
    <row r="35" spans="1:9" ht="16.5" thickTop="1" thickBot="1" x14ac:dyDescent="0.3">
      <c r="A35" s="6" t="s">
        <v>8</v>
      </c>
      <c r="C35" s="8" t="s">
        <v>61</v>
      </c>
      <c r="G35" s="8" t="s">
        <v>90</v>
      </c>
      <c r="I35" s="4" t="s">
        <v>152</v>
      </c>
    </row>
    <row r="36" spans="1:9" ht="16.5" thickTop="1" thickBot="1" x14ac:dyDescent="0.3">
      <c r="C36" s="8" t="s">
        <v>62</v>
      </c>
      <c r="G36" s="8" t="s">
        <v>68</v>
      </c>
      <c r="I36" s="8" t="s">
        <v>155</v>
      </c>
    </row>
    <row r="37" spans="1:9" ht="16.5" thickTop="1" thickBot="1" x14ac:dyDescent="0.3">
      <c r="C37" s="8" t="s">
        <v>63</v>
      </c>
      <c r="E37" s="4" t="s">
        <v>53</v>
      </c>
      <c r="G37" s="8" t="s">
        <v>70</v>
      </c>
      <c r="I37" s="8" t="s">
        <v>151</v>
      </c>
    </row>
    <row r="38" spans="1:9" ht="16.5" thickTop="1" thickBot="1" x14ac:dyDescent="0.3">
      <c r="C38" s="8" t="s">
        <v>60</v>
      </c>
      <c r="E38" s="8" t="s">
        <v>64</v>
      </c>
      <c r="G38" s="8" t="s">
        <v>67</v>
      </c>
      <c r="I38" s="11"/>
    </row>
    <row r="39" spans="1:9" ht="16.5" thickTop="1" thickBot="1" x14ac:dyDescent="0.3">
      <c r="E39" s="8" t="s">
        <v>65</v>
      </c>
      <c r="I39" s="11"/>
    </row>
    <row r="40" spans="1:9" ht="16.5" thickTop="1" thickBot="1" x14ac:dyDescent="0.3">
      <c r="E40" s="8" t="s">
        <v>66</v>
      </c>
      <c r="I40" s="4" t="s">
        <v>145</v>
      </c>
    </row>
    <row r="41" spans="1:9" ht="16.5" thickTop="1" thickBot="1" x14ac:dyDescent="0.3">
      <c r="C41" s="4" t="s">
        <v>52</v>
      </c>
      <c r="G41" s="4" t="s">
        <v>144</v>
      </c>
      <c r="I41" s="25">
        <v>49</v>
      </c>
    </row>
    <row r="42" spans="1:9" ht="16.5" thickTop="1" thickBot="1" x14ac:dyDescent="0.3">
      <c r="C42" s="8" t="s">
        <v>61</v>
      </c>
      <c r="G42" s="6" t="s">
        <v>146</v>
      </c>
      <c r="I42" s="11"/>
    </row>
    <row r="43" spans="1:9" ht="16.5" thickTop="1" thickBot="1" x14ac:dyDescent="0.3">
      <c r="C43" s="8" t="s">
        <v>62</v>
      </c>
      <c r="E43" s="4" t="s">
        <v>84</v>
      </c>
      <c r="G43" s="25">
        <v>67</v>
      </c>
      <c r="I43" s="11"/>
    </row>
    <row r="44" spans="1:9" ht="16.5" thickTop="1" thickBot="1" x14ac:dyDescent="0.3">
      <c r="C44" s="8" t="s">
        <v>63</v>
      </c>
      <c r="E44" s="8" t="s">
        <v>64</v>
      </c>
      <c r="I44" s="4" t="s">
        <v>43</v>
      </c>
    </row>
    <row r="45" spans="1:9" ht="16.5" thickTop="1" thickBot="1" x14ac:dyDescent="0.3">
      <c r="C45" s="8" t="s">
        <v>60</v>
      </c>
      <c r="E45" s="8" t="s">
        <v>65</v>
      </c>
      <c r="I45" s="25" t="s">
        <v>159</v>
      </c>
    </row>
    <row r="46" spans="1:9" ht="16.5" thickTop="1" thickBot="1" x14ac:dyDescent="0.3">
      <c r="E46" s="8" t="s">
        <v>66</v>
      </c>
      <c r="G46" s="4" t="s">
        <v>245</v>
      </c>
      <c r="I46" s="25" t="s">
        <v>160</v>
      </c>
    </row>
    <row r="47" spans="1:9" ht="16.5" thickTop="1" thickBot="1" x14ac:dyDescent="0.3">
      <c r="G47" s="6" t="s">
        <v>144</v>
      </c>
      <c r="I47" s="25" t="s">
        <v>161</v>
      </c>
    </row>
    <row r="48" spans="1:9" ht="16.5" thickTop="1" thickBot="1" x14ac:dyDescent="0.3">
      <c r="C48" s="4" t="s">
        <v>81</v>
      </c>
      <c r="G48" s="6" t="s">
        <v>145</v>
      </c>
      <c r="I48" s="11"/>
    </row>
    <row r="49" spans="3:9" ht="16.5" thickTop="1" thickBot="1" x14ac:dyDescent="0.3">
      <c r="C49" s="8" t="s">
        <v>61</v>
      </c>
      <c r="E49" s="4" t="s">
        <v>85</v>
      </c>
      <c r="I49" s="11"/>
    </row>
    <row r="50" spans="3:9" ht="16.5" thickTop="1" thickBot="1" x14ac:dyDescent="0.3">
      <c r="C50" s="8" t="s">
        <v>62</v>
      </c>
      <c r="E50" s="8" t="s">
        <v>64</v>
      </c>
      <c r="I50" s="11"/>
    </row>
    <row r="51" spans="3:9" ht="16.5" thickTop="1" thickBot="1" x14ac:dyDescent="0.3">
      <c r="C51" s="8" t="s">
        <v>63</v>
      </c>
      <c r="E51" s="8" t="s">
        <v>65</v>
      </c>
      <c r="I51" s="11"/>
    </row>
    <row r="52" spans="3:9" ht="16.5" thickTop="1" thickBot="1" x14ac:dyDescent="0.3">
      <c r="C52" s="8" t="s">
        <v>60</v>
      </c>
      <c r="E52" s="8" t="s">
        <v>66</v>
      </c>
      <c r="I52" s="11"/>
    </row>
    <row r="53" spans="3:9" ht="16.5" thickTop="1" thickBot="1" x14ac:dyDescent="0.3">
      <c r="F53" s="4" t="s">
        <v>247</v>
      </c>
      <c r="G53" s="4"/>
      <c r="H53" s="4"/>
      <c r="I53" s="11"/>
    </row>
    <row r="54" spans="3:9" ht="16.5" thickTop="1" thickBot="1" x14ac:dyDescent="0.3">
      <c r="C54" s="4" t="s">
        <v>230</v>
      </c>
      <c r="F54" s="257" t="s">
        <v>241</v>
      </c>
      <c r="G54" s="6" t="s">
        <v>254</v>
      </c>
      <c r="H54" s="191">
        <v>25</v>
      </c>
      <c r="I54" s="11"/>
    </row>
    <row r="55" spans="3:9" ht="16.5" thickTop="1" thickBot="1" x14ac:dyDescent="0.3">
      <c r="C55" s="8" t="s">
        <v>61</v>
      </c>
      <c r="F55" s="258"/>
      <c r="G55" s="6" t="s">
        <v>255</v>
      </c>
      <c r="H55" s="191">
        <v>10</v>
      </c>
      <c r="I55" s="11"/>
    </row>
    <row r="56" spans="3:9" ht="16.5" thickTop="1" thickBot="1" x14ac:dyDescent="0.3">
      <c r="C56" s="8" t="s">
        <v>62</v>
      </c>
      <c r="F56" s="258"/>
      <c r="G56" s="6" t="s">
        <v>6</v>
      </c>
      <c r="H56" s="191">
        <v>15.45</v>
      </c>
      <c r="I56" s="11"/>
    </row>
    <row r="57" spans="3:9" ht="16.5" thickTop="1" thickBot="1" x14ac:dyDescent="0.3">
      <c r="F57" s="259"/>
      <c r="G57" s="6" t="s">
        <v>249</v>
      </c>
      <c r="H57" s="191">
        <v>20</v>
      </c>
      <c r="I57" s="11"/>
    </row>
    <row r="58" spans="3:9" ht="16.5" thickTop="1" thickBot="1" x14ac:dyDescent="0.3">
      <c r="F58" s="257" t="s">
        <v>244</v>
      </c>
      <c r="G58" s="6" t="s">
        <v>248</v>
      </c>
      <c r="H58" s="191">
        <v>25.65</v>
      </c>
      <c r="I58" s="11"/>
    </row>
    <row r="59" spans="3:9" ht="16.5" thickTop="1" thickBot="1" x14ac:dyDescent="0.3">
      <c r="F59" s="258"/>
      <c r="G59" s="6" t="s">
        <v>6</v>
      </c>
      <c r="H59" s="191" t="s">
        <v>250</v>
      </c>
      <c r="I59" s="11"/>
    </row>
    <row r="60" spans="3:9" ht="16.5" thickTop="1" thickBot="1" x14ac:dyDescent="0.3">
      <c r="F60" s="259"/>
      <c r="G60" s="6" t="s">
        <v>249</v>
      </c>
      <c r="H60" s="191">
        <v>51.3</v>
      </c>
      <c r="I60" s="11"/>
    </row>
    <row r="61" spans="3:9" ht="16.5" thickTop="1" thickBot="1" x14ac:dyDescent="0.3">
      <c r="F61" s="257" t="s">
        <v>251</v>
      </c>
      <c r="G61" s="6" t="s">
        <v>248</v>
      </c>
      <c r="H61" s="191">
        <v>22.55</v>
      </c>
      <c r="I61" s="11"/>
    </row>
    <row r="62" spans="3:9" ht="16.5" thickTop="1" thickBot="1" x14ac:dyDescent="0.3">
      <c r="F62" s="258"/>
      <c r="G62" s="6" t="s">
        <v>6</v>
      </c>
      <c r="H62" s="191" t="s">
        <v>250</v>
      </c>
      <c r="I62" s="11"/>
    </row>
    <row r="63" spans="3:9" ht="16.5" thickTop="1" thickBot="1" x14ac:dyDescent="0.3">
      <c r="F63" s="259"/>
      <c r="G63" s="6" t="s">
        <v>249</v>
      </c>
      <c r="H63" s="191">
        <v>45.1</v>
      </c>
      <c r="I63" s="11"/>
    </row>
    <row r="64" spans="3:9" ht="16.5" thickTop="1" thickBot="1" x14ac:dyDescent="0.3">
      <c r="F64" s="257" t="s">
        <v>252</v>
      </c>
      <c r="G64" s="6" t="s">
        <v>248</v>
      </c>
      <c r="H64" s="191">
        <v>22.55</v>
      </c>
      <c r="I64" s="11"/>
    </row>
    <row r="65" spans="6:9" ht="16.5" thickTop="1" thickBot="1" x14ac:dyDescent="0.3">
      <c r="F65" s="258"/>
      <c r="G65" s="6" t="s">
        <v>6</v>
      </c>
      <c r="H65" s="191" t="s">
        <v>250</v>
      </c>
      <c r="I65" s="11"/>
    </row>
    <row r="66" spans="6:9" ht="16.5" thickTop="1" thickBot="1" x14ac:dyDescent="0.3">
      <c r="F66" s="259"/>
      <c r="G66" s="6" t="s">
        <v>249</v>
      </c>
      <c r="H66" s="191">
        <v>45.1</v>
      </c>
      <c r="I66" s="11"/>
    </row>
    <row r="67" spans="6:9" ht="16.5" thickTop="1" thickBot="1" x14ac:dyDescent="0.3">
      <c r="F67" s="257" t="s">
        <v>253</v>
      </c>
      <c r="G67" s="6" t="s">
        <v>248</v>
      </c>
      <c r="H67" s="191">
        <f ca="1">IF(F22="1er trimestre",H58,IF(F22="2eme trimestre",H61,H64))</f>
        <v>22.55</v>
      </c>
      <c r="I67" s="11"/>
    </row>
    <row r="68" spans="6:9" ht="16.5" thickTop="1" thickBot="1" x14ac:dyDescent="0.3">
      <c r="F68" s="258"/>
      <c r="G68" s="6" t="s">
        <v>6</v>
      </c>
      <c r="H68" s="191" t="s">
        <v>250</v>
      </c>
      <c r="I68" s="11"/>
    </row>
    <row r="69" spans="6:9" ht="16.5" thickTop="1" thickBot="1" x14ac:dyDescent="0.3">
      <c r="F69" s="259"/>
      <c r="G69" s="6" t="s">
        <v>249</v>
      </c>
      <c r="H69" s="191">
        <f ca="1">IF(F22="1er trimestre",H60,IF(F22="2eme trimestre",H63,H66))</f>
        <v>45.1</v>
      </c>
      <c r="I69" s="11"/>
    </row>
    <row r="70" spans="6:9" ht="15.75" thickTop="1" x14ac:dyDescent="0.25">
      <c r="I70" s="11"/>
    </row>
  </sheetData>
  <sortState xmlns:xlrd2="http://schemas.microsoft.com/office/spreadsheetml/2017/richdata2" ref="A20:A25">
    <sortCondition ref="A20"/>
  </sortState>
  <customSheetViews>
    <customSheetView guid="{EE943BA9-0B80-4629-8DFD-5400001CD553}" topLeftCell="E45">
      <selection activeCell="H54" sqref="H54:H69"/>
      <pageMargins left="0.7" right="0.7" top="0.75" bottom="0.75" header="0.3" footer="0.3"/>
      <pageSetup paperSize="9" orientation="portrait" verticalDpi="0" r:id="rId1"/>
    </customSheetView>
    <customSheetView guid="{23892BE3-6C12-4C60-B754-ED0B7FB9276C}" state="hidden" topLeftCell="A47">
      <selection activeCell="C55" sqref="C55:C56"/>
      <pageMargins left="0.7" right="0.7" top="0.75" bottom="0.75" header="0.3" footer="0.3"/>
      <pageSetup paperSize="9" orientation="portrait" verticalDpi="0" r:id="rId2"/>
    </customSheetView>
  </customSheetViews>
  <mergeCells count="5">
    <mergeCell ref="F58:F60"/>
    <mergeCell ref="F61:F63"/>
    <mergeCell ref="F64:F66"/>
    <mergeCell ref="F67:F69"/>
    <mergeCell ref="F54:F57"/>
  </mergeCells>
  <dataValidations count="2">
    <dataValidation type="list" allowBlank="1" showInputMessage="1" showErrorMessage="1" sqref="C14:C16" xr:uid="{00000000-0002-0000-0900-000000000000}">
      <formula1>$C$15:$C$16</formula1>
    </dataValidation>
    <dataValidation type="list" allowBlank="1" showInputMessage="1" showErrorMessage="1" sqref="A28:A32" xr:uid="{00000000-0002-0000-0900-000001000000}">
      <formula1>Lycee</formula1>
    </dataValidation>
  </dataValidation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55</vt:i4>
      </vt:variant>
    </vt:vector>
  </HeadingPairs>
  <TitlesOfParts>
    <vt:vector size="65" baseType="lpstr">
      <vt:lpstr>Effectif</vt:lpstr>
      <vt:lpstr>Argent de poche</vt:lpstr>
      <vt:lpstr>ASE</vt:lpstr>
      <vt:lpstr>CAPS</vt:lpstr>
      <vt:lpstr>Statistiques</vt:lpstr>
      <vt:lpstr>Archives</vt:lpstr>
      <vt:lpstr>Feuille Classeur</vt:lpstr>
      <vt:lpstr>Veilleurs</vt:lpstr>
      <vt:lpstr>Impression</vt:lpstr>
      <vt:lpstr>Paramètres</vt:lpstr>
      <vt:lpstr>A._BRIAND</vt:lpstr>
      <vt:lpstr>A._FRERET</vt:lpstr>
      <vt:lpstr>A._HEBERT</vt:lpstr>
      <vt:lpstr>Statistiques!Accueil</vt:lpstr>
      <vt:lpstr>Accueil</vt:lpstr>
      <vt:lpstr>Apprentissage</vt:lpstr>
      <vt:lpstr>Statistiques!ATJM</vt:lpstr>
      <vt:lpstr>ATJM</vt:lpstr>
      <vt:lpstr>CFA</vt:lpstr>
      <vt:lpstr>Statistiques!Choix</vt:lpstr>
      <vt:lpstr>Choix</vt:lpstr>
      <vt:lpstr>Classe_de_CFA</vt:lpstr>
      <vt:lpstr>Collectif</vt:lpstr>
      <vt:lpstr>College</vt:lpstr>
      <vt:lpstr>Veilleurs!Criteres</vt:lpstr>
      <vt:lpstr>D._CHAHARANE</vt:lpstr>
      <vt:lpstr>E._MOULINET</vt:lpstr>
      <vt:lpstr>Statistiques!EDUCATEUR</vt:lpstr>
      <vt:lpstr>EDUCATEUR</vt:lpstr>
      <vt:lpstr>FRERET</vt:lpstr>
      <vt:lpstr>G._POLITZER</vt:lpstr>
      <vt:lpstr>H._DUNANT</vt:lpstr>
      <vt:lpstr>HORTICOLE</vt:lpstr>
      <vt:lpstr>Statistiques!IEF</vt:lpstr>
      <vt:lpstr>IEF</vt:lpstr>
      <vt:lpstr>ASE!Impression_des_titres</vt:lpstr>
      <vt:lpstr>Impression!Impression_des_titres</vt:lpstr>
      <vt:lpstr>J._CADIN</vt:lpstr>
      <vt:lpstr>J._JAURES</vt:lpstr>
      <vt:lpstr>L._SEDAR_SENGHOR</vt:lpstr>
      <vt:lpstr>Statistiques!liste_jeune</vt:lpstr>
      <vt:lpstr>liste_jeune</vt:lpstr>
      <vt:lpstr>Statistiques!Lycee</vt:lpstr>
      <vt:lpstr>Lycee</vt:lpstr>
      <vt:lpstr>M._LEROY</vt:lpstr>
      <vt:lpstr>Statistiques!Mesure</vt:lpstr>
      <vt:lpstr>Mesure</vt:lpstr>
      <vt:lpstr>NAVARRE</vt:lpstr>
      <vt:lpstr>P._BERT</vt:lpstr>
      <vt:lpstr>Statistiques!PAMIE</vt:lpstr>
      <vt:lpstr>PAMIE</vt:lpstr>
      <vt:lpstr>S._LACOSTE</vt:lpstr>
      <vt:lpstr>SCOLAIRE</vt:lpstr>
      <vt:lpstr>Statistiques!Scolarite</vt:lpstr>
      <vt:lpstr>Scolarite</vt:lpstr>
      <vt:lpstr>Semi_autonomie</vt:lpstr>
      <vt:lpstr>St_MICHEL</vt:lpstr>
      <vt:lpstr>Statistiques!Titre</vt:lpstr>
      <vt:lpstr>Titre</vt:lpstr>
      <vt:lpstr>V._LECUYER</vt:lpstr>
      <vt:lpstr>'Argent de poche'!Zone_d_impression</vt:lpstr>
      <vt:lpstr>'Feuille Classeur'!Zone_d_impression</vt:lpstr>
      <vt:lpstr>Impression!Zone_d_impression</vt:lpstr>
      <vt:lpstr>Statistiques!Zone_d_impression</vt:lpstr>
      <vt:lpstr>Veilleurs!Zone_d_impression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Fred</cp:lastModifiedBy>
  <cp:lastPrinted>2020-05-22T15:26:45Z</cp:lastPrinted>
  <dcterms:created xsi:type="dcterms:W3CDTF">2006-09-16T00:00:00Z</dcterms:created>
  <dcterms:modified xsi:type="dcterms:W3CDTF">2020-05-22T19:01:08Z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