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4910" windowHeight="7095"/>
  </bookViews>
  <sheets>
    <sheet name="Summary" sheetId="17" r:id="rId1"/>
    <sheet name="Rive droite" sheetId="19" r:id="rId2"/>
    <sheet name="Rive Gauche" sheetId="18" r:id="rId3"/>
    <sheet name="Agences" sheetId="20" r:id="rId4"/>
  </sheets>
  <definedNames>
    <definedName name="_xlnm.Print_Area" localSheetId="0">Summary!$A$1:$J$37</definedName>
  </definedNames>
  <calcPr calcId="124519"/>
</workbook>
</file>

<file path=xl/calcChain.xml><?xml version="1.0" encoding="utf-8"?>
<calcChain xmlns="http://schemas.openxmlformats.org/spreadsheetml/2006/main">
  <c r="B34" i="17"/>
  <c r="J13"/>
  <c r="J14"/>
  <c r="J15"/>
  <c r="J18"/>
  <c r="J20"/>
  <c r="J21"/>
  <c r="J22"/>
  <c r="J23"/>
  <c r="J24"/>
  <c r="J25"/>
  <c r="J26"/>
  <c r="J27"/>
  <c r="J28"/>
  <c r="J32"/>
  <c r="J9"/>
  <c r="J10"/>
  <c r="J11"/>
  <c r="J12"/>
  <c r="J5"/>
  <c r="J4"/>
  <c r="C24" i="18"/>
  <c r="D24"/>
  <c r="E24"/>
  <c r="F24"/>
  <c r="J24"/>
  <c r="B24"/>
  <c r="K19"/>
  <c r="L19" s="1"/>
  <c r="I19"/>
  <c r="G19"/>
  <c r="H19" s="1"/>
  <c r="K18"/>
  <c r="L18" s="1"/>
  <c r="I18"/>
  <c r="G18"/>
  <c r="H18" s="1"/>
  <c r="K17"/>
  <c r="L17" s="1"/>
  <c r="I17"/>
  <c r="G17"/>
  <c r="H17" s="1"/>
  <c r="K16"/>
  <c r="L16" s="1"/>
  <c r="I16"/>
  <c r="G16"/>
  <c r="H16" s="1"/>
  <c r="K15"/>
  <c r="L15" s="1"/>
  <c r="I15"/>
  <c r="G15"/>
  <c r="H15" s="1"/>
  <c r="K10"/>
  <c r="L10" s="1"/>
  <c r="I10"/>
  <c r="G10"/>
  <c r="H10" s="1"/>
  <c r="K9"/>
  <c r="L9" s="1"/>
  <c r="I9"/>
  <c r="G9"/>
  <c r="H9" s="1"/>
  <c r="K8"/>
  <c r="L8" s="1"/>
  <c r="I8"/>
  <c r="G8"/>
  <c r="H8" s="1"/>
  <c r="K4"/>
  <c r="L4" s="1"/>
  <c r="I4"/>
  <c r="I24" s="1"/>
  <c r="G4"/>
  <c r="H4" s="1"/>
  <c r="C25" i="19"/>
  <c r="D25"/>
  <c r="E25"/>
  <c r="F25"/>
  <c r="B25"/>
  <c r="K23"/>
  <c r="L23" s="1"/>
  <c r="I23"/>
  <c r="G23"/>
  <c r="H23" s="1"/>
  <c r="K19"/>
  <c r="L19" s="1"/>
  <c r="I19"/>
  <c r="G19"/>
  <c r="H19" s="1"/>
  <c r="K18"/>
  <c r="L18" s="1"/>
  <c r="I18"/>
  <c r="G18"/>
  <c r="H18" s="1"/>
  <c r="K17"/>
  <c r="L17" s="1"/>
  <c r="I17"/>
  <c r="G17"/>
  <c r="H17" s="1"/>
  <c r="K16"/>
  <c r="L16" s="1"/>
  <c r="I16"/>
  <c r="G16"/>
  <c r="H16" s="1"/>
  <c r="K11"/>
  <c r="L11" s="1"/>
  <c r="I11"/>
  <c r="G11"/>
  <c r="H11" s="1"/>
  <c r="K10"/>
  <c r="L10" s="1"/>
  <c r="I10"/>
  <c r="G10"/>
  <c r="H10" s="1"/>
  <c r="K9"/>
  <c r="L9" s="1"/>
  <c r="I9"/>
  <c r="G9"/>
  <c r="H9" s="1"/>
  <c r="K8"/>
  <c r="L8" s="1"/>
  <c r="I8"/>
  <c r="G8"/>
  <c r="H8" s="1"/>
  <c r="K4"/>
  <c r="L4" s="1"/>
  <c r="I4"/>
  <c r="I25" s="1"/>
  <c r="G4"/>
  <c r="H4" s="1"/>
  <c r="K24" i="18" l="1"/>
  <c r="L24" s="1"/>
  <c r="G24"/>
  <c r="H24" s="1"/>
  <c r="K25" i="19"/>
  <c r="G25"/>
  <c r="L25" s="1"/>
  <c r="C34" i="17"/>
  <c r="D34"/>
  <c r="E34"/>
  <c r="F34"/>
  <c r="G10"/>
  <c r="G13"/>
  <c r="G32"/>
  <c r="G21"/>
  <c r="G5"/>
  <c r="G27"/>
  <c r="G20"/>
  <c r="G23"/>
  <c r="G24"/>
  <c r="G22"/>
  <c r="G14"/>
  <c r="G28"/>
  <c r="G11"/>
  <c r="G25"/>
  <c r="G15"/>
  <c r="G12"/>
  <c r="G26"/>
  <c r="G9"/>
  <c r="G4"/>
  <c r="H25" i="19" l="1"/>
  <c r="G34" i="17"/>
  <c r="H34" s="1"/>
  <c r="H22"/>
  <c r="H15"/>
  <c r="H5"/>
  <c r="H24"/>
  <c r="H14"/>
  <c r="H9"/>
  <c r="H23"/>
  <c r="H32"/>
  <c r="H11"/>
  <c r="H4"/>
  <c r="H13"/>
  <c r="H12"/>
  <c r="H10"/>
  <c r="H25"/>
  <c r="H20"/>
  <c r="H26"/>
  <c r="H28"/>
  <c r="H27"/>
  <c r="H21" l="1"/>
</calcChain>
</file>

<file path=xl/sharedStrings.xml><?xml version="1.0" encoding="utf-8"?>
<sst xmlns="http://schemas.openxmlformats.org/spreadsheetml/2006/main" count="299" uniqueCount="46">
  <si>
    <t>Agence</t>
  </si>
  <si>
    <t>Total</t>
  </si>
  <si>
    <t>Siège</t>
  </si>
  <si>
    <t>Bozola</t>
  </si>
  <si>
    <t>Sahel Vert</t>
  </si>
  <si>
    <t>Gdcm</t>
  </si>
  <si>
    <t>Ibiza</t>
  </si>
  <si>
    <t>Djélibougou</t>
  </si>
  <si>
    <t>Aéroport</t>
  </si>
  <si>
    <t>Bittar</t>
  </si>
  <si>
    <t>Baco Djicoroni</t>
  </si>
  <si>
    <t>Amandine</t>
  </si>
  <si>
    <t>Kalaban Koro</t>
  </si>
  <si>
    <t>Tabakoto</t>
  </si>
  <si>
    <t>Koutiala</t>
  </si>
  <si>
    <t>Kayes</t>
  </si>
  <si>
    <t>Ségou</t>
  </si>
  <si>
    <t>Sikasso</t>
  </si>
  <si>
    <t>Mopti</t>
  </si>
  <si>
    <t>Gao</t>
  </si>
  <si>
    <t>Réal.%</t>
  </si>
  <si>
    <t>Contribution Mensuelle</t>
  </si>
  <si>
    <t>TOP PERFORMANCE : Réalisation ≥ 100 % des objectifs</t>
  </si>
  <si>
    <t>Tendance</t>
  </si>
  <si>
    <t>↗</t>
  </si>
  <si>
    <t>PERFORMANCE MOYENNE : 80 % ≤ Réalisation ≤  100 % des objectifs</t>
  </si>
  <si>
    <t>FAIBLE PERFORMANCE : 60 % ≤ Réalisation ≤  80 % des objectifs</t>
  </si>
  <si>
    <t>↘</t>
  </si>
  <si>
    <t>Faladiè</t>
  </si>
  <si>
    <t>PERFORMANCE MEDIOCRE: 0 % ≤ Réalisation ≤  60 % des objectifs</t>
  </si>
  <si>
    <t>Fin DEC 2013</t>
  </si>
  <si>
    <t>Dec.12</t>
  </si>
  <si>
    <t>Zone</t>
  </si>
  <si>
    <t>Droite</t>
  </si>
  <si>
    <t>Gauche</t>
  </si>
  <si>
    <t>Région</t>
  </si>
  <si>
    <t>30 Mars/T1</t>
  </si>
  <si>
    <t>14 Juin</t>
  </si>
  <si>
    <t>`</t>
  </si>
  <si>
    <t>Fin DEC 2014</t>
  </si>
  <si>
    <t>Objectif Fin Fev</t>
  </si>
  <si>
    <t>Fin Mars/t1</t>
  </si>
  <si>
    <t>30 Avril</t>
  </si>
  <si>
    <t>Objectif Fin Mai</t>
  </si>
  <si>
    <t>09 Mai</t>
  </si>
  <si>
    <t>Evolution des ressources DCPR</t>
  </si>
</sst>
</file>

<file path=xl/styles.xml><?xml version="1.0" encoding="utf-8"?>
<styleSheet xmlns="http://schemas.openxmlformats.org/spreadsheetml/2006/main">
  <numFmts count="1">
    <numFmt numFmtId="164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3" fontId="4" fillId="3" borderId="2" xfId="0" applyNumberFormat="1" applyFont="1" applyFill="1" applyBorder="1" applyAlignment="1"/>
    <xf numFmtId="3" fontId="4" fillId="3" borderId="2" xfId="0" applyNumberFormat="1" applyFont="1" applyFill="1" applyBorder="1" applyAlignment="1">
      <alignment vertical="top" wrapText="1"/>
    </xf>
    <xf numFmtId="0" fontId="5" fillId="3" borderId="8" xfId="0" applyFont="1" applyFill="1" applyBorder="1"/>
    <xf numFmtId="3" fontId="5" fillId="3" borderId="0" xfId="0" applyNumberFormat="1" applyFont="1" applyFill="1" applyBorder="1" applyAlignment="1"/>
    <xf numFmtId="0" fontId="4" fillId="0" borderId="0" xfId="1" applyFont="1" applyFill="1" applyBorder="1"/>
    <xf numFmtId="3" fontId="4" fillId="3" borderId="0" xfId="0" applyNumberFormat="1" applyFont="1" applyFill="1" applyBorder="1" applyAlignment="1"/>
    <xf numFmtId="164" fontId="4" fillId="0" borderId="13" xfId="2" applyNumberFormat="1" applyFont="1" applyBorder="1"/>
    <xf numFmtId="0" fontId="4" fillId="0" borderId="1" xfId="1" applyFont="1" applyFill="1" applyBorder="1"/>
    <xf numFmtId="0" fontId="4" fillId="0" borderId="4" xfId="1" applyFont="1" applyFill="1" applyBorder="1"/>
    <xf numFmtId="0" fontId="7" fillId="2" borderId="2" xfId="0" applyFont="1" applyFill="1" applyBorder="1" applyAlignment="1">
      <alignment horizontal="center"/>
    </xf>
    <xf numFmtId="0" fontId="4" fillId="0" borderId="16" xfId="1" applyFont="1" applyFill="1" applyBorder="1"/>
    <xf numFmtId="0" fontId="10" fillId="0" borderId="0" xfId="0" applyFont="1"/>
    <xf numFmtId="3" fontId="3" fillId="0" borderId="0" xfId="0" applyNumberFormat="1" applyFont="1"/>
    <xf numFmtId="9" fontId="11" fillId="3" borderId="15" xfId="2" applyFont="1" applyFill="1" applyBorder="1" applyAlignment="1">
      <alignment horizontal="center"/>
    </xf>
    <xf numFmtId="9" fontId="11" fillId="3" borderId="3" xfId="2" applyFont="1" applyFill="1" applyBorder="1" applyAlignment="1">
      <alignment horizontal="center"/>
    </xf>
    <xf numFmtId="3" fontId="5" fillId="4" borderId="2" xfId="0" applyNumberFormat="1" applyFont="1" applyFill="1" applyBorder="1" applyAlignment="1"/>
    <xf numFmtId="3" fontId="5" fillId="4" borderId="14" xfId="0" applyNumberFormat="1" applyFont="1" applyFill="1" applyBorder="1" applyAlignment="1"/>
    <xf numFmtId="3" fontId="5" fillId="4" borderId="17" xfId="0" applyNumberFormat="1" applyFont="1" applyFill="1" applyBorder="1" applyAlignment="1"/>
    <xf numFmtId="3" fontId="5" fillId="4" borderId="12" xfId="0" applyNumberFormat="1" applyFont="1" applyFill="1" applyBorder="1" applyAlignment="1"/>
    <xf numFmtId="16" fontId="12" fillId="4" borderId="10" xfId="0" applyNumberFormat="1" applyFont="1" applyFill="1" applyBorder="1" applyAlignment="1">
      <alignment horizontal="center"/>
    </xf>
    <xf numFmtId="3" fontId="4" fillId="3" borderId="13" xfId="0" applyNumberFormat="1" applyFont="1" applyFill="1" applyBorder="1" applyAlignment="1"/>
    <xf numFmtId="3" fontId="5" fillId="3" borderId="8" xfId="0" applyNumberFormat="1" applyFont="1" applyFill="1" applyBorder="1" applyAlignment="1"/>
    <xf numFmtId="3" fontId="4" fillId="3" borderId="13" xfId="0" applyNumberFormat="1" applyFont="1" applyFill="1" applyBorder="1" applyAlignment="1">
      <alignment vertical="top" wrapText="1"/>
    </xf>
    <xf numFmtId="0" fontId="4" fillId="3" borderId="1" xfId="1" applyFont="1" applyFill="1" applyBorder="1"/>
    <xf numFmtId="0" fontId="4" fillId="0" borderId="2" xfId="1" applyFont="1" applyFill="1" applyBorder="1"/>
    <xf numFmtId="0" fontId="5" fillId="4" borderId="8" xfId="0" applyFont="1" applyFill="1" applyBorder="1"/>
    <xf numFmtId="16" fontId="5" fillId="4" borderId="9" xfId="0" applyNumberFormat="1" applyFont="1" applyFill="1" applyBorder="1" applyAlignment="1">
      <alignment horizontal="center"/>
    </xf>
    <xf numFmtId="16" fontId="5" fillId="4" borderId="11" xfId="0" applyNumberFormat="1" applyFont="1" applyFill="1" applyBorder="1" applyAlignment="1">
      <alignment horizontal="center"/>
    </xf>
    <xf numFmtId="16" fontId="5" fillId="4" borderId="10" xfId="0" applyNumberFormat="1" applyFont="1" applyFill="1" applyBorder="1" applyAlignment="1">
      <alignment horizontal="center"/>
    </xf>
    <xf numFmtId="0" fontId="4" fillId="0" borderId="7" xfId="1" applyFont="1" applyFill="1" applyBorder="1"/>
    <xf numFmtId="3" fontId="5" fillId="4" borderId="7" xfId="0" applyNumberFormat="1" applyFont="1" applyFill="1" applyBorder="1" applyAlignment="1"/>
    <xf numFmtId="3" fontId="4" fillId="3" borderId="7" xfId="0" applyNumberFormat="1" applyFont="1" applyFill="1" applyBorder="1" applyAlignment="1"/>
    <xf numFmtId="3" fontId="4" fillId="3" borderId="7" xfId="0" applyNumberFormat="1" applyFont="1" applyFill="1" applyBorder="1" applyAlignment="1">
      <alignment vertical="top" wrapText="1"/>
    </xf>
    <xf numFmtId="0" fontId="5" fillId="5" borderId="8" xfId="0" applyFont="1" applyFill="1" applyBorder="1"/>
    <xf numFmtId="16" fontId="5" fillId="5" borderId="9" xfId="0" applyNumberFormat="1" applyFont="1" applyFill="1" applyBorder="1" applyAlignment="1">
      <alignment horizontal="center"/>
    </xf>
    <xf numFmtId="16" fontId="12" fillId="5" borderId="10" xfId="0" applyNumberFormat="1" applyFont="1" applyFill="1" applyBorder="1" applyAlignment="1">
      <alignment horizontal="center"/>
    </xf>
    <xf numFmtId="16" fontId="5" fillId="5" borderId="11" xfId="0" applyNumberFormat="1" applyFont="1" applyFill="1" applyBorder="1" applyAlignment="1">
      <alignment horizontal="center"/>
    </xf>
    <xf numFmtId="16" fontId="5" fillId="5" borderId="1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6" fillId="0" borderId="0" xfId="1" applyFont="1" applyFill="1" applyBorder="1"/>
    <xf numFmtId="3" fontId="5" fillId="4" borderId="9" xfId="0" applyNumberFormat="1" applyFont="1" applyFill="1" applyBorder="1" applyAlignment="1"/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3" fontId="0" fillId="0" borderId="0" xfId="0" applyNumberFormat="1"/>
    <xf numFmtId="164" fontId="4" fillId="3" borderId="2" xfId="2" applyNumberFormat="1" applyFont="1" applyFill="1" applyBorder="1"/>
    <xf numFmtId="0" fontId="3" fillId="0" borderId="0" xfId="0" applyFont="1" applyBorder="1"/>
    <xf numFmtId="16" fontId="5" fillId="5" borderId="10" xfId="0" applyNumberFormat="1" applyFont="1" applyFill="1" applyBorder="1" applyAlignment="1">
      <alignment horizontal="left"/>
    </xf>
    <xf numFmtId="3" fontId="4" fillId="3" borderId="20" xfId="0" applyNumberFormat="1" applyFont="1" applyFill="1" applyBorder="1" applyAlignment="1"/>
    <xf numFmtId="0" fontId="3" fillId="0" borderId="11" xfId="0" applyFont="1" applyBorder="1" applyAlignment="1">
      <alignment horizontal="center"/>
    </xf>
    <xf numFmtId="3" fontId="5" fillId="0" borderId="13" xfId="0" applyNumberFormat="1" applyFont="1" applyFill="1" applyBorder="1" applyAlignment="1"/>
    <xf numFmtId="3" fontId="5" fillId="0" borderId="13" xfId="0" applyNumberFormat="1" applyFont="1" applyFill="1" applyBorder="1" applyAlignment="1">
      <alignment vertical="top" wrapText="1"/>
    </xf>
    <xf numFmtId="3" fontId="5" fillId="0" borderId="20" xfId="0" applyNumberFormat="1" applyFont="1" applyFill="1" applyBorder="1" applyAlignment="1"/>
    <xf numFmtId="3" fontId="5" fillId="0" borderId="7" xfId="0" applyNumberFormat="1" applyFont="1" applyFill="1" applyBorder="1" applyAlignment="1"/>
    <xf numFmtId="3" fontId="5" fillId="0" borderId="2" xfId="0" applyNumberFormat="1" applyFont="1" applyFill="1" applyBorder="1" applyAlignment="1"/>
    <xf numFmtId="3" fontId="5" fillId="3" borderId="9" xfId="0" applyNumberFormat="1" applyFont="1" applyFill="1" applyBorder="1" applyAlignment="1"/>
    <xf numFmtId="0" fontId="10" fillId="0" borderId="9" xfId="0" applyFont="1" applyBorder="1" applyAlignment="1">
      <alignment horizontal="center"/>
    </xf>
    <xf numFmtId="9" fontId="9" fillId="7" borderId="7" xfId="2" applyFont="1" applyFill="1" applyBorder="1" applyAlignment="1">
      <alignment horizontal="center"/>
    </xf>
    <xf numFmtId="9" fontId="9" fillId="8" borderId="7" xfId="2" applyFont="1" applyFill="1" applyBorder="1" applyAlignment="1">
      <alignment horizontal="center"/>
    </xf>
    <xf numFmtId="164" fontId="3" fillId="0" borderId="0" xfId="0" applyNumberFormat="1" applyFont="1" applyBorder="1"/>
    <xf numFmtId="3" fontId="10" fillId="0" borderId="21" xfId="0" applyNumberFormat="1" applyFont="1" applyFill="1" applyBorder="1"/>
    <xf numFmtId="9" fontId="10" fillId="6" borderId="3" xfId="2" applyFont="1" applyFill="1" applyBorder="1" applyAlignment="1">
      <alignment horizontal="center"/>
    </xf>
    <xf numFmtId="9" fontId="10" fillId="6" borderId="15" xfId="2" applyFont="1" applyFill="1" applyBorder="1" applyAlignment="1">
      <alignment horizontal="center"/>
    </xf>
    <xf numFmtId="9" fontId="10" fillId="3" borderId="15" xfId="2" applyFont="1" applyFill="1" applyBorder="1" applyAlignment="1">
      <alignment horizontal="center"/>
    </xf>
    <xf numFmtId="9" fontId="9" fillId="9" borderId="7" xfId="2" applyFont="1" applyFill="1" applyBorder="1" applyAlignment="1">
      <alignment horizontal="center"/>
    </xf>
    <xf numFmtId="9" fontId="5" fillId="3" borderId="8" xfId="0" applyNumberFormat="1" applyFont="1" applyFill="1" applyBorder="1" applyAlignment="1"/>
    <xf numFmtId="0" fontId="7" fillId="9" borderId="2" xfId="0" applyFont="1" applyFill="1" applyBorder="1" applyAlignment="1">
      <alignment horizontal="center"/>
    </xf>
    <xf numFmtId="9" fontId="9" fillId="3" borderId="7" xfId="2" applyFont="1" applyFill="1" applyBorder="1" applyAlignment="1">
      <alignment horizontal="center"/>
    </xf>
    <xf numFmtId="3" fontId="5" fillId="6" borderId="8" xfId="0" applyNumberFormat="1" applyFont="1" applyFill="1" applyBorder="1" applyAlignment="1"/>
    <xf numFmtId="9" fontId="5" fillId="6" borderId="8" xfId="0" applyNumberFormat="1" applyFont="1" applyFill="1" applyBorder="1" applyAlignment="1"/>
    <xf numFmtId="3" fontId="5" fillId="6" borderId="13" xfId="0" applyNumberFormat="1" applyFont="1" applyFill="1" applyBorder="1" applyAlignment="1"/>
    <xf numFmtId="3" fontId="5" fillId="6" borderId="7" xfId="0" applyNumberFormat="1" applyFont="1" applyFill="1" applyBorder="1" applyAlignment="1"/>
    <xf numFmtId="3" fontId="5" fillId="6" borderId="13" xfId="0" applyNumberFormat="1" applyFont="1" applyFill="1" applyBorder="1" applyAlignment="1">
      <alignment vertical="top" wrapText="1"/>
    </xf>
    <xf numFmtId="3" fontId="5" fillId="6" borderId="2" xfId="0" applyNumberFormat="1" applyFont="1" applyFill="1" applyBorder="1" applyAlignment="1"/>
    <xf numFmtId="3" fontId="5" fillId="6" borderId="20" xfId="0" applyNumberFormat="1" applyFont="1" applyFill="1" applyBorder="1" applyAlignment="1"/>
    <xf numFmtId="0" fontId="5" fillId="5" borderId="2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4" fillId="0" borderId="2" xfId="1" applyFont="1" applyFill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" fillId="3" borderId="2" xfId="1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8" fillId="0" borderId="0" xfId="1" applyFont="1" applyFill="1" applyBorder="1"/>
    <xf numFmtId="0" fontId="8" fillId="0" borderId="6" xfId="1" applyFont="1" applyFill="1" applyBorder="1"/>
    <xf numFmtId="0" fontId="8" fillId="0" borderId="6" xfId="0" applyFont="1" applyFill="1" applyBorder="1"/>
    <xf numFmtId="0" fontId="8" fillId="0" borderId="5" xfId="1" applyFont="1" applyFill="1" applyBorder="1"/>
  </cellXfs>
  <cellStyles count="4">
    <cellStyle name="Normal" xfId="0" builtinId="0"/>
    <cellStyle name="Normal 2 2 2" xfId="1"/>
    <cellStyle name="Normal 3" xfId="3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"/>
  <sheetViews>
    <sheetView tabSelected="1" zoomScale="60" zoomScaleNormal="60" workbookViewId="0">
      <selection activeCell="I5" sqref="I5"/>
    </sheetView>
  </sheetViews>
  <sheetFormatPr baseColWidth="10" defaultRowHeight="15"/>
  <cols>
    <col min="1" max="1" width="19" bestFit="1" customWidth="1"/>
    <col min="2" max="2" width="22.42578125" customWidth="1"/>
    <col min="3" max="5" width="22.7109375" customWidth="1"/>
    <col min="6" max="7" width="23.5703125" customWidth="1"/>
    <col min="8" max="8" width="12.140625" bestFit="1" customWidth="1"/>
    <col min="9" max="9" width="14.7109375" bestFit="1" customWidth="1"/>
    <col min="10" max="10" width="11.42578125" style="41"/>
    <col min="12" max="12" width="19.85546875" bestFit="1" customWidth="1"/>
  </cols>
  <sheetData>
    <row r="1" spans="1:12" s="1" customFormat="1" ht="21">
      <c r="A1" s="89" t="s">
        <v>45</v>
      </c>
      <c r="B1" s="89"/>
      <c r="C1" s="89"/>
      <c r="D1" s="89"/>
      <c r="E1" s="89"/>
      <c r="F1" s="89"/>
      <c r="G1" s="89"/>
      <c r="H1" s="89"/>
      <c r="I1" s="89"/>
    </row>
    <row r="2" spans="1:12" s="1" customFormat="1" ht="19.5" thickBot="1">
      <c r="A2" s="92" t="s">
        <v>22</v>
      </c>
      <c r="B2" s="92"/>
      <c r="C2" s="92"/>
      <c r="D2" s="92"/>
      <c r="E2" s="92"/>
      <c r="F2" s="92"/>
      <c r="G2" s="92"/>
      <c r="H2" s="92"/>
      <c r="I2" s="92"/>
      <c r="J2" s="40"/>
    </row>
    <row r="3" spans="1:12" s="1" customFormat="1" ht="16.5" thickBot="1">
      <c r="A3" s="35" t="s">
        <v>0</v>
      </c>
      <c r="B3" s="37">
        <v>41639</v>
      </c>
      <c r="C3" s="39">
        <v>41670</v>
      </c>
      <c r="D3" s="39" t="s">
        <v>41</v>
      </c>
      <c r="E3" s="39" t="s">
        <v>42</v>
      </c>
      <c r="F3" s="39" t="s">
        <v>44</v>
      </c>
      <c r="G3" s="39" t="s">
        <v>43</v>
      </c>
      <c r="H3" s="29" t="s">
        <v>20</v>
      </c>
      <c r="I3" s="36" t="s">
        <v>23</v>
      </c>
      <c r="J3" s="42" t="s">
        <v>32</v>
      </c>
    </row>
    <row r="4" spans="1:12" s="1" customFormat="1" ht="18" customHeight="1" thickBot="1">
      <c r="A4" s="9" t="s">
        <v>2</v>
      </c>
      <c r="B4" s="67">
        <v>10613045869</v>
      </c>
      <c r="C4" s="22">
        <v>13197508075</v>
      </c>
      <c r="D4" s="22">
        <v>14915331883</v>
      </c>
      <c r="E4" s="22">
        <v>14054558155</v>
      </c>
      <c r="F4" s="77">
        <v>14213927289</v>
      </c>
      <c r="G4" s="22">
        <f>B4+(334000000*5)</f>
        <v>12283045869</v>
      </c>
      <c r="H4" s="68">
        <f>((F4*100)/G4)/100</f>
        <v>1.157198909830107</v>
      </c>
      <c r="I4" s="71" t="s">
        <v>24</v>
      </c>
      <c r="J4" s="46" t="str">
        <f>VLOOKUP(A4,Agences!$A$3:$B$21,2,0)</f>
        <v>Gauche</v>
      </c>
    </row>
    <row r="5" spans="1:12" s="1" customFormat="1" ht="16.5" thickBot="1">
      <c r="A5" s="26" t="s">
        <v>14</v>
      </c>
      <c r="B5" s="57">
        <v>658029030</v>
      </c>
      <c r="C5" s="2">
        <v>507778442</v>
      </c>
      <c r="D5" s="22">
        <v>588893543</v>
      </c>
      <c r="E5" s="22">
        <v>789137691</v>
      </c>
      <c r="F5" s="77">
        <v>905627297</v>
      </c>
      <c r="G5" s="22">
        <f>B5+(41667000*5)</f>
        <v>866364030</v>
      </c>
      <c r="H5" s="69">
        <f>((F5*100)/G5)/100</f>
        <v>1.0453195950436678</v>
      </c>
      <c r="I5" s="71" t="s">
        <v>24</v>
      </c>
      <c r="J5" s="46" t="str">
        <f>VLOOKUP(A5,Agences!$A$3:$B$21,2,0)</f>
        <v>Région</v>
      </c>
    </row>
    <row r="6" spans="1:12" s="1" customFormat="1" ht="16.5" customHeight="1" thickBot="1">
      <c r="A6" s="93" t="s">
        <v>25</v>
      </c>
      <c r="B6" s="93"/>
      <c r="C6" s="93"/>
      <c r="D6" s="90"/>
      <c r="E6" s="90"/>
      <c r="F6" s="90"/>
      <c r="G6" s="90"/>
      <c r="H6" s="90"/>
      <c r="I6" s="93"/>
      <c r="J6" s="46"/>
    </row>
    <row r="7" spans="1:12" s="1" customFormat="1" ht="16.5" customHeight="1" thickBot="1">
      <c r="A7" s="91"/>
      <c r="B7" s="91"/>
      <c r="C7" s="91"/>
      <c r="D7" s="91"/>
      <c r="E7" s="91"/>
      <c r="F7" s="91"/>
      <c r="G7" s="91"/>
      <c r="H7" s="91"/>
      <c r="I7" s="91"/>
      <c r="J7" s="46"/>
    </row>
    <row r="8" spans="1:12" s="1" customFormat="1" ht="16.5" customHeight="1" thickBot="1">
      <c r="A8" s="35" t="s">
        <v>0</v>
      </c>
      <c r="B8" s="37">
        <v>41639</v>
      </c>
      <c r="C8" s="39">
        <v>41670</v>
      </c>
      <c r="D8" s="39" t="s">
        <v>41</v>
      </c>
      <c r="E8" s="39" t="s">
        <v>42</v>
      </c>
      <c r="F8" s="39" t="s">
        <v>44</v>
      </c>
      <c r="G8" s="39" t="s">
        <v>40</v>
      </c>
      <c r="H8" s="38" t="s">
        <v>20</v>
      </c>
      <c r="I8" s="36" t="s">
        <v>23</v>
      </c>
      <c r="J8" s="46"/>
      <c r="L8" s="53"/>
    </row>
    <row r="9" spans="1:12" s="1" customFormat="1" ht="18.75" customHeight="1" thickBot="1">
      <c r="A9" s="26" t="s">
        <v>8</v>
      </c>
      <c r="B9" s="57">
        <v>1058632206</v>
      </c>
      <c r="C9" s="22">
        <v>1165503820</v>
      </c>
      <c r="D9" s="22">
        <v>1110069945</v>
      </c>
      <c r="E9" s="22">
        <v>1027811060</v>
      </c>
      <c r="F9" s="77">
        <v>1228749826</v>
      </c>
      <c r="G9" s="22">
        <f>B9+(41667000*5)</f>
        <v>1266967206</v>
      </c>
      <c r="H9" s="68">
        <f>((F9*100)/G9)/100</f>
        <v>0.96983554126814553</v>
      </c>
      <c r="I9" s="64" t="s">
        <v>24</v>
      </c>
      <c r="J9" s="46" t="str">
        <f>VLOOKUP(A9,Agences!$A$3:$B$21,2,0)</f>
        <v>Droite</v>
      </c>
    </row>
    <row r="10" spans="1:12" s="1" customFormat="1" ht="16.5" thickBot="1">
      <c r="A10" s="31" t="s">
        <v>16</v>
      </c>
      <c r="B10" s="60">
        <v>379933676</v>
      </c>
      <c r="C10" s="33">
        <v>327599180</v>
      </c>
      <c r="D10" s="33">
        <v>358276411</v>
      </c>
      <c r="E10" s="33">
        <v>346916309</v>
      </c>
      <c r="F10" s="78">
        <v>479123148</v>
      </c>
      <c r="G10" s="22">
        <f>B10+(29167000*5)</f>
        <v>525768676</v>
      </c>
      <c r="H10" s="69">
        <f>((F10*100)/G10)/100</f>
        <v>0.91128127229854217</v>
      </c>
      <c r="I10" s="71" t="s">
        <v>24</v>
      </c>
      <c r="J10" s="46" t="str">
        <f>VLOOKUP(A10,Agences!$A$3:$B$21,2,0)</f>
        <v>Région</v>
      </c>
    </row>
    <row r="11" spans="1:12" s="1" customFormat="1" ht="16.5" thickBot="1">
      <c r="A11" s="9" t="s">
        <v>28</v>
      </c>
      <c r="B11" s="57">
        <v>7086412756</v>
      </c>
      <c r="C11" s="2">
        <v>6773453910</v>
      </c>
      <c r="D11" s="22">
        <v>6798131064</v>
      </c>
      <c r="E11" s="22">
        <v>7373849222</v>
      </c>
      <c r="F11" s="77">
        <v>7229701788</v>
      </c>
      <c r="G11" s="22">
        <f>B11+(187500000*5)</f>
        <v>8023912756</v>
      </c>
      <c r="H11" s="68">
        <f t="shared" ref="H11" si="0">((F11*100)/G11)/100</f>
        <v>0.90101949109477586</v>
      </c>
      <c r="I11" s="11" t="s">
        <v>27</v>
      </c>
      <c r="J11" s="46" t="str">
        <f>VLOOKUP(A11,Agences!$A$3:$B$21,2,0)</f>
        <v>Droite</v>
      </c>
      <c r="L11" s="5"/>
    </row>
    <row r="12" spans="1:12" s="1" customFormat="1" ht="16.5" thickBot="1">
      <c r="A12" s="9" t="s">
        <v>5</v>
      </c>
      <c r="B12" s="58">
        <v>802610869</v>
      </c>
      <c r="C12" s="3">
        <v>1031965187</v>
      </c>
      <c r="D12" s="24">
        <v>885967610</v>
      </c>
      <c r="E12" s="24">
        <v>834972843</v>
      </c>
      <c r="F12" s="79">
        <v>826864202</v>
      </c>
      <c r="G12" s="24">
        <f>B12+(33334000*5)</f>
        <v>969280869</v>
      </c>
      <c r="H12" s="69">
        <f>((F12*100)/G12)/100</f>
        <v>0.85306976382714506</v>
      </c>
      <c r="I12" s="11" t="s">
        <v>27</v>
      </c>
      <c r="J12" s="46" t="str">
        <f>VLOOKUP(A12,Agences!$A$3:$B$21,2,0)</f>
        <v>Gauche</v>
      </c>
    </row>
    <row r="13" spans="1:12" s="1" customFormat="1" ht="16.5" thickBot="1">
      <c r="A13" s="26" t="s">
        <v>19</v>
      </c>
      <c r="B13" s="61">
        <v>572099768</v>
      </c>
      <c r="C13" s="2">
        <v>652178763</v>
      </c>
      <c r="D13" s="2">
        <v>541762249</v>
      </c>
      <c r="E13" s="2">
        <v>597503766</v>
      </c>
      <c r="F13" s="80">
        <v>641166592</v>
      </c>
      <c r="G13" s="22">
        <f>B13+(37500000*5)</f>
        <v>759599768</v>
      </c>
      <c r="H13" s="69">
        <f>((F13*100)/G13)/100</f>
        <v>0.84408476543926481</v>
      </c>
      <c r="I13" s="74" t="s">
        <v>24</v>
      </c>
      <c r="J13" s="46" t="str">
        <f>VLOOKUP(A13,Agences!$A$3:$B$21,2,0)</f>
        <v>Région</v>
      </c>
    </row>
    <row r="14" spans="1:12" s="1" customFormat="1" ht="16.5" thickBot="1">
      <c r="A14" s="12" t="s">
        <v>17</v>
      </c>
      <c r="B14" s="58">
        <v>931798366</v>
      </c>
      <c r="C14" s="34">
        <v>1075207039</v>
      </c>
      <c r="D14" s="24">
        <v>905974816</v>
      </c>
      <c r="E14" s="24">
        <v>860140895</v>
      </c>
      <c r="F14" s="79">
        <v>935663043</v>
      </c>
      <c r="G14" s="24">
        <f>B14+(41667000*5)</f>
        <v>1140133366</v>
      </c>
      <c r="H14" s="68">
        <f>((F14*100)/G14)/100</f>
        <v>0.82066104799883566</v>
      </c>
      <c r="I14" s="65" t="s">
        <v>24</v>
      </c>
      <c r="J14" s="46" t="str">
        <f>VLOOKUP(A14,Agences!$A$3:$B$21,2,0)</f>
        <v>Région</v>
      </c>
      <c r="L14" s="53"/>
    </row>
    <row r="15" spans="1:12" s="1" customFormat="1" ht="16.5" thickBot="1">
      <c r="A15" s="26" t="s">
        <v>13</v>
      </c>
      <c r="B15" s="61">
        <v>532061281</v>
      </c>
      <c r="C15" s="2">
        <v>567262197</v>
      </c>
      <c r="D15" s="2">
        <v>609501769</v>
      </c>
      <c r="E15" s="2">
        <v>534856748</v>
      </c>
      <c r="F15" s="80">
        <v>517575115</v>
      </c>
      <c r="G15" s="2">
        <f>B15+(20840000*5)</f>
        <v>636261281</v>
      </c>
      <c r="H15" s="69">
        <f>((F15*100)/G15)/100</f>
        <v>0.8134631643568454</v>
      </c>
      <c r="I15" s="11" t="s">
        <v>27</v>
      </c>
      <c r="J15" s="46" t="str">
        <f>VLOOKUP(A15,Agences!$A$3:$B$21,2,0)</f>
        <v>Région</v>
      </c>
    </row>
    <row r="16" spans="1:12" s="1" customFormat="1" ht="16.5" thickBot="1">
      <c r="A16" s="90" t="s">
        <v>26</v>
      </c>
      <c r="B16" s="90"/>
      <c r="C16" s="90"/>
      <c r="D16" s="90"/>
      <c r="E16" s="90"/>
      <c r="F16" s="90"/>
      <c r="G16" s="90"/>
      <c r="H16" s="90"/>
      <c r="I16" s="90"/>
      <c r="J16" s="46"/>
    </row>
    <row r="17" spans="1:12" s="1" customFormat="1" ht="9.75" customHeight="1" thickBot="1">
      <c r="A17" s="91"/>
      <c r="B17" s="91"/>
      <c r="C17" s="91"/>
      <c r="D17" s="91"/>
      <c r="E17" s="91"/>
      <c r="F17" s="91"/>
      <c r="G17" s="91"/>
      <c r="H17" s="91"/>
      <c r="I17" s="91"/>
      <c r="J17" s="46"/>
    </row>
    <row r="18" spans="1:12" s="1" customFormat="1" ht="16.5" hidden="1" thickBot="1">
      <c r="A18" s="27" t="s">
        <v>0</v>
      </c>
      <c r="B18" s="28" t="s">
        <v>31</v>
      </c>
      <c r="C18" s="39" t="s">
        <v>36</v>
      </c>
      <c r="D18" s="39"/>
      <c r="E18" s="39"/>
      <c r="F18" s="37" t="s">
        <v>37</v>
      </c>
      <c r="G18" s="37"/>
      <c r="H18" s="29" t="s">
        <v>20</v>
      </c>
      <c r="I18" s="28" t="s">
        <v>23</v>
      </c>
      <c r="J18" s="46" t="e">
        <f>VLOOKUP(A18,Agences!$A$3:$B$21,2,0)</f>
        <v>#N/A</v>
      </c>
      <c r="L18" s="14"/>
    </row>
    <row r="19" spans="1:12" s="1" customFormat="1" ht="16.5" customHeight="1" thickBot="1">
      <c r="A19" s="35" t="s">
        <v>0</v>
      </c>
      <c r="B19" s="37">
        <v>41639</v>
      </c>
      <c r="C19" s="39">
        <v>41670</v>
      </c>
      <c r="D19" s="39" t="s">
        <v>41</v>
      </c>
      <c r="E19" s="39" t="s">
        <v>42</v>
      </c>
      <c r="F19" s="39" t="s">
        <v>44</v>
      </c>
      <c r="G19" s="39" t="s">
        <v>40</v>
      </c>
      <c r="H19" s="38" t="s">
        <v>20</v>
      </c>
      <c r="I19" s="36" t="s">
        <v>23</v>
      </c>
      <c r="J19" s="46"/>
    </row>
    <row r="20" spans="1:12" s="1" customFormat="1" ht="16.5" thickBot="1">
      <c r="A20" s="26" t="s">
        <v>18</v>
      </c>
      <c r="B20" s="57">
        <v>909850554</v>
      </c>
      <c r="C20" s="2">
        <v>828774754</v>
      </c>
      <c r="D20" s="22">
        <v>679272816</v>
      </c>
      <c r="E20" s="22">
        <v>772885421</v>
      </c>
      <c r="F20" s="77">
        <v>851741362</v>
      </c>
      <c r="G20" s="22">
        <f>B20+(37500000*5)</f>
        <v>1097350554</v>
      </c>
      <c r="H20" s="68">
        <f>((F20*100)/G20)/100</f>
        <v>0.77617982594101831</v>
      </c>
      <c r="I20" s="65" t="s">
        <v>24</v>
      </c>
      <c r="J20" s="46" t="str">
        <f>VLOOKUP(A20,Agences!$A$3:$B$21,2,0)</f>
        <v>Région</v>
      </c>
    </row>
    <row r="21" spans="1:12" s="1" customFormat="1" ht="16.5" thickBot="1">
      <c r="A21" s="9" t="s">
        <v>10</v>
      </c>
      <c r="B21" s="57">
        <v>1213980667</v>
      </c>
      <c r="C21" s="22">
        <v>1085004109</v>
      </c>
      <c r="D21" s="22">
        <v>1043138754</v>
      </c>
      <c r="E21" s="22">
        <v>1058692636</v>
      </c>
      <c r="F21" s="77">
        <v>1135466614</v>
      </c>
      <c r="G21" s="22">
        <f>B21+(50000000*5)</f>
        <v>1463980667</v>
      </c>
      <c r="H21" s="68">
        <f>((F21*100)/G21)/100</f>
        <v>0.77560219174670297</v>
      </c>
      <c r="I21" s="65" t="s">
        <v>24</v>
      </c>
      <c r="J21" s="46" t="str">
        <f>VLOOKUP(A21,Agences!$A$3:$B$21,2,0)</f>
        <v>Droite</v>
      </c>
    </row>
    <row r="22" spans="1:12" s="1" customFormat="1" ht="16.5" thickBot="1">
      <c r="A22" s="26" t="s">
        <v>12</v>
      </c>
      <c r="B22" s="61">
        <v>259017488</v>
      </c>
      <c r="C22" s="2">
        <v>276131789</v>
      </c>
      <c r="D22" s="2">
        <v>335575211</v>
      </c>
      <c r="E22" s="2">
        <v>384311632</v>
      </c>
      <c r="F22" s="80">
        <v>317388369</v>
      </c>
      <c r="G22" s="22">
        <f>B22+(33340000*5)</f>
        <v>425717488</v>
      </c>
      <c r="H22" s="69">
        <f>((F22*100)/G22)/100</f>
        <v>0.74553754061425825</v>
      </c>
      <c r="I22" s="11" t="s">
        <v>27</v>
      </c>
      <c r="J22" s="46" t="str">
        <f>VLOOKUP(A22,Agences!$A$3:$B$21,2,0)</f>
        <v>Droite</v>
      </c>
    </row>
    <row r="23" spans="1:12" s="1" customFormat="1" ht="16.5" thickBot="1">
      <c r="A23" s="9" t="s">
        <v>11</v>
      </c>
      <c r="B23" s="57">
        <v>1164980406</v>
      </c>
      <c r="C23" s="2">
        <v>1003898870</v>
      </c>
      <c r="D23" s="22">
        <v>1016784662</v>
      </c>
      <c r="E23" s="22">
        <v>950069702</v>
      </c>
      <c r="F23" s="77">
        <v>1011146426</v>
      </c>
      <c r="G23" s="22">
        <f>B23+(41667000*5)</f>
        <v>1373315406</v>
      </c>
      <c r="H23" s="68">
        <f>((F23*100)/G23)/100</f>
        <v>0.73628128074753418</v>
      </c>
      <c r="I23" s="65" t="s">
        <v>24</v>
      </c>
      <c r="J23" s="46" t="str">
        <f>VLOOKUP(A23,Agences!$A$3:$B$21,2,0)</f>
        <v>Droite</v>
      </c>
      <c r="K23" s="13"/>
    </row>
    <row r="24" spans="1:12" s="1" customFormat="1" ht="16.5" thickBot="1">
      <c r="A24" s="25" t="s">
        <v>15</v>
      </c>
      <c r="B24" s="57">
        <v>1252657027</v>
      </c>
      <c r="C24" s="22">
        <v>1376658462</v>
      </c>
      <c r="D24" s="22">
        <v>925303564</v>
      </c>
      <c r="E24" s="22">
        <v>1041875771</v>
      </c>
      <c r="F24" s="77">
        <v>1142180937</v>
      </c>
      <c r="G24" s="22">
        <f>B24+(62500000*5)</f>
        <v>1565157027</v>
      </c>
      <c r="H24" s="69">
        <f>((F24*100)/G24)/100</f>
        <v>0.72975485353649427</v>
      </c>
      <c r="I24" s="73" t="s">
        <v>27</v>
      </c>
      <c r="J24" s="46" t="str">
        <f>VLOOKUP(A24,Agences!$A$3:$B$21,2,0)</f>
        <v>Région</v>
      </c>
    </row>
    <row r="25" spans="1:12" s="1" customFormat="1" ht="16.5" thickBot="1">
      <c r="A25" s="9" t="s">
        <v>3</v>
      </c>
      <c r="B25" s="59">
        <v>2351446570</v>
      </c>
      <c r="C25" s="22">
        <v>1892632741</v>
      </c>
      <c r="D25" s="55">
        <v>2540859488</v>
      </c>
      <c r="E25" s="55">
        <v>2233640693</v>
      </c>
      <c r="F25" s="81">
        <v>2057278431</v>
      </c>
      <c r="G25" s="55">
        <f>B25+(104167000*5)</f>
        <v>2872281570</v>
      </c>
      <c r="H25" s="68">
        <f t="shared" ref="H25" si="1">((F25*100)/G25)/100</f>
        <v>0.71625235230681095</v>
      </c>
      <c r="I25" s="11" t="s">
        <v>27</v>
      </c>
      <c r="J25" s="46" t="str">
        <f>VLOOKUP(A25,Agences!$A$3:$B$21,2,0)</f>
        <v>Gauche</v>
      </c>
    </row>
    <row r="26" spans="1:12" s="1" customFormat="1" ht="16.5" thickBot="1">
      <c r="A26" s="10" t="s">
        <v>4</v>
      </c>
      <c r="B26" s="57">
        <v>3769942655</v>
      </c>
      <c r="C26" s="2">
        <v>3926205339</v>
      </c>
      <c r="D26" s="22">
        <v>3795421675</v>
      </c>
      <c r="E26" s="22">
        <v>3119795534</v>
      </c>
      <c r="F26" s="77">
        <v>3037039518</v>
      </c>
      <c r="G26" s="22">
        <f>B26+(104167000*5)</f>
        <v>4290777655</v>
      </c>
      <c r="H26" s="68">
        <f>((F26*100)/G26)/100</f>
        <v>0.70780631442437214</v>
      </c>
      <c r="I26" s="11" t="s">
        <v>27</v>
      </c>
      <c r="J26" s="46" t="str">
        <f>VLOOKUP(A26,Agences!$A$3:$B$21,2,0)</f>
        <v>Gauche</v>
      </c>
    </row>
    <row r="27" spans="1:12" s="1" customFormat="1" ht="16.5" thickBot="1">
      <c r="A27" s="9" t="s">
        <v>6</v>
      </c>
      <c r="B27" s="57">
        <v>1389460785</v>
      </c>
      <c r="C27" s="22">
        <v>1286118391</v>
      </c>
      <c r="D27" s="22">
        <v>1091944292</v>
      </c>
      <c r="E27" s="22">
        <v>1056546708</v>
      </c>
      <c r="F27" s="77">
        <v>1137967583</v>
      </c>
      <c r="G27" s="22">
        <f>B27+(50000000*5)</f>
        <v>1639460785</v>
      </c>
      <c r="H27" s="68">
        <f>((F27*100)/G27)/100</f>
        <v>0.69411088902623552</v>
      </c>
      <c r="I27" s="65" t="s">
        <v>24</v>
      </c>
      <c r="J27" s="46" t="str">
        <f>VLOOKUP(A27,Agences!$A$3:$B$21,2,0)</f>
        <v>Gauche</v>
      </c>
    </row>
    <row r="28" spans="1:12" s="1" customFormat="1" ht="15.75" customHeight="1" thickBot="1">
      <c r="A28" s="9" t="s">
        <v>7</v>
      </c>
      <c r="B28" s="57">
        <v>1142685923</v>
      </c>
      <c r="C28" s="22">
        <v>1173049234</v>
      </c>
      <c r="D28" s="22">
        <v>927733827</v>
      </c>
      <c r="E28" s="22">
        <v>907188310</v>
      </c>
      <c r="F28" s="77">
        <v>958278069</v>
      </c>
      <c r="G28" s="22">
        <f>B28+(62500000*5)</f>
        <v>1455185923</v>
      </c>
      <c r="H28" s="68">
        <f t="shared" ref="H28" si="2">((F28*100)/G28)/100</f>
        <v>0.65852620881902257</v>
      </c>
      <c r="I28" s="74" t="s">
        <v>24</v>
      </c>
      <c r="J28" s="46" t="str">
        <f>VLOOKUP(A28,Agences!$A$3:$B$21,2,0)</f>
        <v>Gauche</v>
      </c>
      <c r="L28" s="66"/>
    </row>
    <row r="29" spans="1:12" s="1" customFormat="1" ht="15.75" customHeight="1" thickBot="1">
      <c r="A29" s="90" t="s">
        <v>29</v>
      </c>
      <c r="B29" s="90"/>
      <c r="C29" s="90"/>
      <c r="D29" s="90"/>
      <c r="E29" s="90"/>
      <c r="F29" s="90"/>
      <c r="G29" s="90"/>
      <c r="H29" s="90"/>
      <c r="I29" s="90"/>
      <c r="J29" s="46"/>
    </row>
    <row r="30" spans="1:12" s="1" customFormat="1" ht="16.5" customHeight="1" thickBot="1">
      <c r="A30" s="91"/>
      <c r="B30" s="91"/>
      <c r="C30" s="91"/>
      <c r="D30" s="91"/>
      <c r="E30" s="91"/>
      <c r="F30" s="91"/>
      <c r="G30" s="91"/>
      <c r="H30" s="91"/>
      <c r="I30" s="91"/>
      <c r="J30" s="46"/>
    </row>
    <row r="31" spans="1:12" s="1" customFormat="1" ht="15" customHeight="1" thickBot="1">
      <c r="A31" s="35" t="s">
        <v>0</v>
      </c>
      <c r="B31" s="37">
        <v>41639</v>
      </c>
      <c r="C31" s="39">
        <v>41670</v>
      </c>
      <c r="D31" s="39" t="s">
        <v>38</v>
      </c>
      <c r="E31" s="39" t="s">
        <v>42</v>
      </c>
      <c r="F31" s="39" t="s">
        <v>44</v>
      </c>
      <c r="G31" s="39" t="s">
        <v>40</v>
      </c>
      <c r="H31" s="38" t="s">
        <v>20</v>
      </c>
      <c r="I31" s="36" t="s">
        <v>23</v>
      </c>
      <c r="J31" s="46"/>
    </row>
    <row r="32" spans="1:12" s="1" customFormat="1" ht="16.5" thickBot="1">
      <c r="A32" s="25" t="s">
        <v>9</v>
      </c>
      <c r="B32" s="57">
        <v>6075732383</v>
      </c>
      <c r="C32" s="2">
        <v>6120537862</v>
      </c>
      <c r="D32" s="22">
        <v>4324970976</v>
      </c>
      <c r="E32" s="22">
        <v>3995147867</v>
      </c>
      <c r="F32" s="77">
        <v>3697933680</v>
      </c>
      <c r="G32" s="22">
        <f>B32+(83334000*5)</f>
        <v>6492402383</v>
      </c>
      <c r="H32" s="68">
        <f t="shared" ref="H32" si="3">((F32*100)/G32)/100</f>
        <v>0.56957863389410934</v>
      </c>
      <c r="I32" s="11" t="s">
        <v>27</v>
      </c>
      <c r="J32" s="46" t="str">
        <f>VLOOKUP(A32,Agences!$A$3:$B$21,2,0)</f>
        <v>Droite</v>
      </c>
    </row>
    <row r="33" spans="1:10" s="1" customFormat="1" ht="16.5" thickBot="1">
      <c r="A33" s="6"/>
      <c r="B33" s="7"/>
      <c r="C33" s="7"/>
      <c r="D33" s="7"/>
      <c r="E33" s="7"/>
      <c r="F33" s="7"/>
      <c r="G33" s="7"/>
      <c r="H33" s="70"/>
      <c r="I33" s="5"/>
      <c r="J33" s="40"/>
    </row>
    <row r="34" spans="1:10" s="1" customFormat="1" ht="16.5" thickBot="1">
      <c r="A34" s="4" t="s">
        <v>1</v>
      </c>
      <c r="B34" s="23">
        <f t="shared" ref="B34:G34" si="4">B4+B9+B26+B12+B15+B25+B11+B28+B14+B22+B24+B23+B20+B27+B5+B21+B32+B13+B10</f>
        <v>42164378279</v>
      </c>
      <c r="C34" s="23">
        <f t="shared" si="4"/>
        <v>44267468164</v>
      </c>
      <c r="D34" s="23">
        <f t="shared" si="4"/>
        <v>43394914555</v>
      </c>
      <c r="E34" s="23">
        <f t="shared" si="4"/>
        <v>41939900963</v>
      </c>
      <c r="F34" s="75">
        <f t="shared" si="4"/>
        <v>42324819289</v>
      </c>
      <c r="G34" s="23">
        <f t="shared" si="4"/>
        <v>49146963279</v>
      </c>
      <c r="H34" s="76">
        <f>((F34*100)/G34)/100</f>
        <v>0.86118890090377098</v>
      </c>
      <c r="I34" s="23"/>
      <c r="J34" s="62"/>
    </row>
    <row r="35" spans="1:10" ht="15.75" customHeight="1">
      <c r="A35" s="47"/>
    </row>
    <row r="36" spans="1:10" ht="15.75" customHeight="1">
      <c r="A36" s="47"/>
    </row>
    <row r="37" spans="1:10" ht="18.75">
      <c r="A37" s="1"/>
      <c r="B37" s="49"/>
      <c r="C37" s="49"/>
      <c r="D37" s="50"/>
      <c r="E37" s="50"/>
      <c r="F37" s="50"/>
      <c r="G37" s="50"/>
      <c r="H37" s="50"/>
      <c r="I37" s="49"/>
      <c r="J37" s="49"/>
    </row>
    <row r="38" spans="1:10" ht="15.75">
      <c r="A38" s="1"/>
    </row>
    <row r="39" spans="1:10" ht="15.75">
      <c r="A39" s="1"/>
    </row>
    <row r="40" spans="1:10" ht="15.75">
      <c r="A40" s="13"/>
      <c r="H40" t="s">
        <v>38</v>
      </c>
    </row>
    <row r="41" spans="1:10" ht="15.75">
      <c r="A41" s="1"/>
    </row>
    <row r="42" spans="1:10" ht="15.75">
      <c r="A42" s="1"/>
    </row>
    <row r="43" spans="1:10" ht="15.75">
      <c r="A43" s="1"/>
    </row>
    <row r="44" spans="1:10" ht="15.75">
      <c r="A44" s="1"/>
    </row>
    <row r="45" spans="1:10" ht="15.75">
      <c r="A45" s="1"/>
    </row>
    <row r="46" spans="1:10" ht="15.75">
      <c r="A46" s="1"/>
    </row>
    <row r="47" spans="1:10" ht="15.75">
      <c r="A47" s="1"/>
    </row>
    <row r="48" spans="1:10" ht="15.75">
      <c r="A48" s="1"/>
    </row>
    <row r="49" spans="1:1" ht="15.75">
      <c r="A49" s="1"/>
    </row>
    <row r="50" spans="1:1" ht="15.75">
      <c r="A50" s="1"/>
    </row>
  </sheetData>
  <mergeCells count="5">
    <mergeCell ref="A1:I1"/>
    <mergeCell ref="A16:I17"/>
    <mergeCell ref="A29:I30"/>
    <mergeCell ref="A2:I2"/>
    <mergeCell ref="A6:I7"/>
  </mergeCells>
  <pageMargins left="0.7" right="0.7" top="0.75" bottom="0.75" header="0.3" footer="0.3"/>
  <pageSetup scale="44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zoomScale="65" zoomScaleNormal="65" workbookViewId="0">
      <selection activeCell="A26" sqref="A26:XFD28"/>
    </sheetView>
  </sheetViews>
  <sheetFormatPr baseColWidth="10" defaultRowHeight="15"/>
  <cols>
    <col min="1" max="1" width="19" bestFit="1" customWidth="1"/>
    <col min="2" max="2" width="22.42578125" customWidth="1"/>
    <col min="3" max="5" width="22.7109375" customWidth="1"/>
    <col min="6" max="7" width="23.5703125" customWidth="1"/>
    <col min="8" max="8" width="12.140625" bestFit="1" customWidth="1"/>
    <col min="9" max="9" width="33" bestFit="1" customWidth="1"/>
    <col min="10" max="10" width="14.7109375" bestFit="1" customWidth="1"/>
    <col min="11" max="11" width="23.7109375" bestFit="1" customWidth="1"/>
    <col min="12" max="12" width="12.140625" bestFit="1" customWidth="1"/>
    <col min="13" max="13" width="11.42578125" style="41"/>
    <col min="15" max="15" width="19.85546875" bestFit="1" customWidth="1"/>
  </cols>
  <sheetData>
    <row r="1" spans="1:15" s="1" customFormat="1" ht="21">
      <c r="A1" s="89" t="s">
        <v>45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5" s="1" customFormat="1" ht="19.5" thickBot="1">
      <c r="A2" s="92" t="s">
        <v>22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40"/>
    </row>
    <row r="3" spans="1:15" s="1" customFormat="1" ht="16.5" thickBot="1">
      <c r="A3" s="35" t="s">
        <v>0</v>
      </c>
      <c r="B3" s="37">
        <v>41639</v>
      </c>
      <c r="C3" s="39">
        <v>41670</v>
      </c>
      <c r="D3" s="39" t="s">
        <v>41</v>
      </c>
      <c r="E3" s="39" t="s">
        <v>42</v>
      </c>
      <c r="F3" s="39" t="s">
        <v>44</v>
      </c>
      <c r="G3" s="39" t="s">
        <v>43</v>
      </c>
      <c r="H3" s="29" t="s">
        <v>20</v>
      </c>
      <c r="I3" s="54" t="s">
        <v>21</v>
      </c>
      <c r="J3" s="36" t="s">
        <v>23</v>
      </c>
      <c r="K3" s="37" t="s">
        <v>39</v>
      </c>
      <c r="L3" s="29" t="s">
        <v>20</v>
      </c>
      <c r="M3" s="42" t="s">
        <v>32</v>
      </c>
    </row>
    <row r="4" spans="1:15" s="1" customFormat="1" ht="16.5" thickBot="1">
      <c r="A4" s="26" t="s">
        <v>14</v>
      </c>
      <c r="B4" s="57">
        <v>658029030</v>
      </c>
      <c r="C4" s="2">
        <v>507778442</v>
      </c>
      <c r="D4" s="22">
        <v>588893543</v>
      </c>
      <c r="E4" s="22">
        <v>789137691</v>
      </c>
      <c r="F4" s="77">
        <v>905627297</v>
      </c>
      <c r="G4" s="22">
        <f>B4+(41667000*5)</f>
        <v>866364030</v>
      </c>
      <c r="H4" s="69">
        <f>((F4*100)/G4)/100</f>
        <v>1.0453195950436678</v>
      </c>
      <c r="I4" s="8">
        <f>F4-E4</f>
        <v>116489606</v>
      </c>
      <c r="J4" s="71" t="s">
        <v>24</v>
      </c>
      <c r="K4" s="17">
        <f>B4+500000000</f>
        <v>1158029030</v>
      </c>
      <c r="L4" s="15">
        <f t="shared" ref="L4" si="0">((F4*100)/K4)/100</f>
        <v>0.78204196400844983</v>
      </c>
      <c r="M4" s="45" t="s">
        <v>35</v>
      </c>
    </row>
    <row r="5" spans="1:15" s="1" customFormat="1" ht="16.5" customHeight="1">
      <c r="A5" s="93" t="s">
        <v>25</v>
      </c>
      <c r="B5" s="93"/>
      <c r="C5" s="93"/>
      <c r="D5" s="90"/>
      <c r="E5" s="90"/>
      <c r="F5" s="90"/>
      <c r="G5" s="90"/>
      <c r="H5" s="90"/>
      <c r="I5" s="93"/>
      <c r="J5" s="93"/>
      <c r="K5" s="93"/>
      <c r="L5" s="93"/>
      <c r="M5" s="40"/>
    </row>
    <row r="6" spans="1:15" s="1" customFormat="1" ht="16.5" customHeight="1" thickBo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40"/>
    </row>
    <row r="7" spans="1:15" s="1" customFormat="1" ht="16.5" customHeight="1" thickBot="1">
      <c r="A7" s="35" t="s">
        <v>0</v>
      </c>
      <c r="B7" s="37">
        <v>41639</v>
      </c>
      <c r="C7" s="39">
        <v>41670</v>
      </c>
      <c r="D7" s="39" t="s">
        <v>41</v>
      </c>
      <c r="E7" s="39" t="s">
        <v>42</v>
      </c>
      <c r="F7" s="39" t="s">
        <v>44</v>
      </c>
      <c r="G7" s="39" t="s">
        <v>40</v>
      </c>
      <c r="H7" s="38" t="s">
        <v>20</v>
      </c>
      <c r="I7" s="54" t="s">
        <v>21</v>
      </c>
      <c r="J7" s="36" t="s">
        <v>23</v>
      </c>
      <c r="K7" s="37" t="s">
        <v>39</v>
      </c>
      <c r="L7" s="38" t="s">
        <v>20</v>
      </c>
      <c r="M7" s="42" t="s">
        <v>32</v>
      </c>
      <c r="O7" s="53"/>
    </row>
    <row r="8" spans="1:15" s="1" customFormat="1" ht="18.75" customHeight="1" thickBot="1">
      <c r="A8" s="26" t="s">
        <v>8</v>
      </c>
      <c r="B8" s="57">
        <v>1058632206</v>
      </c>
      <c r="C8" s="22">
        <v>1165503820</v>
      </c>
      <c r="D8" s="22">
        <v>1110069945</v>
      </c>
      <c r="E8" s="22">
        <v>1027811060</v>
      </c>
      <c r="F8" s="77">
        <v>1228749826</v>
      </c>
      <c r="G8" s="22">
        <f>B8+(41667000*5)</f>
        <v>1266967206</v>
      </c>
      <c r="H8" s="68">
        <f>((F8*100)/G8)/100</f>
        <v>0.96983554126814553</v>
      </c>
      <c r="I8" s="8">
        <f>F8-E8</f>
        <v>200938766</v>
      </c>
      <c r="J8" s="64" t="s">
        <v>24</v>
      </c>
      <c r="K8" s="19">
        <f>B8+500000000</f>
        <v>1558632206</v>
      </c>
      <c r="L8" s="16">
        <f t="shared" ref="L8:L11" si="1">((F8*100)/K8)/100</f>
        <v>0.78835136427304131</v>
      </c>
      <c r="M8" s="44" t="s">
        <v>33</v>
      </c>
    </row>
    <row r="9" spans="1:15" s="1" customFormat="1" ht="16.5" thickBot="1">
      <c r="A9" s="9" t="s">
        <v>28</v>
      </c>
      <c r="B9" s="57">
        <v>7086412756</v>
      </c>
      <c r="C9" s="2">
        <v>6773453910</v>
      </c>
      <c r="D9" s="22">
        <v>6798131064</v>
      </c>
      <c r="E9" s="22">
        <v>7373849222</v>
      </c>
      <c r="F9" s="77">
        <v>7229701788</v>
      </c>
      <c r="G9" s="22">
        <f>B9+(187500000*5)</f>
        <v>8023912756</v>
      </c>
      <c r="H9" s="68">
        <f t="shared" ref="H9" si="2">((F9*100)/G9)/100</f>
        <v>0.90101949109477586</v>
      </c>
      <c r="I9" s="8">
        <f t="shared" ref="I9:I11" si="3">F9-E9</f>
        <v>-144147434</v>
      </c>
      <c r="J9" s="11" t="s">
        <v>27</v>
      </c>
      <c r="K9" s="17">
        <f>B9+2250000000</f>
        <v>9336412756</v>
      </c>
      <c r="L9" s="16">
        <f t="shared" si="1"/>
        <v>0.77435541646912176</v>
      </c>
      <c r="M9" s="44" t="s">
        <v>33</v>
      </c>
      <c r="O9" s="5"/>
    </row>
    <row r="10" spans="1:15" s="1" customFormat="1" ht="16.5" thickBot="1">
      <c r="A10" s="12" t="s">
        <v>17</v>
      </c>
      <c r="B10" s="58">
        <v>931798366</v>
      </c>
      <c r="C10" s="34">
        <v>1075207039</v>
      </c>
      <c r="D10" s="24">
        <v>905974816</v>
      </c>
      <c r="E10" s="24">
        <v>860140895</v>
      </c>
      <c r="F10" s="79">
        <v>935663043</v>
      </c>
      <c r="G10" s="24">
        <f>B10+(41667000*5)</f>
        <v>1140133366</v>
      </c>
      <c r="H10" s="68">
        <f>((F10*100)/G10)/100</f>
        <v>0.82066104799883566</v>
      </c>
      <c r="I10" s="8">
        <f t="shared" si="3"/>
        <v>75522148</v>
      </c>
      <c r="J10" s="65" t="s">
        <v>24</v>
      </c>
      <c r="K10" s="20">
        <f>B10+500000000</f>
        <v>1431798366</v>
      </c>
      <c r="L10" s="16">
        <f t="shared" si="1"/>
        <v>0.65348799469156549</v>
      </c>
      <c r="M10" s="45" t="s">
        <v>35</v>
      </c>
      <c r="O10" s="53"/>
    </row>
    <row r="11" spans="1:15" s="1" customFormat="1" ht="16.5" thickBot="1">
      <c r="A11" s="26" t="s">
        <v>13</v>
      </c>
      <c r="B11" s="61">
        <v>532061281</v>
      </c>
      <c r="C11" s="2">
        <v>567262197</v>
      </c>
      <c r="D11" s="2">
        <v>609501769</v>
      </c>
      <c r="E11" s="2">
        <v>534856748</v>
      </c>
      <c r="F11" s="80">
        <v>517575115</v>
      </c>
      <c r="G11" s="2">
        <f>B11+(20840000*5)</f>
        <v>636261281</v>
      </c>
      <c r="H11" s="69">
        <f>((F11*100)/G11)/100</f>
        <v>0.8134631643568454</v>
      </c>
      <c r="I11" s="8">
        <f t="shared" si="3"/>
        <v>-17281633</v>
      </c>
      <c r="J11" s="11" t="s">
        <v>27</v>
      </c>
      <c r="K11" s="17">
        <f>B11+250000000</f>
        <v>782061281</v>
      </c>
      <c r="L11" s="15">
        <f t="shared" si="1"/>
        <v>0.66180889857913827</v>
      </c>
      <c r="M11" s="56" t="s">
        <v>35</v>
      </c>
    </row>
    <row r="12" spans="1:15" s="1" customFormat="1" ht="15.75">
      <c r="A12" s="90" t="s">
        <v>26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40"/>
    </row>
    <row r="13" spans="1:15" s="1" customFormat="1" ht="9.75" customHeight="1" thickBot="1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40"/>
    </row>
    <row r="14" spans="1:15" s="1" customFormat="1" ht="16.5" hidden="1" thickBot="1">
      <c r="A14" s="27" t="s">
        <v>0</v>
      </c>
      <c r="B14" s="28" t="s">
        <v>31</v>
      </c>
      <c r="C14" s="39" t="s">
        <v>36</v>
      </c>
      <c r="D14" s="39"/>
      <c r="E14" s="39"/>
      <c r="F14" s="37" t="s">
        <v>37</v>
      </c>
      <c r="G14" s="37"/>
      <c r="H14" s="29" t="s">
        <v>20</v>
      </c>
      <c r="I14" s="30" t="s">
        <v>21</v>
      </c>
      <c r="J14" s="28" t="s">
        <v>23</v>
      </c>
      <c r="K14" s="21" t="s">
        <v>30</v>
      </c>
      <c r="L14" s="29" t="s">
        <v>20</v>
      </c>
      <c r="M14" s="42" t="s">
        <v>32</v>
      </c>
      <c r="O14" s="14"/>
    </row>
    <row r="15" spans="1:15" s="1" customFormat="1" ht="16.5" customHeight="1" thickBot="1">
      <c r="A15" s="35" t="s">
        <v>0</v>
      </c>
      <c r="B15" s="37">
        <v>41639</v>
      </c>
      <c r="C15" s="39">
        <v>41670</v>
      </c>
      <c r="D15" s="39" t="s">
        <v>41</v>
      </c>
      <c r="E15" s="39" t="s">
        <v>42</v>
      </c>
      <c r="F15" s="39" t="s">
        <v>44</v>
      </c>
      <c r="G15" s="39" t="s">
        <v>40</v>
      </c>
      <c r="H15" s="38" t="s">
        <v>20</v>
      </c>
      <c r="I15" s="54" t="s">
        <v>21</v>
      </c>
      <c r="J15" s="36" t="s">
        <v>23</v>
      </c>
      <c r="K15" s="37" t="s">
        <v>39</v>
      </c>
      <c r="L15" s="38" t="s">
        <v>20</v>
      </c>
      <c r="M15" s="63" t="s">
        <v>32</v>
      </c>
    </row>
    <row r="16" spans="1:15" s="1" customFormat="1" ht="16.5" thickBot="1">
      <c r="A16" s="9" t="s">
        <v>10</v>
      </c>
      <c r="B16" s="57">
        <v>1213980667</v>
      </c>
      <c r="C16" s="22">
        <v>1085004109</v>
      </c>
      <c r="D16" s="22">
        <v>1043138754</v>
      </c>
      <c r="E16" s="22">
        <v>1058692636</v>
      </c>
      <c r="F16" s="77">
        <v>1135466614</v>
      </c>
      <c r="G16" s="22">
        <f>B16+(50000000*5)</f>
        <v>1463980667</v>
      </c>
      <c r="H16" s="68">
        <f>((F16*100)/G16)/100</f>
        <v>0.77560219174670297</v>
      </c>
      <c r="I16" s="8">
        <f t="shared" ref="I16:I19" si="4">F16-E16</f>
        <v>76773978</v>
      </c>
      <c r="J16" s="65" t="s">
        <v>24</v>
      </c>
      <c r="K16" s="17">
        <f>B16+600000000</f>
        <v>1813980667</v>
      </c>
      <c r="L16" s="16">
        <f t="shared" ref="L16" si="5">((F16*100)/K16)/100</f>
        <v>0.62595298541844935</v>
      </c>
      <c r="M16" s="44" t="s">
        <v>33</v>
      </c>
    </row>
    <row r="17" spans="1:14" s="1" customFormat="1" ht="16.5" thickBot="1">
      <c r="A17" s="26" t="s">
        <v>12</v>
      </c>
      <c r="B17" s="61">
        <v>259017488</v>
      </c>
      <c r="C17" s="2">
        <v>276131789</v>
      </c>
      <c r="D17" s="2">
        <v>335575211</v>
      </c>
      <c r="E17" s="2">
        <v>384311632</v>
      </c>
      <c r="F17" s="80">
        <v>317388369</v>
      </c>
      <c r="G17" s="22">
        <f>B17+(33340000*5)</f>
        <v>425717488</v>
      </c>
      <c r="H17" s="69">
        <f>((F17*100)/G17)/100</f>
        <v>0.74553754061425825</v>
      </c>
      <c r="I17" s="8">
        <f t="shared" si="4"/>
        <v>-66923263</v>
      </c>
      <c r="J17" s="11" t="s">
        <v>27</v>
      </c>
      <c r="K17" s="17">
        <f>B17+400000000</f>
        <v>659017488</v>
      </c>
      <c r="L17" s="15">
        <f>((F17*100)/K17)/100</f>
        <v>0.48160841674052812</v>
      </c>
      <c r="M17" s="45" t="s">
        <v>33</v>
      </c>
    </row>
    <row r="18" spans="1:14" s="1" customFormat="1" ht="16.5" thickBot="1">
      <c r="A18" s="9" t="s">
        <v>11</v>
      </c>
      <c r="B18" s="57">
        <v>1164980406</v>
      </c>
      <c r="C18" s="2">
        <v>1003898870</v>
      </c>
      <c r="D18" s="22">
        <v>1016784662</v>
      </c>
      <c r="E18" s="22">
        <v>950069702</v>
      </c>
      <c r="F18" s="77">
        <v>1011146426</v>
      </c>
      <c r="G18" s="22">
        <f>B18+(41667000*5)</f>
        <v>1373315406</v>
      </c>
      <c r="H18" s="68">
        <f>((F18*100)/G18)/100</f>
        <v>0.73628128074753418</v>
      </c>
      <c r="I18" s="8">
        <f t="shared" si="4"/>
        <v>61076724</v>
      </c>
      <c r="J18" s="65" t="s">
        <v>24</v>
      </c>
      <c r="K18" s="17">
        <f>B18+600000000</f>
        <v>1764980406</v>
      </c>
      <c r="L18" s="16">
        <f>((F18*100)/K18)/100</f>
        <v>0.57289385341765664</v>
      </c>
      <c r="M18" s="44" t="s">
        <v>33</v>
      </c>
      <c r="N18" s="13"/>
    </row>
    <row r="19" spans="1:14" s="1" customFormat="1" ht="16.5" thickBot="1">
      <c r="A19" s="25" t="s">
        <v>15</v>
      </c>
      <c r="B19" s="57">
        <v>1252657027</v>
      </c>
      <c r="C19" s="22">
        <v>1376658462</v>
      </c>
      <c r="D19" s="22">
        <v>925303564</v>
      </c>
      <c r="E19" s="22">
        <v>1041875771</v>
      </c>
      <c r="F19" s="77">
        <v>1142180937</v>
      </c>
      <c r="G19" s="22">
        <f>B19+(62500000*5)</f>
        <v>1565157027</v>
      </c>
      <c r="H19" s="69">
        <f>((F19*100)/G19)/100</f>
        <v>0.72975485353649427</v>
      </c>
      <c r="I19" s="8">
        <f t="shared" si="4"/>
        <v>100305166</v>
      </c>
      <c r="J19" s="73" t="s">
        <v>27</v>
      </c>
      <c r="K19" s="17">
        <f>B19+750000000</f>
        <v>2002657027</v>
      </c>
      <c r="L19" s="15">
        <f>((F19*100)/K19)/100</f>
        <v>0.57033277371063296</v>
      </c>
      <c r="M19" s="45" t="s">
        <v>35</v>
      </c>
    </row>
    <row r="20" spans="1:14" s="1" customFormat="1" ht="15.75" customHeight="1">
      <c r="A20" s="90" t="s">
        <v>29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</row>
    <row r="21" spans="1:14" s="1" customFormat="1" ht="16.5" customHeight="1" thickBot="1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</row>
    <row r="22" spans="1:14" s="1" customFormat="1" ht="15" customHeight="1" thickBot="1">
      <c r="A22" s="35" t="s">
        <v>0</v>
      </c>
      <c r="B22" s="37">
        <v>41639</v>
      </c>
      <c r="C22" s="39">
        <v>41670</v>
      </c>
      <c r="D22" s="39" t="s">
        <v>38</v>
      </c>
      <c r="E22" s="39" t="s">
        <v>42</v>
      </c>
      <c r="F22" s="39" t="s">
        <v>44</v>
      </c>
      <c r="G22" s="39" t="s">
        <v>40</v>
      </c>
      <c r="H22" s="38" t="s">
        <v>20</v>
      </c>
      <c r="I22" s="54" t="s">
        <v>21</v>
      </c>
      <c r="J22" s="36" t="s">
        <v>23</v>
      </c>
      <c r="K22" s="37" t="s">
        <v>39</v>
      </c>
      <c r="L22" s="38" t="s">
        <v>20</v>
      </c>
      <c r="M22" s="42" t="s">
        <v>32</v>
      </c>
    </row>
    <row r="23" spans="1:14" s="1" customFormat="1" ht="16.5" thickBot="1">
      <c r="A23" s="25" t="s">
        <v>9</v>
      </c>
      <c r="B23" s="57">
        <v>6075732383</v>
      </c>
      <c r="C23" s="2">
        <v>6120537862</v>
      </c>
      <c r="D23" s="22">
        <v>4324970976</v>
      </c>
      <c r="E23" s="22">
        <v>3995147867</v>
      </c>
      <c r="F23" s="77">
        <v>3697933680</v>
      </c>
      <c r="G23" s="22">
        <f>B23+(83334000*5)</f>
        <v>6492402383</v>
      </c>
      <c r="H23" s="68">
        <f t="shared" ref="H23" si="6">((F23*100)/G23)/100</f>
        <v>0.56957863389410934</v>
      </c>
      <c r="I23" s="8">
        <f>F23-E23</f>
        <v>-297214187</v>
      </c>
      <c r="J23" s="11" t="s">
        <v>27</v>
      </c>
      <c r="K23" s="17">
        <f>B23+1000000000</f>
        <v>7075732383</v>
      </c>
      <c r="L23" s="16">
        <f>((F23*100)/K23)/100</f>
        <v>0.52262203823374875</v>
      </c>
      <c r="M23" s="44" t="s">
        <v>33</v>
      </c>
    </row>
    <row r="24" spans="1:14" s="1" customFormat="1" ht="16.5" thickBot="1">
      <c r="A24" s="6"/>
      <c r="B24" s="7"/>
      <c r="C24" s="7"/>
      <c r="D24" s="7"/>
      <c r="E24" s="7"/>
      <c r="F24" s="7"/>
      <c r="G24" s="7"/>
      <c r="H24" s="70"/>
      <c r="I24" s="52"/>
      <c r="J24" s="5"/>
      <c r="K24" s="5"/>
      <c r="L24" s="15"/>
      <c r="M24" s="40"/>
    </row>
    <row r="25" spans="1:14" s="1" customFormat="1" ht="16.5" thickBot="1">
      <c r="A25" s="4" t="s">
        <v>1</v>
      </c>
      <c r="B25" s="23">
        <f>B4+B8+B9+B10+B11+B16+B17+B18+B19+B23</f>
        <v>20233301610</v>
      </c>
      <c r="C25" s="23">
        <f t="shared" ref="C25:K25" si="7">C4+C8+C9+C10+C11+C16+C17+C18+C19+C23</f>
        <v>19951436500</v>
      </c>
      <c r="D25" s="23">
        <f t="shared" si="7"/>
        <v>17658344304</v>
      </c>
      <c r="E25" s="23">
        <f t="shared" si="7"/>
        <v>18015893224</v>
      </c>
      <c r="F25" s="75">
        <f t="shared" si="7"/>
        <v>18121433095</v>
      </c>
      <c r="G25" s="23">
        <f t="shared" si="7"/>
        <v>23254211610</v>
      </c>
      <c r="H25" s="76">
        <f>((F25*100)/G25)/100</f>
        <v>0.77927531575429743</v>
      </c>
      <c r="I25" s="23">
        <f t="shared" si="7"/>
        <v>105539871</v>
      </c>
      <c r="J25" s="23"/>
      <c r="K25" s="23">
        <f t="shared" si="7"/>
        <v>27583301610</v>
      </c>
      <c r="L25" s="72">
        <f>((F25*100)/G25)/100</f>
        <v>0.77927531575429743</v>
      </c>
      <c r="M25" s="23"/>
    </row>
    <row r="26" spans="1:14" ht="18.75">
      <c r="A26" s="47"/>
      <c r="I26" s="51"/>
    </row>
    <row r="27" spans="1:14" ht="18.75">
      <c r="A27" s="1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4" ht="15.75">
      <c r="A28" s="1"/>
    </row>
    <row r="29" spans="1:14" ht="15.75">
      <c r="A29" s="1"/>
    </row>
    <row r="30" spans="1:14" ht="15.75">
      <c r="A30" s="13"/>
      <c r="H30" t="s">
        <v>38</v>
      </c>
    </row>
    <row r="31" spans="1:14" ht="15.75">
      <c r="A31" s="1"/>
    </row>
    <row r="32" spans="1:14" ht="15.75">
      <c r="A32" s="1"/>
    </row>
    <row r="33" spans="1:1" ht="15.75">
      <c r="A33" s="1"/>
    </row>
    <row r="34" spans="1:1" ht="15.75">
      <c r="A34" s="1"/>
    </row>
    <row r="35" spans="1:1" ht="15.75">
      <c r="A35" s="1"/>
    </row>
    <row r="36" spans="1:1" ht="15.75">
      <c r="A36" s="1"/>
    </row>
    <row r="37" spans="1:1" ht="15.75">
      <c r="A37" s="1"/>
    </row>
    <row r="38" spans="1:1" ht="15.75">
      <c r="A38" s="1"/>
    </row>
    <row r="39" spans="1:1" ht="15.75">
      <c r="A39" s="1"/>
    </row>
    <row r="40" spans="1:1" ht="15.75">
      <c r="A40" s="1"/>
    </row>
  </sheetData>
  <mergeCells count="5">
    <mergeCell ref="A20:L21"/>
    <mergeCell ref="A1:L1"/>
    <mergeCell ref="A2:L2"/>
    <mergeCell ref="A5:L6"/>
    <mergeCell ref="A12:L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0"/>
  <sheetViews>
    <sheetView zoomScale="65" zoomScaleNormal="65" workbookViewId="0">
      <selection activeCell="A25" sqref="A25:XFD26"/>
    </sheetView>
  </sheetViews>
  <sheetFormatPr baseColWidth="10" defaultRowHeight="15"/>
  <cols>
    <col min="1" max="1" width="19" bestFit="1" customWidth="1"/>
    <col min="2" max="2" width="22.42578125" customWidth="1"/>
    <col min="3" max="5" width="22.7109375" customWidth="1"/>
    <col min="6" max="7" width="23.5703125" customWidth="1"/>
    <col min="8" max="8" width="12.140625" bestFit="1" customWidth="1"/>
    <col min="9" max="9" width="33" bestFit="1" customWidth="1"/>
    <col min="10" max="10" width="14.7109375" bestFit="1" customWidth="1"/>
    <col min="11" max="11" width="23.7109375" bestFit="1" customWidth="1"/>
    <col min="12" max="12" width="12.140625" bestFit="1" customWidth="1"/>
    <col min="13" max="13" width="11.42578125" style="41"/>
    <col min="15" max="15" width="19.85546875" bestFit="1" customWidth="1"/>
  </cols>
  <sheetData>
    <row r="1" spans="1:15" s="1" customFormat="1" ht="21">
      <c r="A1" s="89" t="s">
        <v>45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5" s="1" customFormat="1" ht="19.5" thickBot="1">
      <c r="A2" s="92" t="s">
        <v>22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40"/>
    </row>
    <row r="3" spans="1:15" s="1" customFormat="1" ht="16.5" thickBot="1">
      <c r="A3" s="35" t="s">
        <v>0</v>
      </c>
      <c r="B3" s="37">
        <v>41639</v>
      </c>
      <c r="C3" s="39">
        <v>41670</v>
      </c>
      <c r="D3" s="39" t="s">
        <v>41</v>
      </c>
      <c r="E3" s="39" t="s">
        <v>42</v>
      </c>
      <c r="F3" s="39" t="s">
        <v>44</v>
      </c>
      <c r="G3" s="39" t="s">
        <v>43</v>
      </c>
      <c r="H3" s="29" t="s">
        <v>20</v>
      </c>
      <c r="I3" s="54" t="s">
        <v>21</v>
      </c>
      <c r="J3" s="36" t="s">
        <v>23</v>
      </c>
      <c r="K3" s="37" t="s">
        <v>39</v>
      </c>
      <c r="L3" s="29" t="s">
        <v>20</v>
      </c>
      <c r="M3" s="42" t="s">
        <v>32</v>
      </c>
    </row>
    <row r="4" spans="1:15" s="1" customFormat="1" ht="18" customHeight="1" thickBot="1">
      <c r="A4" s="9" t="s">
        <v>2</v>
      </c>
      <c r="B4" s="67">
        <v>10613045869</v>
      </c>
      <c r="C4" s="22">
        <v>13197508075</v>
      </c>
      <c r="D4" s="22">
        <v>14915331883</v>
      </c>
      <c r="E4" s="22">
        <v>14054558155</v>
      </c>
      <c r="F4" s="77">
        <v>14213927289</v>
      </c>
      <c r="G4" s="22">
        <f>B4+(334000000*5)</f>
        <v>12283045869</v>
      </c>
      <c r="H4" s="68">
        <f>((F4*100)/G4)/100</f>
        <v>1.157198909830107</v>
      </c>
      <c r="I4" s="8">
        <f>F4-E4</f>
        <v>159369134</v>
      </c>
      <c r="J4" s="71" t="s">
        <v>24</v>
      </c>
      <c r="K4" s="17">
        <f>B4+4000000000</f>
        <v>14613045869</v>
      </c>
      <c r="L4" s="16">
        <f>((F4*100)/K4)/100</f>
        <v>0.97268751610184934</v>
      </c>
      <c r="M4" s="46" t="s">
        <v>34</v>
      </c>
    </row>
    <row r="5" spans="1:15" s="1" customFormat="1" ht="16.5" customHeight="1">
      <c r="A5" s="93" t="s">
        <v>25</v>
      </c>
      <c r="B5" s="93"/>
      <c r="C5" s="93"/>
      <c r="D5" s="90"/>
      <c r="E5" s="90"/>
      <c r="F5" s="90"/>
      <c r="G5" s="90"/>
      <c r="H5" s="90"/>
      <c r="I5" s="93"/>
      <c r="J5" s="93"/>
      <c r="K5" s="93"/>
      <c r="L5" s="93"/>
      <c r="M5" s="40"/>
    </row>
    <row r="6" spans="1:15" s="1" customFormat="1" ht="16.5" customHeight="1" thickBo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40"/>
    </row>
    <row r="7" spans="1:15" s="1" customFormat="1" ht="16.5" customHeight="1" thickBot="1">
      <c r="A7" s="35" t="s">
        <v>0</v>
      </c>
      <c r="B7" s="37">
        <v>41639</v>
      </c>
      <c r="C7" s="39">
        <v>41670</v>
      </c>
      <c r="D7" s="39" t="s">
        <v>41</v>
      </c>
      <c r="E7" s="39" t="s">
        <v>42</v>
      </c>
      <c r="F7" s="39" t="s">
        <v>44</v>
      </c>
      <c r="G7" s="39" t="s">
        <v>40</v>
      </c>
      <c r="H7" s="38" t="s">
        <v>20</v>
      </c>
      <c r="I7" s="54" t="s">
        <v>21</v>
      </c>
      <c r="J7" s="36" t="s">
        <v>23</v>
      </c>
      <c r="K7" s="37" t="s">
        <v>39</v>
      </c>
      <c r="L7" s="38" t="s">
        <v>20</v>
      </c>
      <c r="M7" s="42" t="s">
        <v>32</v>
      </c>
      <c r="O7" s="53"/>
    </row>
    <row r="8" spans="1:15" s="1" customFormat="1" ht="16.5" thickBot="1">
      <c r="A8" s="31" t="s">
        <v>16</v>
      </c>
      <c r="B8" s="60">
        <v>379933676</v>
      </c>
      <c r="C8" s="33">
        <v>327599180</v>
      </c>
      <c r="D8" s="33">
        <v>358276411</v>
      </c>
      <c r="E8" s="33">
        <v>346916309</v>
      </c>
      <c r="F8" s="78">
        <v>479123148</v>
      </c>
      <c r="G8" s="22">
        <f>B8+(29167000*5)</f>
        <v>525768676</v>
      </c>
      <c r="H8" s="69">
        <f>((F8*100)/G8)/100</f>
        <v>0.91128127229854217</v>
      </c>
      <c r="I8" s="8">
        <f t="shared" ref="I8:I10" si="0">F8-E8</f>
        <v>132206839</v>
      </c>
      <c r="J8" s="71" t="s">
        <v>24</v>
      </c>
      <c r="K8" s="32">
        <f>B8+350000000</f>
        <v>729933676</v>
      </c>
      <c r="L8" s="15">
        <f t="shared" ref="L8:L10" si="1">((F8*100)/K8)/100</f>
        <v>0.65639271587738068</v>
      </c>
      <c r="M8" s="45" t="s">
        <v>35</v>
      </c>
    </row>
    <row r="9" spans="1:15" s="1" customFormat="1" ht="16.5" thickBot="1">
      <c r="A9" s="9" t="s">
        <v>5</v>
      </c>
      <c r="B9" s="58">
        <v>802610869</v>
      </c>
      <c r="C9" s="3">
        <v>1031965187</v>
      </c>
      <c r="D9" s="24">
        <v>885967610</v>
      </c>
      <c r="E9" s="24">
        <v>834972843</v>
      </c>
      <c r="F9" s="79">
        <v>826864202</v>
      </c>
      <c r="G9" s="24">
        <f>B9+(33334000*5)</f>
        <v>969280869</v>
      </c>
      <c r="H9" s="69">
        <f>((F9*100)/G9)/100</f>
        <v>0.85306976382714506</v>
      </c>
      <c r="I9" s="8">
        <f t="shared" si="0"/>
        <v>-8108641</v>
      </c>
      <c r="J9" s="11" t="s">
        <v>27</v>
      </c>
      <c r="K9" s="17">
        <f>B9+400000000</f>
        <v>1202610869</v>
      </c>
      <c r="L9" s="15">
        <f t="shared" si="1"/>
        <v>0.68755756605422802</v>
      </c>
      <c r="M9" s="46" t="s">
        <v>34</v>
      </c>
    </row>
    <row r="10" spans="1:15" s="1" customFormat="1" ht="16.5" thickBot="1">
      <c r="A10" s="26" t="s">
        <v>19</v>
      </c>
      <c r="B10" s="61">
        <v>572099768</v>
      </c>
      <c r="C10" s="2">
        <v>652178763</v>
      </c>
      <c r="D10" s="2">
        <v>541762249</v>
      </c>
      <c r="E10" s="2">
        <v>597503766</v>
      </c>
      <c r="F10" s="80">
        <v>641166592</v>
      </c>
      <c r="G10" s="22">
        <f>B10+(37500000*5)</f>
        <v>759599768</v>
      </c>
      <c r="H10" s="69">
        <f>((F10*100)/G10)/100</f>
        <v>0.84408476543926481</v>
      </c>
      <c r="I10" s="8">
        <f t="shared" si="0"/>
        <v>43662826</v>
      </c>
      <c r="J10" s="74" t="s">
        <v>24</v>
      </c>
      <c r="K10" s="17">
        <f>B10</f>
        <v>572099768</v>
      </c>
      <c r="L10" s="15">
        <f t="shared" si="1"/>
        <v>1.1207251389761095</v>
      </c>
      <c r="M10" s="45" t="s">
        <v>35</v>
      </c>
    </row>
    <row r="11" spans="1:15" s="1" customFormat="1" ht="15.75">
      <c r="A11" s="90" t="s">
        <v>26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40"/>
    </row>
    <row r="12" spans="1:15" s="1" customFormat="1" ht="9.75" customHeight="1" thickBot="1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40"/>
    </row>
    <row r="13" spans="1:15" s="1" customFormat="1" ht="16.5" hidden="1" thickBot="1">
      <c r="A13" s="27" t="s">
        <v>0</v>
      </c>
      <c r="B13" s="28" t="s">
        <v>31</v>
      </c>
      <c r="C13" s="39" t="s">
        <v>36</v>
      </c>
      <c r="D13" s="39"/>
      <c r="E13" s="39"/>
      <c r="F13" s="37" t="s">
        <v>37</v>
      </c>
      <c r="G13" s="37"/>
      <c r="H13" s="29" t="s">
        <v>20</v>
      </c>
      <c r="I13" s="30" t="s">
        <v>21</v>
      </c>
      <c r="J13" s="28" t="s">
        <v>23</v>
      </c>
      <c r="K13" s="21" t="s">
        <v>30</v>
      </c>
      <c r="L13" s="29" t="s">
        <v>20</v>
      </c>
      <c r="M13" s="42" t="s">
        <v>32</v>
      </c>
      <c r="O13" s="14"/>
    </row>
    <row r="14" spans="1:15" s="1" customFormat="1" ht="16.5" customHeight="1" thickBot="1">
      <c r="A14" s="35" t="s">
        <v>0</v>
      </c>
      <c r="B14" s="37">
        <v>41639</v>
      </c>
      <c r="C14" s="39">
        <v>41670</v>
      </c>
      <c r="D14" s="39" t="s">
        <v>41</v>
      </c>
      <c r="E14" s="39" t="s">
        <v>42</v>
      </c>
      <c r="F14" s="39" t="s">
        <v>44</v>
      </c>
      <c r="G14" s="39" t="s">
        <v>40</v>
      </c>
      <c r="H14" s="38" t="s">
        <v>20</v>
      </c>
      <c r="I14" s="54" t="s">
        <v>21</v>
      </c>
      <c r="J14" s="36" t="s">
        <v>23</v>
      </c>
      <c r="K14" s="37" t="s">
        <v>39</v>
      </c>
      <c r="L14" s="38" t="s">
        <v>20</v>
      </c>
      <c r="M14" s="63" t="s">
        <v>32</v>
      </c>
    </row>
    <row r="15" spans="1:15" s="1" customFormat="1" ht="16.5" thickBot="1">
      <c r="A15" s="26" t="s">
        <v>18</v>
      </c>
      <c r="B15" s="57">
        <v>909850554</v>
      </c>
      <c r="C15" s="2">
        <v>828774754</v>
      </c>
      <c r="D15" s="22">
        <v>679272816</v>
      </c>
      <c r="E15" s="22">
        <v>772885421</v>
      </c>
      <c r="F15" s="77">
        <v>851741362</v>
      </c>
      <c r="G15" s="22">
        <f>B15+(37500000*5)</f>
        <v>1097350554</v>
      </c>
      <c r="H15" s="68">
        <f>((F15*100)/G15)/100</f>
        <v>0.77617982594101831</v>
      </c>
      <c r="I15" s="8">
        <f>F15-E15</f>
        <v>78855941</v>
      </c>
      <c r="J15" s="65" t="s">
        <v>24</v>
      </c>
      <c r="K15" s="17">
        <f>B15+450000000</f>
        <v>1359850554</v>
      </c>
      <c r="L15" s="16">
        <f>((F15*100)/K15)/100</f>
        <v>0.62634924072693354</v>
      </c>
      <c r="M15" s="45" t="s">
        <v>35</v>
      </c>
    </row>
    <row r="16" spans="1:15" s="1" customFormat="1" ht="16.5" thickBot="1">
      <c r="A16" s="9" t="s">
        <v>3</v>
      </c>
      <c r="B16" s="59">
        <v>2351446570</v>
      </c>
      <c r="C16" s="22">
        <v>1892632741</v>
      </c>
      <c r="D16" s="55">
        <v>2540859488</v>
      </c>
      <c r="E16" s="55">
        <v>2233640693</v>
      </c>
      <c r="F16" s="81">
        <v>2057278431</v>
      </c>
      <c r="G16" s="55">
        <f>B16+(104167000*5)</f>
        <v>2872281570</v>
      </c>
      <c r="H16" s="68">
        <f t="shared" ref="H16" si="2">((F16*100)/G16)/100</f>
        <v>0.71625235230681095</v>
      </c>
      <c r="I16" s="8">
        <f t="shared" ref="I16:I19" si="3">F16-E16</f>
        <v>-176362262</v>
      </c>
      <c r="J16" s="11" t="s">
        <v>27</v>
      </c>
      <c r="K16" s="48">
        <f>B16+1250000000</f>
        <v>3601446570</v>
      </c>
      <c r="L16" s="16">
        <f t="shared" ref="L16" si="4">((F16*100)/K16)/100</f>
        <v>0.57123669364890783</v>
      </c>
      <c r="M16" s="46" t="s">
        <v>34</v>
      </c>
    </row>
    <row r="17" spans="1:15" s="1" customFormat="1" ht="16.5" thickBot="1">
      <c r="A17" s="10" t="s">
        <v>4</v>
      </c>
      <c r="B17" s="57">
        <v>3769942655</v>
      </c>
      <c r="C17" s="2">
        <v>3926205339</v>
      </c>
      <c r="D17" s="22">
        <v>3795421675</v>
      </c>
      <c r="E17" s="22">
        <v>3119795534</v>
      </c>
      <c r="F17" s="77">
        <v>3037039518</v>
      </c>
      <c r="G17" s="22">
        <f>B17+(104167000*5)</f>
        <v>4290777655</v>
      </c>
      <c r="H17" s="68">
        <f>((F17*100)/G17)/100</f>
        <v>0.70780631442437214</v>
      </c>
      <c r="I17" s="8">
        <f t="shared" si="3"/>
        <v>-82756016</v>
      </c>
      <c r="J17" s="11" t="s">
        <v>27</v>
      </c>
      <c r="K17" s="18">
        <f>B17+1250000000</f>
        <v>5019942655</v>
      </c>
      <c r="L17" s="16">
        <f>((F17*100)/K17)/100</f>
        <v>0.60499486283474291</v>
      </c>
      <c r="M17" s="46" t="s">
        <v>34</v>
      </c>
    </row>
    <row r="18" spans="1:15" s="1" customFormat="1" ht="16.5" thickBot="1">
      <c r="A18" s="9" t="s">
        <v>6</v>
      </c>
      <c r="B18" s="57">
        <v>1389460785</v>
      </c>
      <c r="C18" s="22">
        <v>1286118391</v>
      </c>
      <c r="D18" s="22">
        <v>1091944292</v>
      </c>
      <c r="E18" s="22">
        <v>1056546708</v>
      </c>
      <c r="F18" s="77">
        <v>1137967583</v>
      </c>
      <c r="G18" s="22">
        <f>B18+(50000000*5)</f>
        <v>1639460785</v>
      </c>
      <c r="H18" s="68">
        <f>((F18*100)/G18)/100</f>
        <v>0.69411088902623552</v>
      </c>
      <c r="I18" s="8">
        <f t="shared" si="3"/>
        <v>81420875</v>
      </c>
      <c r="J18" s="65" t="s">
        <v>24</v>
      </c>
      <c r="K18" s="17">
        <f>B18+600000000</f>
        <v>1989460785</v>
      </c>
      <c r="L18" s="16">
        <f>((F18*100)/K18)/100</f>
        <v>0.57199799643198301</v>
      </c>
      <c r="M18" s="46" t="s">
        <v>34</v>
      </c>
    </row>
    <row r="19" spans="1:15" s="1" customFormat="1" ht="15.75" customHeight="1" thickBot="1">
      <c r="A19" s="9" t="s">
        <v>7</v>
      </c>
      <c r="B19" s="57">
        <v>1142685923</v>
      </c>
      <c r="C19" s="22">
        <v>1173049234</v>
      </c>
      <c r="D19" s="22">
        <v>927733827</v>
      </c>
      <c r="E19" s="22">
        <v>907188310</v>
      </c>
      <c r="F19" s="77">
        <v>958278069</v>
      </c>
      <c r="G19" s="22">
        <f>B19+(62500000*5)</f>
        <v>1455185923</v>
      </c>
      <c r="H19" s="68">
        <f t="shared" ref="H19" si="5">((F19*100)/G19)/100</f>
        <v>0.65852620881902257</v>
      </c>
      <c r="I19" s="8">
        <f t="shared" si="3"/>
        <v>51089759</v>
      </c>
      <c r="J19" s="74" t="s">
        <v>24</v>
      </c>
      <c r="K19" s="17">
        <f>B19+750000000</f>
        <v>1892685923</v>
      </c>
      <c r="L19" s="16">
        <f t="shared" ref="L19" si="6">((F19*100)/K19)/100</f>
        <v>0.50630591021730753</v>
      </c>
      <c r="M19" s="43" t="s">
        <v>34</v>
      </c>
      <c r="O19" s="66"/>
    </row>
    <row r="20" spans="1:15" s="1" customFormat="1" ht="15.75" customHeight="1">
      <c r="A20" s="90" t="s">
        <v>29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</row>
    <row r="21" spans="1:15" s="1" customFormat="1" ht="16.5" customHeight="1" thickBot="1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</row>
    <row r="22" spans="1:15" s="1" customFormat="1" ht="15" customHeight="1" thickBot="1">
      <c r="A22" s="35" t="s">
        <v>0</v>
      </c>
      <c r="B22" s="37">
        <v>41639</v>
      </c>
      <c r="C22" s="39">
        <v>41670</v>
      </c>
      <c r="D22" s="39" t="s">
        <v>38</v>
      </c>
      <c r="E22" s="39" t="s">
        <v>42</v>
      </c>
      <c r="F22" s="39" t="s">
        <v>44</v>
      </c>
      <c r="G22" s="39" t="s">
        <v>40</v>
      </c>
      <c r="H22" s="38" t="s">
        <v>20</v>
      </c>
      <c r="I22" s="54" t="s">
        <v>21</v>
      </c>
      <c r="J22" s="36" t="s">
        <v>23</v>
      </c>
      <c r="K22" s="37" t="s">
        <v>39</v>
      </c>
      <c r="L22" s="38" t="s">
        <v>20</v>
      </c>
      <c r="M22" s="42" t="s">
        <v>32</v>
      </c>
    </row>
    <row r="23" spans="1:15" s="1" customFormat="1" ht="16.5" thickBot="1">
      <c r="A23" s="6"/>
      <c r="B23" s="7"/>
      <c r="C23" s="7"/>
      <c r="D23" s="7"/>
      <c r="E23" s="7"/>
      <c r="F23" s="7"/>
      <c r="G23" s="7"/>
      <c r="H23" s="70"/>
      <c r="I23" s="52"/>
      <c r="J23" s="5"/>
      <c r="K23" s="5"/>
      <c r="L23" s="15"/>
      <c r="M23" s="40"/>
    </row>
    <row r="24" spans="1:15" s="1" customFormat="1" ht="16.5" thickBot="1">
      <c r="A24" s="4" t="s">
        <v>1</v>
      </c>
      <c r="B24" s="23">
        <f>B4+B8+B9+B10+B15+B16+B17+B18+B19</f>
        <v>21931076669</v>
      </c>
      <c r="C24" s="23">
        <f t="shared" ref="C24:K24" si="7">C4+C8+C9+C10+C15+C16+C17+C18+C19</f>
        <v>24316031664</v>
      </c>
      <c r="D24" s="23">
        <f t="shared" si="7"/>
        <v>25736570251</v>
      </c>
      <c r="E24" s="23">
        <f t="shared" si="7"/>
        <v>23924007739</v>
      </c>
      <c r="F24" s="23">
        <f t="shared" si="7"/>
        <v>24203386194</v>
      </c>
      <c r="G24" s="23">
        <f t="shared" si="7"/>
        <v>25892751669</v>
      </c>
      <c r="H24" s="72">
        <f>((F24*100)/G24)/100</f>
        <v>0.9347552745032276</v>
      </c>
      <c r="I24" s="23">
        <f t="shared" si="7"/>
        <v>279378455</v>
      </c>
      <c r="J24" s="23" t="e">
        <f t="shared" si="7"/>
        <v>#VALUE!</v>
      </c>
      <c r="K24" s="23">
        <f t="shared" si="7"/>
        <v>30981076669</v>
      </c>
      <c r="L24" s="72">
        <f>((F24*100)/K24)/100</f>
        <v>0.78123128039052847</v>
      </c>
      <c r="M24" s="23"/>
    </row>
    <row r="25" spans="1:15" ht="18.75">
      <c r="A25" s="47"/>
      <c r="I25" s="51"/>
      <c r="K25" s="51"/>
    </row>
    <row r="26" spans="1:15" ht="18.75">
      <c r="A26" s="47"/>
      <c r="I26" s="51"/>
    </row>
    <row r="27" spans="1:15" ht="18.75">
      <c r="A27" s="1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5" ht="15.75">
      <c r="A28" s="1"/>
    </row>
    <row r="29" spans="1:15" ht="15.75">
      <c r="A29" s="1"/>
    </row>
    <row r="30" spans="1:15" ht="15.75">
      <c r="A30" s="13"/>
      <c r="H30" t="s">
        <v>38</v>
      </c>
    </row>
    <row r="31" spans="1:15" ht="15.75">
      <c r="A31" s="1"/>
    </row>
    <row r="32" spans="1:15" ht="15.75">
      <c r="A32" s="1"/>
    </row>
    <row r="33" spans="1:1" ht="15.75">
      <c r="A33" s="1"/>
    </row>
    <row r="34" spans="1:1" ht="15.75">
      <c r="A34" s="1"/>
    </row>
    <row r="35" spans="1:1" ht="15.75">
      <c r="A35" s="1"/>
    </row>
    <row r="36" spans="1:1" ht="15.75">
      <c r="A36" s="1"/>
    </row>
    <row r="37" spans="1:1" ht="15.75">
      <c r="A37" s="1"/>
    </row>
    <row r="38" spans="1:1" ht="15.75">
      <c r="A38" s="1"/>
    </row>
    <row r="39" spans="1:1" ht="15.75">
      <c r="A39" s="1"/>
    </row>
    <row r="40" spans="1:1" ht="15.75">
      <c r="A40" s="1"/>
    </row>
  </sheetData>
  <mergeCells count="5">
    <mergeCell ref="A20:L21"/>
    <mergeCell ref="A1:L1"/>
    <mergeCell ref="A2:L2"/>
    <mergeCell ref="A5:L6"/>
    <mergeCell ref="A11: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B21"/>
  <sheetViews>
    <sheetView workbookViewId="0">
      <selection activeCell="I7" sqref="I7"/>
    </sheetView>
  </sheetViews>
  <sheetFormatPr baseColWidth="10" defaultRowHeight="15.75"/>
  <cols>
    <col min="1" max="1" width="24.140625" style="1" bestFit="1" customWidth="1"/>
    <col min="2" max="2" width="13.28515625" style="1" bestFit="1" customWidth="1"/>
  </cols>
  <sheetData>
    <row r="2" spans="1:2">
      <c r="A2" s="82" t="s">
        <v>0</v>
      </c>
      <c r="B2" s="83" t="s">
        <v>32</v>
      </c>
    </row>
    <row r="3" spans="1:2">
      <c r="A3" s="84" t="s">
        <v>2</v>
      </c>
      <c r="B3" s="85" t="s">
        <v>34</v>
      </c>
    </row>
    <row r="4" spans="1:2">
      <c r="A4" s="84" t="s">
        <v>14</v>
      </c>
      <c r="B4" s="86" t="s">
        <v>35</v>
      </c>
    </row>
    <row r="5" spans="1:2">
      <c r="A5" s="84" t="s">
        <v>8</v>
      </c>
      <c r="B5" s="87" t="s">
        <v>33</v>
      </c>
    </row>
    <row r="6" spans="1:2">
      <c r="A6" s="84" t="s">
        <v>16</v>
      </c>
      <c r="B6" s="86" t="s">
        <v>35</v>
      </c>
    </row>
    <row r="7" spans="1:2">
      <c r="A7" s="84" t="s">
        <v>28</v>
      </c>
      <c r="B7" s="87" t="s">
        <v>33</v>
      </c>
    </row>
    <row r="8" spans="1:2">
      <c r="A8" s="84" t="s">
        <v>5</v>
      </c>
      <c r="B8" s="85" t="s">
        <v>34</v>
      </c>
    </row>
    <row r="9" spans="1:2">
      <c r="A9" s="84" t="s">
        <v>19</v>
      </c>
      <c r="B9" s="86" t="s">
        <v>35</v>
      </c>
    </row>
    <row r="10" spans="1:2">
      <c r="A10" s="84" t="s">
        <v>17</v>
      </c>
      <c r="B10" s="86" t="s">
        <v>35</v>
      </c>
    </row>
    <row r="11" spans="1:2">
      <c r="A11" s="84" t="s">
        <v>13</v>
      </c>
      <c r="B11" s="86" t="s">
        <v>35</v>
      </c>
    </row>
    <row r="12" spans="1:2">
      <c r="A12" s="84" t="s">
        <v>18</v>
      </c>
      <c r="B12" s="86" t="s">
        <v>35</v>
      </c>
    </row>
    <row r="13" spans="1:2">
      <c r="A13" s="84" t="s">
        <v>10</v>
      </c>
      <c r="B13" s="87" t="s">
        <v>33</v>
      </c>
    </row>
    <row r="14" spans="1:2">
      <c r="A14" s="84" t="s">
        <v>12</v>
      </c>
      <c r="B14" s="86" t="s">
        <v>33</v>
      </c>
    </row>
    <row r="15" spans="1:2">
      <c r="A15" s="84" t="s">
        <v>11</v>
      </c>
      <c r="B15" s="87" t="s">
        <v>33</v>
      </c>
    </row>
    <row r="16" spans="1:2">
      <c r="A16" s="88" t="s">
        <v>15</v>
      </c>
      <c r="B16" s="86" t="s">
        <v>35</v>
      </c>
    </row>
    <row r="17" spans="1:2">
      <c r="A17" s="84" t="s">
        <v>3</v>
      </c>
      <c r="B17" s="85" t="s">
        <v>34</v>
      </c>
    </row>
    <row r="18" spans="1:2">
      <c r="A18" s="84" t="s">
        <v>4</v>
      </c>
      <c r="B18" s="85" t="s">
        <v>34</v>
      </c>
    </row>
    <row r="19" spans="1:2">
      <c r="A19" s="84" t="s">
        <v>6</v>
      </c>
      <c r="B19" s="85" t="s">
        <v>34</v>
      </c>
    </row>
    <row r="20" spans="1:2">
      <c r="A20" s="84" t="s">
        <v>7</v>
      </c>
      <c r="B20" s="85" t="s">
        <v>34</v>
      </c>
    </row>
    <row r="21" spans="1:2">
      <c r="A21" s="88" t="s">
        <v>9</v>
      </c>
      <c r="B21" s="87" t="s">
        <v>33</v>
      </c>
    </row>
  </sheetData>
  <conditionalFormatting sqref="B3:B2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Summary</vt:lpstr>
      <vt:lpstr>Rive droite</vt:lpstr>
      <vt:lpstr>Rive Gauche</vt:lpstr>
      <vt:lpstr>Agences</vt:lpstr>
      <vt:lpstr>Summary!Zone_d_impression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cheick.diarra</dc:creator>
  <cp:lastModifiedBy> </cp:lastModifiedBy>
  <cp:lastPrinted>2013-11-19T11:17:41Z</cp:lastPrinted>
  <dcterms:created xsi:type="dcterms:W3CDTF">2012-07-23T08:29:16Z</dcterms:created>
  <dcterms:modified xsi:type="dcterms:W3CDTF">2014-05-14T10:23:11Z</dcterms:modified>
</cp:coreProperties>
</file>