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iM\Desktop\"/>
    </mc:Choice>
  </mc:AlternateContent>
  <bookViews>
    <workbookView xWindow="0" yWindow="0" windowWidth="20490" windowHeight="7155"/>
  </bookViews>
  <sheets>
    <sheet name="Personnel" sheetId="6" r:id="rId1"/>
    <sheet name="BDD" sheetId="7" r:id="rId2"/>
    <sheet name="Itinéraire" sheetId="8" r:id="rId3"/>
  </sheets>
  <definedNames>
    <definedName name="Liste">BDD!$A:$A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7" l="1"/>
  <c r="F4" i="7"/>
  <c r="J4" i="7"/>
  <c r="M4" i="7"/>
  <c r="N4" i="7"/>
  <c r="Q4" i="7"/>
  <c r="R4" i="7"/>
  <c r="U4" i="7"/>
  <c r="V4" i="7"/>
  <c r="O4" i="7" s="1"/>
  <c r="W4" i="7"/>
  <c r="P4" i="7" l="1"/>
  <c r="T4" i="7"/>
  <c r="C3" i="7"/>
  <c r="E3" i="7" l="1"/>
  <c r="F3" i="7"/>
  <c r="J3" i="7"/>
  <c r="M3" i="7"/>
  <c r="N3" i="7" s="1"/>
  <c r="Q3" i="7"/>
  <c r="R3" i="7"/>
  <c r="U3" i="7"/>
  <c r="V3" i="7"/>
  <c r="W3" i="7"/>
  <c r="P3" i="7" l="1"/>
  <c r="O3" i="7"/>
  <c r="C2" i="7"/>
  <c r="W2" i="7"/>
  <c r="V2" i="7"/>
  <c r="U2" i="7"/>
  <c r="R2" i="7"/>
  <c r="Q2" i="7"/>
  <c r="M2" i="7"/>
  <c r="N2" i="7" s="1"/>
  <c r="J2" i="7"/>
  <c r="F2" i="7"/>
  <c r="E2" i="7"/>
  <c r="T3" i="7" l="1"/>
  <c r="P2" i="7"/>
  <c r="O2" i="7"/>
  <c r="T2" i="7" s="1"/>
</calcChain>
</file>

<file path=xl/sharedStrings.xml><?xml version="1.0" encoding="utf-8"?>
<sst xmlns="http://schemas.openxmlformats.org/spreadsheetml/2006/main" count="68" uniqueCount="49">
  <si>
    <t>Noms et Prénoms</t>
  </si>
  <si>
    <t>Fonction</t>
  </si>
  <si>
    <t>N° CCP</t>
  </si>
  <si>
    <t>Indemnité Brute</t>
  </si>
  <si>
    <t>N°</t>
  </si>
  <si>
    <t>Date</t>
  </si>
  <si>
    <t>Rencontre</t>
  </si>
  <si>
    <t>Catégorie</t>
  </si>
  <si>
    <t>Indemnité après IRG</t>
  </si>
  <si>
    <t>Frais Mission</t>
  </si>
  <si>
    <t>Transport</t>
  </si>
  <si>
    <t>Salaire</t>
  </si>
  <si>
    <t>Net à Payer</t>
  </si>
  <si>
    <t>Mat</t>
  </si>
  <si>
    <t>Indemnité services Rendus</t>
  </si>
  <si>
    <t>Indemnite des services</t>
  </si>
  <si>
    <t>Lieu</t>
  </si>
  <si>
    <t>Nature de la Mission</t>
  </si>
  <si>
    <t>Adresse</t>
  </si>
  <si>
    <t>Tel</t>
  </si>
  <si>
    <t>Itinéraire</t>
  </si>
  <si>
    <t>ARBITRE</t>
  </si>
  <si>
    <t>2832754/13</t>
  </si>
  <si>
    <t>Km</t>
  </si>
  <si>
    <t>Mois</t>
  </si>
  <si>
    <t>Prix Km</t>
  </si>
  <si>
    <t>Frais Restauration</t>
  </si>
  <si>
    <t>Indemnité.M</t>
  </si>
  <si>
    <t>Sejour.M</t>
  </si>
  <si>
    <t>Nbr Jour</t>
  </si>
  <si>
    <t>Junior</t>
  </si>
  <si>
    <t>MCO-CRB</t>
  </si>
  <si>
    <t>ARBITRAGE</t>
  </si>
  <si>
    <t>Autres</t>
  </si>
  <si>
    <t>14/06/2015</t>
  </si>
  <si>
    <t>GESTIONNAIRE</t>
  </si>
  <si>
    <t>6584578/25</t>
  </si>
  <si>
    <t>USB-MOC</t>
  </si>
  <si>
    <t>MARK LABUSSIERE</t>
  </si>
  <si>
    <t>OLIVIER LAROU</t>
  </si>
  <si>
    <t>MARSEILLE</t>
  </si>
  <si>
    <t>BORDEAU</t>
  </si>
  <si>
    <t>LION-MARSEILLE</t>
  </si>
  <si>
    <t>LION-BORDEAU</t>
  </si>
  <si>
    <t>LION-PARIS</t>
  </si>
  <si>
    <t>LION LUXEMBOURGUE</t>
  </si>
  <si>
    <t>LION-NICE</t>
  </si>
  <si>
    <t>MCA-JET</t>
  </si>
  <si>
    <t>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</si>
</sst>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_€"/>
    <numFmt numFmtId="165" formatCode="0000"/>
    <numFmt numFmtId="166" formatCode="000000000"/>
    <numFmt numFmtId="167" formatCode="m/d/yyyy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16"/>
      <color rgb="FFFF0000"/>
      <name val="Times New Roman"/>
      <family val="1"/>
    </font>
    <font>
      <sz val="14"/>
      <color theme="1"/>
      <name val="Times New Roman"/>
    </font>
    <font>
      <sz val="14"/>
      <name val="Times New Roman"/>
      <family val="1"/>
    </font>
    <font>
      <sz val="14"/>
      <name val="Times New Roman"/>
    </font>
    <font>
      <sz val="14"/>
      <color rgb="FFFF0000"/>
      <name val="Times New Roman"/>
      <family val="1"/>
    </font>
    <font>
      <sz val="14"/>
      <color rgb="FFFF0000"/>
      <name val="Times New Roman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left" vertical="center"/>
    </xf>
    <xf numFmtId="165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/>
    <xf numFmtId="0" fontId="1" fillId="0" borderId="0" xfId="0" applyFont="1"/>
    <xf numFmtId="166" fontId="1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Border="1"/>
    <xf numFmtId="0" fontId="1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4" fontId="1" fillId="0" borderId="0" xfId="0" applyNumberFormat="1" applyFont="1"/>
    <xf numFmtId="164" fontId="1" fillId="0" borderId="0" xfId="0" applyNumberFormat="1" applyFont="1" applyAlignment="1">
      <alignment horizontal="right" vertical="center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1" fontId="6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right" vertical="center"/>
    </xf>
    <xf numFmtId="1" fontId="1" fillId="0" borderId="0" xfId="0" applyNumberFormat="1" applyFont="1"/>
    <xf numFmtId="0" fontId="8" fillId="0" borderId="0" xfId="0" applyFont="1"/>
    <xf numFmtId="164" fontId="7" fillId="0" borderId="0" xfId="0" applyNumberFormat="1" applyFont="1" applyAlignment="1">
      <alignment horizontal="center" vertical="center"/>
    </xf>
    <xf numFmtId="165" fontId="5" fillId="0" borderId="0" xfId="0" applyNumberFormat="1" applyFont="1"/>
    <xf numFmtId="14" fontId="5" fillId="0" borderId="0" xfId="0" applyNumberFormat="1" applyFont="1"/>
    <xf numFmtId="0" fontId="5" fillId="0" borderId="0" xfId="0" applyFont="1"/>
    <xf numFmtId="0" fontId="5" fillId="0" borderId="0" xfId="0" applyFont="1" applyAlignment="1">
      <alignment horizontal="left"/>
    </xf>
    <xf numFmtId="164" fontId="9" fillId="0" borderId="0" xfId="0" applyNumberFormat="1" applyFont="1" applyAlignment="1">
      <alignment horizontal="right" vertical="center"/>
    </xf>
    <xf numFmtId="1" fontId="5" fillId="0" borderId="0" xfId="0" applyNumberFormat="1" applyFont="1" applyAlignment="1">
      <alignment horizontal="right" vertical="center"/>
    </xf>
    <xf numFmtId="164" fontId="0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7" fontId="5" fillId="0" borderId="0" xfId="0" applyNumberFormat="1" applyFont="1"/>
  </cellXfs>
  <cellStyles count="1">
    <cellStyle name="Normal" xfId="0" builtinId="0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165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" formatCode="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7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scheme val="none"/>
      </font>
      <numFmt numFmtId="164" formatCode="#,##0.00\ _€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6" formatCode="00000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_€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Times New Roma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L3" totalsRowShown="0" headerRowDxfId="43" dataDxfId="42">
  <autoFilter ref="A1:L3"/>
  <tableColumns count="12">
    <tableColumn id="2" name="Noms et Prénoms" dataDxfId="41"/>
    <tableColumn id="3" name="Fonction" dataDxfId="40"/>
    <tableColumn id="4" name="Salaire" dataDxfId="39"/>
    <tableColumn id="5" name="Indemnité services Rendus" dataDxfId="38"/>
    <tableColumn id="6" name="N° CCP" dataDxfId="37"/>
    <tableColumn id="7" name="Indemnité Brute" dataDxfId="36"/>
    <tableColumn id="8" name="Adresse" dataDxfId="35"/>
    <tableColumn id="9" name="Tel" dataDxfId="34"/>
    <tableColumn id="1" name="Mat" dataDxfId="33"/>
    <tableColumn id="10" name="Prix Km" dataDxfId="32"/>
    <tableColumn id="11" name="Indemnité.M" dataDxfId="31"/>
    <tableColumn id="12" name="Sejour.M" dataDxfId="3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Y4" totalsRowShown="0" headerRowDxfId="29" dataDxfId="28">
  <autoFilter ref="A1:Y4"/>
  <tableColumns count="25">
    <tableColumn id="1" name="N°" dataDxfId="27"/>
    <tableColumn id="2" name="Date" dataDxfId="26"/>
    <tableColumn id="3" name="Mois" dataDxfId="25">
      <calculatedColumnFormula>UPPER(TEXT(30*MONTH(Tableau2[[#This Row],[Date]]),"mmmm"))</calculatedColumnFormula>
    </tableColumn>
    <tableColumn id="4" name="Noms et Prénoms" dataDxfId="24"/>
    <tableColumn id="5" name="Fonction" dataDxfId="23">
      <calculatedColumnFormula>VLOOKUP(D:D,Personnel!A:B,2,FALSE)</calculatedColumnFormula>
    </tableColumn>
    <tableColumn id="6" name="N° CCP" dataDxfId="22">
      <calculatedColumnFormula>VLOOKUP(D:D,Personnel!A:E,5,FALSE)</calculatedColumnFormula>
    </tableColumn>
    <tableColumn id="7" name="Rencontre" dataDxfId="21"/>
    <tableColumn id="8" name="Lieu" dataDxfId="20"/>
    <tableColumn id="9" name="Itinéraire" dataDxfId="19"/>
    <tableColumn id="10" name="Km" dataDxfId="18">
      <calculatedColumnFormula>VLOOKUP(I:I,Itinéraire!A:B,2,FALSE)</calculatedColumnFormula>
    </tableColumn>
    <tableColumn id="11" name="Catégorie" dataDxfId="17"/>
    <tableColumn id="12" name="Nature de la Mission" dataDxfId="16"/>
    <tableColumn id="13" name="Indemnité Brute" dataDxfId="15">
      <calculatedColumnFormula>VLOOKUP(D:D,Personnel!A:F,6,FALSE)</calculatedColumnFormula>
    </tableColumn>
    <tableColumn id="14" name="Indemnité après IRG" dataDxfId="14">
      <calculatedColumnFormula>M2-M2*0.1</calculatedColumnFormula>
    </tableColumn>
    <tableColumn id="15" name="Frais Mission" dataDxfId="13">
      <calculatedColumnFormula>(Tableau2[[#This Row],[Indemnité.M]]+Tableau2[[#This Row],[Sejour.M]])*Tableau2[[#This Row],[Nbr Jour]]</calculatedColumnFormula>
    </tableColumn>
    <tableColumn id="16" name="Transport" dataDxfId="12">
      <calculatedColumnFormula>Tableau2[[#This Row],[Prix Km]]*Tableau2[[#This Row],[Km]]</calculatedColumnFormula>
    </tableColumn>
    <tableColumn id="17" name="Salaire" dataDxfId="11">
      <calculatedColumnFormula>VLOOKUP(D:D,Personnel!A:D,4,FALSE)</calculatedColumnFormula>
    </tableColumn>
    <tableColumn id="18" name="Indemnite des services" dataDxfId="10">
      <calculatedColumnFormula>VLOOKUP(D:D,Personnel!A:D,4,FALSE)</calculatedColumnFormula>
    </tableColumn>
    <tableColumn id="21" name="Frais Restauration" dataDxfId="9"/>
    <tableColumn id="19" name="Net à Payer" dataDxfId="8">
      <calculatedColumnFormula>SUM(N2:R4)</calculatedColumnFormula>
    </tableColumn>
    <tableColumn id="20" name="Prix Km" dataDxfId="7">
      <calculatedColumnFormula>VLOOKUP(D:D,Personnel!A:J,10,FALSE)</calculatedColumnFormula>
    </tableColumn>
    <tableColumn id="22" name="Indemnité.M" dataDxfId="6">
      <calculatedColumnFormula>VLOOKUP(D:D,Personnel!A:K,11,FALSE)</calculatedColumnFormula>
    </tableColumn>
    <tableColumn id="23" name="Sejour.M" dataDxfId="5">
      <calculatedColumnFormula>VLOOKUP(D:D,Personnel!A:L,12,FALSE)</calculatedColumnFormula>
    </tableColumn>
    <tableColumn id="24" name="Nbr Jour" dataDxfId="4"/>
    <tableColumn id="25" name="Autres" dataDxfId="3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6" totalsRowShown="0">
  <autoFilter ref="A1:C6"/>
  <tableColumns count="3">
    <tableColumn id="2" name="Itinéraire" dataDxfId="2"/>
    <tableColumn id="3" name="Km" dataDxfId="1"/>
    <tableColumn id="1" name="N°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"/>
  <sheetViews>
    <sheetView tabSelected="1" workbookViewId="0">
      <selection activeCell="B3" sqref="B3"/>
    </sheetView>
  </sheetViews>
  <sheetFormatPr baseColWidth="10" defaultRowHeight="18.75" x14ac:dyDescent="0.25"/>
  <cols>
    <col min="1" max="1" width="40" customWidth="1"/>
    <col min="2" max="2" width="35.42578125" style="3" customWidth="1"/>
    <col min="3" max="3" width="43.42578125" style="3" customWidth="1"/>
    <col min="4" max="4" width="37.42578125" style="6" bestFit="1" customWidth="1"/>
    <col min="5" max="5" width="31.7109375" style="6" customWidth="1"/>
    <col min="6" max="6" width="18.85546875" style="1" customWidth="1"/>
    <col min="7" max="7" width="29.42578125" style="6" bestFit="1" customWidth="1"/>
    <col min="8" max="8" width="41" style="1" customWidth="1"/>
    <col min="9" max="9" width="12.85546875" style="9" bestFit="1" customWidth="1"/>
    <col min="10" max="10" width="11.42578125" style="20"/>
    <col min="11" max="11" width="16.140625" style="20" bestFit="1" customWidth="1"/>
    <col min="12" max="12" width="12.42578125" style="20" bestFit="1" customWidth="1"/>
    <col min="13" max="16384" width="11.42578125" style="1"/>
  </cols>
  <sheetData>
    <row r="1" spans="1:12" s="15" customFormat="1" x14ac:dyDescent="0.25">
      <c r="A1" s="15" t="s">
        <v>0</v>
      </c>
      <c r="B1" s="15" t="s">
        <v>1</v>
      </c>
      <c r="C1" s="17" t="s">
        <v>11</v>
      </c>
      <c r="D1" s="17" t="s">
        <v>14</v>
      </c>
      <c r="E1" s="15" t="s">
        <v>2</v>
      </c>
      <c r="F1" s="17" t="s">
        <v>3</v>
      </c>
      <c r="G1" s="15" t="s">
        <v>18</v>
      </c>
      <c r="H1" s="18" t="s">
        <v>19</v>
      </c>
      <c r="I1" s="16" t="s">
        <v>13</v>
      </c>
      <c r="J1" s="22" t="s">
        <v>25</v>
      </c>
      <c r="K1" s="23" t="s">
        <v>27</v>
      </c>
      <c r="L1" s="22" t="s">
        <v>28</v>
      </c>
    </row>
    <row r="2" spans="1:12" x14ac:dyDescent="0.25">
      <c r="A2" s="3" t="s">
        <v>38</v>
      </c>
      <c r="B2" s="3" t="s">
        <v>21</v>
      </c>
      <c r="C2" s="6"/>
      <c r="E2" s="1" t="s">
        <v>22</v>
      </c>
      <c r="F2" s="6">
        <v>4000</v>
      </c>
      <c r="G2" s="1"/>
      <c r="H2" s="9"/>
      <c r="I2" s="4">
        <v>1</v>
      </c>
      <c r="J2" s="20">
        <v>3</v>
      </c>
      <c r="K2" s="24">
        <v>1000</v>
      </c>
      <c r="L2" s="20">
        <v>1000</v>
      </c>
    </row>
    <row r="3" spans="1:12" x14ac:dyDescent="0.25">
      <c r="A3" s="37" t="s">
        <v>39</v>
      </c>
      <c r="B3" s="37" t="s">
        <v>35</v>
      </c>
      <c r="C3" s="38">
        <v>15000</v>
      </c>
      <c r="D3" s="38"/>
      <c r="E3" s="38" t="s">
        <v>36</v>
      </c>
      <c r="F3" s="38">
        <v>2500</v>
      </c>
      <c r="G3" s="38"/>
      <c r="H3" s="39"/>
      <c r="I3" s="40">
        <v>2</v>
      </c>
      <c r="J3" s="24">
        <v>5</v>
      </c>
      <c r="K3" s="24">
        <v>1000</v>
      </c>
      <c r="L3" s="24">
        <v>1000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4"/>
  <sheetViews>
    <sheetView workbookViewId="0">
      <pane ySplit="1" topLeftCell="A2" activePane="bottomLeft" state="frozen"/>
      <selection pane="bottomLeft" activeCell="Z3" sqref="Z3"/>
    </sheetView>
  </sheetViews>
  <sheetFormatPr baseColWidth="10" defaultRowHeight="18.75" x14ac:dyDescent="0.3"/>
  <cols>
    <col min="1" max="1" width="9" style="7" customWidth="1"/>
    <col min="2" max="2" width="13" style="19" bestFit="1" customWidth="1"/>
    <col min="3" max="3" width="16.85546875" style="8" bestFit="1" customWidth="1"/>
    <col min="4" max="4" width="34.85546875" style="14" customWidth="1"/>
    <col min="5" max="5" width="32.85546875" style="14" customWidth="1"/>
    <col min="6" max="6" width="16.5703125" style="8" customWidth="1"/>
    <col min="7" max="7" width="22.85546875" style="8" customWidth="1"/>
    <col min="8" max="8" width="18" style="8" customWidth="1"/>
    <col min="9" max="9" width="31.85546875" style="8" customWidth="1"/>
    <col min="10" max="10" width="11.140625" style="8" customWidth="1"/>
    <col min="11" max="11" width="13.5703125" style="8" customWidth="1"/>
    <col min="12" max="12" width="29.85546875" style="8" customWidth="1"/>
    <col min="13" max="13" width="24.85546875" style="20" bestFit="1" customWidth="1"/>
    <col min="14" max="14" width="30.7109375" style="20" bestFit="1" customWidth="1"/>
    <col min="15" max="15" width="22" style="20" bestFit="1" customWidth="1"/>
    <col min="16" max="16" width="17.7109375" style="20" bestFit="1" customWidth="1"/>
    <col min="17" max="17" width="15.85546875" style="20" customWidth="1"/>
    <col min="18" max="18" width="32.42578125" style="20" bestFit="1" customWidth="1"/>
    <col min="19" max="19" width="28.140625" style="20" bestFit="1" customWidth="1"/>
    <col min="20" max="20" width="19.7109375" style="28" bestFit="1" customWidth="1"/>
    <col min="21" max="21" width="15.5703125" style="8" bestFit="1" customWidth="1"/>
    <col min="22" max="22" width="20.7109375" style="8" bestFit="1" customWidth="1"/>
    <col min="23" max="23" width="16.85546875" style="8" bestFit="1" customWidth="1"/>
    <col min="24" max="24" width="11.42578125" style="27"/>
    <col min="25" max="25" width="12.42578125" style="8" bestFit="1" customWidth="1"/>
    <col min="26" max="16384" width="11.42578125" style="8"/>
  </cols>
  <sheetData>
    <row r="1" spans="1:25" s="15" customFormat="1" x14ac:dyDescent="0.25">
      <c r="A1" s="16" t="s">
        <v>4</v>
      </c>
      <c r="B1" s="21" t="s">
        <v>5</v>
      </c>
      <c r="C1" s="15" t="s">
        <v>24</v>
      </c>
      <c r="D1" s="15" t="s">
        <v>0</v>
      </c>
      <c r="E1" s="15" t="s">
        <v>1</v>
      </c>
      <c r="F1" s="15" t="s">
        <v>2</v>
      </c>
      <c r="G1" s="15" t="s">
        <v>6</v>
      </c>
      <c r="H1" s="15" t="s">
        <v>16</v>
      </c>
      <c r="I1" s="15" t="s">
        <v>20</v>
      </c>
      <c r="J1" s="15" t="s">
        <v>23</v>
      </c>
      <c r="K1" s="15" t="s">
        <v>7</v>
      </c>
      <c r="L1" s="15" t="s">
        <v>17</v>
      </c>
      <c r="M1" s="17" t="s">
        <v>3</v>
      </c>
      <c r="N1" s="17" t="s">
        <v>8</v>
      </c>
      <c r="O1" s="17" t="s">
        <v>9</v>
      </c>
      <c r="P1" s="17" t="s">
        <v>10</v>
      </c>
      <c r="Q1" s="17" t="s">
        <v>11</v>
      </c>
      <c r="R1" s="17" t="s">
        <v>15</v>
      </c>
      <c r="S1" s="17" t="s">
        <v>26</v>
      </c>
      <c r="T1" s="17" t="s">
        <v>12</v>
      </c>
      <c r="U1" s="17" t="s">
        <v>25</v>
      </c>
      <c r="V1" s="17" t="s">
        <v>27</v>
      </c>
      <c r="W1" s="17" t="s">
        <v>28</v>
      </c>
      <c r="X1" s="25" t="s">
        <v>29</v>
      </c>
      <c r="Y1" s="29" t="s">
        <v>33</v>
      </c>
    </row>
    <row r="2" spans="1:25" x14ac:dyDescent="0.3">
      <c r="A2" s="7">
        <v>1</v>
      </c>
      <c r="B2" s="19">
        <v>42192</v>
      </c>
      <c r="C2" s="8" t="str">
        <f>UPPER(TEXT(30*MONTH(Tableau2[[#This Row],[Date]]),"mmmm"))</f>
        <v>JUILLET</v>
      </c>
      <c r="D2" s="8" t="s">
        <v>38</v>
      </c>
      <c r="E2" s="8" t="str">
        <f>VLOOKUP(D:D,Personnel!A:B,2,FALSE)</f>
        <v>ARBITRE</v>
      </c>
      <c r="F2" s="8" t="str">
        <f>VLOOKUP(D:D,Personnel!A:E,5,FALSE)</f>
        <v>2832754/13</v>
      </c>
      <c r="G2" s="8" t="s">
        <v>31</v>
      </c>
      <c r="H2" s="8" t="s">
        <v>40</v>
      </c>
      <c r="I2" s="8" t="s">
        <v>42</v>
      </c>
      <c r="J2" s="8">
        <f>VLOOKUP(I:I,Itinéraire!A:B,2,FALSE)</f>
        <v>320</v>
      </c>
      <c r="K2" s="8" t="s">
        <v>30</v>
      </c>
      <c r="L2" s="8" t="s">
        <v>32</v>
      </c>
      <c r="M2" s="20">
        <f>VLOOKUP(D:D,Personnel!A:F,6,FALSE)</f>
        <v>4000</v>
      </c>
      <c r="N2" s="20">
        <f>M2-M2*0.1</f>
        <v>3600</v>
      </c>
      <c r="O2" s="20">
        <f>(Tableau2[[#This Row],[Indemnité.M]]+Tableau2[[#This Row],[Sejour.M]])*Tableau2[[#This Row],[Nbr Jour]]</f>
        <v>4000</v>
      </c>
      <c r="P2" s="20">
        <f>Tableau2[[#This Row],[Prix Km]]*Tableau2[[#This Row],[Km]]</f>
        <v>960</v>
      </c>
      <c r="Q2" s="20">
        <f>VLOOKUP(D:D,Personnel!A:D,4,FALSE)</f>
        <v>0</v>
      </c>
      <c r="R2" s="20">
        <f>VLOOKUP(D:D,Personnel!A:D,4,FALSE)</f>
        <v>0</v>
      </c>
      <c r="S2" s="20">
        <v>1000</v>
      </c>
      <c r="T2" s="36">
        <f>SUM(N2:S4)</f>
        <v>19620</v>
      </c>
      <c r="U2" s="20">
        <f>VLOOKUP(D:D,Personnel!A:J,10,FALSE)</f>
        <v>3</v>
      </c>
      <c r="V2" s="20">
        <f>VLOOKUP(D:D,Personnel!A:K,11,FALSE)</f>
        <v>1000</v>
      </c>
      <c r="W2" s="20">
        <f>VLOOKUP(D:D,Personnel!A:L,12,FALSE)</f>
        <v>1000</v>
      </c>
      <c r="X2" s="26">
        <v>2</v>
      </c>
      <c r="Y2" s="24">
        <v>3450</v>
      </c>
    </row>
    <row r="3" spans="1:25" x14ac:dyDescent="0.3">
      <c r="A3" s="30">
        <v>2</v>
      </c>
      <c r="B3" s="31" t="s">
        <v>34</v>
      </c>
      <c r="C3" s="8" t="str">
        <f>UPPER(TEXT(30*MONTH(Tableau2[[#This Row],[Date]]),"mmmm"))</f>
        <v>JUIN</v>
      </c>
      <c r="D3" s="33" t="s">
        <v>39</v>
      </c>
      <c r="E3" s="33" t="str">
        <f>VLOOKUP(D:D,Personnel!A:B,2,FALSE)</f>
        <v>GESTIONNAIRE</v>
      </c>
      <c r="F3" s="32" t="str">
        <f>VLOOKUP(D:D,Personnel!A:E,5,FALSE)</f>
        <v>6584578/25</v>
      </c>
      <c r="G3" s="32" t="s">
        <v>37</v>
      </c>
      <c r="H3" s="32" t="s">
        <v>41</v>
      </c>
      <c r="I3" s="32" t="s">
        <v>43</v>
      </c>
      <c r="J3" s="32">
        <f>VLOOKUP(I:I,Itinéraire!A:B,2,FALSE)</f>
        <v>432</v>
      </c>
      <c r="K3" s="32" t="s">
        <v>30</v>
      </c>
      <c r="L3" s="32" t="s">
        <v>32</v>
      </c>
      <c r="M3" s="24">
        <f>VLOOKUP(D:D,Personnel!A:F,6,FALSE)</f>
        <v>2500</v>
      </c>
      <c r="N3" s="24">
        <f>M3-M3*0.1</f>
        <v>2250</v>
      </c>
      <c r="O3" s="24">
        <f>(Tableau2[[#This Row],[Indemnité.M]]+Tableau2[[#This Row],[Sejour.M]])*Tableau2[[#This Row],[Nbr Jour]]</f>
        <v>2000</v>
      </c>
      <c r="P3" s="24">
        <f>Tableau2[[#This Row],[Prix Km]]*Tableau2[[#This Row],[Km]]</f>
        <v>2160</v>
      </c>
      <c r="Q3" s="24">
        <f>VLOOKUP(D:D,Personnel!A:D,4,FALSE)</f>
        <v>0</v>
      </c>
      <c r="R3" s="24">
        <f>VLOOKUP(D:D,Personnel!A:D,4,FALSE)</f>
        <v>0</v>
      </c>
      <c r="S3" s="24"/>
      <c r="T3" s="34">
        <f>SUM(N3:R4)</f>
        <v>10060</v>
      </c>
      <c r="U3" s="24">
        <f>VLOOKUP(D:D,Personnel!A:J,10,FALSE)</f>
        <v>5</v>
      </c>
      <c r="V3" s="24">
        <f>VLOOKUP(D:D,Personnel!A:K,11,FALSE)</f>
        <v>1000</v>
      </c>
      <c r="W3" s="24">
        <f>VLOOKUP(D:D,Personnel!A:L,12,FALSE)</f>
        <v>1000</v>
      </c>
      <c r="X3" s="35">
        <v>1</v>
      </c>
      <c r="Y3" s="24"/>
    </row>
    <row r="4" spans="1:25" x14ac:dyDescent="0.3">
      <c r="A4" s="30">
        <v>3</v>
      </c>
      <c r="B4" s="41">
        <v>42315</v>
      </c>
      <c r="C4" s="32"/>
      <c r="D4" s="33" t="s">
        <v>39</v>
      </c>
      <c r="E4" s="33" t="str">
        <f>VLOOKUP(D:D,Personnel!A:B,2,FALSE)</f>
        <v>GESTIONNAIRE</v>
      </c>
      <c r="F4" s="32" t="str">
        <f>VLOOKUP(D:D,Personnel!A:E,5,FALSE)</f>
        <v>6584578/25</v>
      </c>
      <c r="G4" s="32" t="s">
        <v>47</v>
      </c>
      <c r="H4" s="32" t="s">
        <v>48</v>
      </c>
      <c r="I4" s="32" t="s">
        <v>46</v>
      </c>
      <c r="J4" s="32">
        <f>VLOOKUP(I:I,Itinéraire!A:B,2,FALSE)</f>
        <v>280</v>
      </c>
      <c r="K4" s="32"/>
      <c r="L4" s="32"/>
      <c r="M4" s="24">
        <f>VLOOKUP(D:D,Personnel!A:F,6,FALSE)</f>
        <v>2500</v>
      </c>
      <c r="N4" s="24">
        <f>M4-M4*0.1</f>
        <v>2250</v>
      </c>
      <c r="O4" s="24">
        <f>(Tableau2[[#This Row],[Indemnité.M]]+Tableau2[[#This Row],[Sejour.M]])*Tableau2[[#This Row],[Nbr Jour]]</f>
        <v>0</v>
      </c>
      <c r="P4" s="24">
        <f>Tableau2[[#This Row],[Prix Km]]*Tableau2[[#This Row],[Km]]</f>
        <v>1400</v>
      </c>
      <c r="Q4" s="24">
        <f>VLOOKUP(D:D,Personnel!A:D,4,FALSE)</f>
        <v>0</v>
      </c>
      <c r="R4" s="24">
        <f>VLOOKUP(D:D,Personnel!A:D,4,FALSE)</f>
        <v>0</v>
      </c>
      <c r="S4" s="24"/>
      <c r="T4" s="34">
        <f>SUM(N4:R6)</f>
        <v>3650</v>
      </c>
      <c r="U4" s="24">
        <f>VLOOKUP(D:D,Personnel!A:J,10,FALSE)</f>
        <v>5</v>
      </c>
      <c r="V4" s="24">
        <f>VLOOKUP(D:D,Personnel!A:K,11,FALSE)</f>
        <v>1000</v>
      </c>
      <c r="W4" s="24">
        <f>VLOOKUP(D:D,Personnel!A:L,12,FALSE)</f>
        <v>1000</v>
      </c>
      <c r="X4" s="35"/>
      <c r="Y4" s="24"/>
    </row>
  </sheetData>
  <sheetProtection algorithmName="SHA-512" hashValue="nFA8xOetNxt8w4fnB2g7r1x8pmfM33CdwWrECPrGfPcDs4jSRvaF+CA7b96i38nB7SMQEWFjQdi8c2cqkXBYew==" saltValue="G/84XHHRho8ssWU/wG637Q==" spinCount="100000" sheet="1" objects="1" scenario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6"/>
  <sheetViews>
    <sheetView workbookViewId="0">
      <selection activeCell="B4" sqref="B4"/>
    </sheetView>
  </sheetViews>
  <sheetFormatPr baseColWidth="10" defaultRowHeight="20.25" x14ac:dyDescent="0.3"/>
  <cols>
    <col min="1" max="1" width="63.140625" customWidth="1"/>
    <col min="2" max="2" width="10.85546875" style="2" customWidth="1"/>
    <col min="3" max="3" width="11.42578125" style="2"/>
    <col min="4" max="4" width="11.42578125" style="5"/>
  </cols>
  <sheetData>
    <row r="1" spans="1:9" s="12" customFormat="1" x14ac:dyDescent="0.25">
      <c r="A1" s="11" t="s">
        <v>20</v>
      </c>
      <c r="B1" s="11" t="s">
        <v>23</v>
      </c>
      <c r="C1" s="10" t="s">
        <v>4</v>
      </c>
      <c r="F1" s="13"/>
      <c r="G1" s="13"/>
      <c r="H1" s="13"/>
      <c r="I1" s="13"/>
    </row>
    <row r="2" spans="1:9" x14ac:dyDescent="0.3">
      <c r="A2" s="2" t="s">
        <v>44</v>
      </c>
      <c r="B2" s="2">
        <v>620</v>
      </c>
      <c r="C2" s="5">
        <v>1</v>
      </c>
      <c r="D2"/>
    </row>
    <row r="3" spans="1:9" x14ac:dyDescent="0.3">
      <c r="A3" s="2" t="s">
        <v>43</v>
      </c>
      <c r="B3" s="2">
        <v>432</v>
      </c>
      <c r="C3" s="5">
        <v>2</v>
      </c>
      <c r="D3"/>
    </row>
    <row r="4" spans="1:9" x14ac:dyDescent="0.3">
      <c r="A4" s="2" t="s">
        <v>42</v>
      </c>
      <c r="B4" s="2">
        <v>320</v>
      </c>
      <c r="C4" s="5">
        <v>3</v>
      </c>
      <c r="D4"/>
    </row>
    <row r="5" spans="1:9" x14ac:dyDescent="0.3">
      <c r="A5" s="2" t="s">
        <v>45</v>
      </c>
      <c r="B5" s="2">
        <v>400</v>
      </c>
      <c r="C5" s="5">
        <v>4</v>
      </c>
      <c r="D5"/>
    </row>
    <row r="6" spans="1:9" x14ac:dyDescent="0.3">
      <c r="A6" s="2" t="s">
        <v>46</v>
      </c>
      <c r="B6" s="2">
        <v>280</v>
      </c>
      <c r="C6" s="5">
        <v>5</v>
      </c>
      <c r="D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Personnel</vt:lpstr>
      <vt:lpstr>BDD</vt:lpstr>
      <vt:lpstr>Itinéraire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MoiM</dc:creator>
  <cp:lastModifiedBy>MoiM</cp:lastModifiedBy>
  <cp:lastPrinted>2015-07-11T02:40:24Z</cp:lastPrinted>
  <dcterms:created xsi:type="dcterms:W3CDTF">2015-07-04T06:25:52Z</dcterms:created>
  <dcterms:modified xsi:type="dcterms:W3CDTF">2015-07-12T02:49:00Z</dcterms:modified>
</cp:coreProperties>
</file>