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autoCompressPictures="0"/>
  <bookViews>
    <workbookView xWindow="1185" yWindow="60" windowWidth="20730" windowHeight="11700" tabRatio="831" activeTab="1"/>
  </bookViews>
  <sheets>
    <sheet name="PRÉSENTATION" sheetId="18" r:id="rId1"/>
    <sheet name="ENSEIGNANTS" sheetId="2" r:id="rId2"/>
    <sheet name="PARAMETRES" sheetId="20" r:id="rId3"/>
  </sheets>
  <definedNames>
    <definedName name="ABSENTEISME">PARAMETRES!$C$35:$C$94</definedName>
    <definedName name="ACCIDENT">PARAMETRES!$K$2:$K$33</definedName>
    <definedName name="ANCIENNETE">PARAMETRES!$H$2:$H$26</definedName>
    <definedName name="ANNEE">PARAMETRES!$D$62:$D$68</definedName>
    <definedName name="ANNÉES">PARAMETRES!$D$53:$D$59</definedName>
    <definedName name="CATEGORIE">PARAMETRES!$E$18:$E$20</definedName>
    <definedName name="CERL">PARAMETRES!$C$27:$C$33</definedName>
    <definedName name="CERTIF">PARAMETRES!$B$57:$B$63</definedName>
    <definedName name="CLASSE">PARAMETRES!$E$37:$E$56</definedName>
    <definedName name="DECHARGE">PARAMETRES!$B$39:$B$45</definedName>
    <definedName name="DEPARTEMENT">PARAMETRES!$F$2:$F$103</definedName>
    <definedName name="DEVISE">PARAMETRES!$A$63:$A$68</definedName>
    <definedName name="DIPLOME">PARAMETRES!$E$23:$E$29</definedName>
    <definedName name="DIPLOMEPRO">PARAMETRES!$E$32:$E$34</definedName>
    <definedName name="DIRECTEUR">PARAMETRES!$A$23:$A$25</definedName>
    <definedName name="DISCIP">PARAMETRES!$J$16:$J$22</definedName>
    <definedName name="DISCIPLINE">PARAMETRES!$C$17:$C$25</definedName>
    <definedName name="DOMAINE">PARAMETRES!$B$48:$B$54</definedName>
    <definedName name="ECHELON">PARAMETRES!$D$25:$D$38</definedName>
    <definedName name="ECOLE">PARAMETRES!$B$34:$B$36</definedName>
    <definedName name="ETABLISSEMENT">PARAMETRES!$E$2:$E$15</definedName>
    <definedName name="FIE">PARAMETRES!$A$42:$A$46</definedName>
    <definedName name="FONCT">PARAMETRES!$A$49:$A$60</definedName>
    <definedName name="FONCTION">PARAMETRES!$A$28:$A$32</definedName>
    <definedName name="FORMATION">PARAMETRES!$G$2:$G$103</definedName>
    <definedName name="HEURES">PARAMETRES!$I$2:$I$46</definedName>
    <definedName name="HORAIRE">PARAMETRES!$D$18:$D$23</definedName>
    <definedName name="LENSEI">PARAMETRES!$H$41:$H$44</definedName>
    <definedName name="MUTUALISATEUR">PARAMETRES!$B$2:$B$20</definedName>
    <definedName name="NOMBRE">PARAMETRES!$J$2:$J$13</definedName>
    <definedName name="OUINON">PARAMETRES!$C$13:$C$14</definedName>
    <definedName name="OUINONM">PARAMETRES!$J$24:$J$26</definedName>
    <definedName name="PAYS">PARAMETRES!$C$2:$C$7</definedName>
    <definedName name="PE">PARAMETRES!$B$23:$B$31</definedName>
    <definedName name="PRF">PARAMETRES!$D$41:$D$49</definedName>
    <definedName name="PS">PARAMETRES!$H$47:$H$55</definedName>
    <definedName name="SALLE">PARAMETRES!$L$2:$L$46</definedName>
    <definedName name="SEXE">PARAMETRES!$C$10:$C$11</definedName>
    <definedName name="STATUT">PARAMETRES!$A$35:$A$39</definedName>
    <definedName name="TPENSEI">PARAMETRES!$H$29:$H$38</definedName>
    <definedName name="VILLE">PARAMETRES!$D$2:$D$11</definedName>
    <definedName name="VOYAGE">PARAMETRES!$H$47:$H$54</definedName>
    <definedName name="ZONE">PARAMETRES!$A$2:$A$20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18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C92" i="2"/>
  <c r="C84" i="2"/>
  <c r="C72" i="2"/>
  <c r="F64" i="2"/>
  <c r="F65" i="2"/>
  <c r="F66" i="2"/>
  <c r="F67" i="2"/>
  <c r="F68" i="2"/>
  <c r="K101" i="2"/>
  <c r="L101" i="2"/>
  <c r="M101" i="2"/>
  <c r="J101" i="2"/>
  <c r="J104" i="2"/>
  <c r="J105" i="2"/>
  <c r="K104" i="2"/>
  <c r="K105" i="2"/>
  <c r="L104" i="2"/>
  <c r="L105" i="2"/>
  <c r="M104" i="2"/>
  <c r="M105" i="2"/>
  <c r="N104" i="2"/>
  <c r="N105" i="2"/>
  <c r="C76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F24" i="18"/>
  <c r="E25" i="18"/>
  <c r="F23" i="18"/>
  <c r="F22" i="18"/>
  <c r="E24" i="18"/>
  <c r="D84" i="2"/>
  <c r="D76" i="2"/>
  <c r="B71" i="2"/>
  <c r="L116" i="2"/>
  <c r="M116" i="2"/>
  <c r="N116" i="2"/>
  <c r="AS44" i="2"/>
  <c r="AS45" i="2"/>
  <c r="AS46" i="2"/>
  <c r="AS47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J116" i="2"/>
  <c r="K116" i="2"/>
  <c r="L113" i="2"/>
  <c r="M113" i="2"/>
  <c r="N113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J113" i="2"/>
  <c r="K113" i="2"/>
  <c r="L112" i="2"/>
  <c r="M112" i="2"/>
  <c r="N112" i="2"/>
  <c r="J112" i="2"/>
  <c r="K112" i="2"/>
  <c r="L110" i="2"/>
  <c r="M110" i="2"/>
  <c r="N110" i="2"/>
  <c r="J110" i="2"/>
  <c r="K110" i="2"/>
  <c r="J109" i="2"/>
  <c r="B79" i="2"/>
  <c r="B87" i="2"/>
  <c r="D92" i="2"/>
  <c r="C75" i="2"/>
  <c r="C83" i="2"/>
  <c r="C91" i="2"/>
  <c r="D91" i="2"/>
  <c r="C74" i="2"/>
  <c r="C82" i="2"/>
  <c r="C90" i="2"/>
  <c r="D90" i="2"/>
  <c r="C73" i="2"/>
  <c r="C81" i="2"/>
  <c r="C89" i="2"/>
  <c r="D89" i="2"/>
  <c r="C80" i="2"/>
  <c r="C88" i="2"/>
  <c r="D88" i="2"/>
  <c r="D83" i="2"/>
  <c r="D82" i="2"/>
  <c r="D81" i="2"/>
  <c r="D80" i="2"/>
  <c r="D75" i="2"/>
  <c r="D74" i="2"/>
  <c r="D73" i="2"/>
  <c r="D72" i="2"/>
  <c r="D87" i="2"/>
  <c r="E87" i="2"/>
  <c r="D86" i="2"/>
  <c r="E86" i="2"/>
  <c r="D79" i="2"/>
  <c r="E79" i="2"/>
  <c r="D78" i="2"/>
  <c r="E78" i="2"/>
  <c r="D71" i="2"/>
  <c r="E71" i="2"/>
  <c r="D70" i="2"/>
  <c r="E70" i="2"/>
  <c r="E22" i="18"/>
  <c r="E23" i="18"/>
  <c r="E81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E110" i="2"/>
  <c r="E111" i="2"/>
  <c r="D110" i="2"/>
  <c r="D111" i="2"/>
  <c r="C110" i="2"/>
  <c r="C111" i="2"/>
  <c r="E73" i="2"/>
  <c r="AU68" i="2"/>
  <c r="AT68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7" i="2"/>
  <c r="AE58" i="2"/>
  <c r="AE59" i="2"/>
  <c r="AE60" i="2"/>
  <c r="AE61" i="2"/>
  <c r="AE62" i="2"/>
  <c r="AE63" i="2"/>
  <c r="AE56" i="2"/>
  <c r="AE64" i="2"/>
  <c r="AE65" i="2"/>
  <c r="AE66" i="2"/>
  <c r="AE67" i="2"/>
  <c r="AE5" i="2"/>
  <c r="AC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7" i="2"/>
  <c r="AC58" i="2"/>
  <c r="AC59" i="2"/>
  <c r="AC60" i="2"/>
  <c r="AC61" i="2"/>
  <c r="AC62" i="2"/>
  <c r="AC63" i="2"/>
  <c r="AC56" i="2"/>
  <c r="AC64" i="2"/>
  <c r="AC65" i="2"/>
  <c r="AC66" i="2"/>
  <c r="AC67" i="2"/>
  <c r="AC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7" i="2"/>
  <c r="AA58" i="2"/>
  <c r="AA59" i="2"/>
  <c r="AA60" i="2"/>
  <c r="AA61" i="2"/>
  <c r="AA62" i="2"/>
  <c r="AA63" i="2"/>
  <c r="AA56" i="2"/>
  <c r="AA64" i="2"/>
  <c r="AA65" i="2"/>
  <c r="AA66" i="2"/>
  <c r="AA67" i="2"/>
  <c r="AA5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7" i="2"/>
  <c r="R58" i="2"/>
  <c r="R59" i="2"/>
  <c r="R60" i="2"/>
  <c r="R61" i="2"/>
  <c r="R62" i="2"/>
  <c r="R63" i="2"/>
  <c r="R56" i="2"/>
  <c r="R64" i="2"/>
  <c r="R65" i="2"/>
  <c r="R66" i="2"/>
  <c r="R67" i="2"/>
  <c r="R68" i="2"/>
  <c r="AO109" i="2"/>
  <c r="AP109" i="2"/>
  <c r="I107" i="2"/>
  <c r="J107" i="2"/>
  <c r="K109" i="2"/>
  <c r="L109" i="2"/>
  <c r="AK109" i="2"/>
  <c r="AL109" i="2"/>
  <c r="AM109" i="2"/>
  <c r="AN109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7" i="2"/>
  <c r="BB48" i="2"/>
  <c r="BB49" i="2"/>
  <c r="BB50" i="2"/>
  <c r="BB51" i="2"/>
  <c r="BB52" i="2"/>
  <c r="BB53" i="2"/>
  <c r="BB54" i="2"/>
  <c r="BB55" i="2"/>
  <c r="BB57" i="2"/>
  <c r="BB58" i="2"/>
  <c r="BB59" i="2"/>
  <c r="BB60" i="2"/>
  <c r="BB61" i="2"/>
  <c r="BB62" i="2"/>
  <c r="BB63" i="2"/>
  <c r="BB56" i="2"/>
  <c r="BB64" i="2"/>
  <c r="BB65" i="2"/>
  <c r="BB66" i="2"/>
  <c r="BB67" i="2"/>
  <c r="BB5" i="2"/>
  <c r="BB4" i="2"/>
  <c r="AS4" i="2"/>
  <c r="F4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7" i="2"/>
  <c r="AJ58" i="2"/>
  <c r="AJ59" i="2"/>
  <c r="AJ60" i="2"/>
  <c r="AJ61" i="2"/>
  <c r="AJ62" i="2"/>
  <c r="AJ63" i="2"/>
  <c r="AJ56" i="2"/>
  <c r="AJ64" i="2"/>
  <c r="AJ65" i="2"/>
  <c r="AJ66" i="2"/>
  <c r="AJ67" i="2"/>
  <c r="AJ5" i="2"/>
  <c r="AJ4" i="2"/>
  <c r="L115" i="2"/>
  <c r="M115" i="2"/>
  <c r="N115" i="2"/>
  <c r="M109" i="2"/>
  <c r="N109" i="2"/>
  <c r="AE4" i="2"/>
  <c r="AC4" i="2"/>
  <c r="K107" i="2"/>
  <c r="AA4" i="2"/>
  <c r="X4" i="2"/>
  <c r="R4" i="2"/>
  <c r="J4" i="2"/>
  <c r="G26" i="18"/>
  <c r="I24" i="18"/>
  <c r="H24" i="18"/>
  <c r="G22" i="18"/>
  <c r="G23" i="18"/>
  <c r="G24" i="18"/>
  <c r="H23" i="18"/>
  <c r="H22" i="18"/>
  <c r="E7" i="18"/>
  <c r="J115" i="2"/>
  <c r="K115" i="2"/>
  <c r="E89" i="2"/>
  <c r="N96" i="2"/>
  <c r="N97" i="2"/>
  <c r="N101" i="2"/>
  <c r="J96" i="2"/>
  <c r="J97" i="2"/>
  <c r="K96" i="2"/>
  <c r="K97" i="2"/>
  <c r="L96" i="2"/>
  <c r="L97" i="2"/>
  <c r="M96" i="2"/>
  <c r="AQ109" i="2"/>
  <c r="M97" i="2"/>
  <c r="AR109" i="2"/>
</calcChain>
</file>

<file path=xl/comments1.xml><?xml version="1.0" encoding="utf-8"?>
<comments xmlns="http://schemas.openxmlformats.org/spreadsheetml/2006/main">
  <authors>
    <author>Laurent Casanas</author>
  </authors>
  <commentList>
    <comment ref="E18" authorId="0">
      <text>
        <r>
          <rPr>
            <b/>
            <sz val="9"/>
            <color indexed="81"/>
            <rFont val="Arial"/>
            <family val="2"/>
          </rPr>
          <t>Nombre d'heures.
où 25' = 25/60 = 0,42</t>
        </r>
      </text>
    </comment>
  </commentList>
</comments>
</file>

<file path=xl/comments2.xml><?xml version="1.0" encoding="utf-8"?>
<comments xmlns="http://schemas.openxmlformats.org/spreadsheetml/2006/main">
  <authors>
    <author>Laurent Casañas</author>
    <author>Laurent Casanas</author>
  </authors>
  <commentList>
    <comment ref="AF2" authorId="0">
      <text>
        <r>
          <rPr>
            <b/>
            <sz val="9"/>
            <color indexed="81"/>
            <rFont val="Arial"/>
            <family val="2"/>
          </rPr>
          <t>Nombre de journées de formation (6h) depuis 2000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F3" authorId="1">
      <text>
        <r>
          <rPr>
            <b/>
            <sz val="9"/>
            <color indexed="81"/>
            <rFont val="Arial"/>
            <family val="2"/>
          </rPr>
          <t>En rose si âge &gt; 55 ans
En rouge si âge &gt; 60 ans</t>
        </r>
      </text>
    </comment>
    <comment ref="J3" authorId="0">
      <text>
        <r>
          <rPr>
            <b/>
            <sz val="9"/>
            <color indexed="81"/>
            <rFont val="Arial"/>
            <family val="2"/>
          </rPr>
          <t>Ancienneté générale de service pour les titulaires FR du MEN</t>
        </r>
      </text>
    </comment>
    <comment ref="P3" authorId="0">
      <text>
        <r>
          <rPr>
            <b/>
            <sz val="9"/>
            <color indexed="81"/>
            <rFont val="Arial"/>
            <family val="2"/>
          </rPr>
          <t>Si complément professionnel connu en dehors de l'établissement</t>
        </r>
      </text>
    </comment>
    <comment ref="R3" authorId="1">
      <text>
        <r>
          <rPr>
            <sz val="9"/>
            <color indexed="81"/>
            <rFont val="Arial"/>
            <family val="2"/>
          </rPr>
          <t>Ancienneté générale dans l'établissement
&lt; 1 an en bleu
&lt; 2 ans en rose</t>
        </r>
      </text>
    </comment>
    <comment ref="S3" authorId="1">
      <text>
        <r>
          <rPr>
            <b/>
            <sz val="9"/>
            <color indexed="81"/>
            <rFont val="Arial"/>
            <family val="2"/>
          </rPr>
          <t>Pour les Résidents, TNR et expatriés</t>
        </r>
      </text>
    </comment>
    <comment ref="U3" authorId="1">
      <text>
        <r>
          <rPr>
            <b/>
            <sz val="9"/>
            <color indexed="81"/>
            <rFont val="Arial"/>
            <family val="2"/>
          </rPr>
          <t xml:space="preserve">Pour les Résidents, TNR et expatriés
</t>
        </r>
      </text>
    </comment>
    <comment ref="V3" authorId="1">
      <text>
        <r>
          <rPr>
            <b/>
            <sz val="9"/>
            <color indexed="81"/>
            <rFont val="Arial"/>
            <family val="2"/>
          </rPr>
          <t>Uniquement pour les Résidents, TNR et expatrié</t>
        </r>
      </text>
    </comment>
    <comment ref="X3" authorId="1">
      <text>
        <r>
          <rPr>
            <b/>
            <sz val="9"/>
            <color indexed="81"/>
            <rFont val="Arial"/>
            <family val="2"/>
          </rPr>
          <t xml:space="preserve">En rose si visite ou inspection IEN &gt; 3 ans
En rouge si visite ou inspection IEN &gt; 5 ans
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Y3" authorId="1">
      <text>
        <r>
          <rPr>
            <b/>
            <sz val="9"/>
            <color indexed="81"/>
            <rFont val="Arial"/>
            <family val="2"/>
          </rPr>
          <t>Uniquement pour les résidents et expatriés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AA3" authorId="1">
      <text>
        <r>
          <rPr>
            <b/>
            <sz val="9"/>
            <color indexed="81"/>
            <rFont val="Arial"/>
            <family val="2"/>
          </rPr>
          <t xml:space="preserve">En rose si visite &gt; 3 ans
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AG3" authorId="0">
      <text>
        <r>
          <rPr>
            <b/>
            <sz val="9"/>
            <color indexed="81"/>
            <rFont val="Arial"/>
            <family val="2"/>
          </rPr>
          <t>En rose si aucun stage PRF</t>
        </r>
      </text>
    </comment>
    <comment ref="AS3" authorId="0">
      <text>
        <r>
          <rPr>
            <b/>
            <sz val="9"/>
            <color indexed="81"/>
            <rFont val="Arial"/>
            <family val="2"/>
          </rPr>
          <t>En rose si dernier stage &gt; 4 ans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AT3" authorId="1">
      <text>
        <r>
          <rPr>
            <b/>
            <sz val="9"/>
            <color indexed="81"/>
            <rFont val="Arial"/>
            <family val="2"/>
          </rPr>
          <t>Nombre de jours à l'année
1/2 journée = 0,5
Mis à jour par Trimestre</t>
        </r>
      </text>
    </comment>
    <comment ref="AU3" authorId="1">
      <text>
        <r>
          <rPr>
            <b/>
            <sz val="9"/>
            <color indexed="81"/>
            <rFont val="Arial"/>
            <family val="2"/>
          </rPr>
          <t>SI ABSENCE NON REMPLACEE</t>
        </r>
      </text>
    </comment>
    <comment ref="BA3" authorId="1">
      <text>
        <r>
          <rPr>
            <b/>
            <sz val="9"/>
            <color indexed="81"/>
            <rFont val="Arial"/>
            <family val="2"/>
          </rPr>
          <t>En nombre d'années scolaires
En rouge si &gt; 8 ans</t>
        </r>
      </text>
    </comment>
    <comment ref="B70" authorId="0">
      <text>
        <r>
          <rPr>
            <b/>
            <sz val="9"/>
            <color indexed="81"/>
            <rFont val="Arial"/>
            <family val="2"/>
          </rPr>
          <t>Dont directeur</t>
        </r>
      </text>
    </comment>
    <comment ref="B78" authorId="0">
      <text>
        <r>
          <rPr>
            <b/>
            <sz val="9"/>
            <color indexed="81"/>
            <rFont val="Arial"/>
            <family val="2"/>
          </rPr>
          <t>Dont directeur</t>
        </r>
      </text>
    </comment>
    <comment ref="C95" authorId="1">
      <text>
        <r>
          <rPr>
            <b/>
            <sz val="9"/>
            <color indexed="81"/>
            <rFont val="Arial"/>
            <family val="2"/>
          </rPr>
          <t>Total annuel</t>
        </r>
      </text>
    </comment>
    <comment ref="D95" authorId="1">
      <text>
        <r>
          <rPr>
            <b/>
            <sz val="9"/>
            <color indexed="81"/>
            <rFont val="Arial"/>
            <family val="2"/>
          </rPr>
          <t>Total annuel y compris pour expatrié et résident</t>
        </r>
      </text>
    </comment>
    <comment ref="E95" authorId="0">
      <text>
        <r>
          <rPr>
            <b/>
            <sz val="9"/>
            <color indexed="81"/>
            <rFont val="Arial"/>
            <family val="2"/>
          </rPr>
          <t>Total annuel y compris pour expatrié et résident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C111" authorId="1">
      <text>
        <r>
          <rPr>
            <sz val="9"/>
            <color indexed="81"/>
            <rFont val="Arial"/>
            <family val="2"/>
          </rPr>
          <t xml:space="preserve">Il s'agit d'un indicateur moyen calculé sur le nombre moyen d'enseignants de l'école sur cette période. 
</t>
        </r>
      </text>
    </comment>
  </commentList>
</comments>
</file>

<file path=xl/sharedStrings.xml><?xml version="1.0" encoding="utf-8"?>
<sst xmlns="http://schemas.openxmlformats.org/spreadsheetml/2006/main" count="1499" uniqueCount="492">
  <si>
    <t>PRIMAIRE</t>
    <phoneticPr fontId="9" type="noConversion"/>
  </si>
  <si>
    <t>Enseignants</t>
    <phoneticPr fontId="9" type="noConversion"/>
  </si>
  <si>
    <t>&lt; 30</t>
    <phoneticPr fontId="0" type="noConversion"/>
  </si>
  <si>
    <t>30 - 40</t>
    <phoneticPr fontId="0" type="noConversion"/>
  </si>
  <si>
    <t>Élèves</t>
    <phoneticPr fontId="9" type="noConversion"/>
  </si>
  <si>
    <t>AGS</t>
    <phoneticPr fontId="0" type="noConversion"/>
  </si>
  <si>
    <t>Fonction</t>
    <phoneticPr fontId="0" type="noConversion"/>
  </si>
  <si>
    <t>Statut</t>
    <phoneticPr fontId="0" type="noConversion"/>
  </si>
  <si>
    <t>Date de promotion</t>
    <phoneticPr fontId="0" type="noConversion"/>
  </si>
  <si>
    <t xml:space="preserve">&gt; à </t>
    <phoneticPr fontId="0" type="noConversion"/>
  </si>
  <si>
    <t xml:space="preserve"> Note</t>
    <phoneticPr fontId="0" type="noConversion"/>
  </si>
  <si>
    <t>41 - 50</t>
    <phoneticPr fontId="0" type="noConversion"/>
  </si>
  <si>
    <t>BAC</t>
  </si>
  <si>
    <t>Total École</t>
    <phoneticPr fontId="9" type="noConversion"/>
  </si>
  <si>
    <t>CP</t>
  </si>
  <si>
    <t>CE1</t>
  </si>
  <si>
    <t>CE2</t>
  </si>
  <si>
    <t>CM1</t>
  </si>
  <si>
    <t>CM2</t>
  </si>
  <si>
    <t>Date de 
naissance</t>
  </si>
  <si>
    <t>Nom
de l'enseignant</t>
  </si>
  <si>
    <t>Départs</t>
    <phoneticPr fontId="0" type="noConversion"/>
  </si>
  <si>
    <t>Âge</t>
    <phoneticPr fontId="0" type="noConversion"/>
  </si>
  <si>
    <t>Maternelle</t>
    <phoneticPr fontId="9" type="noConversion"/>
  </si>
  <si>
    <t>Élémentaire</t>
    <phoneticPr fontId="9" type="noConversion"/>
  </si>
  <si>
    <t>Horaires</t>
    <phoneticPr fontId="9" type="noConversion"/>
  </si>
  <si>
    <t>OUI</t>
    <phoneticPr fontId="9" type="noConversion"/>
  </si>
  <si>
    <t>NON</t>
    <phoneticPr fontId="9" type="noConversion"/>
  </si>
  <si>
    <t>Classe
d'exercice</t>
  </si>
  <si>
    <t>F</t>
  </si>
  <si>
    <t>Dépt.
de rat.</t>
  </si>
  <si>
    <t>M</t>
  </si>
  <si>
    <t>Sexe</t>
  </si>
  <si>
    <t>Tranche d'âges</t>
  </si>
  <si>
    <t>%</t>
  </si>
  <si>
    <t>Élémentaire</t>
    <phoneticPr fontId="9" type="noConversion"/>
  </si>
  <si>
    <t>Maternelle</t>
    <phoneticPr fontId="9" type="noConversion"/>
  </si>
  <si>
    <t>OUI</t>
  </si>
  <si>
    <t>NON</t>
  </si>
  <si>
    <t>TPS</t>
  </si>
  <si>
    <t>Absentéisme</t>
    <phoneticPr fontId="0" type="noConversion"/>
  </si>
  <si>
    <t xml:space="preserve">Prénom </t>
    <phoneticPr fontId="0" type="noConversion"/>
  </si>
  <si>
    <t>Total</t>
  </si>
  <si>
    <t>PRIMAIRE</t>
  </si>
  <si>
    <t>Moy./cl.</t>
    <phoneticPr fontId="9" type="noConversion"/>
  </si>
  <si>
    <t>PS</t>
  </si>
  <si>
    <t>MS</t>
  </si>
  <si>
    <t>GS</t>
  </si>
  <si>
    <t>AXE 3 :</t>
    <phoneticPr fontId="9" type="noConversion"/>
  </si>
  <si>
    <t>Total Lycée</t>
    <phoneticPr fontId="9" type="noConversion"/>
  </si>
  <si>
    <t>Pause méridienne</t>
  </si>
  <si>
    <t>Ancienneté &lt; 1 an</t>
    <phoneticPr fontId="0" type="noConversion"/>
  </si>
  <si>
    <t>RL</t>
  </si>
  <si>
    <t>Résident</t>
  </si>
  <si>
    <t>Disponibilité</t>
  </si>
  <si>
    <t>Laurent Casañas</t>
  </si>
  <si>
    <t>COLOMBIE</t>
  </si>
  <si>
    <t>BOGOTA</t>
  </si>
  <si>
    <t>LYCÉE LOUIS PASTEUR</t>
  </si>
  <si>
    <t>http://www.lfbogota.com/</t>
  </si>
  <si>
    <t>Calle 87 n°7-77</t>
  </si>
  <si>
    <t xml:space="preserve">(571) 616 25 83 </t>
  </si>
  <si>
    <t xml:space="preserve">(571) 278 70 55 </t>
  </si>
  <si>
    <t>proviseur@lfbogota.com</t>
  </si>
  <si>
    <t>directeurprimaire@lfbogota.com</t>
  </si>
  <si>
    <t>Claudie Ricci</t>
  </si>
  <si>
    <t>PAYS</t>
    <phoneticPr fontId="9" type="noConversion"/>
  </si>
  <si>
    <t>VILLE</t>
    <phoneticPr fontId="9" type="noConversion"/>
  </si>
  <si>
    <t>ÉTABLISSEMENT</t>
    <phoneticPr fontId="9" type="noConversion"/>
  </si>
  <si>
    <t>ADRESSE</t>
    <phoneticPr fontId="9" type="noConversion"/>
  </si>
  <si>
    <t>TÉLÉPHONE ACCUEIL</t>
    <phoneticPr fontId="9" type="noConversion"/>
  </si>
  <si>
    <t>FAX</t>
    <phoneticPr fontId="9" type="noConversion"/>
  </si>
  <si>
    <t>SITE WEB</t>
    <phoneticPr fontId="9" type="noConversion"/>
  </si>
  <si>
    <t>Françoise Valière</t>
  </si>
  <si>
    <t>Directeur maternelle</t>
  </si>
  <si>
    <t>Jean-Pierre Agati</t>
  </si>
  <si>
    <t>directeurmaternelle@lfbogota.com</t>
  </si>
  <si>
    <t>Directeur élémentaire</t>
  </si>
  <si>
    <t>EMFE</t>
  </si>
  <si>
    <t>Jean-Michel Jacquemont</t>
  </si>
  <si>
    <t>conseillerprimaire@lfbogota.com</t>
  </si>
  <si>
    <t>Secrétariat primaire</t>
  </si>
  <si>
    <t>secret-primaire@lfbogota.com</t>
  </si>
  <si>
    <t>Astrid Velasco - Secrétaire élémentaire</t>
  </si>
  <si>
    <t>25h30</t>
  </si>
  <si>
    <t>Martha Muñoz - Secrétaire maternelle</t>
  </si>
  <si>
    <t>26h</t>
  </si>
  <si>
    <t>PROJET D'ÉCOLE</t>
    <phoneticPr fontId="9" type="noConversion"/>
  </si>
  <si>
    <t>2012-2016</t>
  </si>
  <si>
    <t>AXE 1 :</t>
    <phoneticPr fontId="9" type="noConversion"/>
  </si>
  <si>
    <t>Maîtrise des langues et bicculturalisme</t>
  </si>
  <si>
    <t>AXE 2 :</t>
    <phoneticPr fontId="9" type="noConversion"/>
  </si>
  <si>
    <t xml:space="preserve">Évaluation et dispositifs d'accompagnement vers la réussite </t>
  </si>
  <si>
    <t xml:space="preserve">Actions éducatives en faveur de l'intégration, du bien-être et du respect des règles </t>
  </si>
  <si>
    <t>AXE TRANSVERSAL 1 :</t>
  </si>
  <si>
    <t>Vers l'école du socle - Mise en oeuvre des textes de référence (MEN - AEFE - projet de zone)</t>
  </si>
  <si>
    <t>AXE TRANSVERSAL 2 :</t>
  </si>
  <si>
    <t>Développement des technologies multimédias au service des pratiques pédagogiques</t>
  </si>
  <si>
    <t>AXE TRANSVERSAL 4 :</t>
  </si>
  <si>
    <t xml:space="preserve">Améliorer la communication </t>
  </si>
  <si>
    <t>AXE TRANSVERSAL 3 :</t>
  </si>
  <si>
    <t xml:space="preserve">Formation des personnels </t>
  </si>
  <si>
    <t>N° TÉL. PORT. DIRECTEUR</t>
  </si>
  <si>
    <t>Nombre d'heures de présence élève</t>
  </si>
  <si>
    <t>7h30 - 13h</t>
  </si>
  <si>
    <t>7h30 - 14h30</t>
  </si>
  <si>
    <t>7h30 - 12h</t>
  </si>
  <si>
    <t>7h30 - 11h30</t>
  </si>
  <si>
    <t>Me - Ve</t>
  </si>
  <si>
    <t>L - M - J</t>
  </si>
  <si>
    <t>Actualisé le :</t>
  </si>
  <si>
    <t>Garviñe Eloizaga - Assistante direct°</t>
  </si>
  <si>
    <t>AFRIQUE CENTRALE</t>
  </si>
  <si>
    <t>AFRIQUE OCCIDENTALE</t>
  </si>
  <si>
    <t>AFRIQUE ORIENTALE</t>
  </si>
  <si>
    <t>AFRIQUE AUSTRALE ET OCEAN INDIEN</t>
  </si>
  <si>
    <t>AMCECA</t>
  </si>
  <si>
    <t>AMERIQUE DU NORD</t>
  </si>
  <si>
    <t>AMSUD</t>
  </si>
  <si>
    <t>AMSUCA</t>
  </si>
  <si>
    <t>ASIE PACIFIQUE</t>
  </si>
  <si>
    <t>EUROPE CENTRALE</t>
  </si>
  <si>
    <t>EUROPE DU NORD OUEST</t>
  </si>
  <si>
    <t>EUROPE DU SUD EST</t>
  </si>
  <si>
    <t>EUROPE IBERIQUE</t>
  </si>
  <si>
    <t>EUROPE ORIENTALE ET SCANDINAVIE</t>
  </si>
  <si>
    <t>MADAGASCAR  COMORES</t>
  </si>
  <si>
    <t>MAGHREB EST - MAGHREK</t>
  </si>
  <si>
    <t>MAROC</t>
  </si>
  <si>
    <t>MOYEN ORIENT ET PENINSULE INDIENNE</t>
  </si>
  <si>
    <t>PROCHE ORIENT</t>
  </si>
  <si>
    <t>LA FONTAINE - NIAMEY</t>
  </si>
  <si>
    <t>JEAN MERMOZ - DAKAR</t>
  </si>
  <si>
    <t>GUEBRE-MARIAM - ADDIS ABEBA</t>
  </si>
  <si>
    <t>JULES VERNES - JOHANNESBURG</t>
  </si>
  <si>
    <t>CLAUDEL - OTTAWA</t>
  </si>
  <si>
    <t>LOUIS PASTEUR - BOGOTA</t>
  </si>
  <si>
    <t>ANTOINE ET CONSUELO DE ST EXUPERY - EL SALVADOR</t>
  </si>
  <si>
    <t>JEAN MERMOZ - BUENOS AIRES</t>
  </si>
  <si>
    <t xml:space="preserve">INTERNATIONAL - PEKIN </t>
  </si>
  <si>
    <t>JEAN RENOIR - MUNICH</t>
  </si>
  <si>
    <t>JEAN MONNET - BRUXELLES</t>
  </si>
  <si>
    <t>CHATEAUBRIAND - ROME</t>
  </si>
  <si>
    <t>LF - BARCELONE</t>
  </si>
  <si>
    <t>LF - PRAGUE</t>
  </si>
  <si>
    <t>LF TANANARIVE</t>
  </si>
  <si>
    <t>PIERRE-MENDES-France - TUNIS</t>
  </si>
  <si>
    <t>DESCARTES - RABAT</t>
  </si>
  <si>
    <t>FRANCO-LIBANAIS - BEYROUTH</t>
  </si>
  <si>
    <t>LOUIS-MASSIGNON - ABU DHABI</t>
  </si>
  <si>
    <t>ZONE</t>
  </si>
  <si>
    <t>IEN</t>
  </si>
  <si>
    <t>ZONE FC</t>
  </si>
  <si>
    <t>Et. mutualisateur</t>
  </si>
  <si>
    <t>0057 313 277 2852</t>
  </si>
  <si>
    <t>0057 321 263 7675</t>
  </si>
  <si>
    <t>Directeur primaire</t>
  </si>
  <si>
    <t>BRESIL</t>
  </si>
  <si>
    <t>EQUATEUR</t>
  </si>
  <si>
    <t>VENEZUELA</t>
  </si>
  <si>
    <t>COSTA-RICA</t>
  </si>
  <si>
    <t>PARAGUAY</t>
  </si>
  <si>
    <t>BRASILIA</t>
  </si>
  <si>
    <t>CALI</t>
  </si>
  <si>
    <t>PEREIRA</t>
  </si>
  <si>
    <t>CARACAS</t>
  </si>
  <si>
    <t>LYCÉE PAUL VALERY</t>
  </si>
  <si>
    <t>Divisions</t>
  </si>
  <si>
    <t>Autre personnel</t>
  </si>
  <si>
    <t>LYCÉE MARCEL PAGNOL</t>
  </si>
  <si>
    <t>LYCÉE MOLIERE</t>
  </si>
  <si>
    <t>LYCÉE FRANCO-COSTARICIEN</t>
  </si>
  <si>
    <t>LYCÉE FRANÇAIS DE PEREIRA</t>
  </si>
  <si>
    <t>LYCÉEE FRANÇOIS MITTERRAND</t>
  </si>
  <si>
    <t>LYCÉE LA CONDAMINE</t>
  </si>
  <si>
    <t>LYCÉE FRANÇAIS DE CARACAS</t>
  </si>
  <si>
    <t>LYCÉE PASTEUR</t>
  </si>
  <si>
    <t>CUENCA</t>
  </si>
  <si>
    <t>ASSOMPTION</t>
  </si>
  <si>
    <t>CIUDAD DEL ESTE</t>
  </si>
  <si>
    <t>COLLEGE JULES VERNE</t>
  </si>
  <si>
    <t>ECOLE JOSEPH DE JUSSIEU</t>
  </si>
  <si>
    <t>CURUTIBA</t>
  </si>
  <si>
    <t>ECOLE RENAULT</t>
  </si>
  <si>
    <t>NATAL</t>
  </si>
  <si>
    <t>ECOLE FRANÇAISE NATAL</t>
  </si>
  <si>
    <t>CONVENTIONNE</t>
  </si>
  <si>
    <t>HOMOLOGUE</t>
  </si>
  <si>
    <t>GESTION DIRECTE</t>
  </si>
  <si>
    <t>ETABLISSEMENT</t>
  </si>
  <si>
    <t>VILLE</t>
  </si>
  <si>
    <t>PAYS</t>
  </si>
  <si>
    <t>MUTUALISATEUR</t>
  </si>
  <si>
    <t>CATEGORIE</t>
  </si>
  <si>
    <t>CATÉGORIE</t>
  </si>
  <si>
    <t>DIRECTEUR</t>
  </si>
  <si>
    <t>PE</t>
  </si>
  <si>
    <t>AXE 4 :</t>
  </si>
  <si>
    <t>AXE 3 :</t>
  </si>
  <si>
    <t>AXE 5 :</t>
  </si>
  <si>
    <t>Proviseur</t>
  </si>
  <si>
    <t>SEXE</t>
  </si>
  <si>
    <t>EXEMPLE</t>
  </si>
  <si>
    <t>BAC+2</t>
  </si>
  <si>
    <t>LICENCE</t>
  </si>
  <si>
    <t>MASTER 1</t>
  </si>
  <si>
    <t>MASTER 2 - PRO</t>
  </si>
  <si>
    <t>MASTER 2 - RECH</t>
  </si>
  <si>
    <t>DOCTORAT</t>
  </si>
  <si>
    <t>Diplôme universitaire</t>
  </si>
  <si>
    <t>DIPLÔME pro</t>
  </si>
  <si>
    <t>DIPLÔME uni</t>
  </si>
  <si>
    <t>CAFIPEMF</t>
  </si>
  <si>
    <t>CAPSAIS</t>
  </si>
  <si>
    <t>CAPA-SH</t>
  </si>
  <si>
    <t xml:space="preserve"> </t>
  </si>
  <si>
    <t>Date :</t>
  </si>
  <si>
    <t>STATUT</t>
  </si>
  <si>
    <t>FONCTION</t>
  </si>
  <si>
    <t>Enseignant</t>
  </si>
  <si>
    <t>Adjoint au Directeur</t>
  </si>
  <si>
    <t>Directeur</t>
  </si>
  <si>
    <t>Remplaçant</t>
  </si>
  <si>
    <t>HORAIRE</t>
  </si>
  <si>
    <t>Plein temps</t>
  </si>
  <si>
    <t>Date de prise de fonction dans l'établissement</t>
  </si>
  <si>
    <t>AG</t>
  </si>
  <si>
    <t>Date de titularisation pour les titulaires FR</t>
  </si>
  <si>
    <t>autre</t>
  </si>
  <si>
    <t>Dépt</t>
  </si>
  <si>
    <t xml:space="preserve"> Expatrié</t>
  </si>
  <si>
    <t>TNR</t>
  </si>
  <si>
    <t>TNR privé</t>
  </si>
  <si>
    <t>Temps de travail</t>
  </si>
  <si>
    <t>ECHELON</t>
  </si>
  <si>
    <t>Échelon PE</t>
  </si>
  <si>
    <t>2 HC</t>
  </si>
  <si>
    <t>3 HC</t>
  </si>
  <si>
    <t>4 HC</t>
  </si>
  <si>
    <t>5 HC</t>
  </si>
  <si>
    <t>6 HC</t>
  </si>
  <si>
    <t>7 HC</t>
  </si>
  <si>
    <t>Dernière visite CPAIEN</t>
  </si>
  <si>
    <t>Dernière inspection / visite IEN</t>
  </si>
  <si>
    <t>Travail extérieur</t>
  </si>
  <si>
    <t>Dernière visite EMFE</t>
  </si>
  <si>
    <t>Dernière visite DIRECTEUR</t>
  </si>
  <si>
    <t>Discipline enseignée</t>
  </si>
  <si>
    <t>DISCIPLINE</t>
  </si>
  <si>
    <t>FR</t>
  </si>
  <si>
    <t>ESP</t>
  </si>
  <si>
    <t>BRE</t>
  </si>
  <si>
    <t>ANGL</t>
  </si>
  <si>
    <t>MUS</t>
  </si>
  <si>
    <t>EPS</t>
  </si>
  <si>
    <t>CAL</t>
  </si>
  <si>
    <t>AUTRE</t>
  </si>
  <si>
    <t>IUFM</t>
  </si>
  <si>
    <t>ESPE</t>
  </si>
  <si>
    <t>AEM</t>
  </si>
  <si>
    <t>Décharge</t>
  </si>
  <si>
    <t>DECHARGE</t>
  </si>
  <si>
    <t>Heure syndicale</t>
  </si>
  <si>
    <t>Autre</t>
  </si>
  <si>
    <t>Sans</t>
  </si>
  <si>
    <t>Diplôme d'enseignement local</t>
  </si>
  <si>
    <t>FORMATION INITIALE ENSEIGNEMENT (FIE)</t>
  </si>
  <si>
    <t xml:space="preserve">Formation </t>
  </si>
  <si>
    <t>PRF</t>
  </si>
  <si>
    <t>Interne</t>
  </si>
  <si>
    <t>Initiale d'enseignement</t>
  </si>
  <si>
    <t>Externe</t>
  </si>
  <si>
    <t>FORMATION</t>
  </si>
  <si>
    <t>Date dernier stage PRF</t>
  </si>
  <si>
    <t>Total journées de formation depuis 2005</t>
  </si>
  <si>
    <t>ANCIENNETÉ</t>
  </si>
  <si>
    <t>CLASSE</t>
  </si>
  <si>
    <t>PS-MS</t>
  </si>
  <si>
    <t>PS-GS</t>
  </si>
  <si>
    <t>MS-GS</t>
  </si>
  <si>
    <t>TPS-PS</t>
  </si>
  <si>
    <t>CP-CE1</t>
  </si>
  <si>
    <t>CM1-CM2</t>
  </si>
  <si>
    <t>CE1-CE2</t>
  </si>
  <si>
    <t>CE2-CM1</t>
  </si>
  <si>
    <t>A1</t>
  </si>
  <si>
    <t>A2</t>
  </si>
  <si>
    <t>B1</t>
  </si>
  <si>
    <t>B2</t>
  </si>
  <si>
    <t>C1</t>
  </si>
  <si>
    <t>C2</t>
  </si>
  <si>
    <t>CERL</t>
  </si>
  <si>
    <t>Maîtrise du FR</t>
  </si>
  <si>
    <t>ABSENTEISME</t>
  </si>
  <si>
    <t>Journées d'enseignement perdues</t>
  </si>
  <si>
    <t>Peut enseigner l'anglais</t>
  </si>
  <si>
    <t>Maîtrise de l'ESP ou du BRE</t>
  </si>
  <si>
    <t>C2I2E</t>
  </si>
  <si>
    <t>Dont stages PRF AUTRE</t>
  </si>
  <si>
    <t>Dont stages PRF TICE</t>
  </si>
  <si>
    <t>Dont stages PRF       MDL</t>
  </si>
  <si>
    <t>Dont stages PRF MATHS</t>
  </si>
  <si>
    <t>Dont stages PRF SCIENCES</t>
  </si>
  <si>
    <t>Dont stages PRF LANGUES</t>
  </si>
  <si>
    <t>RETRAITE</t>
  </si>
  <si>
    <t>VOLONTAIRE</t>
  </si>
  <si>
    <t>FORCÉ</t>
  </si>
  <si>
    <t>ECOLE</t>
  </si>
  <si>
    <t>MATERNELLE</t>
  </si>
  <si>
    <t>ELEMENTAIRE</t>
  </si>
  <si>
    <t>Ecole</t>
  </si>
  <si>
    <r>
      <t xml:space="preserve">PERSONNELS ENSEIGNANTS ECOLE PRIMAIRE </t>
    </r>
    <r>
      <rPr>
        <sz val="16"/>
        <rFont val="Times New Roman"/>
        <family val="1"/>
      </rPr>
      <t>- Fiche de renseignements IEN</t>
    </r>
  </si>
  <si>
    <t>Dont stages PRF          HG-EC</t>
  </si>
  <si>
    <t>Diplôme professionnel FR</t>
  </si>
  <si>
    <t>ARTS VISUELS</t>
  </si>
  <si>
    <t>DOMAINE</t>
  </si>
  <si>
    <t>LANGUES</t>
  </si>
  <si>
    <t>TICE</t>
  </si>
  <si>
    <t>MUSIQUE</t>
  </si>
  <si>
    <t>DANSE</t>
  </si>
  <si>
    <t>FONCT</t>
  </si>
  <si>
    <t>BCD</t>
  </si>
  <si>
    <t>ASEM</t>
  </si>
  <si>
    <t>MEDECIN</t>
  </si>
  <si>
    <t>PSYCHOLOGUE</t>
  </si>
  <si>
    <t>INFIRMIERE</t>
  </si>
  <si>
    <t>VIE SCOLAIRE</t>
  </si>
  <si>
    <t>INTERVENANT</t>
  </si>
  <si>
    <t>SECRETAIRE</t>
  </si>
  <si>
    <t>ASSISTANTE DIR°</t>
  </si>
  <si>
    <t>ENTRETIEN</t>
  </si>
  <si>
    <t>HEURES</t>
  </si>
  <si>
    <t>PLUSIEURS</t>
  </si>
  <si>
    <t>AVS</t>
  </si>
  <si>
    <t>LANGUE MATER</t>
  </si>
  <si>
    <t>Ancienneté sur niveau</t>
  </si>
  <si>
    <t>2010-2011</t>
  </si>
  <si>
    <t>2011-2012</t>
  </si>
  <si>
    <t>2012-2013</t>
  </si>
  <si>
    <t>2013-2014</t>
  </si>
  <si>
    <t>2014-2015</t>
  </si>
  <si>
    <t>2015-2016</t>
  </si>
  <si>
    <t>ANNÉES</t>
  </si>
  <si>
    <t>CERTIF</t>
  </si>
  <si>
    <t>DEL PRIM</t>
  </si>
  <si>
    <t>DELF JUNIOR</t>
  </si>
  <si>
    <t>DALF</t>
  </si>
  <si>
    <t>DELE - ESP</t>
  </si>
  <si>
    <t>DELF SCOLAIRE</t>
  </si>
  <si>
    <t>CELPE - BRAS</t>
  </si>
  <si>
    <t>ANGLAIS</t>
  </si>
  <si>
    <t>NOMBRE</t>
  </si>
  <si>
    <t>&gt; 10</t>
  </si>
  <si>
    <t>&gt; 30</t>
  </si>
  <si>
    <t>ACCIDENT</t>
  </si>
  <si>
    <t>SALLES</t>
  </si>
  <si>
    <t>DEVISE</t>
  </si>
  <si>
    <t>BRL - REAL DU BRESIL</t>
  </si>
  <si>
    <t>USD - DOLLAR D'EQUATEUR</t>
  </si>
  <si>
    <t>VEF - BOLIVAR DU VENEZUELA</t>
  </si>
  <si>
    <t>PYG - GUARANI DU PARAGUAY</t>
  </si>
  <si>
    <t>COP - PESO DE  COLOMBIE</t>
  </si>
  <si>
    <t>CR - COLON DU COSTA-RICA</t>
  </si>
  <si>
    <t>ANNEE</t>
  </si>
  <si>
    <t>TPENSEI</t>
  </si>
  <si>
    <t>LENSEI</t>
  </si>
  <si>
    <t>DISCIP</t>
  </si>
  <si>
    <t>En lien avec le projet d'établissement</t>
  </si>
  <si>
    <t>&gt; 5 ans</t>
  </si>
  <si>
    <t>VOYAGE</t>
  </si>
  <si>
    <t>AGATI</t>
  </si>
  <si>
    <t>JEAN-PIERRE</t>
  </si>
  <si>
    <t>BADOLLE</t>
  </si>
  <si>
    <t>STEPHANE</t>
  </si>
  <si>
    <t>BECERRA</t>
  </si>
  <si>
    <t>CATHERINE</t>
  </si>
  <si>
    <t>BENAZETH-GUILLAUME</t>
  </si>
  <si>
    <t>BOTERO</t>
  </si>
  <si>
    <t>PATRICIA</t>
  </si>
  <si>
    <t>BOUDIAS</t>
  </si>
  <si>
    <t>CHRISTOPHE</t>
  </si>
  <si>
    <t>CACHET</t>
  </si>
  <si>
    <t>OLIVIER</t>
  </si>
  <si>
    <t>CANSADO</t>
  </si>
  <si>
    <t>AURELIE</t>
  </si>
  <si>
    <t>CANTILLO</t>
  </si>
  <si>
    <t>CASAÑAS</t>
  </si>
  <si>
    <t>LAURENT</t>
  </si>
  <si>
    <t>CASAUX</t>
  </si>
  <si>
    <t>PHILIPPE</t>
  </si>
  <si>
    <t>CAVELIER</t>
  </si>
  <si>
    <t>PAULA</t>
  </si>
  <si>
    <t>CEPEDA</t>
  </si>
  <si>
    <t>CAROLINA</t>
  </si>
  <si>
    <t>CHARROTTON</t>
  </si>
  <si>
    <t>VINCENT</t>
  </si>
  <si>
    <t>CHAVES</t>
  </si>
  <si>
    <t>MARIAPAZ</t>
  </si>
  <si>
    <t>DES GROTTES</t>
  </si>
  <si>
    <t>JACQUES</t>
  </si>
  <si>
    <t>DIAZ BELTRAN</t>
  </si>
  <si>
    <t>GINNA LIZETH</t>
  </si>
  <si>
    <t>DUDIT</t>
  </si>
  <si>
    <t>JOEL</t>
  </si>
  <si>
    <t>GREZE</t>
  </si>
  <si>
    <t>MICHEL</t>
  </si>
  <si>
    <t>HAUSS</t>
  </si>
  <si>
    <t>JEAN-PHILIPPE</t>
  </si>
  <si>
    <t>JACQUEMONT</t>
  </si>
  <si>
    <t>JEAN-MICHEL</t>
  </si>
  <si>
    <t>JAFFRES</t>
  </si>
  <si>
    <t>LAFITTE</t>
  </si>
  <si>
    <t>EMMANUELLE</t>
  </si>
  <si>
    <t>LAIR</t>
  </si>
  <si>
    <t>GUENAELLE</t>
  </si>
  <si>
    <t>LASSELIN</t>
  </si>
  <si>
    <t>JEROME</t>
  </si>
  <si>
    <t>LE BLEVEC</t>
  </si>
  <si>
    <t>FABIENNE</t>
  </si>
  <si>
    <t>LE GUYADER</t>
  </si>
  <si>
    <t>MORGANE</t>
  </si>
  <si>
    <t>LOUZANNE</t>
  </si>
  <si>
    <t>SEBASTIEN</t>
  </si>
  <si>
    <t>MAESTRI</t>
  </si>
  <si>
    <t>LYDIA</t>
  </si>
  <si>
    <t>MARTINEZ</t>
  </si>
  <si>
    <t>CLAUDIA</t>
  </si>
  <si>
    <t>GLORIA</t>
  </si>
  <si>
    <t>MATHIS</t>
  </si>
  <si>
    <t>CHRISTINE</t>
  </si>
  <si>
    <t>MATTANA</t>
  </si>
  <si>
    <t>ANTOINE</t>
  </si>
  <si>
    <t>MAZUIR</t>
  </si>
  <si>
    <t>EVE</t>
  </si>
  <si>
    <t>MEDINA</t>
  </si>
  <si>
    <t>ERIKA</t>
  </si>
  <si>
    <t>MEJIA LOPEZ</t>
  </si>
  <si>
    <t>CATALINA</t>
  </si>
  <si>
    <t>MENDOZA</t>
  </si>
  <si>
    <t>PILAR</t>
  </si>
  <si>
    <t>MERCIER</t>
  </si>
  <si>
    <t>MARIE</t>
  </si>
  <si>
    <t>FANETTE</t>
  </si>
  <si>
    <t>MORALES-HAMET</t>
  </si>
  <si>
    <t>VANESSA</t>
  </si>
  <si>
    <t>MICHAUDEL-DEMARIA</t>
  </si>
  <si>
    <t>MUNERA</t>
  </si>
  <si>
    <t>IRMA</t>
  </si>
  <si>
    <t>NEVEU</t>
  </si>
  <si>
    <t>ARNAUD</t>
  </si>
  <si>
    <t>NICOLAS</t>
  </si>
  <si>
    <t>FREDERIC</t>
  </si>
  <si>
    <t>NIETO</t>
  </si>
  <si>
    <t>MARTHA</t>
  </si>
  <si>
    <t>PALACIOS</t>
  </si>
  <si>
    <t>MONICA</t>
  </si>
  <si>
    <t>PAREDES</t>
  </si>
  <si>
    <t>SULMA</t>
  </si>
  <si>
    <t>PAYMAL</t>
  </si>
  <si>
    <t>PROU</t>
  </si>
  <si>
    <t>BENJAMIN</t>
  </si>
  <si>
    <t>QUERO</t>
  </si>
  <si>
    <t>QUIROGA VARGAS</t>
  </si>
  <si>
    <t>ANGELA MARIA</t>
  </si>
  <si>
    <t>REPETTO</t>
  </si>
  <si>
    <t>AMELIE</t>
  </si>
  <si>
    <t>SAENZ</t>
  </si>
  <si>
    <t>TASIAUX</t>
  </si>
  <si>
    <t>LYDIE</t>
  </si>
  <si>
    <t>TICHADOU</t>
  </si>
  <si>
    <t>ANNE</t>
  </si>
  <si>
    <t>VARGAS</t>
  </si>
  <si>
    <t>NANCY</t>
  </si>
  <si>
    <t>JAIRO</t>
  </si>
  <si>
    <t>VERNAY</t>
  </si>
  <si>
    <t>BERTRAND</t>
  </si>
  <si>
    <t>ZARATE CARO</t>
  </si>
  <si>
    <t>JULIANA</t>
  </si>
  <si>
    <t>RODRIGUEZ</t>
  </si>
  <si>
    <t>DIEGO</t>
  </si>
  <si>
    <t>MUTUALISE</t>
  </si>
  <si>
    <t>ENSEIGNANTS MATERNELLE</t>
  </si>
  <si>
    <t>ENSEIGNANTS ELEMENTAIRE</t>
  </si>
  <si>
    <t>ENSEIGNANTS PRIMAIRE</t>
  </si>
  <si>
    <r>
      <t>TABLEAU CONCERNANT UNIQUEMENT LES ENSEIGNANTS CHARGÉS DE CLASSE</t>
    </r>
    <r>
      <rPr>
        <sz val="14"/>
        <rFont val="Times New Roman"/>
        <family val="1"/>
      </rPr>
      <t xml:space="preserve"> (expatriés, résidents et recrutés locaux) </t>
    </r>
    <r>
      <rPr>
        <b/>
        <sz val="14"/>
        <rFont val="Times New Roman"/>
        <family val="1"/>
      </rPr>
      <t>DONT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DIRECTEUR</t>
    </r>
  </si>
  <si>
    <t>Expatrié</t>
  </si>
  <si>
    <t>51 - 60</t>
  </si>
  <si>
    <t>&gt; 60</t>
  </si>
  <si>
    <t>NB d'enseignants</t>
  </si>
  <si>
    <t>Visite CPAIEN &gt; 3 ans</t>
  </si>
  <si>
    <t>Visite IEN &gt; 3 ans</t>
  </si>
  <si>
    <t>Formation &gt; 3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</si>
</sst>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 mmmm\ yyyy"/>
    <numFmt numFmtId="165" formatCode="0.0"/>
    <numFmt numFmtId="166" formatCode="0.0%"/>
  </numFmts>
  <fonts count="6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9"/>
      <color indexed="81"/>
      <name val="Arial"/>
      <family val="2"/>
    </font>
    <font>
      <b/>
      <sz val="9"/>
      <color indexed="81"/>
      <name val="Arial"/>
      <family val="2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i/>
      <sz val="14"/>
      <name val="Times New Roman"/>
      <family val="1"/>
    </font>
    <font>
      <u/>
      <sz val="14"/>
      <color indexed="12"/>
      <name val="Times New Roman"/>
      <family val="1"/>
    </font>
    <font>
      <sz val="16"/>
      <name val="Times New Roman"/>
      <family val="1"/>
    </font>
    <font>
      <i/>
      <sz val="11"/>
      <name val="Times New Roman"/>
      <family val="1"/>
    </font>
    <font>
      <u/>
      <sz val="10"/>
      <color theme="11"/>
      <name val="Arial"/>
      <family val="2"/>
    </font>
    <font>
      <u/>
      <sz val="14"/>
      <color indexed="12"/>
      <name val="Times"/>
    </font>
    <font>
      <i/>
      <sz val="14"/>
      <name val="Times New Roman"/>
      <family val="1"/>
    </font>
    <font>
      <b/>
      <u/>
      <sz val="16"/>
      <name val="Times New Roman"/>
      <family val="1"/>
    </font>
    <font>
      <b/>
      <i/>
      <sz val="16"/>
      <name val="Times New Roman"/>
      <family val="1"/>
    </font>
    <font>
      <b/>
      <sz val="14"/>
      <name val="Arial"/>
      <family val="2"/>
    </font>
    <font>
      <b/>
      <sz val="19"/>
      <name val="Times New Roman"/>
      <family val="1"/>
    </font>
    <font>
      <b/>
      <sz val="18"/>
      <name val="Times New Roman"/>
      <family val="1"/>
    </font>
    <font>
      <b/>
      <sz val="10"/>
      <name val="Times"/>
    </font>
    <font>
      <sz val="10"/>
      <name val="Times"/>
    </font>
    <font>
      <sz val="10"/>
      <color rgb="FFFF0000"/>
      <name val="Times"/>
    </font>
    <font>
      <b/>
      <sz val="14"/>
      <name val="Times"/>
    </font>
    <font>
      <i/>
      <sz val="10"/>
      <name val="Times"/>
    </font>
    <font>
      <sz val="9"/>
      <name val="Times"/>
    </font>
    <font>
      <sz val="16"/>
      <name val="Arial"/>
      <family val="2"/>
    </font>
    <font>
      <i/>
      <sz val="14"/>
      <name val="Times New Roman"/>
      <family val="1"/>
    </font>
    <font>
      <u/>
      <sz val="14"/>
      <name val="Times New Roman"/>
      <family val="1"/>
    </font>
  </fonts>
  <fills count="5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1FF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2FFF2"/>
        <bgColor indexed="64"/>
      </patternFill>
    </fill>
    <fill>
      <patternFill patternType="solid">
        <fgColor rgb="FF05FFF7"/>
        <bgColor indexed="64"/>
      </patternFill>
    </fill>
    <fill>
      <patternFill patternType="solid">
        <fgColor rgb="FF3AFF0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gray0625">
        <bgColor theme="0" tint="-0.14999847407452621"/>
      </patternFill>
    </fill>
    <fill>
      <patternFill patternType="solid">
        <fgColor rgb="FF87ECFF"/>
        <bgColor indexed="64"/>
      </patternFill>
    </fill>
    <fill>
      <patternFill patternType="solid">
        <fgColor rgb="FF0BFFF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4FFFA"/>
        <bgColor indexed="64"/>
      </patternFill>
    </fill>
    <fill>
      <patternFill patternType="solid">
        <fgColor rgb="FF0CFF07"/>
        <bgColor indexed="64"/>
      </patternFill>
    </fill>
    <fill>
      <patternFill patternType="solid">
        <fgColor rgb="FF04FFE4"/>
        <bgColor indexed="64"/>
      </patternFill>
    </fill>
    <fill>
      <patternFill patternType="solid">
        <fgColor rgb="FF11FF33"/>
        <bgColor indexed="64"/>
      </patternFill>
    </fill>
    <fill>
      <patternFill patternType="solid">
        <fgColor rgb="FF9CFFF4"/>
        <bgColor indexed="64"/>
      </patternFill>
    </fill>
    <fill>
      <patternFill patternType="solid">
        <fgColor rgb="FFFEFFA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9FF97"/>
        <bgColor indexed="64"/>
      </patternFill>
    </fill>
    <fill>
      <patternFill patternType="solid">
        <fgColor rgb="FFB4FFEC"/>
        <bgColor indexed="64"/>
      </patternFill>
    </fill>
  </fills>
  <borders count="6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31">
    <xf numFmtId="0" fontId="0" fillId="0" borderId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7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8" borderId="39" applyNumberFormat="0" applyAlignment="0" applyProtection="0"/>
    <xf numFmtId="0" fontId="17" fillId="0" borderId="40" applyNumberFormat="0" applyFill="0" applyAlignment="0" applyProtection="0"/>
    <xf numFmtId="0" fontId="12" fillId="29" borderId="41" applyNumberFormat="0" applyFont="0" applyAlignment="0" applyProtection="0"/>
    <xf numFmtId="0" fontId="18" fillId="15" borderId="39" applyNumberFormat="0" applyAlignment="0" applyProtection="0"/>
    <xf numFmtId="0" fontId="19" fillId="11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20" fillId="30" borderId="0" applyNumberFormat="0" applyBorder="0" applyAlignment="0" applyProtection="0"/>
    <xf numFmtId="9" fontId="5" fillId="0" borderId="0" applyFont="0" applyFill="0" applyBorder="0" applyAlignment="0" applyProtection="0"/>
    <xf numFmtId="0" fontId="21" fillId="12" borderId="0" applyNumberFormat="0" applyBorder="0" applyAlignment="0" applyProtection="0"/>
    <xf numFmtId="0" fontId="22" fillId="28" borderId="42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43" applyNumberFormat="0" applyFill="0" applyAlignment="0" applyProtection="0"/>
    <xf numFmtId="0" fontId="26" fillId="0" borderId="44" applyNumberFormat="0" applyFill="0" applyAlignment="0" applyProtection="0"/>
    <xf numFmtId="0" fontId="27" fillId="0" borderId="4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46" applyNumberFormat="0" applyFill="0" applyAlignment="0" applyProtection="0"/>
    <xf numFmtId="0" fontId="29" fillId="31" borderId="47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</cellStyleXfs>
  <cellXfs count="289">
    <xf numFmtId="0" fontId="0" fillId="0" borderId="0" xfId="0"/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32" fillId="6" borderId="15" xfId="0" applyFont="1" applyFill="1" applyBorder="1" applyAlignment="1">
      <alignment horizontal="center" vertical="center" wrapText="1"/>
    </xf>
    <xf numFmtId="0" fontId="32" fillId="5" borderId="15" xfId="0" applyFont="1" applyFill="1" applyBorder="1" applyAlignment="1">
      <alignment horizontal="center" vertical="center" wrapText="1"/>
    </xf>
    <xf numFmtId="14" fontId="32" fillId="6" borderId="15" xfId="0" applyNumberFormat="1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4" fontId="11" fillId="7" borderId="16" xfId="0" applyNumberFormat="1" applyFont="1" applyFill="1" applyBorder="1" applyAlignment="1">
      <alignment horizontal="center" vertical="center"/>
    </xf>
    <xf numFmtId="14" fontId="11" fillId="0" borderId="16" xfId="0" applyNumberFormat="1" applyFont="1" applyBorder="1" applyAlignment="1">
      <alignment horizontal="center" vertical="center"/>
    </xf>
    <xf numFmtId="14" fontId="11" fillId="0" borderId="16" xfId="31" applyNumberFormat="1" applyFont="1" applyBorder="1" applyAlignment="1" applyProtection="1">
      <alignment horizontal="center" vertical="center"/>
    </xf>
    <xf numFmtId="14" fontId="11" fillId="7" borderId="16" xfId="31" applyNumberFormat="1" applyFont="1" applyFill="1" applyBorder="1" applyAlignment="1" applyProtection="1">
      <alignment horizontal="center" vertical="center"/>
    </xf>
    <xf numFmtId="14" fontId="11" fillId="0" borderId="16" xfId="31" applyNumberFormat="1" applyFont="1" applyFill="1" applyBorder="1" applyAlignment="1" applyProtection="1">
      <alignment horizontal="center" vertical="center"/>
    </xf>
    <xf numFmtId="165" fontId="32" fillId="0" borderId="0" xfId="0" applyNumberFormat="1" applyFont="1" applyFill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32" fillId="8" borderId="5" xfId="0" applyFont="1" applyFill="1" applyBorder="1" applyAlignment="1">
      <alignment horizontal="center" vertical="center"/>
    </xf>
    <xf numFmtId="14" fontId="11" fillId="0" borderId="16" xfId="0" applyNumberFormat="1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5" fontId="11" fillId="0" borderId="1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7" fillId="0" borderId="0" xfId="0" applyFont="1"/>
    <xf numFmtId="0" fontId="36" fillId="0" borderId="0" xfId="0" applyFont="1"/>
    <xf numFmtId="0" fontId="43" fillId="0" borderId="0" xfId="31" applyFont="1" applyAlignment="1" applyProtection="1">
      <alignment horizontal="center"/>
    </xf>
    <xf numFmtId="0" fontId="11" fillId="0" borderId="0" xfId="0" applyFont="1" applyFill="1"/>
    <xf numFmtId="0" fontId="32" fillId="0" borderId="25" xfId="0" applyFont="1" applyBorder="1" applyAlignment="1">
      <alignment horizontal="center" vertical="center"/>
    </xf>
    <xf numFmtId="165" fontId="32" fillId="0" borderId="0" xfId="0" applyNumberFormat="1" applyFont="1" applyFill="1" applyBorder="1" applyAlignment="1">
      <alignment horizontal="center" vertical="center"/>
    </xf>
    <xf numFmtId="1" fontId="11" fillId="0" borderId="1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39" fillId="0" borderId="6" xfId="0" applyFont="1" applyBorder="1" applyAlignment="1">
      <alignment horizontal="right"/>
    </xf>
    <xf numFmtId="0" fontId="39" fillId="0" borderId="8" xfId="0" applyFont="1" applyBorder="1" applyAlignment="1">
      <alignment horizontal="right"/>
    </xf>
    <xf numFmtId="0" fontId="42" fillId="0" borderId="0" xfId="0" applyFont="1" applyAlignment="1">
      <alignment horizontal="right" vertical="center"/>
    </xf>
    <xf numFmtId="0" fontId="11" fillId="5" borderId="0" xfId="0" applyFont="1" applyFill="1"/>
    <xf numFmtId="0" fontId="39" fillId="5" borderId="0" xfId="0" applyFont="1" applyFill="1" applyAlignment="1">
      <alignment horizontal="center" vertical="center"/>
    </xf>
    <xf numFmtId="0" fontId="4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2" fillId="0" borderId="0" xfId="0" applyFont="1" applyAlignment="1">
      <alignment horizontal="left"/>
    </xf>
    <xf numFmtId="0" fontId="39" fillId="0" borderId="4" xfId="0" applyFont="1" applyBorder="1" applyAlignment="1">
      <alignment horizontal="right"/>
    </xf>
    <xf numFmtId="0" fontId="39" fillId="0" borderId="1" xfId="0" applyFont="1" applyBorder="1" applyAlignment="1">
      <alignment horizontal="right"/>
    </xf>
    <xf numFmtId="0" fontId="11" fillId="0" borderId="0" xfId="0" applyFont="1" applyAlignment="1">
      <alignment horizontal="center" vertical="center"/>
    </xf>
    <xf numFmtId="14" fontId="11" fillId="32" borderId="16" xfId="0" applyNumberFormat="1" applyFont="1" applyFill="1" applyBorder="1" applyAlignment="1">
      <alignment horizontal="center" vertical="center"/>
    </xf>
    <xf numFmtId="0" fontId="11" fillId="32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1" fillId="33" borderId="0" xfId="0" applyFont="1" applyFill="1" applyAlignment="1">
      <alignment horizontal="center" vertical="center"/>
    </xf>
    <xf numFmtId="49" fontId="32" fillId="8" borderId="18" xfId="0" applyNumberFormat="1" applyFont="1" applyFill="1" applyBorder="1" applyAlignment="1">
      <alignment horizontal="center"/>
    </xf>
    <xf numFmtId="49" fontId="32" fillId="9" borderId="7" xfId="0" applyNumberFormat="1" applyFont="1" applyFill="1" applyBorder="1" applyAlignment="1">
      <alignment horizontal="center"/>
    </xf>
    <xf numFmtId="0" fontId="36" fillId="34" borderId="0" xfId="0" applyFont="1" applyFill="1" applyAlignment="1">
      <alignment horizontal="center"/>
    </xf>
    <xf numFmtId="0" fontId="47" fillId="0" borderId="0" xfId="31" applyFont="1" applyAlignment="1" applyProtection="1">
      <alignment horizontal="center"/>
    </xf>
    <xf numFmtId="0" fontId="45" fillId="0" borderId="0" xfId="0" applyFont="1" applyAlignment="1">
      <alignment horizontal="right"/>
    </xf>
    <xf numFmtId="0" fontId="48" fillId="0" borderId="0" xfId="0" applyFont="1" applyAlignment="1">
      <alignment horizontal="center"/>
    </xf>
    <xf numFmtId="0" fontId="36" fillId="37" borderId="0" xfId="0" applyFont="1" applyFill="1" applyAlignment="1">
      <alignment horizontal="center"/>
    </xf>
    <xf numFmtId="0" fontId="36" fillId="0" borderId="0" xfId="0" applyFont="1" applyAlignment="1">
      <alignment horizontal="right"/>
    </xf>
    <xf numFmtId="0" fontId="37" fillId="0" borderId="0" xfId="31" applyFont="1" applyAlignment="1" applyProtection="1">
      <alignment horizontal="center"/>
    </xf>
    <xf numFmtId="0" fontId="48" fillId="0" borderId="0" xfId="0" applyFont="1" applyAlignment="1">
      <alignment horizontal="right"/>
    </xf>
    <xf numFmtId="0" fontId="39" fillId="0" borderId="7" xfId="0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6" fillId="38" borderId="0" xfId="0" applyFont="1" applyFill="1" applyAlignment="1">
      <alignment horizontal="center"/>
    </xf>
    <xf numFmtId="0" fontId="36" fillId="39" borderId="0" xfId="0" applyFont="1" applyFill="1" applyAlignment="1">
      <alignment horizontal="center"/>
    </xf>
    <xf numFmtId="2" fontId="39" fillId="0" borderId="7" xfId="0" applyNumberFormat="1" applyFont="1" applyBorder="1" applyAlignment="1">
      <alignment horizontal="center"/>
    </xf>
    <xf numFmtId="2" fontId="39" fillId="0" borderId="9" xfId="0" applyNumberFormat="1" applyFont="1" applyBorder="1" applyAlignment="1">
      <alignment horizontal="center"/>
    </xf>
    <xf numFmtId="0" fontId="39" fillId="32" borderId="36" xfId="0" applyFont="1" applyFill="1" applyBorder="1" applyAlignment="1">
      <alignment horizontal="center"/>
    </xf>
    <xf numFmtId="0" fontId="39" fillId="0" borderId="31" xfId="0" applyFont="1" applyBorder="1" applyAlignment="1">
      <alignment horizontal="center"/>
    </xf>
    <xf numFmtId="0" fontId="39" fillId="0" borderId="33" xfId="0" applyFont="1" applyBorder="1" applyAlignment="1">
      <alignment horizontal="center"/>
    </xf>
    <xf numFmtId="0" fontId="39" fillId="0" borderId="6" xfId="0" applyFont="1" applyBorder="1" applyAlignment="1">
      <alignment horizontal="center"/>
    </xf>
    <xf numFmtId="0" fontId="39" fillId="0" borderId="8" xfId="0" applyFont="1" applyBorder="1" applyAlignment="1">
      <alignment horizontal="center"/>
    </xf>
    <xf numFmtId="0" fontId="39" fillId="34" borderId="7" xfId="0" applyFont="1" applyFill="1" applyBorder="1" applyAlignment="1">
      <alignment horizontal="center"/>
    </xf>
    <xf numFmtId="0" fontId="39" fillId="34" borderId="37" xfId="0" applyFont="1" applyFill="1" applyBorder="1" applyAlignment="1">
      <alignment horizontal="center"/>
    </xf>
    <xf numFmtId="0" fontId="49" fillId="40" borderId="0" xfId="0" applyFont="1" applyFill="1" applyAlignment="1">
      <alignment horizontal="center"/>
    </xf>
    <xf numFmtId="0" fontId="0" fillId="0" borderId="0" xfId="0" applyAlignment="1"/>
    <xf numFmtId="0" fontId="11" fillId="0" borderId="0" xfId="0" applyFont="1" applyAlignment="1">
      <alignment horizontal="center" vertical="center"/>
    </xf>
    <xf numFmtId="0" fontId="52" fillId="35" borderId="6" xfId="0" applyFont="1" applyFill="1" applyBorder="1" applyAlignment="1">
      <alignment horizontal="center" vertical="top"/>
    </xf>
    <xf numFmtId="0" fontId="52" fillId="35" borderId="17" xfId="0" applyFont="1" applyFill="1" applyBorder="1" applyAlignment="1">
      <alignment horizontal="center" vertical="top"/>
    </xf>
    <xf numFmtId="0" fontId="52" fillId="35" borderId="8" xfId="0" applyFont="1" applyFill="1" applyBorder="1" applyAlignment="1">
      <alignment horizontal="center" vertical="top"/>
    </xf>
    <xf numFmtId="0" fontId="51" fillId="37" borderId="23" xfId="0" applyFont="1" applyFill="1" applyBorder="1" applyAlignment="1">
      <alignment horizontal="center" vertical="center"/>
    </xf>
    <xf numFmtId="0" fontId="51" fillId="37" borderId="9" xfId="0" applyFont="1" applyFill="1" applyBorder="1" applyAlignment="1">
      <alignment horizontal="center" vertical="center"/>
    </xf>
    <xf numFmtId="0" fontId="39" fillId="0" borderId="25" xfId="0" applyFont="1" applyBorder="1" applyAlignment="1">
      <alignment horizontal="right"/>
    </xf>
    <xf numFmtId="0" fontId="31" fillId="0" borderId="31" xfId="0" applyFont="1" applyBorder="1" applyAlignment="1">
      <alignment horizontal="center"/>
    </xf>
    <xf numFmtId="0" fontId="31" fillId="3" borderId="4" xfId="0" applyFont="1" applyFill="1" applyBorder="1" applyAlignment="1">
      <alignment horizontal="right"/>
    </xf>
    <xf numFmtId="0" fontId="39" fillId="0" borderId="30" xfId="0" applyFont="1" applyBorder="1" applyAlignment="1">
      <alignment horizontal="right"/>
    </xf>
    <xf numFmtId="0" fontId="55" fillId="0" borderId="0" xfId="0" applyFont="1"/>
    <xf numFmtId="0" fontId="55" fillId="33" borderId="0" xfId="0" applyFont="1" applyFill="1"/>
    <xf numFmtId="0" fontId="56" fillId="33" borderId="0" xfId="0" applyFont="1" applyFill="1"/>
    <xf numFmtId="0" fontId="31" fillId="0" borderId="0" xfId="0" applyFont="1" applyAlignment="1">
      <alignment horizontal="right"/>
    </xf>
    <xf numFmtId="0" fontId="39" fillId="0" borderId="0" xfId="0" applyFont="1" applyAlignment="1">
      <alignment horizontal="left" vertical="center"/>
    </xf>
    <xf numFmtId="0" fontId="53" fillId="36" borderId="7" xfId="0" applyFont="1" applyFill="1" applyBorder="1" applyAlignment="1">
      <alignment horizontal="center"/>
    </xf>
    <xf numFmtId="0" fontId="6" fillId="3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33" borderId="0" xfId="0" applyFont="1" applyFill="1"/>
    <xf numFmtId="0" fontId="39" fillId="33" borderId="0" xfId="0" applyFont="1" applyFill="1" applyAlignment="1">
      <alignment horizontal="left"/>
    </xf>
    <xf numFmtId="0" fontId="37" fillId="33" borderId="0" xfId="0" applyFont="1" applyFill="1" applyAlignment="1">
      <alignment horizontal="right"/>
    </xf>
    <xf numFmtId="0" fontId="42" fillId="33" borderId="0" xfId="0" applyFont="1" applyFill="1" applyAlignment="1">
      <alignment horizontal="left"/>
    </xf>
    <xf numFmtId="165" fontId="11" fillId="45" borderId="16" xfId="0" applyNumberFormat="1" applyFont="1" applyFill="1" applyBorder="1" applyAlignment="1">
      <alignment horizontal="center" vertical="center"/>
    </xf>
    <xf numFmtId="14" fontId="57" fillId="0" borderId="0" xfId="0" applyNumberFormat="1" applyFont="1" applyAlignment="1">
      <alignment horizontal="left" vertical="center"/>
    </xf>
    <xf numFmtId="0" fontId="32" fillId="33" borderId="0" xfId="0" applyFont="1" applyFill="1" applyAlignment="1">
      <alignment horizontal="center" vertical="center"/>
    </xf>
    <xf numFmtId="0" fontId="55" fillId="0" borderId="0" xfId="0" applyFont="1" applyAlignment="1">
      <alignment horizontal="left"/>
    </xf>
    <xf numFmtId="9" fontId="55" fillId="0" borderId="0" xfId="0" applyNumberFormat="1" applyFont="1" applyAlignment="1">
      <alignment horizontal="left"/>
    </xf>
    <xf numFmtId="0" fontId="55" fillId="0" borderId="0" xfId="0" applyNumberFormat="1" applyFont="1" applyAlignment="1">
      <alignment horizontal="center" vertical="center"/>
    </xf>
    <xf numFmtId="0" fontId="31" fillId="32" borderId="14" xfId="0" applyFont="1" applyFill="1" applyBorder="1" applyAlignment="1">
      <alignment horizontal="left" vertical="center" wrapText="1"/>
    </xf>
    <xf numFmtId="0" fontId="55" fillId="33" borderId="0" xfId="0" applyFont="1" applyFill="1" applyAlignment="1">
      <alignment horizontal="left"/>
    </xf>
    <xf numFmtId="0" fontId="54" fillId="34" borderId="0" xfId="0" applyFont="1" applyFill="1"/>
    <xf numFmtId="165" fontId="32" fillId="44" borderId="16" xfId="0" applyNumberFormat="1" applyFont="1" applyFill="1" applyBorder="1" applyAlignment="1">
      <alignment horizontal="center" vertical="center" wrapText="1"/>
    </xf>
    <xf numFmtId="165" fontId="11" fillId="46" borderId="16" xfId="0" applyNumberFormat="1" applyFont="1" applyFill="1" applyBorder="1" applyAlignment="1">
      <alignment horizontal="center" vertical="center"/>
    </xf>
    <xf numFmtId="165" fontId="32" fillId="46" borderId="0" xfId="0" applyNumberFormat="1" applyFont="1" applyFill="1" applyBorder="1" applyAlignment="1">
      <alignment horizontal="center" vertical="center"/>
    </xf>
    <xf numFmtId="165" fontId="11" fillId="33" borderId="16" xfId="0" applyNumberFormat="1" applyFont="1" applyFill="1" applyBorder="1" applyAlignment="1">
      <alignment horizontal="center" vertical="center"/>
    </xf>
    <xf numFmtId="165" fontId="32" fillId="46" borderId="0" xfId="0" applyNumberFormat="1" applyFont="1" applyFill="1" applyAlignment="1">
      <alignment horizontal="center" vertical="center"/>
    </xf>
    <xf numFmtId="0" fontId="32" fillId="46" borderId="18" xfId="0" applyFont="1" applyFill="1" applyBorder="1" applyAlignment="1">
      <alignment horizontal="center" vertical="center"/>
    </xf>
    <xf numFmtId="166" fontId="11" fillId="46" borderId="7" xfId="33" applyNumberFormat="1" applyFont="1" applyFill="1" applyBorder="1" applyAlignment="1">
      <alignment horizontal="center" vertical="center"/>
    </xf>
    <xf numFmtId="0" fontId="32" fillId="46" borderId="21" xfId="0" applyFont="1" applyFill="1" applyBorder="1" applyAlignment="1">
      <alignment horizontal="center" vertical="center"/>
    </xf>
    <xf numFmtId="166" fontId="11" fillId="46" borderId="22" xfId="33" applyNumberFormat="1" applyFont="1" applyFill="1" applyBorder="1" applyAlignment="1">
      <alignment horizontal="center" vertical="center"/>
    </xf>
    <xf numFmtId="0" fontId="41" fillId="0" borderId="20" xfId="0" applyFont="1" applyBorder="1" applyAlignment="1">
      <alignment horizontal="center" vertical="center" wrapText="1"/>
    </xf>
    <xf numFmtId="9" fontId="41" fillId="0" borderId="24" xfId="0" applyNumberFormat="1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47" borderId="0" xfId="0" applyFont="1" applyFill="1" applyBorder="1" applyAlignment="1">
      <alignment horizontal="center" vertical="center"/>
    </xf>
    <xf numFmtId="0" fontId="11" fillId="46" borderId="0" xfId="0" applyFont="1" applyFill="1" applyBorder="1" applyAlignment="1">
      <alignment horizontal="center" vertical="center"/>
    </xf>
    <xf numFmtId="166" fontId="11" fillId="46" borderId="0" xfId="0" applyNumberFormat="1" applyFont="1" applyFill="1" applyBorder="1" applyAlignment="1">
      <alignment horizontal="center" vertical="center"/>
    </xf>
    <xf numFmtId="0" fontId="11" fillId="46" borderId="7" xfId="0" applyFont="1" applyFill="1" applyBorder="1" applyAlignment="1">
      <alignment horizontal="center" vertical="center"/>
    </xf>
    <xf numFmtId="0" fontId="11" fillId="46" borderId="28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46" borderId="3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1" fillId="49" borderId="16" xfId="0" applyFont="1" applyFill="1" applyBorder="1" applyAlignment="1">
      <alignment horizontal="center" vertical="center"/>
    </xf>
    <xf numFmtId="0" fontId="7" fillId="44" borderId="15" xfId="0" applyFont="1" applyFill="1" applyBorder="1" applyAlignment="1">
      <alignment horizontal="center" vertical="center" wrapText="1"/>
    </xf>
    <xf numFmtId="0" fontId="11" fillId="49" borderId="27" xfId="0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4" fontId="11" fillId="7" borderId="27" xfId="0" applyNumberFormat="1" applyFont="1" applyFill="1" applyBorder="1" applyAlignment="1">
      <alignment horizontal="center" vertical="center"/>
    </xf>
    <xf numFmtId="165" fontId="11" fillId="46" borderId="27" xfId="0" applyNumberFormat="1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14" fontId="11" fillId="0" borderId="27" xfId="0" applyNumberFormat="1" applyFont="1" applyBorder="1" applyAlignment="1">
      <alignment horizontal="center" vertical="center"/>
    </xf>
    <xf numFmtId="165" fontId="11" fillId="33" borderId="27" xfId="0" applyNumberFormat="1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14" fontId="11" fillId="0" borderId="27" xfId="31" applyNumberFormat="1" applyFont="1" applyBorder="1" applyAlignment="1" applyProtection="1">
      <alignment horizontal="center" vertical="center"/>
    </xf>
    <xf numFmtId="14" fontId="11" fillId="0" borderId="27" xfId="0" applyNumberFormat="1" applyFont="1" applyFill="1" applyBorder="1" applyAlignment="1">
      <alignment horizontal="center" vertical="center"/>
    </xf>
    <xf numFmtId="165" fontId="11" fillId="45" borderId="27" xfId="0" applyNumberFormat="1" applyFont="1" applyFill="1" applyBorder="1" applyAlignment="1">
      <alignment horizontal="center" vertical="center"/>
    </xf>
    <xf numFmtId="165" fontId="32" fillId="44" borderId="27" xfId="0" applyNumberFormat="1" applyFont="1" applyFill="1" applyBorder="1" applyAlignment="1">
      <alignment horizontal="center" vertical="center" wrapText="1"/>
    </xf>
    <xf numFmtId="165" fontId="11" fillId="0" borderId="27" xfId="0" applyNumberFormat="1" applyFont="1" applyFill="1" applyBorder="1" applyAlignment="1">
      <alignment horizontal="center" vertical="center"/>
    </xf>
    <xf numFmtId="1" fontId="11" fillId="0" borderId="27" xfId="0" applyNumberFormat="1" applyFont="1" applyFill="1" applyBorder="1" applyAlignment="1">
      <alignment horizontal="center" vertical="center"/>
    </xf>
    <xf numFmtId="0" fontId="32" fillId="42" borderId="20" xfId="0" applyFont="1" applyFill="1" applyBorder="1" applyAlignment="1">
      <alignment horizontal="center" vertical="center" wrapText="1"/>
    </xf>
    <xf numFmtId="0" fontId="32" fillId="43" borderId="21" xfId="0" applyFont="1" applyFill="1" applyBorder="1" applyAlignment="1">
      <alignment horizontal="center" vertical="center" wrapText="1"/>
    </xf>
    <xf numFmtId="0" fontId="32" fillId="42" borderId="21" xfId="0" applyFont="1" applyFill="1" applyBorder="1" applyAlignment="1">
      <alignment horizontal="center" vertical="center"/>
    </xf>
    <xf numFmtId="14" fontId="32" fillId="43" borderId="21" xfId="0" applyNumberFormat="1" applyFont="1" applyFill="1" applyBorder="1" applyAlignment="1">
      <alignment horizontal="center" vertical="center" wrapText="1"/>
    </xf>
    <xf numFmtId="165" fontId="32" fillId="33" borderId="21" xfId="0" applyNumberFormat="1" applyFont="1" applyFill="1" applyBorder="1" applyAlignment="1">
      <alignment horizontal="center" vertical="center"/>
    </xf>
    <xf numFmtId="0" fontId="41" fillId="43" borderId="21" xfId="0" applyFont="1" applyFill="1" applyBorder="1" applyAlignment="1">
      <alignment horizontal="center" vertical="center" wrapText="1"/>
    </xf>
    <xf numFmtId="165" fontId="11" fillId="33" borderId="21" xfId="0" applyNumberFormat="1" applyFont="1" applyFill="1" applyBorder="1" applyAlignment="1">
      <alignment horizontal="center" vertical="center"/>
    </xf>
    <xf numFmtId="0" fontId="11" fillId="42" borderId="21" xfId="0" applyFont="1" applyFill="1" applyBorder="1" applyAlignment="1">
      <alignment horizontal="center" vertical="center"/>
    </xf>
    <xf numFmtId="0" fontId="32" fillId="44" borderId="21" xfId="0" applyFont="1" applyFill="1" applyBorder="1" applyAlignment="1">
      <alignment horizontal="center" vertical="center" wrapText="1"/>
    </xf>
    <xf numFmtId="0" fontId="32" fillId="43" borderId="21" xfId="0" applyNumberFormat="1" applyFont="1" applyFill="1" applyBorder="1" applyAlignment="1">
      <alignment horizontal="center" vertical="center" wrapText="1"/>
    </xf>
    <xf numFmtId="165" fontId="32" fillId="44" borderId="21" xfId="0" applyNumberFormat="1" applyFont="1" applyFill="1" applyBorder="1" applyAlignment="1">
      <alignment horizontal="center" vertical="center" wrapText="1"/>
    </xf>
    <xf numFmtId="0" fontId="32" fillId="42" borderId="22" xfId="0" applyFont="1" applyFill="1" applyBorder="1" applyAlignment="1">
      <alignment horizontal="center" vertical="center" wrapText="1"/>
    </xf>
    <xf numFmtId="165" fontId="32" fillId="45" borderId="21" xfId="0" applyNumberFormat="1" applyFont="1" applyFill="1" applyBorder="1" applyAlignment="1">
      <alignment horizontal="center" vertical="center"/>
    </xf>
    <xf numFmtId="0" fontId="54" fillId="51" borderId="0" xfId="0" applyFont="1" applyFill="1" applyAlignment="1">
      <alignment horizontal="left"/>
    </xf>
    <xf numFmtId="0" fontId="54" fillId="51" borderId="0" xfId="0" applyFont="1" applyFill="1"/>
    <xf numFmtId="0" fontId="54" fillId="51" borderId="0" xfId="0" applyFont="1" applyFill="1" applyAlignment="1">
      <alignment horizontal="center"/>
    </xf>
    <xf numFmtId="0" fontId="54" fillId="52" borderId="0" xfId="0" applyFont="1" applyFill="1"/>
    <xf numFmtId="0" fontId="55" fillId="52" borderId="0" xfId="0" applyFont="1" applyFill="1"/>
    <xf numFmtId="0" fontId="55" fillId="32" borderId="0" xfId="0" applyFont="1" applyFill="1" applyAlignment="1">
      <alignment horizontal="left"/>
    </xf>
    <xf numFmtId="0" fontId="58" fillId="0" borderId="0" xfId="0" applyFont="1" applyAlignment="1">
      <alignment horizontal="left"/>
    </xf>
    <xf numFmtId="0" fontId="55" fillId="32" borderId="0" xfId="0" applyFont="1" applyFill="1"/>
    <xf numFmtId="0" fontId="55" fillId="0" borderId="0" xfId="0" applyFont="1" applyAlignment="1">
      <alignment horizontal="center" vertical="center"/>
    </xf>
    <xf numFmtId="0" fontId="55" fillId="33" borderId="0" xfId="0" applyFont="1" applyFill="1" applyAlignment="1">
      <alignment horizontal="center" vertical="center"/>
    </xf>
    <xf numFmtId="0" fontId="11" fillId="33" borderId="0" xfId="0" applyFont="1" applyFill="1" applyBorder="1" applyAlignment="1">
      <alignment horizontal="center" vertical="center"/>
    </xf>
    <xf numFmtId="0" fontId="11" fillId="48" borderId="0" xfId="0" applyFont="1" applyFill="1" applyAlignment="1">
      <alignment horizontal="center" vertical="center"/>
    </xf>
    <xf numFmtId="0" fontId="11" fillId="48" borderId="0" xfId="0" applyFont="1" applyFill="1" applyBorder="1" applyAlignment="1">
      <alignment horizontal="center" vertical="center"/>
    </xf>
    <xf numFmtId="0" fontId="11" fillId="33" borderId="0" xfId="0" applyFont="1" applyFill="1"/>
    <xf numFmtId="0" fontId="0" fillId="33" borderId="0" xfId="0" applyFill="1"/>
    <xf numFmtId="0" fontId="54" fillId="37" borderId="0" xfId="0" applyFont="1" applyFill="1"/>
    <xf numFmtId="164" fontId="50" fillId="53" borderId="0" xfId="0" applyNumberFormat="1" applyFont="1" applyFill="1" applyAlignment="1">
      <alignment horizontal="center" vertical="center"/>
    </xf>
    <xf numFmtId="0" fontId="39" fillId="53" borderId="11" xfId="0" applyFont="1" applyFill="1" applyBorder="1" applyAlignment="1">
      <alignment horizontal="center" vertical="center"/>
    </xf>
    <xf numFmtId="0" fontId="39" fillId="53" borderId="11" xfId="0" applyFont="1" applyFill="1" applyBorder="1" applyAlignment="1">
      <alignment horizontal="center"/>
    </xf>
    <xf numFmtId="0" fontId="39" fillId="53" borderId="12" xfId="0" applyFont="1" applyFill="1" applyBorder="1" applyAlignment="1">
      <alignment horizontal="center" vertical="center"/>
    </xf>
    <xf numFmtId="0" fontId="39" fillId="53" borderId="12" xfId="0" applyFont="1" applyFill="1" applyBorder="1" applyAlignment="1">
      <alignment horizontal="center"/>
    </xf>
    <xf numFmtId="0" fontId="39" fillId="53" borderId="48" xfId="0" applyFont="1" applyFill="1" applyBorder="1" applyAlignment="1">
      <alignment horizontal="center" vertical="center"/>
    </xf>
    <xf numFmtId="0" fontId="39" fillId="53" borderId="48" xfId="0" applyFont="1" applyFill="1" applyBorder="1" applyAlignment="1">
      <alignment horizontal="center"/>
    </xf>
    <xf numFmtId="2" fontId="39" fillId="53" borderId="0" xfId="0" applyNumberFormat="1" applyFont="1" applyFill="1" applyAlignment="1">
      <alignment horizontal="center" vertical="center"/>
    </xf>
    <xf numFmtId="0" fontId="39" fillId="53" borderId="3" xfId="0" applyFont="1" applyFill="1" applyBorder="1" applyAlignment="1">
      <alignment horizontal="center"/>
    </xf>
    <xf numFmtId="0" fontId="55" fillId="54" borderId="0" xfId="0" applyFont="1" applyFill="1" applyAlignment="1">
      <alignment horizontal="center" vertical="center"/>
    </xf>
    <xf numFmtId="0" fontId="55" fillId="34" borderId="0" xfId="0" applyFont="1" applyFill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59" fillId="0" borderId="0" xfId="0" applyFont="1" applyAlignment="1">
      <alignment horizontal="left"/>
    </xf>
    <xf numFmtId="0" fontId="10" fillId="34" borderId="0" xfId="0" applyFont="1" applyFill="1"/>
    <xf numFmtId="0" fontId="54" fillId="34" borderId="0" xfId="0" applyFont="1" applyFill="1" applyAlignment="1">
      <alignment horizontal="center" vertical="center"/>
    </xf>
    <xf numFmtId="0" fontId="53" fillId="41" borderId="0" xfId="0" applyFont="1" applyFill="1" applyBorder="1" applyAlignment="1">
      <alignment horizontal="center"/>
    </xf>
    <xf numFmtId="0" fontId="61" fillId="0" borderId="0" xfId="0" applyFont="1"/>
    <xf numFmtId="0" fontId="54" fillId="55" borderId="0" xfId="0" applyFont="1" applyFill="1"/>
    <xf numFmtId="0" fontId="55" fillId="0" borderId="0" xfId="0" applyFont="1" applyAlignment="1">
      <alignment horizontal="left" vertical="center"/>
    </xf>
    <xf numFmtId="0" fontId="54" fillId="55" borderId="0" xfId="0" applyFont="1" applyFill="1" applyAlignment="1">
      <alignment horizontal="center" vertical="center"/>
    </xf>
    <xf numFmtId="0" fontId="62" fillId="32" borderId="0" xfId="0" applyFont="1" applyFill="1" applyBorder="1" applyAlignment="1">
      <alignment horizontal="center"/>
    </xf>
    <xf numFmtId="0" fontId="56" fillId="33" borderId="0" xfId="0" applyFont="1" applyFill="1" applyAlignment="1">
      <alignment horizontal="center" vertical="center"/>
    </xf>
    <xf numFmtId="0" fontId="31" fillId="53" borderId="48" xfId="0" applyFont="1" applyFill="1" applyBorder="1" applyAlignment="1">
      <alignment horizontal="center" vertical="center"/>
    </xf>
    <xf numFmtId="165" fontId="11" fillId="46" borderId="51" xfId="0" applyNumberFormat="1" applyFont="1" applyFill="1" applyBorder="1" applyAlignment="1">
      <alignment horizontal="center" vertical="center"/>
    </xf>
    <xf numFmtId="165" fontId="1" fillId="46" borderId="3" xfId="0" applyNumberFormat="1" applyFont="1" applyFill="1" applyBorder="1" applyAlignment="1">
      <alignment horizontal="center" vertical="center"/>
    </xf>
    <xf numFmtId="0" fontId="6" fillId="48" borderId="0" xfId="0" applyFont="1" applyFill="1" applyBorder="1" applyAlignment="1">
      <alignment horizontal="center" vertical="center"/>
    </xf>
    <xf numFmtId="0" fontId="33" fillId="4" borderId="6" xfId="0" applyFont="1" applyFill="1" applyBorder="1" applyAlignment="1">
      <alignment horizontal="center" vertical="center" wrapText="1"/>
    </xf>
    <xf numFmtId="0" fontId="32" fillId="7" borderId="18" xfId="0" applyFont="1" applyFill="1" applyBorder="1" applyAlignment="1">
      <alignment horizontal="center" vertical="center"/>
    </xf>
    <xf numFmtId="0" fontId="4" fillId="5" borderId="52" xfId="0" applyFont="1" applyFill="1" applyBorder="1" applyAlignment="1">
      <alignment horizontal="center" vertical="center"/>
    </xf>
    <xf numFmtId="0" fontId="32" fillId="7" borderId="50" xfId="0" applyFont="1" applyFill="1" applyBorder="1" applyAlignment="1">
      <alignment horizontal="center" vertical="center"/>
    </xf>
    <xf numFmtId="0" fontId="32" fillId="46" borderId="50" xfId="0" applyFont="1" applyFill="1" applyBorder="1" applyAlignment="1">
      <alignment horizontal="center" vertical="center"/>
    </xf>
    <xf numFmtId="166" fontId="11" fillId="46" borderId="53" xfId="33" applyNumberFormat="1" applyFont="1" applyFill="1" applyBorder="1" applyAlignment="1">
      <alignment horizontal="center" vertical="center"/>
    </xf>
    <xf numFmtId="0" fontId="55" fillId="0" borderId="54" xfId="0" applyFont="1" applyBorder="1" applyAlignment="1">
      <alignment horizontal="center"/>
    </xf>
    <xf numFmtId="166" fontId="11" fillId="46" borderId="55" xfId="33" applyNumberFormat="1" applyFont="1" applyFill="1" applyBorder="1" applyAlignment="1">
      <alignment horizontal="center" vertical="center"/>
    </xf>
    <xf numFmtId="0" fontId="33" fillId="57" borderId="6" xfId="0" applyFont="1" applyFill="1" applyBorder="1" applyAlignment="1">
      <alignment horizontal="center" vertical="center" wrapText="1"/>
    </xf>
    <xf numFmtId="0" fontId="33" fillId="58" borderId="6" xfId="0" applyFont="1" applyFill="1" applyBorder="1" applyAlignment="1">
      <alignment horizontal="center" vertical="center" wrapText="1"/>
    </xf>
    <xf numFmtId="0" fontId="11" fillId="46" borderId="55" xfId="0" applyFont="1" applyFill="1" applyBorder="1" applyAlignment="1">
      <alignment horizontal="center" vertical="center"/>
    </xf>
    <xf numFmtId="0" fontId="6" fillId="33" borderId="32" xfId="0" applyFont="1" applyFill="1" applyBorder="1" applyAlignment="1">
      <alignment horizontal="center" vertical="center"/>
    </xf>
    <xf numFmtId="0" fontId="6" fillId="33" borderId="60" xfId="0" applyFont="1" applyFill="1" applyBorder="1" applyAlignment="1">
      <alignment horizontal="center" vertical="center"/>
    </xf>
    <xf numFmtId="0" fontId="55" fillId="0" borderId="59" xfId="0" applyFont="1" applyBorder="1" applyAlignment="1">
      <alignment horizontal="center"/>
    </xf>
    <xf numFmtId="0" fontId="11" fillId="46" borderId="51" xfId="0" applyFont="1" applyFill="1" applyBorder="1" applyAlignment="1">
      <alignment horizontal="center" vertical="center"/>
    </xf>
    <xf numFmtId="166" fontId="11" fillId="46" borderId="51" xfId="33" applyNumberFormat="1" applyFont="1" applyFill="1" applyBorder="1" applyAlignment="1">
      <alignment horizontal="center" vertical="center"/>
    </xf>
    <xf numFmtId="0" fontId="55" fillId="0" borderId="26" xfId="0" applyFont="1" applyBorder="1" applyAlignment="1">
      <alignment horizontal="center"/>
    </xf>
    <xf numFmtId="0" fontId="11" fillId="46" borderId="27" xfId="0" applyFont="1" applyFill="1" applyBorder="1" applyAlignment="1">
      <alignment horizontal="center" vertical="center"/>
    </xf>
    <xf numFmtId="166" fontId="11" fillId="46" borderId="27" xfId="33" applyNumberFormat="1" applyFont="1" applyFill="1" applyBorder="1" applyAlignment="1">
      <alignment horizontal="center" vertical="center"/>
    </xf>
    <xf numFmtId="0" fontId="55" fillId="0" borderId="6" xfId="0" applyFont="1" applyBorder="1" applyAlignment="1">
      <alignment horizontal="center"/>
    </xf>
    <xf numFmtId="0" fontId="11" fillId="46" borderId="18" xfId="0" applyFont="1" applyFill="1" applyBorder="1" applyAlignment="1">
      <alignment horizontal="center" vertical="center"/>
    </xf>
    <xf numFmtId="166" fontId="11" fillId="46" borderId="18" xfId="33" applyNumberFormat="1" applyFont="1" applyFill="1" applyBorder="1" applyAlignment="1">
      <alignment horizontal="center" vertical="center"/>
    </xf>
    <xf numFmtId="0" fontId="32" fillId="0" borderId="52" xfId="0" applyFont="1" applyBorder="1" applyAlignment="1">
      <alignment horizontal="center"/>
    </xf>
    <xf numFmtId="0" fontId="32" fillId="0" borderId="54" xfId="0" applyFont="1" applyBorder="1" applyAlignment="1">
      <alignment horizontal="center"/>
    </xf>
    <xf numFmtId="166" fontId="11" fillId="46" borderId="55" xfId="0" applyNumberFormat="1" applyFont="1" applyFill="1" applyBorder="1" applyAlignment="1">
      <alignment horizontal="center"/>
    </xf>
    <xf numFmtId="166" fontId="11" fillId="46" borderId="56" xfId="0" applyNumberFormat="1" applyFont="1" applyFill="1" applyBorder="1" applyAlignment="1">
      <alignment horizontal="center"/>
    </xf>
    <xf numFmtId="0" fontId="6" fillId="33" borderId="0" xfId="0" applyFont="1" applyFill="1" applyBorder="1" applyAlignment="1">
      <alignment horizontal="center" vertical="center"/>
    </xf>
    <xf numFmtId="0" fontId="8" fillId="33" borderId="0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33" borderId="0" xfId="0" applyFont="1" applyFill="1" applyAlignment="1">
      <alignment horizontal="center" vertical="center"/>
    </xf>
    <xf numFmtId="0" fontId="55" fillId="0" borderId="20" xfId="0" applyFont="1" applyBorder="1" applyAlignment="1">
      <alignment horizontal="center"/>
    </xf>
    <xf numFmtId="0" fontId="11" fillId="46" borderId="21" xfId="0" applyFont="1" applyFill="1" applyBorder="1" applyAlignment="1">
      <alignment horizontal="center" vertical="center"/>
    </xf>
    <xf numFmtId="166" fontId="11" fillId="46" borderId="21" xfId="33" applyNumberFormat="1" applyFont="1" applyFill="1" applyBorder="1" applyAlignment="1">
      <alignment horizontal="center" vertical="center"/>
    </xf>
    <xf numFmtId="0" fontId="6" fillId="33" borderId="2" xfId="0" applyFont="1" applyFill="1" applyBorder="1" applyAlignment="1">
      <alignment horizontal="center" vertical="center"/>
    </xf>
    <xf numFmtId="0" fontId="6" fillId="33" borderId="33" xfId="0" applyFont="1" applyFill="1" applyBorder="1" applyAlignment="1">
      <alignment horizontal="center" vertical="center"/>
    </xf>
    <xf numFmtId="0" fontId="55" fillId="0" borderId="57" xfId="0" applyFont="1" applyBorder="1" applyAlignment="1">
      <alignment horizontal="center"/>
    </xf>
    <xf numFmtId="166" fontId="11" fillId="46" borderId="58" xfId="33" applyNumberFormat="1" applyFont="1" applyFill="1" applyBorder="1" applyAlignment="1">
      <alignment horizontal="center" vertical="center"/>
    </xf>
    <xf numFmtId="0" fontId="40" fillId="0" borderId="3" xfId="0" applyFont="1" applyBorder="1"/>
    <xf numFmtId="1" fontId="32" fillId="46" borderId="50" xfId="0" applyNumberFormat="1" applyFont="1" applyFill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32" fillId="46" borderId="53" xfId="0" applyNumberFormat="1" applyFont="1" applyFill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0" fontId="11" fillId="46" borderId="58" xfId="0" applyFont="1" applyFill="1" applyBorder="1" applyAlignment="1">
      <alignment horizontal="center" vertical="center"/>
    </xf>
    <xf numFmtId="0" fontId="32" fillId="56" borderId="50" xfId="0" applyFont="1" applyFill="1" applyBorder="1" applyAlignment="1">
      <alignment horizontal="center" vertical="center"/>
    </xf>
    <xf numFmtId="165" fontId="32" fillId="56" borderId="50" xfId="0" applyNumberFormat="1" applyFont="1" applyFill="1" applyBorder="1" applyAlignment="1">
      <alignment horizontal="center" vertical="center"/>
    </xf>
    <xf numFmtId="165" fontId="32" fillId="56" borderId="53" xfId="0" applyNumberFormat="1" applyFont="1" applyFill="1" applyBorder="1" applyAlignment="1">
      <alignment horizontal="center" vertical="center"/>
    </xf>
    <xf numFmtId="0" fontId="11" fillId="56" borderId="51" xfId="0" applyFont="1" applyFill="1" applyBorder="1" applyAlignment="1">
      <alignment horizontal="center" vertical="center"/>
    </xf>
    <xf numFmtId="0" fontId="0" fillId="32" borderId="0" xfId="0" applyFill="1"/>
    <xf numFmtId="0" fontId="11" fillId="32" borderId="0" xfId="0" applyFont="1" applyFill="1"/>
    <xf numFmtId="0" fontId="44" fillId="0" borderId="1" xfId="0" applyFont="1" applyBorder="1" applyAlignment="1">
      <alignment horizontal="center"/>
    </xf>
    <xf numFmtId="0" fontId="0" fillId="0" borderId="2" xfId="0" applyBorder="1" applyAlignment="1"/>
    <xf numFmtId="0" fontId="36" fillId="3" borderId="4" xfId="0" applyFont="1" applyFill="1" applyBorder="1" applyAlignment="1">
      <alignment horizontal="center" vertical="center"/>
    </xf>
    <xf numFmtId="0" fontId="60" fillId="0" borderId="49" xfId="0" applyFont="1" applyBorder="1" applyAlignment="1">
      <alignment horizontal="center"/>
    </xf>
    <xf numFmtId="0" fontId="3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6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6" fillId="50" borderId="1" xfId="0" applyFont="1" applyFill="1" applyBorder="1" applyAlignment="1">
      <alignment horizontal="center" vertical="center" wrapText="1"/>
    </xf>
    <xf numFmtId="0" fontId="37" fillId="50" borderId="10" xfId="0" applyFont="1" applyFill="1" applyBorder="1" applyAlignment="1">
      <alignment horizontal="center" vertical="center" wrapText="1"/>
    </xf>
    <xf numFmtId="0" fontId="11" fillId="50" borderId="10" xfId="0" applyFont="1" applyFill="1" applyBorder="1" applyAlignment="1">
      <alignment horizontal="center" vertical="center"/>
    </xf>
    <xf numFmtId="0" fontId="0" fillId="50" borderId="2" xfId="0" applyFill="1" applyBorder="1" applyAlignment="1">
      <alignment horizontal="center" vertical="center"/>
    </xf>
    <xf numFmtId="166" fontId="6" fillId="46" borderId="7" xfId="0" applyNumberFormat="1" applyFont="1" applyFill="1" applyBorder="1" applyAlignment="1">
      <alignment horizontal="center" vertical="center"/>
    </xf>
    <xf numFmtId="0" fontId="6" fillId="46" borderId="56" xfId="0" applyFont="1" applyFill="1" applyBorder="1" applyAlignment="1">
      <alignment horizontal="center" vertical="center"/>
    </xf>
    <xf numFmtId="0" fontId="38" fillId="32" borderId="13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32" fillId="34" borderId="31" xfId="0" applyFont="1" applyFill="1" applyBorder="1" applyAlignment="1">
      <alignment horizontal="center" vertical="center"/>
    </xf>
    <xf numFmtId="0" fontId="10" fillId="34" borderId="38" xfId="0" applyFont="1" applyFill="1" applyBorder="1" applyAlignment="1">
      <alignment horizontal="center" vertical="center"/>
    </xf>
    <xf numFmtId="0" fontId="10" fillId="34" borderId="48" xfId="0" applyFont="1" applyFill="1" applyBorder="1" applyAlignment="1">
      <alignment horizontal="center" vertical="center"/>
    </xf>
    <xf numFmtId="0" fontId="31" fillId="33" borderId="16" xfId="0" applyFont="1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</cellXfs>
  <cellStyles count="531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Avertissement" xfId="25"/>
    <cellStyle name="Calcul" xfId="26"/>
    <cellStyle name="Cellule liée" xfId="27"/>
    <cellStyle name="Commentaire" xfId="28"/>
    <cellStyle name="Entrée" xfId="29"/>
    <cellStyle name="Insatisfaisant" xfId="30"/>
    <cellStyle name="Lien hypertexte" xfId="31" builtinId="8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Neutre" xfId="32"/>
    <cellStyle name="Normal" xfId="0" builtinId="0"/>
    <cellStyle name="Pourcentage" xfId="33" builtinId="5"/>
    <cellStyle name="Satisfaisant" xfId="34"/>
    <cellStyle name="Sortie" xfId="35"/>
    <cellStyle name="Texte explicatif" xfId="36"/>
    <cellStyle name="Titre" xfId="37"/>
    <cellStyle name="Titre 1" xfId="38"/>
    <cellStyle name="Titre 2" xfId="39"/>
    <cellStyle name="Titre 3" xfId="40"/>
    <cellStyle name="Titre 4" xfId="41"/>
    <cellStyle name="Total" xfId="42"/>
    <cellStyle name="Vérification" xfId="43"/>
  </cellStyles>
  <dxfs count="29"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 patternType="solid">
          <fgColor indexed="64"/>
          <bgColor theme="1" tint="0.499984740745262"/>
        </patternFill>
      </fill>
    </dxf>
    <dxf>
      <font>
        <color auto="1"/>
      </font>
      <fill>
        <patternFill patternType="solid">
          <fgColor indexed="64"/>
          <bgColor theme="1" tint="0.499984740745262"/>
        </patternFill>
      </fill>
    </dxf>
    <dxf>
      <font>
        <color auto="1"/>
      </font>
      <fill>
        <patternFill patternType="solid">
          <fgColor indexed="64"/>
          <bgColor theme="1" tint="0.499984740745262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 patternType="solid">
          <fgColor indexed="64"/>
          <bgColor rgb="FFFFAEB1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14"/>
          <bgColor theme="0" tint="-0.14999847407452621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14"/>
          <bgColor theme="0" tint="-0.14999847407452621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14"/>
          <bgColor rgb="FFFFB9C1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indexed="40"/>
        </patternFill>
      </fill>
    </dxf>
    <dxf>
      <font>
        <color auto="1"/>
      </font>
      <fill>
        <patternFill>
          <bgColor rgb="FFFFC7CE"/>
        </patternFill>
      </fill>
    </dxf>
    <dxf>
      <fill>
        <patternFill patternType="solid">
          <fgColor indexed="64"/>
          <bgColor rgb="FFFFAAB8"/>
        </patternFill>
      </fill>
    </dxf>
    <dxf>
      <font>
        <color rgb="FF9C0006"/>
      </font>
      <fill>
        <patternFill patternType="solid">
          <fgColor indexed="64"/>
          <bgColor rgb="FFFF0000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14"/>
          <bgColor rgb="FFFFB1B6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colors>
    <mruColors>
      <color rgb="FFFFFFCC"/>
      <color rgb="FF87ECFF"/>
      <color rgb="FFCCFFCC"/>
      <color rgb="FFCCFFFF"/>
      <color rgb="FFFFCCFF"/>
      <color rgb="FF66FFFF"/>
      <color rgb="FF66FF99"/>
      <color rgb="FFF67AE7"/>
      <color rgb="FF47D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Pyramide des âges Maternelle</a:t>
            </a:r>
          </a:p>
        </c:rich>
      </c:tx>
      <c:layout/>
      <c:overlay val="0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ENSEIGNANTS!$I$96</c:f>
              <c:strCache>
                <c:ptCount val="1"/>
                <c:pt idx="0">
                  <c:v>NB d'enseignants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1100" b="1">
                    <a:solidFill>
                      <a:srgbClr val="0000FF"/>
                    </a:solidFill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ENSEIGNANTS!$J$95:$O$95</c:f>
              <c:strCache>
                <c:ptCount val="5"/>
                <c:pt idx="0">
                  <c:v>&lt; 30</c:v>
                </c:pt>
                <c:pt idx="1">
                  <c:v>30 - 40</c:v>
                </c:pt>
                <c:pt idx="2">
                  <c:v>41 - 50</c:v>
                </c:pt>
                <c:pt idx="3">
                  <c:v>51 - 60</c:v>
                </c:pt>
                <c:pt idx="4">
                  <c:v>&gt; 60</c:v>
                </c:pt>
              </c:strCache>
            </c:strRef>
          </c:cat>
          <c:val>
            <c:numRef>
              <c:f>ENSEIGNANTS!$J$96:$O$96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76101888"/>
        <c:axId val="76103680"/>
        <c:axId val="0"/>
      </c:bar3DChart>
      <c:catAx>
        <c:axId val="76101888"/>
        <c:scaling>
          <c:orientation val="minMax"/>
        </c:scaling>
        <c:delete val="0"/>
        <c:axPos val="b"/>
        <c:majorTickMark val="out"/>
        <c:minorTickMark val="none"/>
        <c:tickLblPos val="nextTo"/>
        <c:crossAx val="76103680"/>
        <c:crosses val="autoZero"/>
        <c:auto val="1"/>
        <c:lblAlgn val="ctr"/>
        <c:lblOffset val="100"/>
        <c:noMultiLvlLbl val="0"/>
      </c:catAx>
      <c:valAx>
        <c:axId val="76103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6101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6149392583817093E-2"/>
          <c:y val="0.21481527302915701"/>
          <c:w val="0.48412745315547201"/>
          <c:h val="0.56296398105464995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val="3F80CD"/>
                </a:gs>
                <a:gs pos="100000">
                  <a:srgbClr val="9BC1FF"/>
                </a:gs>
              </a:gsLst>
              <a:lin ang="162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dPt>
            <c:idx val="1"/>
            <c:bubble3D val="0"/>
            <c:spPr>
              <a:gradFill rotWithShape="0">
                <a:gsLst>
                  <a:gs pos="0">
                    <a:srgbClr val="D1403C"/>
                  </a:gs>
                  <a:gs pos="100000">
                    <a:srgbClr val="FF9A99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A0CA4A"/>
                  </a:gs>
                  <a:gs pos="100000">
                    <a:srgbClr val="DCFFA0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7F5BAB"/>
                  </a:gs>
                  <a:gs pos="100000">
                    <a:srgbClr val="C8B0ED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ENSEIGNANTS!$B$72:$B$75</c:f>
              <c:strCache>
                <c:ptCount val="4"/>
                <c:pt idx="0">
                  <c:v>RL</c:v>
                </c:pt>
                <c:pt idx="1">
                  <c:v>Résident</c:v>
                </c:pt>
                <c:pt idx="2">
                  <c:v>TNR</c:v>
                </c:pt>
                <c:pt idx="3">
                  <c:v>TNR privé</c:v>
                </c:pt>
              </c:strCache>
            </c:strRef>
          </c:cat>
          <c:val>
            <c:numRef>
              <c:f>ENSEIGNANTS!$C$72:$C$75</c:f>
              <c:numCache>
                <c:formatCode>General</c:formatCode>
                <c:ptCount val="4"/>
                <c:pt idx="0">
                  <c:v>11</c:v>
                </c:pt>
                <c:pt idx="1">
                  <c:v>8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spPr>
            <a:gradFill rotWithShape="0">
              <a:gsLst>
                <a:gs pos="0">
                  <a:srgbClr val="D1403C"/>
                </a:gs>
                <a:gs pos="100000">
                  <a:srgbClr val="FF9A99"/>
                </a:gs>
              </a:gsLst>
              <a:lin ang="162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dPt>
            <c:idx val="0"/>
            <c:bubble3D val="0"/>
            <c:spPr>
              <a:gradFill rotWithShape="0">
                <a:gsLst>
                  <a:gs pos="0">
                    <a:srgbClr val="3F80CD"/>
                  </a:gs>
                  <a:gs pos="100000">
                    <a:srgbClr val="9BC1FF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A0CA4A"/>
                  </a:gs>
                  <a:gs pos="100000">
                    <a:srgbClr val="DCFFA0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7F5BAB"/>
                  </a:gs>
                  <a:gs pos="100000">
                    <a:srgbClr val="C8B0ED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cat>
            <c:strRef>
              <c:f>ENSEIGNANTS!$B$72:$B$75</c:f>
              <c:strCache>
                <c:ptCount val="4"/>
                <c:pt idx="0">
                  <c:v>RL</c:v>
                </c:pt>
                <c:pt idx="1">
                  <c:v>Résident</c:v>
                </c:pt>
                <c:pt idx="2">
                  <c:v>TNR</c:v>
                </c:pt>
                <c:pt idx="3">
                  <c:v>TNR privé</c:v>
                </c:pt>
              </c:strCache>
            </c:strRef>
          </c:cat>
          <c:val>
            <c:numRef>
              <c:f>ENSEIGNANTS!$D$72:$D$75</c:f>
              <c:numCache>
                <c:formatCode>0.0%</c:formatCode>
                <c:ptCount val="4"/>
                <c:pt idx="0">
                  <c:v>0.55000000000000004</c:v>
                </c:pt>
                <c:pt idx="1">
                  <c:v>0.4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8650860160571003"/>
          <c:y val="2.9629683213402799E-2"/>
          <c:w val="0.25396850001598498"/>
          <c:h val="0.86666823399203197"/>
        </c:manualLayout>
      </c:layout>
      <c:overlay val="0"/>
      <c:spPr>
        <a:noFill/>
        <a:ln w="25400">
          <a:noFill/>
        </a:ln>
      </c:spPr>
    </c:legend>
    <c:plotVisOnly val="1"/>
    <c:dispBlanksAs val="zero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1" l="0.750000000000001" r="0.75000000000000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 w="3175">
          <a:solidFill>
            <a:srgbClr val="80808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Dernières visites &gt; 3 ans</c:v>
          </c:tx>
          <c:spPr>
            <a:gradFill rotWithShape="0">
              <a:gsLst>
                <a:gs pos="0">
                  <a:srgbClr val="3F80CD"/>
                </a:gs>
                <a:gs pos="100000">
                  <a:srgbClr val="9BC1FF"/>
                </a:gs>
              </a:gsLst>
              <a:lin ang="162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0"/>
              <c:layout>
                <c:manualLayout>
                  <c:x val="0.13563828366997399"/>
                  <c:y val="7.537691424718660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ENSEIGNANTS!$K$109</c:f>
              <c:numCache>
                <c:formatCode>0.0%</c:formatCode>
                <c:ptCount val="1"/>
                <c:pt idx="0">
                  <c:v>2.2999999999999998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one"/>
        <c:axId val="76167424"/>
        <c:axId val="76169216"/>
        <c:axId val="0"/>
      </c:bar3DChart>
      <c:catAx>
        <c:axId val="76167424"/>
        <c:scaling>
          <c:orientation val="minMax"/>
        </c:scaling>
        <c:delete val="1"/>
        <c:axPos val="b"/>
        <c:majorTickMark val="out"/>
        <c:minorTickMark val="none"/>
        <c:tickLblPos val="none"/>
        <c:crossAx val="76169216"/>
        <c:crosses val="autoZero"/>
        <c:auto val="1"/>
        <c:lblAlgn val="ctr"/>
        <c:lblOffset val="100"/>
        <c:noMultiLvlLbl val="0"/>
      </c:catAx>
      <c:valAx>
        <c:axId val="76169216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76167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7968782410041295"/>
          <c:y val="0.39849550910569398"/>
          <c:w val="0.26171887479728401"/>
          <c:h val="0.22556349572020401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1" l="0.750000000000001" r="0.75000000000000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250032</xdr:colOff>
      <xdr:row>0</xdr:row>
      <xdr:rowOff>81280</xdr:rowOff>
    </xdr:from>
    <xdr:to>
      <xdr:col>2</xdr:col>
      <xdr:colOff>2057401</xdr:colOff>
      <xdr:row>2</xdr:row>
      <xdr:rowOff>250031</xdr:rowOff>
    </xdr:to>
    <xdr:sp macro="" textlink="">
      <xdr:nvSpPr>
        <xdr:cNvPr id="2" name="Rectangle 1"/>
        <xdr:cNvSpPr/>
      </xdr:nvSpPr>
      <xdr:spPr>
        <a:xfrm>
          <a:off x="250032" y="81280"/>
          <a:ext cx="6700838" cy="63309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txBody>
        <a:bodyPr wrap="square" lIns="91440" tIns="45720" rIns="91440" bIns="45720">
          <a:noAutofit/>
        </a:bodyPr>
        <a:lstStyle/>
        <a:p>
          <a:pPr algn="ctr" rtl="0">
            <a:defRPr sz="1000"/>
          </a:pPr>
          <a:r>
            <a:rPr lang="fr-FR" sz="4000" b="0" i="0" strike="noStrike">
              <a:solidFill>
                <a:srgbClr val="FFFFFF"/>
              </a:solidFill>
              <a:latin typeface="Calibri"/>
              <a:ea typeface="Calibri"/>
              <a:cs typeface="Calibri"/>
            </a:rPr>
            <a:t>Tableau de bord école primaire</a:t>
          </a:r>
        </a:p>
      </xdr:txBody>
    </xdr:sp>
    <xdr:clientData/>
  </xdr:twoCellAnchor>
  <xdr:twoCellAnchor editAs="oneCell">
    <xdr:from>
      <xdr:col>4</xdr:col>
      <xdr:colOff>284263</xdr:colOff>
      <xdr:row>26</xdr:row>
      <xdr:rowOff>81756</xdr:rowOff>
    </xdr:from>
    <xdr:to>
      <xdr:col>4</xdr:col>
      <xdr:colOff>1797843</xdr:colOff>
      <xdr:row>33</xdr:row>
      <xdr:rowOff>197484</xdr:rowOff>
    </xdr:to>
    <xdr:pic>
      <xdr:nvPicPr>
        <xdr:cNvPr id="3" name="Image 2" descr="logo_petit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4951" y="6820694"/>
          <a:ext cx="1513580" cy="186753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258077</xdr:colOff>
      <xdr:row>4</xdr:row>
      <xdr:rowOff>183356</xdr:rowOff>
    </xdr:from>
    <xdr:to>
      <xdr:col>2</xdr:col>
      <xdr:colOff>1869281</xdr:colOff>
      <xdr:row>9</xdr:row>
      <xdr:rowOff>71438</xdr:rowOff>
    </xdr:to>
    <xdr:pic>
      <xdr:nvPicPr>
        <xdr:cNvPr id="5" name="Image 4" descr="Logo-AEFE-conventionné1.jp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1546" y="1254919"/>
          <a:ext cx="1611204" cy="1197769"/>
        </a:xfrm>
        <a:prstGeom prst="rect">
          <a:avLst/>
        </a:prstGeom>
        <a:ln>
          <a:solidFill>
            <a:srgbClr val="00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186265</xdr:colOff>
      <xdr:row>68</xdr:row>
      <xdr:rowOff>84668</xdr:rowOff>
    </xdr:from>
    <xdr:to>
      <xdr:col>21</xdr:col>
      <xdr:colOff>347132</xdr:colOff>
      <xdr:row>82</xdr:row>
      <xdr:rowOff>84668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335644</xdr:colOff>
      <xdr:row>83</xdr:row>
      <xdr:rowOff>35497</xdr:rowOff>
    </xdr:from>
    <xdr:to>
      <xdr:col>9</xdr:col>
      <xdr:colOff>148167</xdr:colOff>
      <xdr:row>92</xdr:row>
      <xdr:rowOff>42333</xdr:rowOff>
    </xdr:to>
    <xdr:graphicFrame macro="">
      <xdr:nvGraphicFramePr>
        <xdr:cNvPr id="4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634999</xdr:colOff>
      <xdr:row>68</xdr:row>
      <xdr:rowOff>92894</xdr:rowOff>
    </xdr:from>
    <xdr:to>
      <xdr:col>31</xdr:col>
      <xdr:colOff>381000</xdr:colOff>
      <xdr:row>79</xdr:row>
      <xdr:rowOff>143934</xdr:rowOff>
    </xdr:to>
    <xdr:graphicFrame macro="">
      <xdr:nvGraphicFramePr>
        <xdr:cNvPr id="8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directeurprimaire@lfbogota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secret-primaire@lfbogota.com" TargetMode="External"/><Relationship Id="rId1" Type="http://schemas.openxmlformats.org/officeDocument/2006/relationships/hyperlink" Target="mailto:directeurprimaire@lfbogota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onseillerprimaire@lfbogota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00FFFD"/>
    <pageSetUpPr fitToPage="1"/>
  </sheetPr>
  <dimension ref="A1:I34"/>
  <sheetViews>
    <sheetView zoomScale="80" zoomScaleNormal="80" zoomScalePageLayoutView="80" workbookViewId="0">
      <selection activeCell="D27" sqref="D27"/>
    </sheetView>
  </sheetViews>
  <sheetFormatPr baseColWidth="10" defaultColWidth="10.85546875" defaultRowHeight="12.75" x14ac:dyDescent="0.2"/>
  <cols>
    <col min="1" max="1" width="31.140625" style="42" bestFit="1" customWidth="1"/>
    <col min="2" max="2" width="42.28515625" style="42" customWidth="1"/>
    <col min="3" max="3" width="40.85546875" style="42" bestFit="1" customWidth="1"/>
    <col min="4" max="4" width="25.28515625" style="42" bestFit="1" customWidth="1"/>
    <col min="5" max="5" width="32" style="42" bestFit="1" customWidth="1"/>
    <col min="6" max="6" width="17.140625" style="42" bestFit="1" customWidth="1"/>
    <col min="7" max="7" width="9.85546875" style="42" customWidth="1"/>
    <col min="8" max="8" width="10.140625" style="42" bestFit="1" customWidth="1"/>
    <col min="9" max="9" width="9.140625" style="42" bestFit="1" customWidth="1"/>
    <col min="10" max="16384" width="10.85546875" style="42"/>
  </cols>
  <sheetData>
    <row r="1" spans="1:8" ht="13.5" thickBot="1" x14ac:dyDescent="0.25">
      <c r="F1" s="93"/>
    </row>
    <row r="2" spans="1:8" ht="23.25" x14ac:dyDescent="0.3">
      <c r="D2" s="95" t="s">
        <v>151</v>
      </c>
      <c r="E2" s="109" t="s">
        <v>65</v>
      </c>
    </row>
    <row r="3" spans="1:8" ht="23.25" x14ac:dyDescent="0.2">
      <c r="D3" s="96" t="s">
        <v>152</v>
      </c>
      <c r="E3" s="98" t="s">
        <v>118</v>
      </c>
    </row>
    <row r="4" spans="1:8" ht="24" thickBot="1" x14ac:dyDescent="0.25">
      <c r="D4" s="97" t="s">
        <v>153</v>
      </c>
      <c r="E4" s="99" t="s">
        <v>136</v>
      </c>
      <c r="F4"/>
    </row>
    <row r="5" spans="1:8" s="45" customFormat="1" ht="20.25" x14ac:dyDescent="0.3">
      <c r="A5" s="43" t="s">
        <v>66</v>
      </c>
      <c r="B5" s="44" t="s">
        <v>56</v>
      </c>
    </row>
    <row r="6" spans="1:8" s="45" customFormat="1" ht="20.25" x14ac:dyDescent="0.3">
      <c r="A6" s="43" t="s">
        <v>67</v>
      </c>
      <c r="B6" s="44" t="s">
        <v>57</v>
      </c>
    </row>
    <row r="7" spans="1:8" s="45" customFormat="1" ht="20.25" x14ac:dyDescent="0.3">
      <c r="A7" s="43" t="s">
        <v>68</v>
      </c>
      <c r="B7" s="44" t="s">
        <v>58</v>
      </c>
      <c r="D7" s="76" t="s">
        <v>110</v>
      </c>
      <c r="E7" s="192">
        <f ca="1">TODAY()</f>
        <v>41766</v>
      </c>
    </row>
    <row r="8" spans="1:8" s="45" customFormat="1" ht="20.25" x14ac:dyDescent="0.3">
      <c r="A8" s="43"/>
      <c r="B8" s="44"/>
      <c r="C8" s="45" t="s">
        <v>215</v>
      </c>
    </row>
    <row r="9" spans="1:8" s="45" customFormat="1" ht="20.25" x14ac:dyDescent="0.3">
      <c r="A9" s="43" t="s">
        <v>69</v>
      </c>
      <c r="B9" s="44" t="s">
        <v>60</v>
      </c>
      <c r="C9" s="46"/>
      <c r="E9" s="46"/>
    </row>
    <row r="10" spans="1:8" s="45" customFormat="1" ht="20.25" x14ac:dyDescent="0.3">
      <c r="A10" s="43" t="s">
        <v>70</v>
      </c>
      <c r="B10" s="44" t="s">
        <v>62</v>
      </c>
      <c r="C10" s="46"/>
      <c r="E10" s="46"/>
    </row>
    <row r="11" spans="1:8" s="45" customFormat="1" ht="21" thickBot="1" x14ac:dyDescent="0.35">
      <c r="A11" s="43" t="s">
        <v>71</v>
      </c>
      <c r="B11" s="44" t="s">
        <v>61</v>
      </c>
      <c r="C11" s="46"/>
      <c r="E11" s="76" t="s">
        <v>216</v>
      </c>
      <c r="F11" s="117">
        <f ca="1">TODAY()</f>
        <v>41766</v>
      </c>
    </row>
    <row r="12" spans="1:8" s="45" customFormat="1" ht="21" thickBot="1" x14ac:dyDescent="0.35">
      <c r="A12" s="43" t="s">
        <v>72</v>
      </c>
      <c r="B12" s="47" t="s">
        <v>59</v>
      </c>
      <c r="C12" s="46"/>
      <c r="E12" s="274" t="s">
        <v>25</v>
      </c>
      <c r="F12" s="275"/>
    </row>
    <row r="13" spans="1:8" s="45" customFormat="1" ht="20.100000000000001" customHeight="1" thickBot="1" x14ac:dyDescent="0.4">
      <c r="A13" s="107" t="s">
        <v>194</v>
      </c>
      <c r="B13" s="108" t="s">
        <v>186</v>
      </c>
      <c r="C13" s="60"/>
      <c r="E13" s="86" t="s">
        <v>109</v>
      </c>
      <c r="F13" s="87" t="s">
        <v>108</v>
      </c>
      <c r="G13" s="268" t="s">
        <v>50</v>
      </c>
      <c r="H13" s="269"/>
    </row>
    <row r="14" spans="1:8" s="45" customFormat="1" ht="21.75" thickBot="1" x14ac:dyDescent="0.4">
      <c r="A14" s="114"/>
      <c r="B14" s="112"/>
      <c r="C14" s="115"/>
      <c r="D14" s="62" t="s">
        <v>23</v>
      </c>
      <c r="E14" s="88" t="s">
        <v>104</v>
      </c>
      <c r="F14" s="79" t="s">
        <v>106</v>
      </c>
      <c r="G14" s="85" t="s">
        <v>26</v>
      </c>
      <c r="H14" s="90" t="s">
        <v>27</v>
      </c>
    </row>
    <row r="15" spans="1:8" s="45" customFormat="1" ht="21" thickBot="1" x14ac:dyDescent="0.35">
      <c r="A15" s="71" t="s">
        <v>200</v>
      </c>
      <c r="B15" s="43" t="s">
        <v>73</v>
      </c>
      <c r="C15" s="47" t="s">
        <v>63</v>
      </c>
      <c r="D15" s="61" t="s">
        <v>24</v>
      </c>
      <c r="E15" s="89" t="s">
        <v>105</v>
      </c>
      <c r="F15" s="80" t="s">
        <v>107</v>
      </c>
      <c r="G15" s="91" t="s">
        <v>26</v>
      </c>
      <c r="H15" s="80" t="s">
        <v>27</v>
      </c>
    </row>
    <row r="16" spans="1:8" s="45" customFormat="1" ht="12" customHeight="1" thickBot="1" x14ac:dyDescent="0.35">
      <c r="A16" s="112"/>
      <c r="B16" s="112"/>
      <c r="C16" s="113"/>
    </row>
    <row r="17" spans="1:9" s="45" customFormat="1" ht="21" thickBot="1" x14ac:dyDescent="0.35">
      <c r="A17" s="81" t="s">
        <v>74</v>
      </c>
      <c r="B17" s="43" t="s">
        <v>75</v>
      </c>
      <c r="C17" s="72" t="s">
        <v>76</v>
      </c>
      <c r="D17" s="272" t="s">
        <v>103</v>
      </c>
      <c r="E17" s="273"/>
    </row>
    <row r="18" spans="1:9" s="45" customFormat="1" ht="20.25" x14ac:dyDescent="0.3">
      <c r="A18" s="73" t="s">
        <v>102</v>
      </c>
      <c r="B18" s="74" t="s">
        <v>154</v>
      </c>
      <c r="D18" s="53" t="s">
        <v>36</v>
      </c>
      <c r="E18" s="83" t="s">
        <v>84</v>
      </c>
      <c r="F18"/>
    </row>
    <row r="19" spans="1:9" s="45" customFormat="1" ht="21" thickBot="1" x14ac:dyDescent="0.35">
      <c r="A19" s="82" t="s">
        <v>77</v>
      </c>
      <c r="B19" s="43" t="s">
        <v>55</v>
      </c>
      <c r="C19" s="47" t="s">
        <v>64</v>
      </c>
      <c r="D19" s="54" t="s">
        <v>35</v>
      </c>
      <c r="E19" s="84" t="s">
        <v>86</v>
      </c>
      <c r="F19"/>
    </row>
    <row r="20" spans="1:9" s="45" customFormat="1" ht="21" thickBot="1" x14ac:dyDescent="0.35">
      <c r="A20" s="73" t="s">
        <v>102</v>
      </c>
      <c r="B20" s="74" t="s">
        <v>155</v>
      </c>
      <c r="D20"/>
      <c r="E20"/>
      <c r="F20"/>
      <c r="G20" s="42"/>
      <c r="H20" s="42"/>
      <c r="I20" s="42"/>
    </row>
    <row r="21" spans="1:9" s="45" customFormat="1" ht="21" thickBot="1" x14ac:dyDescent="0.35">
      <c r="A21" s="75" t="s">
        <v>78</v>
      </c>
      <c r="B21" s="43" t="s">
        <v>79</v>
      </c>
      <c r="C21" s="72" t="s">
        <v>80</v>
      </c>
      <c r="D21" s="42"/>
      <c r="E21" s="101" t="s">
        <v>1</v>
      </c>
      <c r="F21" s="101" t="s">
        <v>168</v>
      </c>
      <c r="G21" s="101" t="s">
        <v>4</v>
      </c>
      <c r="H21" s="101" t="s">
        <v>167</v>
      </c>
      <c r="I21" s="42"/>
    </row>
    <row r="22" spans="1:9" s="45" customFormat="1" ht="20.25" x14ac:dyDescent="0.3">
      <c r="A22" s="112"/>
      <c r="B22" s="112"/>
      <c r="C22" s="112"/>
      <c r="D22" s="100" t="s">
        <v>36</v>
      </c>
      <c r="E22" s="193">
        <f>ENSEIGNANTS!B71</f>
        <v>20</v>
      </c>
      <c r="F22" s="193" t="e">
        <f>#REF!</f>
        <v>#REF!</v>
      </c>
      <c r="G22" s="193" t="e">
        <f>#REF!</f>
        <v>#REF!</v>
      </c>
      <c r="H22" s="194" t="e">
        <f>#REF!</f>
        <v>#REF!</v>
      </c>
      <c r="I22" s="42"/>
    </row>
    <row r="23" spans="1:9" s="45" customFormat="1" ht="21" thickBot="1" x14ac:dyDescent="0.35">
      <c r="A23" s="76" t="s">
        <v>81</v>
      </c>
      <c r="B23" s="77" t="s">
        <v>111</v>
      </c>
      <c r="C23" s="47" t="s">
        <v>82</v>
      </c>
      <c r="D23" s="103" t="s">
        <v>35</v>
      </c>
      <c r="E23" s="195">
        <f>ENSEIGNANTS!B79</f>
        <v>37</v>
      </c>
      <c r="F23" s="195" t="e">
        <f>#REF!</f>
        <v>#REF!</v>
      </c>
      <c r="G23" s="195" t="e">
        <f>#REF!</f>
        <v>#REF!</v>
      </c>
      <c r="H23" s="196" t="e">
        <f>#REF!</f>
        <v>#REF!</v>
      </c>
      <c r="I23" s="59" t="s">
        <v>44</v>
      </c>
    </row>
    <row r="24" spans="1:9" s="45" customFormat="1" ht="21" thickBot="1" x14ac:dyDescent="0.35">
      <c r="B24" s="74" t="s">
        <v>83</v>
      </c>
      <c r="D24" s="102" t="s">
        <v>0</v>
      </c>
      <c r="E24" s="214">
        <f>ENSEIGNANTS!B87</f>
        <v>59</v>
      </c>
      <c r="F24" s="197" t="e">
        <f>#REF!</f>
        <v>#REF!</v>
      </c>
      <c r="G24" s="197" t="e">
        <f>SUM(G22:G23)</f>
        <v>#REF!</v>
      </c>
      <c r="H24" s="198" t="e">
        <f>#REF!</f>
        <v>#REF!</v>
      </c>
      <c r="I24" s="199" t="e">
        <f>#REF!</f>
        <v>#REF!</v>
      </c>
    </row>
    <row r="25" spans="1:9" s="45" customFormat="1" ht="21" thickBot="1" x14ac:dyDescent="0.35">
      <c r="B25" s="74" t="s">
        <v>85</v>
      </c>
      <c r="D25" s="55" t="s">
        <v>13</v>
      </c>
      <c r="E25" s="270" t="e">
        <f>E24+F24</f>
        <v>#REF!</v>
      </c>
      <c r="F25" s="271"/>
      <c r="G25" s="57"/>
      <c r="H25" s="56"/>
      <c r="I25" s="42"/>
    </row>
    <row r="26" spans="1:9" s="45" customFormat="1" ht="21.75" thickBot="1" x14ac:dyDescent="0.4">
      <c r="D26" s="42"/>
      <c r="E26" s="48"/>
      <c r="F26" s="58" t="s">
        <v>49</v>
      </c>
      <c r="G26" s="200" t="e">
        <f>#REF!</f>
        <v>#REF!</v>
      </c>
      <c r="H26" s="42"/>
      <c r="I26" s="42"/>
    </row>
    <row r="27" spans="1:9" ht="23.25" thickBot="1" x14ac:dyDescent="0.35">
      <c r="A27" s="92" t="s">
        <v>87</v>
      </c>
      <c r="B27" s="207" t="s">
        <v>88</v>
      </c>
      <c r="C27" s="212" t="s">
        <v>367</v>
      </c>
      <c r="D27" s="256" t="s">
        <v>37</v>
      </c>
    </row>
    <row r="28" spans="1:9" ht="18.75" x14ac:dyDescent="0.3">
      <c r="A28" s="78" t="s">
        <v>89</v>
      </c>
      <c r="B28" s="208" t="s">
        <v>90</v>
      </c>
    </row>
    <row r="29" spans="1:9" ht="18.75" x14ac:dyDescent="0.3">
      <c r="A29" s="78" t="s">
        <v>91</v>
      </c>
      <c r="B29" s="208" t="s">
        <v>92</v>
      </c>
    </row>
    <row r="30" spans="1:9" ht="18.75" x14ac:dyDescent="0.3">
      <c r="A30" s="78" t="s">
        <v>48</v>
      </c>
      <c r="B30" s="208" t="s">
        <v>93</v>
      </c>
    </row>
    <row r="31" spans="1:9" ht="18.75" x14ac:dyDescent="0.3">
      <c r="A31" s="78" t="s">
        <v>94</v>
      </c>
      <c r="B31" s="208" t="s">
        <v>95</v>
      </c>
    </row>
    <row r="32" spans="1:9" ht="18.75" x14ac:dyDescent="0.3">
      <c r="A32" s="78" t="s">
        <v>96</v>
      </c>
      <c r="B32" s="208" t="s">
        <v>97</v>
      </c>
    </row>
    <row r="33" spans="1:2" ht="18.75" x14ac:dyDescent="0.3">
      <c r="A33" s="78" t="s">
        <v>100</v>
      </c>
      <c r="B33" s="208" t="s">
        <v>99</v>
      </c>
    </row>
    <row r="34" spans="1:2" ht="18.75" x14ac:dyDescent="0.3">
      <c r="A34" s="78" t="s">
        <v>98</v>
      </c>
      <c r="B34" s="208" t="s">
        <v>101</v>
      </c>
    </row>
  </sheetData>
  <mergeCells count="4">
    <mergeCell ref="G13:H13"/>
    <mergeCell ref="E25:F25"/>
    <mergeCell ref="D17:E17"/>
    <mergeCell ref="E12:F12"/>
  </mergeCells>
  <dataValidations count="9">
    <dataValidation type="list" showInputMessage="1" showErrorMessage="1" prompt="CHOISIR ZONE DE FC" sqref="E3">
      <formula1>ZONE</formula1>
    </dataValidation>
    <dataValidation type="list" allowBlank="1" showInputMessage="1" showErrorMessage="1" prompt="CHOISIR NOM ÉTABLISSEMENT MUTUALISATEUR" sqref="E4">
      <formula1>MUTUALISATEUR</formula1>
    </dataValidation>
    <dataValidation type="list" allowBlank="1" showInputMessage="1" showErrorMessage="1" sqref="A17 A19">
      <formula1>DIRECTEUR</formula1>
    </dataValidation>
    <dataValidation type="list" allowBlank="1" showInputMessage="1" showErrorMessage="1" prompt="CHOISIR LE NOM DU PAYS" sqref="B5">
      <formula1>PAYS</formula1>
    </dataValidation>
    <dataValidation type="list" allowBlank="1" showInputMessage="1" showErrorMessage="1" prompt="CHOISIR LA VILLE" sqref="B6">
      <formula1>VILLE</formula1>
    </dataValidation>
    <dataValidation type="list" allowBlank="1" showInputMessage="1" showErrorMessage="1" prompt="CHOISIR NOM ETABLISSEMENT" sqref="B7:B8">
      <formula1>ETABLISSEMENT</formula1>
    </dataValidation>
    <dataValidation type="list" allowBlank="1" showInputMessage="1" showErrorMessage="1" prompt="CHOISIR CATEGORIE" sqref="B13">
      <formula1>CATEGORIE</formula1>
    </dataValidation>
    <dataValidation type="list" allowBlank="1" showInputMessage="1" showErrorMessage="1" prompt="Choisir axe PE" sqref="A28:A34">
      <formula1>PE</formula1>
    </dataValidation>
    <dataValidation type="list" allowBlank="1" showInputMessage="1" showErrorMessage="1" sqref="D27">
      <formula1>OUINON</formula1>
    </dataValidation>
  </dataValidations>
  <hyperlinks>
    <hyperlink ref="C19" r:id="rId1"/>
    <hyperlink ref="C23" r:id="rId2"/>
    <hyperlink ref="C17" r:id="rId3" display="directeurprimaire@lfbogota.com"/>
    <hyperlink ref="C21" r:id="rId4"/>
  </hyperlinks>
  <pageMargins left="0.75" right="0.75" top="1" bottom="1" header="0.5" footer="0.5"/>
  <pageSetup scale="56" orientation="landscape" horizontalDpi="4294967292" verticalDpi="4294967292" r:id="rId5"/>
  <drawing r:id="rId6"/>
  <legacyDrawing r:id="rId7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00FF00"/>
    <pageSetUpPr fitToPage="1"/>
  </sheetPr>
  <dimension ref="A1:BG288"/>
  <sheetViews>
    <sheetView tabSelected="1" zoomScale="90" zoomScaleNormal="90" zoomScalePageLayoutView="125" workbookViewId="0">
      <pane xSplit="2" ySplit="3" topLeftCell="C88" activePane="bottomRight" state="frozen"/>
      <selection activeCell="E2" sqref="E2"/>
      <selection pane="topRight" activeCell="E2" sqref="E2"/>
      <selection pane="bottomLeft" activeCell="E2" sqref="E2"/>
      <selection pane="bottomRight" activeCell="C72" sqref="C72"/>
    </sheetView>
  </sheetViews>
  <sheetFormatPr baseColWidth="10" defaultColWidth="11.42578125" defaultRowHeight="12.75" x14ac:dyDescent="0.2"/>
  <cols>
    <col min="1" max="1" width="3.140625" style="1" bestFit="1" customWidth="1"/>
    <col min="2" max="2" width="20.7109375" style="18" bestFit="1" customWidth="1"/>
    <col min="3" max="3" width="18.85546875" style="1" bestFit="1" customWidth="1"/>
    <col min="4" max="4" width="10.85546875" style="1" customWidth="1"/>
    <col min="5" max="5" width="11.28515625" style="1" bestFit="1" customWidth="1"/>
    <col min="6" max="6" width="5" style="1" bestFit="1" customWidth="1"/>
    <col min="7" max="7" width="20.7109375" style="19" bestFit="1" customWidth="1"/>
    <col min="8" max="8" width="20.7109375" style="19" customWidth="1"/>
    <col min="9" max="9" width="18" style="1" customWidth="1"/>
    <col min="10" max="10" width="12.140625" style="1" bestFit="1" customWidth="1"/>
    <col min="11" max="11" width="10.140625" style="1" customWidth="1"/>
    <col min="12" max="12" width="11" style="1" customWidth="1"/>
    <col min="13" max="13" width="10.140625" style="1" customWidth="1"/>
    <col min="14" max="14" width="9.140625" style="1" bestFit="1" customWidth="1"/>
    <col min="15" max="15" width="12.140625" style="1" bestFit="1" customWidth="1"/>
    <col min="16" max="16" width="8" style="1" customWidth="1"/>
    <col min="17" max="17" width="11.7109375" style="2" customWidth="1"/>
    <col min="18" max="18" width="6" style="2" bestFit="1" customWidth="1"/>
    <col min="19" max="19" width="6" style="3" bestFit="1" customWidth="1"/>
    <col min="20" max="20" width="7.7109375" style="1" customWidth="1"/>
    <col min="21" max="21" width="8.42578125" style="1" bestFit="1" customWidth="1"/>
    <col min="22" max="22" width="10.85546875" style="1" bestFit="1" customWidth="1"/>
    <col min="23" max="23" width="13.85546875" style="1" customWidth="1"/>
    <col min="24" max="25" width="5.28515625" style="1" bestFit="1" customWidth="1"/>
    <col min="26" max="26" width="9" style="1" customWidth="1"/>
    <col min="27" max="27" width="5.28515625" style="1" bestFit="1" customWidth="1"/>
    <col min="28" max="28" width="9" style="1" customWidth="1"/>
    <col min="29" max="29" width="5.28515625" style="1" bestFit="1" customWidth="1"/>
    <col min="30" max="30" width="11" style="1" customWidth="1"/>
    <col min="31" max="31" width="5.28515625" style="1" bestFit="1" customWidth="1"/>
    <col min="32" max="32" width="21.7109375" style="1" bestFit="1" customWidth="1"/>
    <col min="33" max="35" width="8.7109375" style="1" customWidth="1"/>
    <col min="36" max="36" width="9.42578125" style="1" bestFit="1" customWidth="1"/>
    <col min="37" max="38" width="9" style="1" bestFit="1" customWidth="1"/>
    <col min="39" max="39" width="9.85546875" style="1" customWidth="1"/>
    <col min="40" max="44" width="9" style="1" bestFit="1" customWidth="1"/>
    <col min="45" max="45" width="10.140625" style="1" bestFit="1" customWidth="1"/>
    <col min="46" max="46" width="10" style="1" customWidth="1"/>
    <col min="47" max="47" width="12" style="1" customWidth="1"/>
    <col min="48" max="49" width="14.140625" style="1" bestFit="1" customWidth="1"/>
    <col min="50" max="51" width="10" style="1" customWidth="1"/>
    <col min="52" max="52" width="10.140625" style="1" bestFit="1" customWidth="1"/>
    <col min="53" max="53" width="9.7109375" style="1" customWidth="1"/>
    <col min="54" max="54" width="20.7109375" style="41" bestFit="1" customWidth="1"/>
    <col min="55" max="57" width="11.42578125" style="41"/>
    <col min="58" max="16384" width="11.42578125" style="1"/>
  </cols>
  <sheetData>
    <row r="1" spans="1:59" s="41" customFormat="1" ht="26.1" customHeight="1" thickBot="1" x14ac:dyDescent="0.25">
      <c r="A1" s="68"/>
      <c r="B1" s="276" t="s">
        <v>311</v>
      </c>
      <c r="C1" s="277"/>
      <c r="D1" s="277"/>
      <c r="E1" s="278"/>
      <c r="F1" s="278"/>
      <c r="G1" s="278"/>
      <c r="H1" s="278"/>
      <c r="I1" s="279"/>
      <c r="J1" s="63"/>
      <c r="K1" s="63"/>
      <c r="L1" s="94"/>
      <c r="M1" s="94"/>
      <c r="N1" s="63"/>
      <c r="O1" s="94"/>
      <c r="P1" s="94"/>
      <c r="Q1" s="4"/>
      <c r="R1" s="4"/>
      <c r="S1" s="63"/>
      <c r="T1" s="63"/>
      <c r="U1" s="63"/>
      <c r="V1" s="63"/>
      <c r="W1" s="63"/>
      <c r="X1" s="63"/>
      <c r="Y1" s="63"/>
      <c r="Z1" s="94"/>
      <c r="AA1" s="94"/>
      <c r="AB1" s="94"/>
      <c r="AC1" s="94"/>
      <c r="AD1" s="94"/>
      <c r="AE1" s="94"/>
      <c r="AF1" s="63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63"/>
      <c r="AS1" s="63"/>
      <c r="AT1" s="63"/>
      <c r="AU1" s="94"/>
      <c r="AV1" s="63"/>
      <c r="AW1" s="94"/>
      <c r="AX1" s="94"/>
      <c r="AY1" s="94"/>
      <c r="AZ1" s="63"/>
      <c r="BA1" s="63"/>
      <c r="BB1" s="63"/>
      <c r="BC1" s="63"/>
      <c r="BD1" s="63"/>
      <c r="BE1" s="63"/>
    </row>
    <row r="2" spans="1:59" ht="28.5" customHeight="1" x14ac:dyDescent="0.2">
      <c r="A2" s="110"/>
      <c r="B2" s="282" t="s">
        <v>484</v>
      </c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122"/>
      <c r="Y2" s="122"/>
      <c r="Z2" s="122"/>
      <c r="AA2" s="122"/>
      <c r="AB2" s="122"/>
      <c r="AC2" s="122"/>
      <c r="AD2" s="122"/>
      <c r="AE2" s="122"/>
      <c r="AF2" s="287" t="s">
        <v>267</v>
      </c>
      <c r="AG2" s="288"/>
      <c r="AH2" s="288"/>
      <c r="AI2" s="288"/>
      <c r="AJ2" s="288"/>
      <c r="AK2" s="288"/>
      <c r="AL2" s="288"/>
      <c r="AM2" s="288"/>
      <c r="AN2" s="288"/>
      <c r="AO2" s="288"/>
      <c r="AP2" s="288"/>
      <c r="AQ2" s="288"/>
      <c r="AR2" s="288"/>
      <c r="AS2" s="122"/>
      <c r="AT2" s="122"/>
      <c r="AU2" s="122"/>
      <c r="AV2" s="122"/>
      <c r="AW2" s="122"/>
      <c r="AX2" s="122"/>
      <c r="AY2" s="122"/>
      <c r="AZ2" s="122"/>
      <c r="BA2" s="122"/>
    </row>
    <row r="3" spans="1:59" s="41" customFormat="1" ht="48.75" customHeight="1" thickBot="1" x14ac:dyDescent="0.25">
      <c r="A3" s="68"/>
      <c r="B3" s="6" t="s">
        <v>20</v>
      </c>
      <c r="C3" s="5" t="s">
        <v>41</v>
      </c>
      <c r="D3" s="5" t="s">
        <v>32</v>
      </c>
      <c r="E3" s="5" t="s">
        <v>19</v>
      </c>
      <c r="F3" s="5" t="s">
        <v>22</v>
      </c>
      <c r="G3" s="5" t="s">
        <v>209</v>
      </c>
      <c r="H3" s="5" t="s">
        <v>313</v>
      </c>
      <c r="I3" s="5" t="s">
        <v>227</v>
      </c>
      <c r="J3" s="5" t="s">
        <v>5</v>
      </c>
      <c r="K3" s="5" t="s">
        <v>6</v>
      </c>
      <c r="L3" s="5" t="s">
        <v>310</v>
      </c>
      <c r="M3" s="5" t="s">
        <v>247</v>
      </c>
      <c r="N3" s="5" t="s">
        <v>233</v>
      </c>
      <c r="O3" s="5" t="s">
        <v>260</v>
      </c>
      <c r="P3" s="5" t="s">
        <v>244</v>
      </c>
      <c r="Q3" s="7" t="s">
        <v>225</v>
      </c>
      <c r="R3" s="7" t="s">
        <v>226</v>
      </c>
      <c r="S3" s="5" t="s">
        <v>30</v>
      </c>
      <c r="T3" s="5" t="s">
        <v>7</v>
      </c>
      <c r="U3" s="5" t="s">
        <v>235</v>
      </c>
      <c r="V3" s="5" t="s">
        <v>8</v>
      </c>
      <c r="W3" s="5" t="s">
        <v>243</v>
      </c>
      <c r="X3" s="5" t="s">
        <v>9</v>
      </c>
      <c r="Y3" s="5" t="s">
        <v>10</v>
      </c>
      <c r="Z3" s="5" t="s">
        <v>242</v>
      </c>
      <c r="AA3" s="5" t="s">
        <v>9</v>
      </c>
      <c r="AB3" s="5" t="s">
        <v>245</v>
      </c>
      <c r="AC3" s="5" t="s">
        <v>9</v>
      </c>
      <c r="AD3" s="5" t="s">
        <v>246</v>
      </c>
      <c r="AE3" s="5" t="s">
        <v>9</v>
      </c>
      <c r="AF3" s="5" t="s">
        <v>270</v>
      </c>
      <c r="AG3" s="5" t="s">
        <v>268</v>
      </c>
      <c r="AH3" s="5" t="s">
        <v>269</v>
      </c>
      <c r="AI3" s="5" t="s">
        <v>271</v>
      </c>
      <c r="AJ3" s="5" t="s">
        <v>274</v>
      </c>
      <c r="AK3" s="148" t="s">
        <v>300</v>
      </c>
      <c r="AL3" s="148" t="s">
        <v>301</v>
      </c>
      <c r="AM3" s="148" t="s">
        <v>302</v>
      </c>
      <c r="AN3" s="148" t="s">
        <v>303</v>
      </c>
      <c r="AO3" s="148" t="s">
        <v>312</v>
      </c>
      <c r="AP3" s="148" t="s">
        <v>299</v>
      </c>
      <c r="AQ3" s="148" t="s">
        <v>298</v>
      </c>
      <c r="AR3" s="5" t="s">
        <v>273</v>
      </c>
      <c r="AS3" s="5" t="s">
        <v>9</v>
      </c>
      <c r="AT3" s="5" t="s">
        <v>40</v>
      </c>
      <c r="AU3" s="5" t="s">
        <v>294</v>
      </c>
      <c r="AV3" s="5" t="s">
        <v>292</v>
      </c>
      <c r="AW3" s="5" t="s">
        <v>296</v>
      </c>
      <c r="AX3" s="5" t="s">
        <v>295</v>
      </c>
      <c r="AY3" s="5" t="s">
        <v>297</v>
      </c>
      <c r="AZ3" s="5" t="s">
        <v>28</v>
      </c>
      <c r="BA3" s="5" t="s">
        <v>335</v>
      </c>
      <c r="BB3" s="6" t="s">
        <v>20</v>
      </c>
      <c r="BC3" s="63"/>
      <c r="BD3" s="63"/>
      <c r="BE3" s="63"/>
      <c r="BF3" s="63"/>
      <c r="BG3" s="63"/>
    </row>
    <row r="4" spans="1:59" s="67" customFormat="1" ht="33" customHeight="1" thickBot="1" x14ac:dyDescent="0.25">
      <c r="A4" s="118"/>
      <c r="B4" s="163" t="s">
        <v>202</v>
      </c>
      <c r="C4" s="164" t="s">
        <v>151</v>
      </c>
      <c r="D4" s="165" t="s">
        <v>31</v>
      </c>
      <c r="E4" s="166">
        <v>24789</v>
      </c>
      <c r="F4" s="167">
        <f ca="1">(PRÉSENTATION!$F$11-E4)/365</f>
        <v>46.512328767123286</v>
      </c>
      <c r="G4" s="165" t="s">
        <v>206</v>
      </c>
      <c r="H4" s="165" t="s">
        <v>212</v>
      </c>
      <c r="I4" s="166">
        <v>39692</v>
      </c>
      <c r="J4" s="167">
        <f ca="1">((PRÉSENTATION!$F$11-I4)/365)</f>
        <v>5.6821917808219178</v>
      </c>
      <c r="K4" s="164" t="s">
        <v>219</v>
      </c>
      <c r="L4" s="168" t="s">
        <v>309</v>
      </c>
      <c r="M4" s="164" t="s">
        <v>249</v>
      </c>
      <c r="N4" s="164" t="s">
        <v>224</v>
      </c>
      <c r="O4" s="164" t="s">
        <v>264</v>
      </c>
      <c r="P4" s="164" t="s">
        <v>38</v>
      </c>
      <c r="Q4" s="166">
        <v>40422</v>
      </c>
      <c r="R4" s="169">
        <f ca="1">(PRÉSENTATION!$F$11-Q4)/365</f>
        <v>3.6821917808219178</v>
      </c>
      <c r="S4" s="164">
        <v>15</v>
      </c>
      <c r="T4" s="164" t="s">
        <v>53</v>
      </c>
      <c r="U4" s="170">
        <v>7</v>
      </c>
      <c r="V4" s="166">
        <v>41579</v>
      </c>
      <c r="W4" s="166">
        <v>40280</v>
      </c>
      <c r="X4" s="175">
        <f ca="1">(PRÉSENTATION!$F$11-W4)/365</f>
        <v>4.0712328767123287</v>
      </c>
      <c r="Y4" s="164">
        <v>12.5</v>
      </c>
      <c r="Z4" s="166">
        <v>41011</v>
      </c>
      <c r="AA4" s="167">
        <f ca="1">(PRÉSENTATION!$F$11-Z4)/365</f>
        <v>2.0684931506849313</v>
      </c>
      <c r="AB4" s="166">
        <v>41376</v>
      </c>
      <c r="AC4" s="167">
        <f ca="1">(PRÉSENTATION!$F$11-AB4)/365</f>
        <v>1.0684931506849316</v>
      </c>
      <c r="AD4" s="166">
        <v>40929</v>
      </c>
      <c r="AE4" s="167">
        <f ca="1">(PRÉSENTATION!$F$11-AD4)/365</f>
        <v>2.2931506849315069</v>
      </c>
      <c r="AF4" s="164" t="s">
        <v>257</v>
      </c>
      <c r="AG4" s="164">
        <v>5</v>
      </c>
      <c r="AH4" s="164">
        <v>0.5</v>
      </c>
      <c r="AI4" s="164">
        <v>0</v>
      </c>
      <c r="AJ4" s="171">
        <f>SUM(AG4:AI4)</f>
        <v>5.5</v>
      </c>
      <c r="AK4" s="172">
        <v>0</v>
      </c>
      <c r="AL4" s="172">
        <v>1</v>
      </c>
      <c r="AM4" s="172">
        <v>0</v>
      </c>
      <c r="AN4" s="172">
        <v>0</v>
      </c>
      <c r="AO4" s="172">
        <v>1</v>
      </c>
      <c r="AP4" s="172">
        <v>1</v>
      </c>
      <c r="AQ4" s="172">
        <v>0</v>
      </c>
      <c r="AR4" s="166">
        <v>41620</v>
      </c>
      <c r="AS4" s="173">
        <f ca="1">(PRÉSENTATION!$F$11-AR4)/365</f>
        <v>0.4</v>
      </c>
      <c r="AT4" s="164">
        <v>2.5</v>
      </c>
      <c r="AU4" s="164">
        <v>0</v>
      </c>
      <c r="AV4" s="164" t="s">
        <v>290</v>
      </c>
      <c r="AW4" s="164" t="s">
        <v>289</v>
      </c>
      <c r="AX4" s="164" t="s">
        <v>38</v>
      </c>
      <c r="AY4" s="164" t="s">
        <v>37</v>
      </c>
      <c r="AZ4" s="164" t="s">
        <v>15</v>
      </c>
      <c r="BA4" s="164">
        <v>3</v>
      </c>
      <c r="BB4" s="174" t="str">
        <f>B4</f>
        <v>EXEMPLE</v>
      </c>
    </row>
    <row r="5" spans="1:59" s="94" customFormat="1" ht="24.75" customHeight="1" x14ac:dyDescent="0.2">
      <c r="A5" s="111">
        <v>1</v>
      </c>
      <c r="B5" s="149" t="s">
        <v>370</v>
      </c>
      <c r="C5" s="150" t="s">
        <v>371</v>
      </c>
      <c r="D5" s="150" t="s">
        <v>31</v>
      </c>
      <c r="E5" s="151">
        <v>21840</v>
      </c>
      <c r="F5" s="152">
        <f ca="1">(PRÉSENTATION!$F$11-E5)/365</f>
        <v>54.591780821917808</v>
      </c>
      <c r="G5" s="153" t="s">
        <v>203</v>
      </c>
      <c r="H5" s="153" t="s">
        <v>212</v>
      </c>
      <c r="I5" s="154">
        <v>30317</v>
      </c>
      <c r="J5" s="155">
        <f ca="1">((PRÉSENTATION!$F$11-I5)/365)</f>
        <v>31.367123287671234</v>
      </c>
      <c r="K5" s="153" t="s">
        <v>221</v>
      </c>
      <c r="L5" s="156" t="s">
        <v>308</v>
      </c>
      <c r="M5" s="153"/>
      <c r="N5" s="153" t="s">
        <v>224</v>
      </c>
      <c r="O5" s="153">
        <v>1</v>
      </c>
      <c r="P5" s="153" t="s">
        <v>38</v>
      </c>
      <c r="Q5" s="157">
        <v>41153</v>
      </c>
      <c r="R5" s="155">
        <f ca="1">(PRÉSENTATION!$F$11-Q5)/365</f>
        <v>1.6794520547945206</v>
      </c>
      <c r="S5" s="153">
        <v>60</v>
      </c>
      <c r="T5" s="153" t="s">
        <v>485</v>
      </c>
      <c r="U5" s="153" t="s">
        <v>241</v>
      </c>
      <c r="V5" s="158">
        <v>41518</v>
      </c>
      <c r="W5" s="158">
        <v>40869</v>
      </c>
      <c r="X5" s="159">
        <f ca="1">(PRÉSENTATION!$F$11-W5)/365</f>
        <v>2.4575342465753423</v>
      </c>
      <c r="Y5" s="153">
        <v>20</v>
      </c>
      <c r="Z5" s="158"/>
      <c r="AA5" s="155">
        <f ca="1">(PRÉSENTATION!$F$11-Z5)/365</f>
        <v>114.42739726027398</v>
      </c>
      <c r="AB5" s="158"/>
      <c r="AC5" s="155">
        <f ca="1">(PRÉSENTATION!$F$11-AB5)/365</f>
        <v>114.42739726027398</v>
      </c>
      <c r="AD5" s="158"/>
      <c r="AE5" s="155">
        <f ca="1">(PRÉSENTATION!$F$11-AD5)/365</f>
        <v>114.42739726027398</v>
      </c>
      <c r="AF5" s="153" t="s">
        <v>257</v>
      </c>
      <c r="AG5" s="153"/>
      <c r="AH5" s="153"/>
      <c r="AI5" s="153"/>
      <c r="AJ5" s="155">
        <f>SUM(AG5:AI5)</f>
        <v>0</v>
      </c>
      <c r="AK5" s="158"/>
      <c r="AL5" s="158"/>
      <c r="AM5" s="158"/>
      <c r="AN5" s="158"/>
      <c r="AO5" s="158"/>
      <c r="AP5" s="158"/>
      <c r="AQ5" s="158"/>
      <c r="AR5" s="158"/>
      <c r="AS5" s="160">
        <f ca="1">(PRÉSENTATION!$F$11-AR5)/365</f>
        <v>114.42739726027398</v>
      </c>
      <c r="AT5" s="161"/>
      <c r="AU5" s="161"/>
      <c r="AV5" s="162"/>
      <c r="AW5" s="162"/>
      <c r="AX5" s="162"/>
      <c r="AY5" s="162"/>
      <c r="AZ5" s="150" t="s">
        <v>263</v>
      </c>
      <c r="BA5" s="150"/>
      <c r="BB5" s="149" t="str">
        <f>B5</f>
        <v>AGATI</v>
      </c>
    </row>
    <row r="6" spans="1:59" s="94" customFormat="1" ht="24.75" customHeight="1" x14ac:dyDescent="0.2">
      <c r="A6" s="111">
        <v>2</v>
      </c>
      <c r="B6" s="65" t="s">
        <v>372</v>
      </c>
      <c r="C6" s="9" t="s">
        <v>373</v>
      </c>
      <c r="D6" s="9" t="s">
        <v>31</v>
      </c>
      <c r="E6" s="25">
        <v>27933</v>
      </c>
      <c r="F6" s="126">
        <f ca="1">(PRÉSENTATION!$F$11-E6)/365</f>
        <v>37.898630136986299</v>
      </c>
      <c r="G6" s="20" t="s">
        <v>204</v>
      </c>
      <c r="H6" s="20"/>
      <c r="I6" s="23">
        <v>38961</v>
      </c>
      <c r="J6" s="128">
        <f ca="1">((PRÉSENTATION!$F$11-I6)/365)</f>
        <v>7.6849315068493151</v>
      </c>
      <c r="K6" s="20" t="s">
        <v>219</v>
      </c>
      <c r="L6" s="146" t="s">
        <v>308</v>
      </c>
      <c r="M6" s="20" t="s">
        <v>249</v>
      </c>
      <c r="N6" s="20" t="s">
        <v>224</v>
      </c>
      <c r="O6" s="20" t="s">
        <v>264</v>
      </c>
      <c r="P6" s="20" t="s">
        <v>38</v>
      </c>
      <c r="Q6" s="23">
        <v>40422</v>
      </c>
      <c r="R6" s="128">
        <f ca="1">(PRÉSENTATION!$F$11-Q6)/365</f>
        <v>3.6821917808219178</v>
      </c>
      <c r="S6" s="20">
        <v>973</v>
      </c>
      <c r="T6" s="20" t="s">
        <v>53</v>
      </c>
      <c r="U6" s="20">
        <v>6</v>
      </c>
      <c r="V6" s="38">
        <v>40422</v>
      </c>
      <c r="W6" s="22">
        <v>41775</v>
      </c>
      <c r="X6" s="116">
        <f ca="1">(PRÉSENTATION!$F$11-W6)/365</f>
        <v>-2.4657534246575342E-2</v>
      </c>
      <c r="Y6" s="20">
        <v>15</v>
      </c>
      <c r="Z6" s="22">
        <v>39421</v>
      </c>
      <c r="AA6" s="128">
        <f ca="1">(PRÉSENTATION!$F$11-Z6)/365</f>
        <v>6.4246575342465757</v>
      </c>
      <c r="AB6" s="22"/>
      <c r="AC6" s="128">
        <f ca="1">(PRÉSENTATION!$F$11-AB6)/365</f>
        <v>114.42739726027398</v>
      </c>
      <c r="AD6" s="22"/>
      <c r="AE6" s="128">
        <f ca="1">(PRÉSENTATION!$F$11-AD6)/365</f>
        <v>114.42739726027398</v>
      </c>
      <c r="AF6" s="20" t="s">
        <v>257</v>
      </c>
      <c r="AG6" s="20"/>
      <c r="AH6" s="20"/>
      <c r="AI6" s="20"/>
      <c r="AJ6" s="128">
        <f t="shared" ref="AJ6:AJ67" si="0">SUM(AG6:AI6)</f>
        <v>0</v>
      </c>
      <c r="AK6" s="38"/>
      <c r="AL6" s="38"/>
      <c r="AM6" s="38"/>
      <c r="AN6" s="38"/>
      <c r="AO6" s="38"/>
      <c r="AP6" s="38"/>
      <c r="AQ6" s="38"/>
      <c r="AR6" s="38"/>
      <c r="AS6" s="125">
        <f ca="1">(PRÉSENTATION!$F$11-AR6)/365</f>
        <v>114.42739726027398</v>
      </c>
      <c r="AT6" s="40"/>
      <c r="AU6" s="40"/>
      <c r="AV6" s="51" t="s">
        <v>334</v>
      </c>
      <c r="AW6" s="51"/>
      <c r="AX6" s="51" t="s">
        <v>38</v>
      </c>
      <c r="AY6" s="51" t="s">
        <v>38</v>
      </c>
      <c r="AZ6" s="9" t="s">
        <v>46</v>
      </c>
      <c r="BA6" s="9">
        <v>4</v>
      </c>
      <c r="BB6" s="65" t="str">
        <f t="shared" ref="BB6:BB67" si="1">B6</f>
        <v>BADOLLE</v>
      </c>
    </row>
    <row r="7" spans="1:59" s="94" customFormat="1" ht="24.75" customHeight="1" x14ac:dyDescent="0.2">
      <c r="A7" s="111">
        <v>3</v>
      </c>
      <c r="B7" s="147" t="s">
        <v>374</v>
      </c>
      <c r="C7" s="9" t="s">
        <v>375</v>
      </c>
      <c r="D7" s="9" t="s">
        <v>29</v>
      </c>
      <c r="E7" s="22">
        <v>20470</v>
      </c>
      <c r="F7" s="126">
        <f ca="1">(PRÉSENTATION!$F$11-E7)/365</f>
        <v>58.345205479452055</v>
      </c>
      <c r="G7" s="20" t="s">
        <v>206</v>
      </c>
      <c r="H7" s="20"/>
      <c r="I7" s="24"/>
      <c r="J7" s="128">
        <f ca="1">((PRÉSENTATION!$F$11-I7)/365)</f>
        <v>114.42739726027398</v>
      </c>
      <c r="K7" s="20" t="s">
        <v>219</v>
      </c>
      <c r="L7" s="146" t="s">
        <v>309</v>
      </c>
      <c r="M7" s="20" t="s">
        <v>249</v>
      </c>
      <c r="N7" s="20" t="s">
        <v>224</v>
      </c>
      <c r="O7" s="20" t="s">
        <v>264</v>
      </c>
      <c r="P7" s="20" t="s">
        <v>38</v>
      </c>
      <c r="Q7" s="24"/>
      <c r="R7" s="128">
        <f ca="1">(PRÉSENTATION!$F$11-Q7)/365</f>
        <v>114.42739726027398</v>
      </c>
      <c r="S7" s="20"/>
      <c r="T7" s="20" t="s">
        <v>52</v>
      </c>
      <c r="U7" s="20"/>
      <c r="V7" s="20"/>
      <c r="W7" s="38">
        <v>39393</v>
      </c>
      <c r="X7" s="116">
        <f ca="1">(PRÉSENTATION!$F$11-W7)/365</f>
        <v>6.5013698630136982</v>
      </c>
      <c r="Y7" s="20"/>
      <c r="Z7" s="38"/>
      <c r="AA7" s="128">
        <f ca="1">(PRÉSENTATION!$F$11-Z7)/365</f>
        <v>114.42739726027398</v>
      </c>
      <c r="AB7" s="38"/>
      <c r="AC7" s="128">
        <f ca="1">(PRÉSENTATION!$F$11-AB7)/365</f>
        <v>114.42739726027398</v>
      </c>
      <c r="AD7" s="38"/>
      <c r="AE7" s="128">
        <f ca="1">(PRÉSENTATION!$F$11-AD7)/365</f>
        <v>114.42739726027398</v>
      </c>
      <c r="AF7" s="20" t="s">
        <v>264</v>
      </c>
      <c r="AG7" s="20"/>
      <c r="AH7" s="20"/>
      <c r="AI7" s="20"/>
      <c r="AJ7" s="128">
        <f t="shared" si="0"/>
        <v>0</v>
      </c>
      <c r="AK7" s="38"/>
      <c r="AL7" s="38"/>
      <c r="AM7" s="38"/>
      <c r="AN7" s="38"/>
      <c r="AO7" s="38"/>
      <c r="AP7" s="38"/>
      <c r="AQ7" s="38"/>
      <c r="AR7" s="38"/>
      <c r="AS7" s="125">
        <f ca="1">(PRÉSENTATION!$F$11-AR7)/365</f>
        <v>114.42739726027398</v>
      </c>
      <c r="AT7" s="40"/>
      <c r="AU7" s="40"/>
      <c r="AV7" s="51" t="s">
        <v>334</v>
      </c>
      <c r="AW7" s="51" t="s">
        <v>290</v>
      </c>
      <c r="AX7" s="51" t="s">
        <v>38</v>
      </c>
      <c r="AY7" s="51" t="s">
        <v>38</v>
      </c>
      <c r="AZ7" s="9" t="s">
        <v>18</v>
      </c>
      <c r="BA7" s="9">
        <v>3</v>
      </c>
      <c r="BB7" s="147" t="str">
        <f t="shared" si="1"/>
        <v>BECERRA</v>
      </c>
    </row>
    <row r="8" spans="1:59" s="94" customFormat="1" ht="24.75" customHeight="1" x14ac:dyDescent="0.2">
      <c r="A8" s="111">
        <v>4</v>
      </c>
      <c r="B8" s="65" t="s">
        <v>376</v>
      </c>
      <c r="C8" s="9" t="s">
        <v>375</v>
      </c>
      <c r="D8" s="9" t="s">
        <v>29</v>
      </c>
      <c r="E8" s="22">
        <v>24819</v>
      </c>
      <c r="F8" s="126">
        <f ca="1">(PRÉSENTATION!$F$11-E8)/365</f>
        <v>46.43013698630137</v>
      </c>
      <c r="G8" s="20" t="s">
        <v>204</v>
      </c>
      <c r="H8" s="20"/>
      <c r="I8" s="24">
        <v>35309</v>
      </c>
      <c r="J8" s="128">
        <f ca="1">((PRÉSENTATION!$F$11-I8)/365)</f>
        <v>17.69041095890411</v>
      </c>
      <c r="K8" s="20" t="s">
        <v>219</v>
      </c>
      <c r="L8" s="146" t="s">
        <v>309</v>
      </c>
      <c r="M8" s="20" t="s">
        <v>249</v>
      </c>
      <c r="N8" s="20" t="s">
        <v>224</v>
      </c>
      <c r="O8" s="20" t="s">
        <v>264</v>
      </c>
      <c r="P8" s="20" t="s">
        <v>38</v>
      </c>
      <c r="Q8" s="24">
        <v>41518</v>
      </c>
      <c r="R8" s="128">
        <f ca="1">(PRÉSENTATION!$F$11-Q8)/365</f>
        <v>0.67945205479452053</v>
      </c>
      <c r="S8" s="20">
        <v>31</v>
      </c>
      <c r="T8" s="20" t="s">
        <v>53</v>
      </c>
      <c r="U8" s="20">
        <v>10</v>
      </c>
      <c r="V8" s="38">
        <v>41068</v>
      </c>
      <c r="W8" s="38">
        <v>40969</v>
      </c>
      <c r="X8" s="116">
        <f ca="1">(PRÉSENTATION!$F$11-W8)/365</f>
        <v>2.1835616438356165</v>
      </c>
      <c r="Y8" s="20">
        <v>19.75</v>
      </c>
      <c r="Z8" s="38"/>
      <c r="AA8" s="128">
        <f ca="1">(PRÉSENTATION!$F$11-Z8)/365</f>
        <v>114.42739726027398</v>
      </c>
      <c r="AB8" s="38"/>
      <c r="AC8" s="128">
        <f ca="1">(PRÉSENTATION!$F$11-AB8)/365</f>
        <v>114.42739726027398</v>
      </c>
      <c r="AD8" s="38"/>
      <c r="AE8" s="128">
        <f ca="1">(PRÉSENTATION!$F$11-AD8)/365</f>
        <v>114.42739726027398</v>
      </c>
      <c r="AF8" s="20" t="s">
        <v>257</v>
      </c>
      <c r="AG8" s="20"/>
      <c r="AH8" s="20"/>
      <c r="AI8" s="20"/>
      <c r="AJ8" s="128">
        <f t="shared" si="0"/>
        <v>0</v>
      </c>
      <c r="AK8" s="23"/>
      <c r="AL8" s="23"/>
      <c r="AM8" s="23"/>
      <c r="AN8" s="23"/>
      <c r="AO8" s="23"/>
      <c r="AP8" s="23"/>
      <c r="AQ8" s="23"/>
      <c r="AR8" s="23"/>
      <c r="AS8" s="125">
        <f ca="1">(PRÉSENTATION!$F$11-AR8)/365</f>
        <v>114.42739726027398</v>
      </c>
      <c r="AT8" s="40"/>
      <c r="AU8" s="40"/>
      <c r="AV8" s="51" t="s">
        <v>334</v>
      </c>
      <c r="AW8" s="51"/>
      <c r="AX8" s="51" t="s">
        <v>38</v>
      </c>
      <c r="AY8" s="51" t="s">
        <v>37</v>
      </c>
      <c r="AZ8" s="9" t="s">
        <v>14</v>
      </c>
      <c r="BA8" s="9">
        <v>2</v>
      </c>
      <c r="BB8" s="65" t="str">
        <f t="shared" si="1"/>
        <v>BENAZETH-GUILLAUME</v>
      </c>
    </row>
    <row r="9" spans="1:59" s="94" customFormat="1" ht="24.75" customHeight="1" x14ac:dyDescent="0.2">
      <c r="A9" s="111">
        <v>5</v>
      </c>
      <c r="B9" s="147" t="s">
        <v>377</v>
      </c>
      <c r="C9" s="9" t="s">
        <v>378</v>
      </c>
      <c r="D9" s="9" t="s">
        <v>29</v>
      </c>
      <c r="E9" s="22">
        <v>24135</v>
      </c>
      <c r="F9" s="126">
        <f ca="1">(PRÉSENTATION!$F$11-E9)/365</f>
        <v>48.304109589041097</v>
      </c>
      <c r="G9" s="20" t="s">
        <v>204</v>
      </c>
      <c r="H9" s="20"/>
      <c r="I9" s="24"/>
      <c r="J9" s="128">
        <f ca="1">((PRÉSENTATION!$F$11-I9)/365)</f>
        <v>114.42739726027398</v>
      </c>
      <c r="K9" s="20" t="s">
        <v>219</v>
      </c>
      <c r="L9" s="146" t="s">
        <v>309</v>
      </c>
      <c r="M9" s="20" t="s">
        <v>250</v>
      </c>
      <c r="N9" s="20" t="s">
        <v>224</v>
      </c>
      <c r="O9" s="20" t="s">
        <v>264</v>
      </c>
      <c r="P9" s="20" t="s">
        <v>38</v>
      </c>
      <c r="Q9" s="24">
        <v>37265</v>
      </c>
      <c r="R9" s="128">
        <f ca="1">(PRÉSENTATION!$F$11-Q9)/365</f>
        <v>12.331506849315069</v>
      </c>
      <c r="S9" s="20"/>
      <c r="T9" s="20" t="s">
        <v>52</v>
      </c>
      <c r="U9" s="20"/>
      <c r="V9" s="23"/>
      <c r="W9" s="38">
        <v>38139</v>
      </c>
      <c r="X9" s="116">
        <f ca="1">(PRÉSENTATION!$F$11-W9)/365</f>
        <v>9.9369863013698634</v>
      </c>
      <c r="Y9" s="20"/>
      <c r="Z9" s="38"/>
      <c r="AA9" s="128">
        <f ca="1">(PRÉSENTATION!$F$11-Z9)/365</f>
        <v>114.42739726027398</v>
      </c>
      <c r="AB9" s="38">
        <v>40664</v>
      </c>
      <c r="AC9" s="128">
        <f ca="1">(PRÉSENTATION!$F$11-AB9)/365</f>
        <v>3.0191780821917806</v>
      </c>
      <c r="AD9" s="38"/>
      <c r="AE9" s="128">
        <f ca="1">(PRÉSENTATION!$F$11-AD9)/365</f>
        <v>114.42739726027398</v>
      </c>
      <c r="AF9" s="20" t="s">
        <v>265</v>
      </c>
      <c r="AG9" s="20"/>
      <c r="AH9" s="20"/>
      <c r="AI9" s="20"/>
      <c r="AJ9" s="128">
        <f t="shared" si="0"/>
        <v>0</v>
      </c>
      <c r="AK9" s="38"/>
      <c r="AL9" s="38"/>
      <c r="AM9" s="38"/>
      <c r="AN9" s="38"/>
      <c r="AO9" s="38"/>
      <c r="AP9" s="38"/>
      <c r="AQ9" s="38"/>
      <c r="AR9" s="38"/>
      <c r="AS9" s="125">
        <f ca="1">(PRÉSENTATION!$F$11-AR9)/365</f>
        <v>114.42739726027398</v>
      </c>
      <c r="AT9" s="40"/>
      <c r="AU9" s="40"/>
      <c r="AV9" s="51" t="s">
        <v>287</v>
      </c>
      <c r="AW9" s="51" t="s">
        <v>334</v>
      </c>
      <c r="AX9" s="51" t="s">
        <v>38</v>
      </c>
      <c r="AY9" s="51" t="s">
        <v>38</v>
      </c>
      <c r="AZ9" s="65" t="s">
        <v>332</v>
      </c>
      <c r="BA9" s="65"/>
      <c r="BB9" s="147" t="str">
        <f t="shared" si="1"/>
        <v>BOTERO</v>
      </c>
    </row>
    <row r="10" spans="1:59" s="94" customFormat="1" ht="24.75" customHeight="1" x14ac:dyDescent="0.2">
      <c r="A10" s="111">
        <v>6</v>
      </c>
      <c r="B10" s="65" t="s">
        <v>379</v>
      </c>
      <c r="C10" s="9" t="s">
        <v>380</v>
      </c>
      <c r="D10" s="9" t="s">
        <v>31</v>
      </c>
      <c r="E10" s="22">
        <v>30005</v>
      </c>
      <c r="F10" s="126">
        <f ca="1">(PRÉSENTATION!$F$11-E10)/365</f>
        <v>32.221917808219175</v>
      </c>
      <c r="G10" s="20" t="s">
        <v>204</v>
      </c>
      <c r="H10" s="20"/>
      <c r="I10" s="23">
        <v>39326</v>
      </c>
      <c r="J10" s="128">
        <f ca="1">((PRÉSENTATION!$F$11-I10)/365)</f>
        <v>6.6849315068493151</v>
      </c>
      <c r="K10" s="20" t="s">
        <v>219</v>
      </c>
      <c r="L10" s="146" t="s">
        <v>309</v>
      </c>
      <c r="M10" s="20" t="s">
        <v>249</v>
      </c>
      <c r="N10" s="20" t="s">
        <v>224</v>
      </c>
      <c r="O10" s="20" t="s">
        <v>264</v>
      </c>
      <c r="P10" s="20" t="s">
        <v>38</v>
      </c>
      <c r="Q10" s="24">
        <v>40932</v>
      </c>
      <c r="R10" s="128">
        <f ca="1">(PRÉSENTATION!$F$11-Q10)/365</f>
        <v>2.2849315068493152</v>
      </c>
      <c r="S10" s="20">
        <v>83</v>
      </c>
      <c r="T10" s="20" t="s">
        <v>53</v>
      </c>
      <c r="U10" s="20">
        <v>4</v>
      </c>
      <c r="V10" s="38">
        <v>39326</v>
      </c>
      <c r="W10" s="64">
        <v>40923</v>
      </c>
      <c r="X10" s="116">
        <f ca="1">(PRÉSENTATION!$F$11-W10)/365</f>
        <v>2.3095890410958906</v>
      </c>
      <c r="Y10" s="20"/>
      <c r="Z10" s="64"/>
      <c r="AA10" s="128">
        <f ca="1">(PRÉSENTATION!$F$11-Z10)/365</f>
        <v>114.42739726027398</v>
      </c>
      <c r="AB10" s="64"/>
      <c r="AC10" s="128">
        <f ca="1">(PRÉSENTATION!$F$11-AB10)/365</f>
        <v>114.42739726027398</v>
      </c>
      <c r="AD10" s="64"/>
      <c r="AE10" s="128">
        <f ca="1">(PRÉSENTATION!$F$11-AD10)/365</f>
        <v>114.42739726027398</v>
      </c>
      <c r="AF10" s="20" t="s">
        <v>257</v>
      </c>
      <c r="AG10" s="20"/>
      <c r="AH10" s="20"/>
      <c r="AI10" s="20"/>
      <c r="AJ10" s="128">
        <f t="shared" si="0"/>
        <v>0</v>
      </c>
      <c r="AK10" s="38"/>
      <c r="AL10" s="38"/>
      <c r="AM10" s="38"/>
      <c r="AN10" s="38"/>
      <c r="AO10" s="38"/>
      <c r="AP10" s="38"/>
      <c r="AQ10" s="38"/>
      <c r="AR10" s="38"/>
      <c r="AS10" s="125">
        <f ca="1">(PRÉSENTATION!$F$11-AR10)/365</f>
        <v>114.42739726027398</v>
      </c>
      <c r="AT10" s="40"/>
      <c r="AU10" s="40"/>
      <c r="AV10" s="51" t="s">
        <v>334</v>
      </c>
      <c r="AW10" s="51" t="s">
        <v>289</v>
      </c>
      <c r="AX10" s="51" t="s">
        <v>38</v>
      </c>
      <c r="AY10" s="51" t="s">
        <v>38</v>
      </c>
      <c r="AZ10" s="9" t="s">
        <v>15</v>
      </c>
      <c r="BA10" s="9">
        <v>2</v>
      </c>
      <c r="BB10" s="65" t="str">
        <f t="shared" si="1"/>
        <v>BOUDIAS</v>
      </c>
    </row>
    <row r="11" spans="1:59" s="94" customFormat="1" ht="24.75" customHeight="1" x14ac:dyDescent="0.2">
      <c r="A11" s="111">
        <v>7</v>
      </c>
      <c r="B11" s="147" t="s">
        <v>381</v>
      </c>
      <c r="C11" s="20" t="s">
        <v>382</v>
      </c>
      <c r="D11" s="20" t="s">
        <v>31</v>
      </c>
      <c r="E11" s="64">
        <v>24593</v>
      </c>
      <c r="F11" s="126">
        <f ca="1">(PRÉSENTATION!$F$11-E11)/365</f>
        <v>47.049315068493151</v>
      </c>
      <c r="G11" s="20" t="s">
        <v>207</v>
      </c>
      <c r="H11" s="20"/>
      <c r="I11" s="64">
        <v>35309</v>
      </c>
      <c r="J11" s="128">
        <f ca="1">((PRÉSENTATION!$F$11-I11)/365)</f>
        <v>17.69041095890411</v>
      </c>
      <c r="K11" s="20" t="s">
        <v>219</v>
      </c>
      <c r="L11" s="146" t="s">
        <v>308</v>
      </c>
      <c r="M11" s="20" t="s">
        <v>249</v>
      </c>
      <c r="N11" s="20">
        <v>0.5</v>
      </c>
      <c r="O11" s="20" t="s">
        <v>264</v>
      </c>
      <c r="P11" s="20" t="s">
        <v>38</v>
      </c>
      <c r="Q11" s="38">
        <v>38961</v>
      </c>
      <c r="R11" s="128">
        <f ca="1">(PRÉSENTATION!$F$11-Q11)/365</f>
        <v>7.6849315068493151</v>
      </c>
      <c r="S11" s="20">
        <v>69</v>
      </c>
      <c r="T11" s="20" t="s">
        <v>53</v>
      </c>
      <c r="U11" s="20">
        <v>10</v>
      </c>
      <c r="V11" s="38">
        <v>41254</v>
      </c>
      <c r="W11" s="64">
        <v>40303</v>
      </c>
      <c r="X11" s="116">
        <f ca="1">(PRÉSENTATION!$F$11-W11)/365</f>
        <v>4.0082191780821921</v>
      </c>
      <c r="Y11" s="20">
        <v>16.5</v>
      </c>
      <c r="Z11" s="64">
        <v>38991</v>
      </c>
      <c r="AA11" s="128">
        <f ca="1">(PRÉSENTATION!$F$11-Z11)/365</f>
        <v>7.602739726027397</v>
      </c>
      <c r="AB11" s="64"/>
      <c r="AC11" s="128">
        <f ca="1">(PRÉSENTATION!$F$11-AB11)/365</f>
        <v>114.42739726027398</v>
      </c>
      <c r="AD11" s="64"/>
      <c r="AE11" s="128">
        <f ca="1">(PRÉSENTATION!$F$11-AD11)/365</f>
        <v>114.42739726027398</v>
      </c>
      <c r="AF11" s="20" t="s">
        <v>257</v>
      </c>
      <c r="AG11" s="20"/>
      <c r="AH11" s="20"/>
      <c r="AI11" s="20"/>
      <c r="AJ11" s="128">
        <f t="shared" si="0"/>
        <v>0</v>
      </c>
      <c r="AK11" s="38"/>
      <c r="AL11" s="38"/>
      <c r="AM11" s="38"/>
      <c r="AN11" s="38"/>
      <c r="AO11" s="38"/>
      <c r="AP11" s="38"/>
      <c r="AQ11" s="38"/>
      <c r="AR11" s="38"/>
      <c r="AS11" s="125">
        <f ca="1">(PRÉSENTATION!$F$11-AR11)/365</f>
        <v>114.42739726027398</v>
      </c>
      <c r="AT11" s="40"/>
      <c r="AU11" s="40"/>
      <c r="AV11" s="51" t="s">
        <v>334</v>
      </c>
      <c r="AW11" s="51" t="s">
        <v>289</v>
      </c>
      <c r="AX11" s="51" t="s">
        <v>38</v>
      </c>
      <c r="AY11" s="51" t="s">
        <v>38</v>
      </c>
      <c r="AZ11" s="20" t="s">
        <v>47</v>
      </c>
      <c r="BA11" s="20">
        <v>1</v>
      </c>
      <c r="BB11" s="147" t="str">
        <f t="shared" si="1"/>
        <v>CACHET</v>
      </c>
    </row>
    <row r="12" spans="1:59" s="94" customFormat="1" ht="24.75" customHeight="1" x14ac:dyDescent="0.2">
      <c r="A12" s="111">
        <v>8</v>
      </c>
      <c r="B12" s="65" t="s">
        <v>383</v>
      </c>
      <c r="C12" s="9" t="s">
        <v>384</v>
      </c>
      <c r="D12" s="9" t="s">
        <v>29</v>
      </c>
      <c r="E12" s="22">
        <v>30115</v>
      </c>
      <c r="F12" s="126">
        <f ca="1">(PRÉSENTATION!$F$11-E12)/365</f>
        <v>31.920547945205481</v>
      </c>
      <c r="G12" s="20" t="s">
        <v>204</v>
      </c>
      <c r="H12" s="20"/>
      <c r="I12" s="24">
        <v>38596</v>
      </c>
      <c r="J12" s="128">
        <f ca="1">((PRÉSENTATION!$F$11-I12)/365)</f>
        <v>8.6849315068493151</v>
      </c>
      <c r="K12" s="20" t="s">
        <v>219</v>
      </c>
      <c r="L12" s="146" t="s">
        <v>308</v>
      </c>
      <c r="M12" s="20" t="s">
        <v>249</v>
      </c>
      <c r="N12" s="20" t="s">
        <v>224</v>
      </c>
      <c r="O12" s="20" t="s">
        <v>264</v>
      </c>
      <c r="P12" s="20" t="s">
        <v>38</v>
      </c>
      <c r="Q12" s="24">
        <v>40787</v>
      </c>
      <c r="R12" s="128">
        <f ca="1">(PRÉSENTATION!$F$11-Q12)/365</f>
        <v>2.6821917808219178</v>
      </c>
      <c r="S12" s="20">
        <v>73</v>
      </c>
      <c r="T12" s="20" t="s">
        <v>53</v>
      </c>
      <c r="U12" s="20">
        <v>6</v>
      </c>
      <c r="V12" s="38">
        <v>40603</v>
      </c>
      <c r="W12" s="24">
        <v>40493</v>
      </c>
      <c r="X12" s="116">
        <f ca="1">(PRÉSENTATION!$F$11-W12)/365</f>
        <v>3.4876712328767123</v>
      </c>
      <c r="Y12" s="20">
        <v>14</v>
      </c>
      <c r="Z12" s="24">
        <v>40664</v>
      </c>
      <c r="AA12" s="128">
        <f ca="1">(PRÉSENTATION!$F$11-Z12)/365</f>
        <v>3.0191780821917806</v>
      </c>
      <c r="AB12" s="24"/>
      <c r="AC12" s="128">
        <f ca="1">(PRÉSENTATION!$F$11-AB12)/365</f>
        <v>114.42739726027398</v>
      </c>
      <c r="AD12" s="24"/>
      <c r="AE12" s="128">
        <f ca="1">(PRÉSENTATION!$F$11-AD12)/365</f>
        <v>114.42739726027398</v>
      </c>
      <c r="AF12" s="20" t="s">
        <v>257</v>
      </c>
      <c r="AG12" s="20"/>
      <c r="AH12" s="20"/>
      <c r="AI12" s="20"/>
      <c r="AJ12" s="128">
        <f t="shared" si="0"/>
        <v>0</v>
      </c>
      <c r="AK12" s="38"/>
      <c r="AL12" s="38"/>
      <c r="AM12" s="38"/>
      <c r="AN12" s="38"/>
      <c r="AO12" s="38"/>
      <c r="AP12" s="38"/>
      <c r="AQ12" s="38"/>
      <c r="AR12" s="38"/>
      <c r="AS12" s="125">
        <f ca="1">(PRÉSENTATION!$F$11-AR12)/365</f>
        <v>114.42739726027398</v>
      </c>
      <c r="AT12" s="40"/>
      <c r="AU12" s="40"/>
      <c r="AV12" s="51" t="s">
        <v>334</v>
      </c>
      <c r="AW12" s="51"/>
      <c r="AX12" s="51" t="s">
        <v>38</v>
      </c>
      <c r="AY12" s="51" t="s">
        <v>38</v>
      </c>
      <c r="AZ12" s="9" t="s">
        <v>46</v>
      </c>
      <c r="BA12" s="9">
        <v>3</v>
      </c>
      <c r="BB12" s="65" t="str">
        <f t="shared" si="1"/>
        <v>CANSADO</v>
      </c>
      <c r="BG12"/>
    </row>
    <row r="13" spans="1:59" s="94" customFormat="1" ht="24.75" customHeight="1" x14ac:dyDescent="0.2">
      <c r="A13" s="111">
        <v>9</v>
      </c>
      <c r="B13" s="147" t="s">
        <v>385</v>
      </c>
      <c r="C13" s="9" t="s">
        <v>378</v>
      </c>
      <c r="D13" s="9" t="s">
        <v>29</v>
      </c>
      <c r="E13" s="22">
        <v>21650</v>
      </c>
      <c r="F13" s="126">
        <f ca="1">(PRÉSENTATION!$F$11-E13)/365</f>
        <v>55.112328767123287</v>
      </c>
      <c r="G13" s="20" t="s">
        <v>12</v>
      </c>
      <c r="H13" s="20"/>
      <c r="I13" s="38"/>
      <c r="J13" s="128">
        <f ca="1">((PRÉSENTATION!$F$11-I13)/365)</f>
        <v>114.42739726027398</v>
      </c>
      <c r="K13" s="20" t="s">
        <v>219</v>
      </c>
      <c r="L13" s="146" t="s">
        <v>308</v>
      </c>
      <c r="M13" s="20" t="s">
        <v>249</v>
      </c>
      <c r="N13" s="20" t="s">
        <v>224</v>
      </c>
      <c r="O13" s="20" t="s">
        <v>264</v>
      </c>
      <c r="P13" s="20" t="s">
        <v>38</v>
      </c>
      <c r="Q13" s="24">
        <v>34215</v>
      </c>
      <c r="R13" s="128">
        <f ca="1">(PRÉSENTATION!$F$11-Q13)/365</f>
        <v>20.687671232876713</v>
      </c>
      <c r="S13" s="20"/>
      <c r="T13" s="20" t="s">
        <v>52</v>
      </c>
      <c r="U13" s="20"/>
      <c r="V13" s="38"/>
      <c r="W13" s="38"/>
      <c r="X13" s="116">
        <f ca="1">(PRÉSENTATION!$F$11-W13)/365</f>
        <v>114.42739726027398</v>
      </c>
      <c r="Y13" s="20"/>
      <c r="Z13" s="38">
        <v>41214</v>
      </c>
      <c r="AA13" s="128">
        <f ca="1">(PRÉSENTATION!$F$11-Z13)/365</f>
        <v>1.5123287671232877</v>
      </c>
      <c r="AB13" s="38"/>
      <c r="AC13" s="128">
        <f ca="1">(PRÉSENTATION!$F$11-AB13)/365</f>
        <v>114.42739726027398</v>
      </c>
      <c r="AD13" s="38"/>
      <c r="AE13" s="128">
        <f ca="1">(PRÉSENTATION!$F$11-AD13)/365</f>
        <v>114.42739726027398</v>
      </c>
      <c r="AF13" s="20" t="s">
        <v>264</v>
      </c>
      <c r="AG13" s="20"/>
      <c r="AH13" s="20"/>
      <c r="AI13" s="20"/>
      <c r="AJ13" s="128">
        <f t="shared" si="0"/>
        <v>0</v>
      </c>
      <c r="AK13" s="38"/>
      <c r="AL13" s="38"/>
      <c r="AM13" s="38"/>
      <c r="AN13" s="38"/>
      <c r="AO13" s="38"/>
      <c r="AP13" s="38"/>
      <c r="AQ13" s="38"/>
      <c r="AR13" s="38"/>
      <c r="AS13" s="125">
        <f ca="1">(PRÉSENTATION!$F$11-AR13)/365</f>
        <v>114.42739726027398</v>
      </c>
      <c r="AT13" s="40"/>
      <c r="AU13" s="40"/>
      <c r="AV13" s="51" t="s">
        <v>290</v>
      </c>
      <c r="AW13" s="51" t="s">
        <v>334</v>
      </c>
      <c r="AX13" s="51" t="s">
        <v>38</v>
      </c>
      <c r="AY13" s="51" t="s">
        <v>38</v>
      </c>
      <c r="AZ13" s="9" t="s">
        <v>47</v>
      </c>
      <c r="BA13" s="9">
        <v>2</v>
      </c>
      <c r="BB13" s="147" t="str">
        <f t="shared" si="1"/>
        <v>CANTILLO</v>
      </c>
    </row>
    <row r="14" spans="1:59" s="94" customFormat="1" ht="24.75" customHeight="1" x14ac:dyDescent="0.2">
      <c r="A14" s="111">
        <v>10</v>
      </c>
      <c r="B14" s="65" t="s">
        <v>386</v>
      </c>
      <c r="C14" s="9" t="s">
        <v>387</v>
      </c>
      <c r="D14" s="9" t="s">
        <v>31</v>
      </c>
      <c r="E14" s="25">
        <v>25885</v>
      </c>
      <c r="F14" s="126">
        <f ca="1">(PRÉSENTATION!$F$11-E14)/365</f>
        <v>43.509589041095893</v>
      </c>
      <c r="G14" s="20" t="s">
        <v>204</v>
      </c>
      <c r="H14" s="20" t="s">
        <v>212</v>
      </c>
      <c r="I14" s="26">
        <v>35674</v>
      </c>
      <c r="J14" s="128">
        <f ca="1">((PRÉSENTATION!$F$11-I14)/365)</f>
        <v>16.69041095890411</v>
      </c>
      <c r="K14" s="20" t="s">
        <v>221</v>
      </c>
      <c r="L14" s="146" t="s">
        <v>309</v>
      </c>
      <c r="M14" s="20"/>
      <c r="N14" s="20" t="s">
        <v>224</v>
      </c>
      <c r="O14" s="20">
        <v>1</v>
      </c>
      <c r="P14" s="20" t="s">
        <v>38</v>
      </c>
      <c r="Q14" s="23">
        <v>40787</v>
      </c>
      <c r="R14" s="128">
        <f ca="1">(PRÉSENTATION!$F$11-Q14)/365</f>
        <v>2.6821917808219178</v>
      </c>
      <c r="S14" s="20">
        <v>94</v>
      </c>
      <c r="T14" s="20" t="s">
        <v>485</v>
      </c>
      <c r="U14" s="20">
        <v>10</v>
      </c>
      <c r="V14" s="38">
        <v>41214</v>
      </c>
      <c r="W14" s="38">
        <v>40722</v>
      </c>
      <c r="X14" s="116">
        <f ca="1">(PRÉSENTATION!$F$11-W14)/365</f>
        <v>2.8602739726027395</v>
      </c>
      <c r="Y14" s="20">
        <v>19.75</v>
      </c>
      <c r="Z14" s="38"/>
      <c r="AA14" s="128">
        <f ca="1">(PRÉSENTATION!$F$11-Z14)/365</f>
        <v>114.42739726027398</v>
      </c>
      <c r="AB14" s="38"/>
      <c r="AC14" s="128">
        <f ca="1">(PRÉSENTATION!$F$11-AB14)/365</f>
        <v>114.42739726027398</v>
      </c>
      <c r="AD14" s="38"/>
      <c r="AE14" s="128">
        <f ca="1">(PRÉSENTATION!$F$11-AD14)/365</f>
        <v>114.42739726027398</v>
      </c>
      <c r="AF14" s="20" t="s">
        <v>257</v>
      </c>
      <c r="AG14" s="20"/>
      <c r="AH14" s="20"/>
      <c r="AI14" s="20"/>
      <c r="AJ14" s="128">
        <f t="shared" si="0"/>
        <v>0</v>
      </c>
      <c r="AK14" s="38"/>
      <c r="AL14" s="38"/>
      <c r="AM14" s="38"/>
      <c r="AN14" s="38"/>
      <c r="AO14" s="38"/>
      <c r="AP14" s="38"/>
      <c r="AQ14" s="38"/>
      <c r="AR14" s="38"/>
      <c r="AS14" s="125">
        <f ca="1">(PRÉSENTATION!$F$11-AR14)/365</f>
        <v>114.42739726027398</v>
      </c>
      <c r="AT14" s="40"/>
      <c r="AU14" s="40"/>
      <c r="AV14" s="51" t="s">
        <v>334</v>
      </c>
      <c r="AW14" s="51" t="s">
        <v>289</v>
      </c>
      <c r="AX14" s="51" t="s">
        <v>38</v>
      </c>
      <c r="AY14" s="51" t="s">
        <v>38</v>
      </c>
      <c r="AZ14" s="9"/>
      <c r="BA14" s="9"/>
      <c r="BB14" s="65" t="str">
        <f t="shared" si="1"/>
        <v>CASAÑAS</v>
      </c>
    </row>
    <row r="15" spans="1:59" s="94" customFormat="1" ht="24.75" customHeight="1" x14ac:dyDescent="0.2">
      <c r="A15" s="111">
        <v>11</v>
      </c>
      <c r="B15" s="147" t="s">
        <v>388</v>
      </c>
      <c r="C15" s="9" t="s">
        <v>389</v>
      </c>
      <c r="D15" s="9" t="s">
        <v>31</v>
      </c>
      <c r="E15" s="22">
        <v>30365</v>
      </c>
      <c r="F15" s="126">
        <f ca="1">(PRÉSENTATION!$F$11-E15)/365</f>
        <v>31.235616438356164</v>
      </c>
      <c r="G15" s="20" t="s">
        <v>206</v>
      </c>
      <c r="H15" s="20"/>
      <c r="I15" s="23"/>
      <c r="J15" s="128">
        <f ca="1">((PRÉSENTATION!$F$11-I15)/365)</f>
        <v>114.42739726027398</v>
      </c>
      <c r="K15" s="20" t="s">
        <v>219</v>
      </c>
      <c r="L15" s="146" t="s">
        <v>309</v>
      </c>
      <c r="M15" s="20" t="s">
        <v>249</v>
      </c>
      <c r="N15" s="20" t="s">
        <v>224</v>
      </c>
      <c r="O15" s="20" t="s">
        <v>264</v>
      </c>
      <c r="P15" s="20" t="s">
        <v>38</v>
      </c>
      <c r="Q15" s="23">
        <v>41153</v>
      </c>
      <c r="R15" s="128">
        <f ca="1">(PRÉSENTATION!$F$11-Q15)/365</f>
        <v>1.6794520547945206</v>
      </c>
      <c r="S15" s="20"/>
      <c r="T15" s="20" t="s">
        <v>52</v>
      </c>
      <c r="U15" s="20"/>
      <c r="V15" s="20"/>
      <c r="W15" s="64"/>
      <c r="X15" s="116">
        <f ca="1">(PRÉSENTATION!$F$11-W15)/365</f>
        <v>114.42739726027398</v>
      </c>
      <c r="Y15" s="20"/>
      <c r="Z15" s="64"/>
      <c r="AA15" s="128">
        <f ca="1">(PRÉSENTATION!$F$11-Z15)/365</f>
        <v>114.42739726027398</v>
      </c>
      <c r="AB15" s="64">
        <v>41671</v>
      </c>
      <c r="AC15" s="128">
        <f ca="1">(PRÉSENTATION!$F$11-AB15)/365</f>
        <v>0.26027397260273971</v>
      </c>
      <c r="AD15" s="64">
        <v>41699</v>
      </c>
      <c r="AE15" s="128">
        <f ca="1">(PRÉSENTATION!$F$11-AD15)/365</f>
        <v>0.18356164383561643</v>
      </c>
      <c r="AF15" s="20" t="s">
        <v>259</v>
      </c>
      <c r="AG15" s="20"/>
      <c r="AH15" s="20"/>
      <c r="AI15" s="20"/>
      <c r="AJ15" s="128">
        <f t="shared" si="0"/>
        <v>0</v>
      </c>
      <c r="AK15" s="38"/>
      <c r="AL15" s="38"/>
      <c r="AM15" s="38"/>
      <c r="AN15" s="38"/>
      <c r="AO15" s="38"/>
      <c r="AP15" s="38"/>
      <c r="AQ15" s="38"/>
      <c r="AR15" s="38"/>
      <c r="AS15" s="125">
        <f ca="1">(PRÉSENTATION!$F$11-AR15)/365</f>
        <v>114.42739726027398</v>
      </c>
      <c r="AT15" s="40"/>
      <c r="AU15" s="40"/>
      <c r="AV15" s="51" t="s">
        <v>334</v>
      </c>
      <c r="AW15" s="51" t="s">
        <v>289</v>
      </c>
      <c r="AX15" s="51" t="s">
        <v>38</v>
      </c>
      <c r="AY15" s="51" t="s">
        <v>38</v>
      </c>
      <c r="AZ15" s="9" t="s">
        <v>17</v>
      </c>
      <c r="BA15" s="9">
        <v>1</v>
      </c>
      <c r="BB15" s="147" t="str">
        <f t="shared" si="1"/>
        <v>CASAUX</v>
      </c>
    </row>
    <row r="16" spans="1:59" s="94" customFormat="1" ht="24.75" customHeight="1" x14ac:dyDescent="0.2">
      <c r="A16" s="111">
        <v>12</v>
      </c>
      <c r="B16" s="65" t="s">
        <v>390</v>
      </c>
      <c r="C16" s="9" t="s">
        <v>391</v>
      </c>
      <c r="D16" s="9" t="s">
        <v>29</v>
      </c>
      <c r="E16" s="22">
        <v>26265</v>
      </c>
      <c r="F16" s="126">
        <f ca="1">(PRÉSENTATION!$F$11-E16)/365</f>
        <v>42.468493150684928</v>
      </c>
      <c r="G16" s="20" t="s">
        <v>204</v>
      </c>
      <c r="H16" s="20"/>
      <c r="I16" s="38"/>
      <c r="J16" s="128">
        <f ca="1">((PRÉSENTATION!$F$11-I16)/365)</f>
        <v>114.42739726027398</v>
      </c>
      <c r="K16" s="20" t="s">
        <v>219</v>
      </c>
      <c r="L16" s="146" t="s">
        <v>308</v>
      </c>
      <c r="M16" s="20" t="s">
        <v>249</v>
      </c>
      <c r="N16" s="20" t="s">
        <v>224</v>
      </c>
      <c r="O16" s="20" t="s">
        <v>264</v>
      </c>
      <c r="P16" s="20" t="s">
        <v>38</v>
      </c>
      <c r="Q16" s="24">
        <v>36780</v>
      </c>
      <c r="R16" s="128">
        <f ca="1">(PRÉSENTATION!$F$11-Q16)/365</f>
        <v>13.66027397260274</v>
      </c>
      <c r="S16" s="20"/>
      <c r="T16" s="20" t="s">
        <v>52</v>
      </c>
      <c r="U16" s="20"/>
      <c r="V16" s="38"/>
      <c r="W16" s="38">
        <v>40980</v>
      </c>
      <c r="X16" s="116">
        <f ca="1">(PRÉSENTATION!$F$11-W16)/365</f>
        <v>2.1534246575342464</v>
      </c>
      <c r="Y16" s="20"/>
      <c r="Z16" s="38">
        <v>41395</v>
      </c>
      <c r="AA16" s="128">
        <f ca="1">(PRÉSENTATION!$F$11-Z16)/365</f>
        <v>1.0164383561643835</v>
      </c>
      <c r="AB16" s="38"/>
      <c r="AC16" s="128">
        <f ca="1">(PRÉSENTATION!$F$11-AB16)/365</f>
        <v>114.42739726027398</v>
      </c>
      <c r="AD16" s="38"/>
      <c r="AE16" s="128">
        <f ca="1">(PRÉSENTATION!$F$11-AD16)/365</f>
        <v>114.42739726027398</v>
      </c>
      <c r="AF16" s="20" t="s">
        <v>264</v>
      </c>
      <c r="AG16" s="20"/>
      <c r="AH16" s="20"/>
      <c r="AI16" s="20"/>
      <c r="AJ16" s="128">
        <f t="shared" si="0"/>
        <v>0</v>
      </c>
      <c r="AK16" s="38"/>
      <c r="AL16" s="38"/>
      <c r="AM16" s="38"/>
      <c r="AN16" s="38"/>
      <c r="AO16" s="38"/>
      <c r="AP16" s="38"/>
      <c r="AQ16" s="38"/>
      <c r="AR16" s="38"/>
      <c r="AS16" s="125">
        <f ca="1">(PRÉSENTATION!$F$11-AR16)/365</f>
        <v>114.42739726027398</v>
      </c>
      <c r="AT16" s="40"/>
      <c r="AU16" s="40"/>
      <c r="AV16" s="51" t="s">
        <v>334</v>
      </c>
      <c r="AW16" s="51" t="s">
        <v>290</v>
      </c>
      <c r="AX16" s="51" t="s">
        <v>38</v>
      </c>
      <c r="AY16" s="51" t="s">
        <v>38</v>
      </c>
      <c r="AZ16" s="9" t="s">
        <v>46</v>
      </c>
      <c r="BA16" s="9">
        <v>4</v>
      </c>
      <c r="BB16" s="65" t="str">
        <f t="shared" si="1"/>
        <v>CAVELIER</v>
      </c>
    </row>
    <row r="17" spans="1:59" s="94" customFormat="1" ht="24.75" customHeight="1" x14ac:dyDescent="0.2">
      <c r="A17" s="111">
        <v>13</v>
      </c>
      <c r="B17" s="147" t="s">
        <v>392</v>
      </c>
      <c r="C17" s="9" t="s">
        <v>393</v>
      </c>
      <c r="D17" s="9" t="s">
        <v>29</v>
      </c>
      <c r="E17" s="64">
        <v>29488</v>
      </c>
      <c r="F17" s="126">
        <f ca="1">(PRÉSENTATION!$F$11-E17)/365</f>
        <v>33.638356164383559</v>
      </c>
      <c r="G17" s="20" t="s">
        <v>12</v>
      </c>
      <c r="H17" s="20"/>
      <c r="I17" s="26"/>
      <c r="J17" s="128">
        <f ca="1">((PRÉSENTATION!$F$11-I17)/365)</f>
        <v>114.42739726027398</v>
      </c>
      <c r="K17" s="20" t="s">
        <v>219</v>
      </c>
      <c r="L17" s="146" t="s">
        <v>308</v>
      </c>
      <c r="M17" s="20" t="s">
        <v>249</v>
      </c>
      <c r="N17" s="20" t="s">
        <v>224</v>
      </c>
      <c r="O17" s="20" t="s">
        <v>264</v>
      </c>
      <c r="P17" s="20" t="s">
        <v>38</v>
      </c>
      <c r="Q17" s="24">
        <v>39692</v>
      </c>
      <c r="R17" s="128">
        <f ca="1">(PRÉSENTATION!$F$11-Q17)/365</f>
        <v>5.6821917808219178</v>
      </c>
      <c r="S17" s="20"/>
      <c r="T17" s="20" t="s">
        <v>52</v>
      </c>
      <c r="U17" s="20"/>
      <c r="V17" s="20"/>
      <c r="W17" s="38"/>
      <c r="X17" s="116">
        <f ca="1">(PRÉSENTATION!$F$11-W17)/365</f>
        <v>114.42739726027398</v>
      </c>
      <c r="Y17" s="20"/>
      <c r="Z17" s="38"/>
      <c r="AA17" s="128">
        <f ca="1">(PRÉSENTATION!$F$11-Z17)/365</f>
        <v>114.42739726027398</v>
      </c>
      <c r="AB17" s="38">
        <v>40197</v>
      </c>
      <c r="AC17" s="128">
        <f ca="1">(PRÉSENTATION!$F$11-AB17)/365</f>
        <v>4.2986301369863016</v>
      </c>
      <c r="AD17" s="38"/>
      <c r="AE17" s="128">
        <f ca="1">(PRÉSENTATION!$F$11-AD17)/365</f>
        <v>114.42739726027398</v>
      </c>
      <c r="AF17" s="20" t="s">
        <v>264</v>
      </c>
      <c r="AG17" s="20"/>
      <c r="AH17" s="20"/>
      <c r="AI17" s="20"/>
      <c r="AJ17" s="128">
        <f t="shared" si="0"/>
        <v>0</v>
      </c>
      <c r="AK17" s="38"/>
      <c r="AL17" s="38"/>
      <c r="AM17" s="38"/>
      <c r="AN17" s="38"/>
      <c r="AO17" s="38"/>
      <c r="AP17" s="38"/>
      <c r="AQ17" s="38"/>
      <c r="AR17" s="38"/>
      <c r="AS17" s="125">
        <f ca="1">(PRÉSENTATION!$F$11-AR17)/365</f>
        <v>114.42739726027398</v>
      </c>
      <c r="AT17" s="40"/>
      <c r="AU17" s="40"/>
      <c r="AV17" s="51" t="s">
        <v>289</v>
      </c>
      <c r="AW17" s="51" t="s">
        <v>334</v>
      </c>
      <c r="AX17" s="51" t="s">
        <v>38</v>
      </c>
      <c r="AY17" s="51" t="s">
        <v>38</v>
      </c>
      <c r="AZ17" s="9" t="s">
        <v>45</v>
      </c>
      <c r="BA17" s="9">
        <v>2</v>
      </c>
      <c r="BB17" s="147" t="str">
        <f t="shared" si="1"/>
        <v>CEPEDA</v>
      </c>
    </row>
    <row r="18" spans="1:59" s="94" customFormat="1" ht="24.75" customHeight="1" x14ac:dyDescent="0.2">
      <c r="A18" s="111">
        <v>14</v>
      </c>
      <c r="B18" s="65" t="s">
        <v>394</v>
      </c>
      <c r="C18" s="9" t="s">
        <v>395</v>
      </c>
      <c r="D18" s="9" t="s">
        <v>31</v>
      </c>
      <c r="E18" s="22">
        <v>27810</v>
      </c>
      <c r="F18" s="126">
        <f ca="1">(PRÉSENTATION!$F$11-E18)/365</f>
        <v>38.235616438356168</v>
      </c>
      <c r="G18" s="20" t="s">
        <v>204</v>
      </c>
      <c r="H18" s="20"/>
      <c r="I18" s="24"/>
      <c r="J18" s="128">
        <f ca="1">((PRÉSENTATION!$F$11-I18)/365)</f>
        <v>114.42739726027398</v>
      </c>
      <c r="K18" s="20" t="s">
        <v>219</v>
      </c>
      <c r="L18" s="146" t="s">
        <v>309</v>
      </c>
      <c r="M18" s="20" t="s">
        <v>249</v>
      </c>
      <c r="N18" s="20" t="s">
        <v>224</v>
      </c>
      <c r="O18" s="20" t="s">
        <v>264</v>
      </c>
      <c r="P18" s="20" t="s">
        <v>38</v>
      </c>
      <c r="Q18" s="24">
        <v>41518</v>
      </c>
      <c r="R18" s="128">
        <f ca="1">(PRÉSENTATION!$F$11-Q18)/365</f>
        <v>0.67945205479452053</v>
      </c>
      <c r="S18" s="20"/>
      <c r="T18" s="20" t="s">
        <v>52</v>
      </c>
      <c r="U18" s="20"/>
      <c r="V18" s="20"/>
      <c r="W18" s="38"/>
      <c r="X18" s="116">
        <f ca="1">(PRÉSENTATION!$F$11-W18)/365</f>
        <v>114.42739726027398</v>
      </c>
      <c r="Y18" s="20"/>
      <c r="Z18" s="38"/>
      <c r="AA18" s="128">
        <f ca="1">(PRÉSENTATION!$F$11-Z18)/365</f>
        <v>114.42739726027398</v>
      </c>
      <c r="AB18" s="38">
        <v>41671</v>
      </c>
      <c r="AC18" s="128">
        <f ca="1">(PRÉSENTATION!$F$11-AB18)/365</f>
        <v>0.26027397260273971</v>
      </c>
      <c r="AD18" s="38">
        <v>41708</v>
      </c>
      <c r="AE18" s="128">
        <f ca="1">(PRÉSENTATION!$F$11-AD18)/365</f>
        <v>0.15890410958904111</v>
      </c>
      <c r="AF18" s="20" t="s">
        <v>259</v>
      </c>
      <c r="AG18" s="20"/>
      <c r="AH18" s="20"/>
      <c r="AI18" s="20"/>
      <c r="AJ18" s="128">
        <f t="shared" si="0"/>
        <v>0</v>
      </c>
      <c r="AK18" s="38"/>
      <c r="AL18" s="38"/>
      <c r="AM18" s="38"/>
      <c r="AN18" s="38"/>
      <c r="AO18" s="38"/>
      <c r="AP18" s="38"/>
      <c r="AQ18" s="38"/>
      <c r="AR18" s="38"/>
      <c r="AS18" s="125">
        <f ca="1">(PRÉSENTATION!$F$11-AR18)/365</f>
        <v>114.42739726027398</v>
      </c>
      <c r="AT18" s="40"/>
      <c r="AU18" s="40"/>
      <c r="AV18" s="51" t="s">
        <v>334</v>
      </c>
      <c r="AW18" s="51" t="s">
        <v>289</v>
      </c>
      <c r="AX18" s="51" t="s">
        <v>38</v>
      </c>
      <c r="AY18" s="51" t="s">
        <v>38</v>
      </c>
      <c r="AZ18" s="9" t="s">
        <v>15</v>
      </c>
      <c r="BA18" s="9">
        <v>1</v>
      </c>
      <c r="BB18" s="65" t="str">
        <f t="shared" si="1"/>
        <v>CHARROTTON</v>
      </c>
    </row>
    <row r="19" spans="1:59" s="94" customFormat="1" ht="24.75" customHeight="1" x14ac:dyDescent="0.2">
      <c r="A19" s="111">
        <v>15</v>
      </c>
      <c r="B19" s="147" t="s">
        <v>396</v>
      </c>
      <c r="C19" s="9" t="s">
        <v>397</v>
      </c>
      <c r="D19" s="9" t="s">
        <v>29</v>
      </c>
      <c r="E19" s="64">
        <v>32646</v>
      </c>
      <c r="F19" s="126">
        <f ca="1">(PRÉSENTATION!$F$11-E19)/365</f>
        <v>24.986301369863014</v>
      </c>
      <c r="G19" s="20" t="s">
        <v>204</v>
      </c>
      <c r="H19" s="20"/>
      <c r="I19" s="26"/>
      <c r="J19" s="128">
        <f ca="1">((PRÉSENTATION!$F$11-I19)/365)</f>
        <v>114.42739726027398</v>
      </c>
      <c r="K19" s="20" t="s">
        <v>219</v>
      </c>
      <c r="L19" s="146" t="s">
        <v>309</v>
      </c>
      <c r="M19" s="20" t="s">
        <v>250</v>
      </c>
      <c r="N19" s="20" t="s">
        <v>224</v>
      </c>
      <c r="O19" s="20" t="s">
        <v>264</v>
      </c>
      <c r="P19" s="20" t="s">
        <v>38</v>
      </c>
      <c r="Q19" s="24"/>
      <c r="R19" s="128">
        <f ca="1">(PRÉSENTATION!$F$11-Q19)/365</f>
        <v>114.42739726027398</v>
      </c>
      <c r="S19" s="20"/>
      <c r="T19" s="20" t="s">
        <v>52</v>
      </c>
      <c r="U19" s="20"/>
      <c r="V19" s="20"/>
      <c r="W19" s="38"/>
      <c r="X19" s="116">
        <f ca="1">(PRÉSENTATION!$F$11-W19)/365</f>
        <v>114.42739726027398</v>
      </c>
      <c r="Y19" s="20"/>
      <c r="Z19" s="38">
        <v>40664</v>
      </c>
      <c r="AA19" s="128">
        <f ca="1">(PRÉSENTATION!$F$11-Z19)/365</f>
        <v>3.0191780821917806</v>
      </c>
      <c r="AB19" s="38"/>
      <c r="AC19" s="128">
        <f ca="1">(PRÉSENTATION!$F$11-AB19)/365</f>
        <v>114.42739726027398</v>
      </c>
      <c r="AD19" s="38"/>
      <c r="AE19" s="128">
        <f ca="1">(PRÉSENTATION!$F$11-AD19)/365</f>
        <v>114.42739726027398</v>
      </c>
      <c r="AF19" s="20" t="s">
        <v>265</v>
      </c>
      <c r="AG19" s="20"/>
      <c r="AH19" s="20"/>
      <c r="AI19" s="20"/>
      <c r="AJ19" s="128">
        <f t="shared" si="0"/>
        <v>0</v>
      </c>
      <c r="AK19" s="38"/>
      <c r="AL19" s="38"/>
      <c r="AM19" s="38"/>
      <c r="AN19" s="38"/>
      <c r="AO19" s="38"/>
      <c r="AP19" s="38"/>
      <c r="AQ19" s="38"/>
      <c r="AR19" s="38"/>
      <c r="AS19" s="125">
        <f ca="1">(PRÉSENTATION!$F$11-AR19)/365</f>
        <v>114.42739726027398</v>
      </c>
      <c r="AT19" s="40"/>
      <c r="AU19" s="40"/>
      <c r="AV19" s="51" t="s">
        <v>286</v>
      </c>
      <c r="AW19" s="51" t="s">
        <v>334</v>
      </c>
      <c r="AX19" s="51" t="s">
        <v>38</v>
      </c>
      <c r="AY19" s="51" t="s">
        <v>38</v>
      </c>
      <c r="AZ19" s="9" t="s">
        <v>332</v>
      </c>
      <c r="BA19" s="9"/>
      <c r="BB19" s="147" t="str">
        <f t="shared" si="1"/>
        <v>CHAVES</v>
      </c>
    </row>
    <row r="20" spans="1:59" s="21" customFormat="1" ht="24.75" customHeight="1" x14ac:dyDescent="0.2">
      <c r="A20" s="111">
        <v>16</v>
      </c>
      <c r="B20" s="65" t="s">
        <v>398</v>
      </c>
      <c r="C20" s="9" t="s">
        <v>399</v>
      </c>
      <c r="D20" s="9" t="s">
        <v>31</v>
      </c>
      <c r="E20" s="22">
        <v>18477</v>
      </c>
      <c r="F20" s="126">
        <f ca="1">(PRÉSENTATION!$F$11-E20)/365</f>
        <v>63.805479452054797</v>
      </c>
      <c r="G20" s="20" t="s">
        <v>204</v>
      </c>
      <c r="H20" s="20"/>
      <c r="I20" s="24"/>
      <c r="J20" s="128">
        <f ca="1">((PRÉSENTATION!$F$11-I20)/365)</f>
        <v>114.42739726027398</v>
      </c>
      <c r="K20" s="20" t="s">
        <v>219</v>
      </c>
      <c r="L20" s="146" t="s">
        <v>309</v>
      </c>
      <c r="M20" s="20" t="s">
        <v>249</v>
      </c>
      <c r="N20" s="20" t="s">
        <v>224</v>
      </c>
      <c r="O20" s="20" t="s">
        <v>264</v>
      </c>
      <c r="P20" s="20" t="s">
        <v>38</v>
      </c>
      <c r="Q20" s="24">
        <v>35309</v>
      </c>
      <c r="R20" s="128">
        <f ca="1">(PRÉSENTATION!$F$11-Q20)/365</f>
        <v>17.69041095890411</v>
      </c>
      <c r="S20" s="65"/>
      <c r="T20" s="20" t="s">
        <v>52</v>
      </c>
      <c r="U20" s="20"/>
      <c r="V20" s="38"/>
      <c r="W20" s="38">
        <v>39762</v>
      </c>
      <c r="X20" s="116">
        <f ca="1">(PRÉSENTATION!$F$11-W20)/365</f>
        <v>5.4904109589041097</v>
      </c>
      <c r="Y20" s="20"/>
      <c r="Z20" s="38"/>
      <c r="AA20" s="128">
        <f ca="1">(PRÉSENTATION!$F$11-Z20)/365</f>
        <v>114.42739726027398</v>
      </c>
      <c r="AB20" s="38">
        <v>39874</v>
      </c>
      <c r="AC20" s="128">
        <f ca="1">(PRÉSENTATION!$F$11-AB20)/365</f>
        <v>5.183561643835616</v>
      </c>
      <c r="AD20" s="38"/>
      <c r="AE20" s="128">
        <f ca="1">(PRÉSENTATION!$F$11-AD20)/365</f>
        <v>114.42739726027398</v>
      </c>
      <c r="AF20" s="20" t="s">
        <v>264</v>
      </c>
      <c r="AG20" s="20"/>
      <c r="AH20" s="20"/>
      <c r="AI20" s="20"/>
      <c r="AJ20" s="128">
        <f t="shared" si="0"/>
        <v>0</v>
      </c>
      <c r="AK20" s="38"/>
      <c r="AL20" s="38"/>
      <c r="AM20" s="38"/>
      <c r="AN20" s="38"/>
      <c r="AO20" s="38"/>
      <c r="AP20" s="38"/>
      <c r="AQ20" s="38"/>
      <c r="AR20" s="38"/>
      <c r="AS20" s="125">
        <f ca="1">(PRÉSENTATION!$F$11-AR20)/365</f>
        <v>114.42739726027398</v>
      </c>
      <c r="AT20" s="40"/>
      <c r="AU20" s="40"/>
      <c r="AV20" s="51" t="s">
        <v>334</v>
      </c>
      <c r="AW20" s="51" t="s">
        <v>290</v>
      </c>
      <c r="AX20" s="51" t="s">
        <v>38</v>
      </c>
      <c r="AY20" s="51" t="s">
        <v>38</v>
      </c>
      <c r="AZ20" s="9" t="s">
        <v>18</v>
      </c>
      <c r="BA20" s="9">
        <v>3</v>
      </c>
      <c r="BB20" s="65" t="str">
        <f t="shared" si="1"/>
        <v>DES GROTTES</v>
      </c>
      <c r="BC20" s="94"/>
      <c r="BD20" s="94"/>
      <c r="BE20" s="94"/>
    </row>
    <row r="21" spans="1:59" s="21" customFormat="1" ht="24.75" customHeight="1" x14ac:dyDescent="0.2">
      <c r="A21" s="111">
        <v>17</v>
      </c>
      <c r="B21" s="147" t="s">
        <v>400</v>
      </c>
      <c r="C21" s="9" t="s">
        <v>401</v>
      </c>
      <c r="D21" s="9" t="s">
        <v>29</v>
      </c>
      <c r="E21" s="25">
        <v>30382</v>
      </c>
      <c r="F21" s="126">
        <f ca="1">(PRÉSENTATION!$F$11-E21)/365</f>
        <v>31.18904109589041</v>
      </c>
      <c r="G21" s="20" t="s">
        <v>204</v>
      </c>
      <c r="H21" s="20"/>
      <c r="I21" s="24"/>
      <c r="J21" s="128">
        <f ca="1">((PRÉSENTATION!$F$11-I21)/365)</f>
        <v>114.42739726027398</v>
      </c>
      <c r="K21" s="20" t="s">
        <v>219</v>
      </c>
      <c r="L21" s="146" t="s">
        <v>309</v>
      </c>
      <c r="M21" s="20" t="s">
        <v>250</v>
      </c>
      <c r="N21" s="20" t="s">
        <v>224</v>
      </c>
      <c r="O21" s="20" t="s">
        <v>264</v>
      </c>
      <c r="P21" s="20" t="s">
        <v>38</v>
      </c>
      <c r="Q21" s="23">
        <v>41155</v>
      </c>
      <c r="R21" s="128">
        <f ca="1">(PRÉSENTATION!$F$11-Q21)/365</f>
        <v>1.6739726027397259</v>
      </c>
      <c r="S21" s="20"/>
      <c r="T21" s="20" t="s">
        <v>52</v>
      </c>
      <c r="U21" s="20"/>
      <c r="V21" s="20"/>
      <c r="W21" s="64"/>
      <c r="X21" s="116">
        <f ca="1">(PRÉSENTATION!$F$11-W21)/365</f>
        <v>114.42739726027398</v>
      </c>
      <c r="Y21" s="20"/>
      <c r="Z21" s="64"/>
      <c r="AA21" s="128">
        <f ca="1">(PRÉSENTATION!$F$11-Z21)/365</f>
        <v>114.42739726027398</v>
      </c>
      <c r="AB21" s="64"/>
      <c r="AC21" s="128">
        <f ca="1">(PRÉSENTATION!$F$11-AB21)/365</f>
        <v>114.42739726027398</v>
      </c>
      <c r="AD21" s="64"/>
      <c r="AE21" s="128">
        <f ca="1">(PRÉSENTATION!$F$11-AD21)/365</f>
        <v>114.42739726027398</v>
      </c>
      <c r="AF21" s="20" t="s">
        <v>265</v>
      </c>
      <c r="AG21" s="20"/>
      <c r="AH21" s="20"/>
      <c r="AI21" s="20"/>
      <c r="AJ21" s="128">
        <f t="shared" si="0"/>
        <v>0</v>
      </c>
      <c r="AK21" s="38"/>
      <c r="AL21" s="38"/>
      <c r="AM21" s="38"/>
      <c r="AN21" s="38"/>
      <c r="AO21" s="38"/>
      <c r="AP21" s="38"/>
      <c r="AQ21" s="38"/>
      <c r="AR21" s="38"/>
      <c r="AS21" s="125">
        <f ca="1">(PRÉSENTATION!$F$11-AR21)/365</f>
        <v>114.42739726027398</v>
      </c>
      <c r="AT21" s="40"/>
      <c r="AU21" s="40"/>
      <c r="AV21" s="51" t="s">
        <v>286</v>
      </c>
      <c r="AW21" s="51" t="s">
        <v>334</v>
      </c>
      <c r="AX21" s="51" t="s">
        <v>38</v>
      </c>
      <c r="AY21" s="51" t="s">
        <v>38</v>
      </c>
      <c r="AZ21" s="9" t="s">
        <v>332</v>
      </c>
      <c r="BA21" s="9"/>
      <c r="BB21" s="147" t="str">
        <f t="shared" si="1"/>
        <v>DIAZ BELTRAN</v>
      </c>
      <c r="BC21" s="94"/>
      <c r="BD21" s="94"/>
      <c r="BE21" s="94"/>
    </row>
    <row r="22" spans="1:59" s="21" customFormat="1" ht="24.75" customHeight="1" x14ac:dyDescent="0.2">
      <c r="A22" s="111">
        <v>18</v>
      </c>
      <c r="B22" s="65" t="s">
        <v>402</v>
      </c>
      <c r="C22" s="9" t="s">
        <v>403</v>
      </c>
      <c r="D22" s="9" t="s">
        <v>31</v>
      </c>
      <c r="E22" s="38">
        <v>21630</v>
      </c>
      <c r="F22" s="126">
        <f ca="1">(PRÉSENTATION!$F$11-E22)/365</f>
        <v>55.167123287671231</v>
      </c>
      <c r="G22" s="20" t="s">
        <v>204</v>
      </c>
      <c r="H22" s="20"/>
      <c r="I22" s="26">
        <v>37135</v>
      </c>
      <c r="J22" s="128">
        <f ca="1">((PRÉSENTATION!$F$11-I22)/365)</f>
        <v>12.687671232876712</v>
      </c>
      <c r="K22" s="20" t="s">
        <v>219</v>
      </c>
      <c r="L22" s="146" t="s">
        <v>309</v>
      </c>
      <c r="M22" s="20" t="s">
        <v>249</v>
      </c>
      <c r="N22" s="20" t="s">
        <v>224</v>
      </c>
      <c r="O22" s="20" t="s">
        <v>262</v>
      </c>
      <c r="P22" s="20" t="s">
        <v>38</v>
      </c>
      <c r="Q22" s="24">
        <v>37865</v>
      </c>
      <c r="R22" s="128">
        <f ca="1">(PRÉSENTATION!$F$11-Q22)/365</f>
        <v>10.687671232876712</v>
      </c>
      <c r="S22" s="20">
        <v>973</v>
      </c>
      <c r="T22" s="20" t="s">
        <v>53</v>
      </c>
      <c r="U22" s="20">
        <v>8</v>
      </c>
      <c r="V22" s="38">
        <v>41334</v>
      </c>
      <c r="W22" s="38">
        <v>40982</v>
      </c>
      <c r="X22" s="116">
        <f ca="1">(PRÉSENTATION!$F$11-W22)/365</f>
        <v>2.1479452054794521</v>
      </c>
      <c r="Y22" s="20">
        <v>15.5</v>
      </c>
      <c r="Z22" s="38"/>
      <c r="AA22" s="128">
        <f ca="1">(PRÉSENTATION!$F$11-Z22)/365</f>
        <v>114.42739726027398</v>
      </c>
      <c r="AB22" s="38"/>
      <c r="AC22" s="128">
        <f ca="1">(PRÉSENTATION!$F$11-AB22)/365</f>
        <v>114.42739726027398</v>
      </c>
      <c r="AD22" s="38"/>
      <c r="AE22" s="128">
        <f ca="1">(PRÉSENTATION!$F$11-AD22)/365</f>
        <v>114.42739726027398</v>
      </c>
      <c r="AF22" s="20" t="s">
        <v>257</v>
      </c>
      <c r="AG22" s="20"/>
      <c r="AH22" s="20"/>
      <c r="AI22" s="20"/>
      <c r="AJ22" s="128">
        <f t="shared" si="0"/>
        <v>0</v>
      </c>
      <c r="AK22" s="38"/>
      <c r="AL22" s="38"/>
      <c r="AM22" s="38"/>
      <c r="AN22" s="38"/>
      <c r="AO22" s="38"/>
      <c r="AP22" s="38"/>
      <c r="AQ22" s="38"/>
      <c r="AR22" s="38"/>
      <c r="AS22" s="125">
        <f ca="1">(PRÉSENTATION!$F$11-AR22)/365</f>
        <v>114.42739726027398</v>
      </c>
      <c r="AT22" s="40"/>
      <c r="AU22" s="40"/>
      <c r="AV22" s="51" t="s">
        <v>334</v>
      </c>
      <c r="AW22" s="51" t="s">
        <v>289</v>
      </c>
      <c r="AX22" s="51" t="s">
        <v>38</v>
      </c>
      <c r="AY22" s="51" t="s">
        <v>38</v>
      </c>
      <c r="AZ22" s="9" t="s">
        <v>18</v>
      </c>
      <c r="BA22" s="9">
        <v>7</v>
      </c>
      <c r="BB22" s="65" t="str">
        <f t="shared" si="1"/>
        <v>DUDIT</v>
      </c>
      <c r="BC22" s="94"/>
      <c r="BD22" s="94"/>
      <c r="BE22" s="94"/>
    </row>
    <row r="23" spans="1:59" s="94" customFormat="1" ht="24.75" customHeight="1" x14ac:dyDescent="0.2">
      <c r="A23" s="111">
        <v>19</v>
      </c>
      <c r="B23" s="147" t="s">
        <v>404</v>
      </c>
      <c r="C23" s="9" t="s">
        <v>405</v>
      </c>
      <c r="D23" s="9" t="s">
        <v>31</v>
      </c>
      <c r="E23" s="25">
        <v>22382</v>
      </c>
      <c r="F23" s="126">
        <f ca="1">(PRÉSENTATION!$F$11-E23)/365</f>
        <v>53.106849315068494</v>
      </c>
      <c r="G23" s="20" t="s">
        <v>204</v>
      </c>
      <c r="H23" s="20"/>
      <c r="I23" s="24">
        <v>31229</v>
      </c>
      <c r="J23" s="128">
        <f ca="1">((PRÉSENTATION!$F$11-I23)/365)</f>
        <v>28.86849315068493</v>
      </c>
      <c r="K23" s="20" t="s">
        <v>219</v>
      </c>
      <c r="L23" s="146" t="s">
        <v>308</v>
      </c>
      <c r="M23" s="20" t="s">
        <v>249</v>
      </c>
      <c r="N23" s="20" t="s">
        <v>224</v>
      </c>
      <c r="O23" s="20" t="s">
        <v>264</v>
      </c>
      <c r="P23" s="20" t="s">
        <v>38</v>
      </c>
      <c r="Q23" s="23">
        <v>34578</v>
      </c>
      <c r="R23" s="128">
        <f ca="1">(PRÉSENTATION!$F$11-Q23)/365</f>
        <v>19.693150684931506</v>
      </c>
      <c r="S23" s="20">
        <v>92</v>
      </c>
      <c r="T23" s="20" t="s">
        <v>53</v>
      </c>
      <c r="U23" s="20">
        <v>11</v>
      </c>
      <c r="V23" s="38">
        <v>41426</v>
      </c>
      <c r="W23" s="38">
        <v>40872</v>
      </c>
      <c r="X23" s="116">
        <f ca="1">(PRÉSENTATION!$F$11-W23)/365</f>
        <v>2.4493150684931506</v>
      </c>
      <c r="Y23" s="20">
        <v>19.5</v>
      </c>
      <c r="Z23" s="38"/>
      <c r="AA23" s="128">
        <f ca="1">(PRÉSENTATION!$F$11-Z23)/365</f>
        <v>114.42739726027398</v>
      </c>
      <c r="AB23" s="38"/>
      <c r="AC23" s="128">
        <f ca="1">(PRÉSENTATION!$F$11-AB23)/365</f>
        <v>114.42739726027398</v>
      </c>
      <c r="AD23" s="38"/>
      <c r="AE23" s="128">
        <f ca="1">(PRÉSENTATION!$F$11-AD23)/365</f>
        <v>114.42739726027398</v>
      </c>
      <c r="AF23" s="20" t="s">
        <v>257</v>
      </c>
      <c r="AG23" s="20"/>
      <c r="AH23" s="20"/>
      <c r="AI23" s="20"/>
      <c r="AJ23" s="128">
        <f t="shared" si="0"/>
        <v>0</v>
      </c>
      <c r="AK23" s="38"/>
      <c r="AL23" s="38"/>
      <c r="AM23" s="38"/>
      <c r="AN23" s="38"/>
      <c r="AO23" s="38"/>
      <c r="AP23" s="38"/>
      <c r="AQ23" s="38"/>
      <c r="AR23" s="38"/>
      <c r="AS23" s="125">
        <f ca="1">(PRÉSENTATION!$F$11-AR23)/365</f>
        <v>114.42739726027398</v>
      </c>
      <c r="AT23" s="40"/>
      <c r="AU23" s="40"/>
      <c r="AV23" s="51" t="s">
        <v>334</v>
      </c>
      <c r="AW23" s="51" t="s">
        <v>289</v>
      </c>
      <c r="AX23" s="51" t="s">
        <v>38</v>
      </c>
      <c r="AY23" s="51" t="s">
        <v>38</v>
      </c>
      <c r="AZ23" s="9" t="s">
        <v>47</v>
      </c>
      <c r="BA23" s="9">
        <v>10</v>
      </c>
      <c r="BB23" s="147" t="str">
        <f t="shared" si="1"/>
        <v>GREZE</v>
      </c>
    </row>
    <row r="24" spans="1:59" s="94" customFormat="1" ht="24.75" customHeight="1" x14ac:dyDescent="0.2">
      <c r="A24" s="111">
        <v>20</v>
      </c>
      <c r="B24" s="65" t="s">
        <v>406</v>
      </c>
      <c r="C24" s="9" t="s">
        <v>407</v>
      </c>
      <c r="D24" s="9" t="s">
        <v>31</v>
      </c>
      <c r="E24" s="22">
        <v>25095</v>
      </c>
      <c r="F24" s="126">
        <f ca="1">(PRÉSENTATION!$F$11-E24)/365</f>
        <v>45.673972602739724</v>
      </c>
      <c r="G24" s="20" t="s">
        <v>205</v>
      </c>
      <c r="H24" s="20"/>
      <c r="I24" s="23">
        <v>37500</v>
      </c>
      <c r="J24" s="128">
        <f ca="1">((PRÉSENTATION!$F$11-I24)/365)</f>
        <v>11.687671232876712</v>
      </c>
      <c r="K24" s="20" t="s">
        <v>219</v>
      </c>
      <c r="L24" s="146" t="s">
        <v>309</v>
      </c>
      <c r="M24" s="20" t="s">
        <v>249</v>
      </c>
      <c r="N24" s="20" t="s">
        <v>224</v>
      </c>
      <c r="O24" s="20" t="s">
        <v>264</v>
      </c>
      <c r="P24" s="20" t="s">
        <v>38</v>
      </c>
      <c r="Q24" s="24">
        <v>39326</v>
      </c>
      <c r="R24" s="128">
        <f ca="1">(PRÉSENTATION!$F$11-Q24)/365</f>
        <v>6.6849315068493151</v>
      </c>
      <c r="S24" s="20">
        <v>92</v>
      </c>
      <c r="T24" s="20" t="s">
        <v>53</v>
      </c>
      <c r="U24" s="20">
        <v>8</v>
      </c>
      <c r="V24" s="38">
        <v>40861</v>
      </c>
      <c r="W24" s="38">
        <v>40590</v>
      </c>
      <c r="X24" s="116">
        <f ca="1">(PRÉSENTATION!$F$11-W24)/365</f>
        <v>3.2219178082191782</v>
      </c>
      <c r="Y24" s="20">
        <v>16</v>
      </c>
      <c r="Z24" s="38">
        <v>38113</v>
      </c>
      <c r="AA24" s="128">
        <f ca="1">(PRÉSENTATION!$F$11-Z24)/365</f>
        <v>10.008219178082191</v>
      </c>
      <c r="AB24" s="38"/>
      <c r="AC24" s="128">
        <f ca="1">(PRÉSENTATION!$F$11-AB24)/365</f>
        <v>114.42739726027398</v>
      </c>
      <c r="AD24" s="38"/>
      <c r="AE24" s="128">
        <f ca="1">(PRÉSENTATION!$F$11-AD24)/365</f>
        <v>114.42739726027398</v>
      </c>
      <c r="AF24" s="20" t="s">
        <v>257</v>
      </c>
      <c r="AG24" s="20"/>
      <c r="AH24" s="20"/>
      <c r="AI24" s="20"/>
      <c r="AJ24" s="128">
        <f t="shared" si="0"/>
        <v>0</v>
      </c>
      <c r="AK24" s="38"/>
      <c r="AL24" s="38"/>
      <c r="AM24" s="38"/>
      <c r="AN24" s="38"/>
      <c r="AO24" s="38"/>
      <c r="AP24" s="38"/>
      <c r="AQ24" s="38"/>
      <c r="AR24" s="38"/>
      <c r="AS24" s="125">
        <f ca="1">(PRÉSENTATION!$F$11-AR24)/365</f>
        <v>114.42739726027398</v>
      </c>
      <c r="AT24" s="40"/>
      <c r="AU24" s="40"/>
      <c r="AV24" s="51" t="s">
        <v>334</v>
      </c>
      <c r="AW24" s="51" t="s">
        <v>289</v>
      </c>
      <c r="AX24" s="51" t="s">
        <v>37</v>
      </c>
      <c r="AY24" s="51" t="s">
        <v>38</v>
      </c>
      <c r="AZ24" s="9" t="s">
        <v>18</v>
      </c>
      <c r="BA24" s="9">
        <v>7</v>
      </c>
      <c r="BB24" s="65" t="str">
        <f t="shared" si="1"/>
        <v>HAUSS</v>
      </c>
    </row>
    <row r="25" spans="1:59" s="94" customFormat="1" ht="24.75" customHeight="1" x14ac:dyDescent="0.2">
      <c r="A25" s="111">
        <v>21</v>
      </c>
      <c r="B25" s="147" t="s">
        <v>408</v>
      </c>
      <c r="C25" s="9" t="s">
        <v>409</v>
      </c>
      <c r="D25" s="9" t="s">
        <v>31</v>
      </c>
      <c r="E25" s="25">
        <v>21937</v>
      </c>
      <c r="F25" s="126">
        <f ca="1">(PRÉSENTATION!$F$11-E25)/365</f>
        <v>54.326027397260276</v>
      </c>
      <c r="G25" s="20" t="s">
        <v>203</v>
      </c>
      <c r="H25" s="20" t="s">
        <v>212</v>
      </c>
      <c r="I25" s="23">
        <v>28512</v>
      </c>
      <c r="J25" s="128">
        <f ca="1">((PRÉSENTATION!$F$11-I25)/365)</f>
        <v>36.31232876712329</v>
      </c>
      <c r="K25" s="20" t="s">
        <v>78</v>
      </c>
      <c r="L25" s="146" t="s">
        <v>309</v>
      </c>
      <c r="M25" s="20" t="s">
        <v>249</v>
      </c>
      <c r="N25" s="20" t="s">
        <v>224</v>
      </c>
      <c r="O25" s="20">
        <v>0.5</v>
      </c>
      <c r="P25" s="20" t="s">
        <v>38</v>
      </c>
      <c r="Q25" s="23">
        <v>40422</v>
      </c>
      <c r="R25" s="128">
        <f ca="1">(PRÉSENTATION!$F$11-Q25)/365</f>
        <v>3.6821917808219178</v>
      </c>
      <c r="S25" s="20">
        <v>38</v>
      </c>
      <c r="T25" s="20" t="s">
        <v>485</v>
      </c>
      <c r="U25" s="20">
        <v>10</v>
      </c>
      <c r="V25" s="38">
        <v>40422</v>
      </c>
      <c r="W25" s="22">
        <v>40200</v>
      </c>
      <c r="X25" s="116">
        <f ca="1">(PRÉSENTATION!$F$11-W25)/365</f>
        <v>4.2904109589041095</v>
      </c>
      <c r="Y25" s="20">
        <v>19.600000000000001</v>
      </c>
      <c r="Z25" s="22"/>
      <c r="AA25" s="128">
        <f ca="1">(PRÉSENTATION!$F$11-Z25)/365</f>
        <v>114.42739726027398</v>
      </c>
      <c r="AB25" s="22"/>
      <c r="AC25" s="128">
        <f ca="1">(PRÉSENTATION!$F$11-AB25)/365</f>
        <v>114.42739726027398</v>
      </c>
      <c r="AD25" s="22"/>
      <c r="AE25" s="128">
        <f ca="1">(PRÉSENTATION!$F$11-AD25)/365</f>
        <v>114.42739726027398</v>
      </c>
      <c r="AF25" s="20" t="s">
        <v>257</v>
      </c>
      <c r="AG25" s="20"/>
      <c r="AH25" s="20"/>
      <c r="AI25" s="20"/>
      <c r="AJ25" s="128">
        <f t="shared" si="0"/>
        <v>0</v>
      </c>
      <c r="AK25" s="38"/>
      <c r="AL25" s="38"/>
      <c r="AM25" s="38"/>
      <c r="AN25" s="38"/>
      <c r="AO25" s="38"/>
      <c r="AP25" s="38"/>
      <c r="AQ25" s="38"/>
      <c r="AR25" s="38"/>
      <c r="AS25" s="125">
        <f ca="1">(PRÉSENTATION!$F$11-AR25)/365</f>
        <v>114.42739726027398</v>
      </c>
      <c r="AT25" s="40"/>
      <c r="AU25" s="40"/>
      <c r="AV25" s="51" t="s">
        <v>334</v>
      </c>
      <c r="AW25" s="51" t="s">
        <v>289</v>
      </c>
      <c r="AX25" s="51" t="s">
        <v>37</v>
      </c>
      <c r="AY25" s="51" t="s">
        <v>38</v>
      </c>
      <c r="AZ25" s="9" t="s">
        <v>15</v>
      </c>
      <c r="BA25" s="9">
        <v>3</v>
      </c>
      <c r="BB25" s="147" t="str">
        <f t="shared" si="1"/>
        <v>JACQUEMONT</v>
      </c>
    </row>
    <row r="26" spans="1:59" s="94" customFormat="1" ht="24.75" customHeight="1" x14ac:dyDescent="0.2">
      <c r="A26" s="111">
        <v>22</v>
      </c>
      <c r="B26" s="65" t="s">
        <v>410</v>
      </c>
      <c r="C26" s="9" t="s">
        <v>395</v>
      </c>
      <c r="D26" s="9" t="s">
        <v>31</v>
      </c>
      <c r="E26" s="22">
        <v>26591</v>
      </c>
      <c r="F26" s="126">
        <f ca="1">(PRÉSENTATION!$F$11-E26)/365</f>
        <v>41.575342465753423</v>
      </c>
      <c r="G26" s="20" t="s">
        <v>205</v>
      </c>
      <c r="H26" s="20"/>
      <c r="I26" s="24">
        <v>37135</v>
      </c>
      <c r="J26" s="128">
        <f ca="1">((PRÉSENTATION!$F$11-I26)/365)</f>
        <v>12.687671232876712</v>
      </c>
      <c r="K26" s="20" t="s">
        <v>219</v>
      </c>
      <c r="L26" s="146" t="s">
        <v>308</v>
      </c>
      <c r="M26" s="20" t="s">
        <v>249</v>
      </c>
      <c r="N26" s="20" t="s">
        <v>224</v>
      </c>
      <c r="O26" s="20" t="s">
        <v>264</v>
      </c>
      <c r="P26" s="20" t="s">
        <v>38</v>
      </c>
      <c r="Q26" s="24">
        <v>40787</v>
      </c>
      <c r="R26" s="128">
        <f ca="1">(PRÉSENTATION!$F$11-Q26)/365</f>
        <v>2.6821917808219178</v>
      </c>
      <c r="S26" s="20">
        <v>93</v>
      </c>
      <c r="T26" s="20" t="s">
        <v>53</v>
      </c>
      <c r="U26" s="20">
        <v>8</v>
      </c>
      <c r="V26" s="38">
        <v>40727</v>
      </c>
      <c r="W26" s="38">
        <v>41311</v>
      </c>
      <c r="X26" s="116">
        <f ca="1">(PRÉSENTATION!$F$11-W26)/365</f>
        <v>1.2465753424657535</v>
      </c>
      <c r="Y26" s="20">
        <v>17.5</v>
      </c>
      <c r="Z26" s="38"/>
      <c r="AA26" s="128">
        <f ca="1">(PRÉSENTATION!$F$11-Z26)/365</f>
        <v>114.42739726027398</v>
      </c>
      <c r="AB26" s="38"/>
      <c r="AC26" s="128">
        <f ca="1">(PRÉSENTATION!$F$11-AB26)/365</f>
        <v>114.42739726027398</v>
      </c>
      <c r="AD26" s="38"/>
      <c r="AE26" s="128">
        <f ca="1">(PRÉSENTATION!$F$11-AD26)/365</f>
        <v>114.42739726027398</v>
      </c>
      <c r="AF26" s="20" t="s">
        <v>257</v>
      </c>
      <c r="AG26" s="20"/>
      <c r="AH26" s="20"/>
      <c r="AI26" s="20"/>
      <c r="AJ26" s="128">
        <f t="shared" si="0"/>
        <v>0</v>
      </c>
      <c r="AK26" s="38"/>
      <c r="AL26" s="38"/>
      <c r="AM26" s="38"/>
      <c r="AN26" s="38"/>
      <c r="AO26" s="38"/>
      <c r="AP26" s="38"/>
      <c r="AQ26" s="38"/>
      <c r="AR26" s="38"/>
      <c r="AS26" s="125">
        <f ca="1">(PRÉSENTATION!$F$11-AR26)/365</f>
        <v>114.42739726027398</v>
      </c>
      <c r="AT26" s="40"/>
      <c r="AU26" s="40"/>
      <c r="AV26" s="51" t="s">
        <v>334</v>
      </c>
      <c r="AW26" s="51" t="s">
        <v>289</v>
      </c>
      <c r="AX26" s="51" t="s">
        <v>38</v>
      </c>
      <c r="AY26" s="51" t="s">
        <v>38</v>
      </c>
      <c r="AZ26" s="9" t="s">
        <v>46</v>
      </c>
      <c r="BA26" s="9">
        <v>3</v>
      </c>
      <c r="BB26" s="65" t="str">
        <f t="shared" si="1"/>
        <v>JAFFRES</v>
      </c>
    </row>
    <row r="27" spans="1:59" s="94" customFormat="1" ht="24.75" customHeight="1" x14ac:dyDescent="0.2">
      <c r="A27" s="111">
        <v>23</v>
      </c>
      <c r="B27" s="147" t="s">
        <v>411</v>
      </c>
      <c r="C27" s="9" t="s">
        <v>412</v>
      </c>
      <c r="D27" s="9" t="s">
        <v>29</v>
      </c>
      <c r="E27" s="22">
        <v>26784</v>
      </c>
      <c r="F27" s="126">
        <f ca="1">(PRÉSENTATION!$F$11-E27)/365</f>
        <v>41.046575342465751</v>
      </c>
      <c r="G27" s="20" t="s">
        <v>204</v>
      </c>
      <c r="H27" s="20"/>
      <c r="I27" s="24">
        <v>36404</v>
      </c>
      <c r="J27" s="128">
        <f ca="1">((PRÉSENTATION!$F$11-I27)/365)</f>
        <v>14.69041095890411</v>
      </c>
      <c r="K27" s="20" t="s">
        <v>219</v>
      </c>
      <c r="L27" s="146" t="s">
        <v>309</v>
      </c>
      <c r="M27" s="20" t="s">
        <v>249</v>
      </c>
      <c r="N27" s="20" t="s">
        <v>224</v>
      </c>
      <c r="O27" s="20" t="s">
        <v>264</v>
      </c>
      <c r="P27" s="20" t="s">
        <v>38</v>
      </c>
      <c r="Q27" s="24">
        <v>38596</v>
      </c>
      <c r="R27" s="128">
        <f ca="1">(PRÉSENTATION!$F$11-Q27)/365</f>
        <v>8.6849315068493151</v>
      </c>
      <c r="S27" s="20">
        <v>45</v>
      </c>
      <c r="T27" s="20" t="s">
        <v>53</v>
      </c>
      <c r="U27" s="20">
        <v>9</v>
      </c>
      <c r="V27" s="38">
        <v>41505</v>
      </c>
      <c r="W27" s="38">
        <v>40304</v>
      </c>
      <c r="X27" s="116">
        <f ca="1">(PRÉSENTATION!$F$11-W27)/365</f>
        <v>4.0054794520547947</v>
      </c>
      <c r="Y27" s="20">
        <v>16</v>
      </c>
      <c r="Z27" s="38"/>
      <c r="AA27" s="128">
        <f ca="1">(PRÉSENTATION!$F$11-Z27)/365</f>
        <v>114.42739726027398</v>
      </c>
      <c r="AB27" s="38"/>
      <c r="AC27" s="128">
        <f ca="1">(PRÉSENTATION!$F$11-AB27)/365</f>
        <v>114.42739726027398</v>
      </c>
      <c r="AD27" s="38"/>
      <c r="AE27" s="128">
        <f ca="1">(PRÉSENTATION!$F$11-AD27)/365</f>
        <v>114.42739726027398</v>
      </c>
      <c r="AF27" s="20" t="s">
        <v>257</v>
      </c>
      <c r="AG27" s="20"/>
      <c r="AH27" s="20"/>
      <c r="AI27" s="20"/>
      <c r="AJ27" s="128">
        <f t="shared" si="0"/>
        <v>0</v>
      </c>
      <c r="AK27" s="23"/>
      <c r="AL27" s="23"/>
      <c r="AM27" s="23"/>
      <c r="AN27" s="23"/>
      <c r="AO27" s="23"/>
      <c r="AP27" s="23"/>
      <c r="AQ27" s="23"/>
      <c r="AR27" s="23"/>
      <c r="AS27" s="125">
        <f ca="1">(PRÉSENTATION!$F$11-AR27)/365</f>
        <v>114.42739726027398</v>
      </c>
      <c r="AT27" s="40"/>
      <c r="AU27" s="40"/>
      <c r="AV27" s="51" t="s">
        <v>334</v>
      </c>
      <c r="AW27" s="51" t="s">
        <v>289</v>
      </c>
      <c r="AX27" s="51" t="s">
        <v>38</v>
      </c>
      <c r="AY27" s="51" t="s">
        <v>38</v>
      </c>
      <c r="AZ27" s="9" t="s">
        <v>17</v>
      </c>
      <c r="BA27" s="9">
        <v>4</v>
      </c>
      <c r="BB27" s="147" t="str">
        <f t="shared" si="1"/>
        <v>LAFITTE</v>
      </c>
    </row>
    <row r="28" spans="1:59" s="94" customFormat="1" ht="24.75" customHeight="1" x14ac:dyDescent="0.2">
      <c r="A28" s="111">
        <v>24</v>
      </c>
      <c r="B28" s="65" t="s">
        <v>413</v>
      </c>
      <c r="C28" s="9" t="s">
        <v>414</v>
      </c>
      <c r="D28" s="9" t="s">
        <v>29</v>
      </c>
      <c r="E28" s="22">
        <v>27766</v>
      </c>
      <c r="F28" s="126">
        <f ca="1">(PRÉSENTATION!$F$11-E28)/365</f>
        <v>38.356164383561641</v>
      </c>
      <c r="G28" s="20" t="s">
        <v>204</v>
      </c>
      <c r="H28" s="20"/>
      <c r="I28" s="24">
        <v>36770</v>
      </c>
      <c r="J28" s="128">
        <f ca="1">((PRÉSENTATION!$F$11-I28)/365)</f>
        <v>13.687671232876712</v>
      </c>
      <c r="K28" s="20" t="s">
        <v>219</v>
      </c>
      <c r="L28" s="146" t="s">
        <v>308</v>
      </c>
      <c r="M28" s="20" t="s">
        <v>249</v>
      </c>
      <c r="N28" s="20" t="s">
        <v>224</v>
      </c>
      <c r="O28" s="20" t="s">
        <v>264</v>
      </c>
      <c r="P28" s="20" t="s">
        <v>38</v>
      </c>
      <c r="Q28" s="24">
        <v>38596</v>
      </c>
      <c r="R28" s="128">
        <f ca="1">(PRÉSENTATION!$F$11-Q28)/365</f>
        <v>8.6849315068493151</v>
      </c>
      <c r="S28" s="20">
        <v>30</v>
      </c>
      <c r="T28" s="20" t="s">
        <v>53</v>
      </c>
      <c r="U28" s="20">
        <v>8</v>
      </c>
      <c r="V28" s="23">
        <v>40638</v>
      </c>
      <c r="W28" s="38">
        <v>40330</v>
      </c>
      <c r="X28" s="116">
        <f ca="1">(PRÉSENTATION!$F$11-W28)/365</f>
        <v>3.9342465753424656</v>
      </c>
      <c r="Y28" s="20">
        <v>16.75</v>
      </c>
      <c r="Z28" s="38"/>
      <c r="AA28" s="128">
        <f ca="1">(PRÉSENTATION!$F$11-Z28)/365</f>
        <v>114.42739726027398</v>
      </c>
      <c r="AB28" s="38">
        <v>40081</v>
      </c>
      <c r="AC28" s="128">
        <f ca="1">(PRÉSENTATION!$F$11-AB28)/365</f>
        <v>4.6164383561643838</v>
      </c>
      <c r="AD28" s="38"/>
      <c r="AE28" s="128">
        <f ca="1">(PRÉSENTATION!$F$11-AD28)/365</f>
        <v>114.42739726027398</v>
      </c>
      <c r="AF28" s="20" t="s">
        <v>257</v>
      </c>
      <c r="AG28" s="20"/>
      <c r="AH28" s="20"/>
      <c r="AI28" s="20"/>
      <c r="AJ28" s="128">
        <f t="shared" si="0"/>
        <v>0</v>
      </c>
      <c r="AK28" s="38"/>
      <c r="AL28" s="38"/>
      <c r="AM28" s="38"/>
      <c r="AN28" s="38"/>
      <c r="AO28" s="38"/>
      <c r="AP28" s="38"/>
      <c r="AQ28" s="38"/>
      <c r="AR28" s="38"/>
      <c r="AS28" s="125">
        <f ca="1">(PRÉSENTATION!$F$11-AR28)/365</f>
        <v>114.42739726027398</v>
      </c>
      <c r="AT28" s="40"/>
      <c r="AU28" s="40"/>
      <c r="AV28" s="51" t="s">
        <v>334</v>
      </c>
      <c r="AW28" s="51" t="s">
        <v>288</v>
      </c>
      <c r="AX28" s="51" t="s">
        <v>38</v>
      </c>
      <c r="AY28" s="51" t="s">
        <v>38</v>
      </c>
      <c r="AZ28" s="65" t="s">
        <v>47</v>
      </c>
      <c r="BA28" s="65">
        <v>6</v>
      </c>
      <c r="BB28" s="65" t="str">
        <f t="shared" si="1"/>
        <v>LAIR</v>
      </c>
    </row>
    <row r="29" spans="1:59" s="94" customFormat="1" ht="24.75" customHeight="1" x14ac:dyDescent="0.2">
      <c r="A29" s="111">
        <v>25</v>
      </c>
      <c r="B29" s="147" t="s">
        <v>415</v>
      </c>
      <c r="C29" s="9" t="s">
        <v>416</v>
      </c>
      <c r="D29" s="9" t="s">
        <v>31</v>
      </c>
      <c r="E29" s="22">
        <v>29897</v>
      </c>
      <c r="F29" s="126">
        <f ca="1">(PRÉSENTATION!$F$11-E29)/365</f>
        <v>32.517808219178079</v>
      </c>
      <c r="G29" s="20" t="s">
        <v>204</v>
      </c>
      <c r="H29" s="20"/>
      <c r="I29" s="23"/>
      <c r="J29" s="128">
        <f ca="1">((PRÉSENTATION!$F$11-I29)/365)</f>
        <v>114.42739726027398</v>
      </c>
      <c r="K29" s="20" t="s">
        <v>219</v>
      </c>
      <c r="L29" s="146" t="s">
        <v>309</v>
      </c>
      <c r="M29" s="20" t="s">
        <v>249</v>
      </c>
      <c r="N29" s="20" t="s">
        <v>224</v>
      </c>
      <c r="O29" s="20" t="s">
        <v>264</v>
      </c>
      <c r="P29" s="20" t="s">
        <v>38</v>
      </c>
      <c r="Q29" s="24">
        <v>39692</v>
      </c>
      <c r="R29" s="128">
        <f ca="1">(PRÉSENTATION!$F$11-Q29)/365</f>
        <v>5.6821917808219178</v>
      </c>
      <c r="S29" s="20"/>
      <c r="T29" s="20" t="s">
        <v>52</v>
      </c>
      <c r="U29" s="20"/>
      <c r="V29" s="20"/>
      <c r="W29" s="64"/>
      <c r="X29" s="116">
        <f ca="1">(PRÉSENTATION!$F$11-W29)/365</f>
        <v>114.42739726027398</v>
      </c>
      <c r="Y29" s="20"/>
      <c r="Z29" s="64">
        <v>41395</v>
      </c>
      <c r="AA29" s="128">
        <f ca="1">(PRÉSENTATION!$F$11-Z29)/365</f>
        <v>1.0164383561643835</v>
      </c>
      <c r="AB29" s="64"/>
      <c r="AC29" s="128">
        <f ca="1">(PRÉSENTATION!$F$11-AB29)/365</f>
        <v>114.42739726027398</v>
      </c>
      <c r="AD29" s="64"/>
      <c r="AE29" s="128">
        <f ca="1">(PRÉSENTATION!$F$11-AD29)/365</f>
        <v>114.42739726027398</v>
      </c>
      <c r="AF29" s="20" t="s">
        <v>264</v>
      </c>
      <c r="AG29" s="20"/>
      <c r="AH29" s="20"/>
      <c r="AI29" s="20"/>
      <c r="AJ29" s="128">
        <f t="shared" si="0"/>
        <v>0</v>
      </c>
      <c r="AK29" s="38"/>
      <c r="AL29" s="38"/>
      <c r="AM29" s="38"/>
      <c r="AN29" s="38"/>
      <c r="AO29" s="38"/>
      <c r="AP29" s="38"/>
      <c r="AQ29" s="38"/>
      <c r="AR29" s="38"/>
      <c r="AS29" s="125">
        <f ca="1">(PRÉSENTATION!$F$11-AR29)/365</f>
        <v>114.42739726027398</v>
      </c>
      <c r="AT29" s="40"/>
      <c r="AU29" s="40"/>
      <c r="AV29" s="51" t="s">
        <v>334</v>
      </c>
      <c r="AW29" s="51" t="s">
        <v>289</v>
      </c>
      <c r="AX29" s="51" t="s">
        <v>38</v>
      </c>
      <c r="AY29" s="51" t="s">
        <v>38</v>
      </c>
      <c r="AZ29" s="9" t="s">
        <v>17</v>
      </c>
      <c r="BA29" s="9">
        <v>3</v>
      </c>
      <c r="BB29" s="147" t="str">
        <f t="shared" si="1"/>
        <v>LASSELIN</v>
      </c>
    </row>
    <row r="30" spans="1:59" s="94" customFormat="1" ht="24.75" customHeight="1" x14ac:dyDescent="0.2">
      <c r="A30" s="111">
        <v>26</v>
      </c>
      <c r="B30" s="65" t="s">
        <v>417</v>
      </c>
      <c r="C30" s="20" t="s">
        <v>418</v>
      </c>
      <c r="D30" s="20" t="s">
        <v>29</v>
      </c>
      <c r="E30" s="64">
        <v>26410</v>
      </c>
      <c r="F30" s="126">
        <f ca="1">(PRÉSENTATION!$F$11-E30)/365</f>
        <v>42.07123287671233</v>
      </c>
      <c r="G30" s="20" t="s">
        <v>204</v>
      </c>
      <c r="H30" s="20"/>
      <c r="I30" s="64">
        <v>35309</v>
      </c>
      <c r="J30" s="128">
        <f ca="1">((PRÉSENTATION!$F$11-I30)/365)</f>
        <v>17.69041095890411</v>
      </c>
      <c r="K30" s="20" t="s">
        <v>219</v>
      </c>
      <c r="L30" s="146" t="s">
        <v>309</v>
      </c>
      <c r="M30" s="20" t="s">
        <v>249</v>
      </c>
      <c r="N30" s="20" t="s">
        <v>224</v>
      </c>
      <c r="O30" s="20" t="s">
        <v>264</v>
      </c>
      <c r="P30" s="20" t="s">
        <v>38</v>
      </c>
      <c r="Q30" s="38">
        <v>37137</v>
      </c>
      <c r="R30" s="128">
        <f ca="1">(PRÉSENTATION!$F$11-Q30)/365</f>
        <v>12.682191780821919</v>
      </c>
      <c r="S30" s="20">
        <v>21</v>
      </c>
      <c r="T30" s="20" t="s">
        <v>53</v>
      </c>
      <c r="U30" s="20">
        <v>10</v>
      </c>
      <c r="V30" s="38">
        <v>41000</v>
      </c>
      <c r="W30" s="64">
        <v>40589</v>
      </c>
      <c r="X30" s="116">
        <f ca="1">(PRÉSENTATION!$F$11-W30)/365</f>
        <v>3.2246575342465755</v>
      </c>
      <c r="Y30" s="20">
        <v>18</v>
      </c>
      <c r="Z30" s="64">
        <v>35348</v>
      </c>
      <c r="AA30" s="128">
        <f ca="1">(PRÉSENTATION!$F$11-Z30)/365</f>
        <v>17.583561643835615</v>
      </c>
      <c r="AB30" s="64"/>
      <c r="AC30" s="128">
        <f ca="1">(PRÉSENTATION!$F$11-AB30)/365</f>
        <v>114.42739726027398</v>
      </c>
      <c r="AD30" s="64"/>
      <c r="AE30" s="128">
        <f ca="1">(PRÉSENTATION!$F$11-AD30)/365</f>
        <v>114.42739726027398</v>
      </c>
      <c r="AF30" s="20" t="s">
        <v>257</v>
      </c>
      <c r="AG30" s="20"/>
      <c r="AH30" s="20"/>
      <c r="AI30" s="20"/>
      <c r="AJ30" s="128">
        <f t="shared" si="0"/>
        <v>0</v>
      </c>
      <c r="AK30" s="38"/>
      <c r="AL30" s="38"/>
      <c r="AM30" s="38"/>
      <c r="AN30" s="38"/>
      <c r="AO30" s="38"/>
      <c r="AP30" s="38"/>
      <c r="AQ30" s="38"/>
      <c r="AR30" s="38"/>
      <c r="AS30" s="125">
        <f ca="1">(PRÉSENTATION!$F$11-AR30)/365</f>
        <v>114.42739726027398</v>
      </c>
      <c r="AT30" s="40"/>
      <c r="AU30" s="40"/>
      <c r="AV30" s="51" t="s">
        <v>334</v>
      </c>
      <c r="AW30" s="51" t="s">
        <v>289</v>
      </c>
      <c r="AX30" s="51" t="s">
        <v>38</v>
      </c>
      <c r="AY30" s="51" t="s">
        <v>38</v>
      </c>
      <c r="AZ30" s="20" t="s">
        <v>17</v>
      </c>
      <c r="BA30" s="20">
        <v>6</v>
      </c>
      <c r="BB30" s="65" t="str">
        <f t="shared" si="1"/>
        <v>LE BLEVEC</v>
      </c>
    </row>
    <row r="31" spans="1:59" s="94" customFormat="1" ht="24.75" customHeight="1" x14ac:dyDescent="0.2">
      <c r="A31" s="111">
        <v>27</v>
      </c>
      <c r="B31" s="147" t="s">
        <v>419</v>
      </c>
      <c r="C31" s="9" t="s">
        <v>420</v>
      </c>
      <c r="D31" s="9" t="s">
        <v>29</v>
      </c>
      <c r="E31" s="22">
        <v>31134</v>
      </c>
      <c r="F31" s="126">
        <f ca="1">(PRÉSENTATION!$F$11-E31)/365</f>
        <v>29.12876712328767</v>
      </c>
      <c r="G31" s="20" t="s">
        <v>207</v>
      </c>
      <c r="H31" s="20"/>
      <c r="I31" s="24"/>
      <c r="J31" s="128">
        <f ca="1">((PRÉSENTATION!$F$11-I31)/365)</f>
        <v>114.42739726027398</v>
      </c>
      <c r="K31" s="20" t="s">
        <v>219</v>
      </c>
      <c r="L31" s="146" t="s">
        <v>43</v>
      </c>
      <c r="M31" s="20" t="s">
        <v>249</v>
      </c>
      <c r="N31" s="20" t="s">
        <v>224</v>
      </c>
      <c r="O31" s="20" t="s">
        <v>264</v>
      </c>
      <c r="P31" s="20" t="s">
        <v>38</v>
      </c>
      <c r="Q31" s="24">
        <v>41518</v>
      </c>
      <c r="R31" s="128">
        <f ca="1">(PRÉSENTATION!$F$11-Q31)/365</f>
        <v>0.67945205479452053</v>
      </c>
      <c r="S31" s="20"/>
      <c r="T31" s="20" t="s">
        <v>52</v>
      </c>
      <c r="U31" s="20"/>
      <c r="V31" s="20"/>
      <c r="W31" s="24">
        <v>41612</v>
      </c>
      <c r="X31" s="116">
        <f ca="1">(PRÉSENTATION!$F$11-W31)/365</f>
        <v>0.42191780821917807</v>
      </c>
      <c r="Y31" s="20"/>
      <c r="Z31" s="24"/>
      <c r="AA31" s="128">
        <f ca="1">(PRÉSENTATION!$F$11-Z31)/365</f>
        <v>114.42739726027398</v>
      </c>
      <c r="AB31" s="24">
        <v>41528</v>
      </c>
      <c r="AC31" s="128">
        <f ca="1">(PRÉSENTATION!$F$11-AB31)/365</f>
        <v>0.65205479452054793</v>
      </c>
      <c r="AD31" s="24"/>
      <c r="AE31" s="128">
        <f ca="1">(PRÉSENTATION!$F$11-AD31)/365</f>
        <v>114.42739726027398</v>
      </c>
      <c r="AF31" s="20" t="s">
        <v>259</v>
      </c>
      <c r="AG31" s="20"/>
      <c r="AH31" s="20"/>
      <c r="AI31" s="20"/>
      <c r="AJ31" s="128">
        <f t="shared" si="0"/>
        <v>0</v>
      </c>
      <c r="AK31" s="38"/>
      <c r="AL31" s="38"/>
      <c r="AM31" s="38"/>
      <c r="AN31" s="38"/>
      <c r="AO31" s="38"/>
      <c r="AP31" s="38"/>
      <c r="AQ31" s="38"/>
      <c r="AR31" s="38"/>
      <c r="AS31" s="125">
        <f ca="1">(PRÉSENTATION!$F$11-AR31)/365</f>
        <v>114.42739726027398</v>
      </c>
      <c r="AT31" s="40"/>
      <c r="AU31" s="40"/>
      <c r="AV31" s="51" t="s">
        <v>334</v>
      </c>
      <c r="AW31" s="51" t="s">
        <v>289</v>
      </c>
      <c r="AX31" s="51" t="s">
        <v>38</v>
      </c>
      <c r="AY31" s="51" t="s">
        <v>38</v>
      </c>
      <c r="AZ31" s="9" t="s">
        <v>263</v>
      </c>
      <c r="BA31" s="9"/>
      <c r="BB31" s="147" t="str">
        <f t="shared" si="1"/>
        <v>LE GUYADER</v>
      </c>
      <c r="BG31"/>
    </row>
    <row r="32" spans="1:59" s="94" customFormat="1" ht="24.75" customHeight="1" x14ac:dyDescent="0.2">
      <c r="A32" s="111">
        <v>28</v>
      </c>
      <c r="B32" s="65" t="s">
        <v>421</v>
      </c>
      <c r="C32" s="9" t="s">
        <v>422</v>
      </c>
      <c r="D32" s="9" t="s">
        <v>31</v>
      </c>
      <c r="E32" s="22">
        <v>25983</v>
      </c>
      <c r="F32" s="126">
        <f ca="1">(PRÉSENTATION!$F$11-E32)/365</f>
        <v>43.241095890410961</v>
      </c>
      <c r="G32" s="20" t="s">
        <v>204</v>
      </c>
      <c r="H32" s="20"/>
      <c r="I32" s="38"/>
      <c r="J32" s="128">
        <f ca="1">((PRÉSENTATION!$F$11-I32)/365)</f>
        <v>114.42739726027398</v>
      </c>
      <c r="K32" s="20" t="s">
        <v>219</v>
      </c>
      <c r="L32" s="146" t="s">
        <v>309</v>
      </c>
      <c r="M32" s="20" t="s">
        <v>249</v>
      </c>
      <c r="N32" s="20" t="s">
        <v>224</v>
      </c>
      <c r="O32" s="20" t="s">
        <v>264</v>
      </c>
      <c r="P32" s="20" t="s">
        <v>38</v>
      </c>
      <c r="Q32" s="24">
        <v>36411</v>
      </c>
      <c r="R32" s="128">
        <f ca="1">(PRÉSENTATION!$F$11-Q32)/365</f>
        <v>14.671232876712329</v>
      </c>
      <c r="S32" s="20"/>
      <c r="T32" s="20" t="s">
        <v>52</v>
      </c>
      <c r="U32" s="20"/>
      <c r="V32" s="38"/>
      <c r="W32" s="38">
        <v>39765</v>
      </c>
      <c r="X32" s="116">
        <f ca="1">(PRÉSENTATION!$F$11-W32)/365</f>
        <v>5.4821917808219176</v>
      </c>
      <c r="Y32" s="20"/>
      <c r="Z32" s="38"/>
      <c r="AA32" s="128">
        <f ca="1">(PRÉSENTATION!$F$11-Z32)/365</f>
        <v>114.42739726027398</v>
      </c>
      <c r="AB32" s="38">
        <v>39493</v>
      </c>
      <c r="AC32" s="128">
        <f ca="1">(PRÉSENTATION!$F$11-AB32)/365</f>
        <v>6.2273972602739729</v>
      </c>
      <c r="AD32" s="38"/>
      <c r="AE32" s="128">
        <f ca="1">(PRÉSENTATION!$F$11-AD32)/365</f>
        <v>114.42739726027398</v>
      </c>
      <c r="AF32" s="20" t="s">
        <v>259</v>
      </c>
      <c r="AG32" s="20"/>
      <c r="AH32" s="20"/>
      <c r="AI32" s="20"/>
      <c r="AJ32" s="128">
        <f t="shared" si="0"/>
        <v>0</v>
      </c>
      <c r="AK32" s="38"/>
      <c r="AL32" s="38"/>
      <c r="AM32" s="38"/>
      <c r="AN32" s="38"/>
      <c r="AO32" s="38"/>
      <c r="AP32" s="38"/>
      <c r="AQ32" s="38"/>
      <c r="AR32" s="38"/>
      <c r="AS32" s="125">
        <f ca="1">(PRÉSENTATION!$F$11-AR32)/365</f>
        <v>114.42739726027398</v>
      </c>
      <c r="AT32" s="40"/>
      <c r="AU32" s="40"/>
      <c r="AV32" s="51" t="s">
        <v>334</v>
      </c>
      <c r="AW32" s="51" t="s">
        <v>289</v>
      </c>
      <c r="AX32" s="51" t="s">
        <v>37</v>
      </c>
      <c r="AY32" s="51" t="s">
        <v>38</v>
      </c>
      <c r="AZ32" s="9" t="s">
        <v>16</v>
      </c>
      <c r="BA32" s="9">
        <v>14</v>
      </c>
      <c r="BB32" s="65" t="str">
        <f t="shared" si="1"/>
        <v>LOUZANNE</v>
      </c>
    </row>
    <row r="33" spans="1:59" s="94" customFormat="1" ht="24.75" customHeight="1" x14ac:dyDescent="0.2">
      <c r="A33" s="111">
        <v>29</v>
      </c>
      <c r="B33" s="147" t="s">
        <v>423</v>
      </c>
      <c r="C33" s="9" t="s">
        <v>424</v>
      </c>
      <c r="D33" s="9" t="s">
        <v>29</v>
      </c>
      <c r="E33" s="25">
        <v>28690</v>
      </c>
      <c r="F33" s="126">
        <f ca="1">(PRÉSENTATION!$F$11-E33)/365</f>
        <v>35.824657534246576</v>
      </c>
      <c r="G33" s="20" t="s">
        <v>206</v>
      </c>
      <c r="H33" s="20"/>
      <c r="I33" s="26"/>
      <c r="J33" s="128">
        <f ca="1">((PRÉSENTATION!$F$11-I33)/365)</f>
        <v>114.42739726027398</v>
      </c>
      <c r="K33" s="20" t="s">
        <v>219</v>
      </c>
      <c r="L33" s="146" t="s">
        <v>309</v>
      </c>
      <c r="M33" s="20" t="s">
        <v>249</v>
      </c>
      <c r="N33" s="20" t="s">
        <v>224</v>
      </c>
      <c r="O33" s="20" t="s">
        <v>264</v>
      </c>
      <c r="P33" s="20" t="s">
        <v>38</v>
      </c>
      <c r="Q33" s="23">
        <v>40787</v>
      </c>
      <c r="R33" s="128">
        <f ca="1">(PRÉSENTATION!$F$11-Q33)/365</f>
        <v>2.6821917808219178</v>
      </c>
      <c r="S33" s="20"/>
      <c r="T33" s="20" t="s">
        <v>52</v>
      </c>
      <c r="U33" s="20"/>
      <c r="V33" s="20"/>
      <c r="W33" s="38"/>
      <c r="X33" s="116">
        <f ca="1">(PRÉSENTATION!$F$11-W33)/365</f>
        <v>114.42739726027398</v>
      </c>
      <c r="Y33" s="20"/>
      <c r="Z33" s="38">
        <v>40952</v>
      </c>
      <c r="AA33" s="128">
        <f ca="1">(PRÉSENTATION!$F$11-Z33)/365</f>
        <v>2.2301369863013698</v>
      </c>
      <c r="AB33" s="38"/>
      <c r="AC33" s="128">
        <f ca="1">(PRÉSENTATION!$F$11-AB33)/365</f>
        <v>114.42739726027398</v>
      </c>
      <c r="AD33" s="38"/>
      <c r="AE33" s="128">
        <f ca="1">(PRÉSENTATION!$F$11-AD33)/365</f>
        <v>114.42739726027398</v>
      </c>
      <c r="AF33" s="20" t="s">
        <v>259</v>
      </c>
      <c r="AG33" s="20"/>
      <c r="AH33" s="20"/>
      <c r="AI33" s="20"/>
      <c r="AJ33" s="128">
        <f t="shared" si="0"/>
        <v>0</v>
      </c>
      <c r="AK33" s="38"/>
      <c r="AL33" s="38"/>
      <c r="AM33" s="38"/>
      <c r="AN33" s="38"/>
      <c r="AO33" s="38"/>
      <c r="AP33" s="38"/>
      <c r="AQ33" s="38"/>
      <c r="AR33" s="38"/>
      <c r="AS33" s="125">
        <f ca="1">(PRÉSENTATION!$F$11-AR33)/365</f>
        <v>114.42739726027398</v>
      </c>
      <c r="AT33" s="40"/>
      <c r="AU33" s="40"/>
      <c r="AV33" s="51" t="s">
        <v>334</v>
      </c>
      <c r="AW33" s="51" t="s">
        <v>289</v>
      </c>
      <c r="AX33" s="51" t="s">
        <v>38</v>
      </c>
      <c r="AY33" s="51" t="s">
        <v>38</v>
      </c>
      <c r="AZ33" s="9" t="s">
        <v>15</v>
      </c>
      <c r="BA33" s="9">
        <v>3</v>
      </c>
      <c r="BB33" s="147" t="str">
        <f t="shared" si="1"/>
        <v>MAESTRI</v>
      </c>
    </row>
    <row r="34" spans="1:59" s="94" customFormat="1" ht="24.75" customHeight="1" x14ac:dyDescent="0.2">
      <c r="A34" s="111">
        <v>30</v>
      </c>
      <c r="B34" s="65" t="s">
        <v>425</v>
      </c>
      <c r="C34" s="9" t="s">
        <v>426</v>
      </c>
      <c r="D34" s="9" t="s">
        <v>29</v>
      </c>
      <c r="E34" s="22">
        <v>26164</v>
      </c>
      <c r="F34" s="126">
        <f ca="1">(PRÉSENTATION!$F$11-E34)/365</f>
        <v>42.745205479452054</v>
      </c>
      <c r="G34" s="20" t="s">
        <v>205</v>
      </c>
      <c r="H34" s="20"/>
      <c r="I34" s="23"/>
      <c r="J34" s="128">
        <f ca="1">((PRÉSENTATION!$F$11-I34)/365)</f>
        <v>114.42739726027398</v>
      </c>
      <c r="K34" s="20" t="s">
        <v>219</v>
      </c>
      <c r="L34" s="146" t="s">
        <v>309</v>
      </c>
      <c r="M34" s="20" t="s">
        <v>249</v>
      </c>
      <c r="N34" s="20" t="s">
        <v>224</v>
      </c>
      <c r="O34" s="20" t="s">
        <v>264</v>
      </c>
      <c r="P34" s="20" t="s">
        <v>38</v>
      </c>
      <c r="Q34" s="23">
        <v>37137</v>
      </c>
      <c r="R34" s="128">
        <f ca="1">(PRÉSENTATION!$F$11-Q34)/365</f>
        <v>12.682191780821919</v>
      </c>
      <c r="S34" s="20"/>
      <c r="T34" s="20" t="s">
        <v>52</v>
      </c>
      <c r="U34" s="20"/>
      <c r="V34" s="20"/>
      <c r="W34" s="64">
        <v>39731</v>
      </c>
      <c r="X34" s="116">
        <f ca="1">(PRÉSENTATION!$F$11-W34)/365</f>
        <v>5.5753424657534243</v>
      </c>
      <c r="Y34" s="20"/>
      <c r="Z34" s="64"/>
      <c r="AA34" s="128">
        <f ca="1">(PRÉSENTATION!$F$11-Z34)/365</f>
        <v>114.42739726027398</v>
      </c>
      <c r="AB34" s="64">
        <v>40672</v>
      </c>
      <c r="AC34" s="128">
        <f ca="1">(PRÉSENTATION!$F$11-AB34)/365</f>
        <v>2.9972602739726026</v>
      </c>
      <c r="AD34" s="64"/>
      <c r="AE34" s="128">
        <f ca="1">(PRÉSENTATION!$F$11-AD34)/365</f>
        <v>114.42739726027398</v>
      </c>
      <c r="AF34" s="20" t="s">
        <v>264</v>
      </c>
      <c r="AG34" s="20"/>
      <c r="AH34" s="20"/>
      <c r="AI34" s="20"/>
      <c r="AJ34" s="128">
        <f t="shared" si="0"/>
        <v>0</v>
      </c>
      <c r="AK34" s="38"/>
      <c r="AL34" s="38"/>
      <c r="AM34" s="38"/>
      <c r="AN34" s="38"/>
      <c r="AO34" s="38"/>
      <c r="AP34" s="38"/>
      <c r="AQ34" s="38"/>
      <c r="AR34" s="38"/>
      <c r="AS34" s="125">
        <f ca="1">(PRÉSENTATION!$F$11-AR34)/365</f>
        <v>114.42739726027398</v>
      </c>
      <c r="AT34" s="40"/>
      <c r="AU34" s="40"/>
      <c r="AV34" s="51" t="s">
        <v>290</v>
      </c>
      <c r="AW34" s="51" t="s">
        <v>334</v>
      </c>
      <c r="AX34" s="51" t="s">
        <v>38</v>
      </c>
      <c r="AY34" s="51" t="s">
        <v>38</v>
      </c>
      <c r="AZ34" s="9" t="s">
        <v>16</v>
      </c>
      <c r="BA34" s="9">
        <v>4</v>
      </c>
      <c r="BB34" s="65" t="str">
        <f t="shared" si="1"/>
        <v>MARTINEZ</v>
      </c>
    </row>
    <row r="35" spans="1:59" s="94" customFormat="1" ht="24.75" customHeight="1" x14ac:dyDescent="0.2">
      <c r="A35" s="111">
        <v>31</v>
      </c>
      <c r="B35" s="147" t="s">
        <v>425</v>
      </c>
      <c r="C35" s="9" t="s">
        <v>427</v>
      </c>
      <c r="D35" s="9" t="s">
        <v>29</v>
      </c>
      <c r="E35" s="22">
        <v>24198</v>
      </c>
      <c r="F35" s="126">
        <f ca="1">(PRÉSENTATION!$F$11-E35)/365</f>
        <v>48.131506849315066</v>
      </c>
      <c r="G35" s="20" t="s">
        <v>205</v>
      </c>
      <c r="H35" s="20"/>
      <c r="I35" s="38"/>
      <c r="J35" s="128">
        <f ca="1">((PRÉSENTATION!$F$11-I35)/365)</f>
        <v>114.42739726027398</v>
      </c>
      <c r="K35" s="20" t="s">
        <v>219</v>
      </c>
      <c r="L35" s="146" t="s">
        <v>308</v>
      </c>
      <c r="M35" s="20" t="s">
        <v>250</v>
      </c>
      <c r="N35" s="20" t="s">
        <v>224</v>
      </c>
      <c r="O35" s="20" t="s">
        <v>264</v>
      </c>
      <c r="P35" s="20" t="s">
        <v>38</v>
      </c>
      <c r="Q35" s="24">
        <v>38961</v>
      </c>
      <c r="R35" s="128">
        <f ca="1">(PRÉSENTATION!$F$11-Q35)/365</f>
        <v>7.6849315068493151</v>
      </c>
      <c r="S35" s="20"/>
      <c r="T35" s="20" t="s">
        <v>52</v>
      </c>
      <c r="U35" s="20"/>
      <c r="V35" s="38"/>
      <c r="W35" s="38"/>
      <c r="X35" s="116">
        <f ca="1">(PRÉSENTATION!$F$11-W35)/365</f>
        <v>114.42739726027398</v>
      </c>
      <c r="Y35" s="20"/>
      <c r="Z35" s="38"/>
      <c r="AA35" s="128">
        <f ca="1">(PRÉSENTATION!$F$11-Z35)/365</f>
        <v>114.42739726027398</v>
      </c>
      <c r="AB35" s="38">
        <v>40616</v>
      </c>
      <c r="AC35" s="128">
        <f ca="1">(PRÉSENTATION!$F$11-AB35)/365</f>
        <v>3.1506849315068495</v>
      </c>
      <c r="AD35" s="38"/>
      <c r="AE35" s="128">
        <f ca="1">(PRÉSENTATION!$F$11-AD35)/365</f>
        <v>114.42739726027398</v>
      </c>
      <c r="AF35" s="20" t="s">
        <v>265</v>
      </c>
      <c r="AG35" s="20"/>
      <c r="AH35" s="20"/>
      <c r="AI35" s="20"/>
      <c r="AJ35" s="128">
        <f t="shared" si="0"/>
        <v>0</v>
      </c>
      <c r="AK35" s="38"/>
      <c r="AL35" s="38"/>
      <c r="AM35" s="38"/>
      <c r="AN35" s="38"/>
      <c r="AO35" s="38"/>
      <c r="AP35" s="38"/>
      <c r="AQ35" s="38"/>
      <c r="AR35" s="38"/>
      <c r="AS35" s="125">
        <f ca="1">(PRÉSENTATION!$F$11-AR35)/365</f>
        <v>114.42739726027398</v>
      </c>
      <c r="AT35" s="40"/>
      <c r="AU35" s="40"/>
      <c r="AV35" s="51" t="s">
        <v>285</v>
      </c>
      <c r="AW35" s="51" t="s">
        <v>334</v>
      </c>
      <c r="AX35" s="51" t="s">
        <v>38</v>
      </c>
      <c r="AY35" s="51" t="s">
        <v>38</v>
      </c>
      <c r="AZ35" s="9" t="s">
        <v>46</v>
      </c>
      <c r="BA35" s="9"/>
      <c r="BB35" s="147" t="str">
        <f t="shared" si="1"/>
        <v>MARTINEZ</v>
      </c>
    </row>
    <row r="36" spans="1:59" s="94" customFormat="1" ht="24.75" customHeight="1" x14ac:dyDescent="0.2">
      <c r="A36" s="111">
        <v>32</v>
      </c>
      <c r="B36" s="65" t="s">
        <v>428</v>
      </c>
      <c r="C36" s="9" t="s">
        <v>429</v>
      </c>
      <c r="D36" s="9" t="s">
        <v>29</v>
      </c>
      <c r="E36" s="64">
        <v>21933</v>
      </c>
      <c r="F36" s="126">
        <f ca="1">(PRÉSENTATION!$F$11-E36)/365</f>
        <v>54.336986301369862</v>
      </c>
      <c r="G36" s="20" t="s">
        <v>205</v>
      </c>
      <c r="H36" s="20"/>
      <c r="I36" s="26">
        <v>36039</v>
      </c>
      <c r="J36" s="128">
        <f ca="1">((PRÉSENTATION!$F$11-I36)/365)</f>
        <v>15.69041095890411</v>
      </c>
      <c r="K36" s="20" t="s">
        <v>219</v>
      </c>
      <c r="L36" s="146" t="s">
        <v>309</v>
      </c>
      <c r="M36" s="20" t="s">
        <v>249</v>
      </c>
      <c r="N36" s="20" t="s">
        <v>224</v>
      </c>
      <c r="O36" s="20" t="s">
        <v>264</v>
      </c>
      <c r="P36" s="20" t="s">
        <v>38</v>
      </c>
      <c r="Q36" s="24">
        <v>40422</v>
      </c>
      <c r="R36" s="128">
        <f ca="1">(PRÉSENTATION!$F$11-Q36)/365</f>
        <v>3.6821917808219178</v>
      </c>
      <c r="S36" s="20">
        <v>68</v>
      </c>
      <c r="T36" s="20" t="s">
        <v>53</v>
      </c>
      <c r="U36" s="20">
        <v>10</v>
      </c>
      <c r="V36" s="38">
        <v>38585</v>
      </c>
      <c r="W36" s="38">
        <v>40591</v>
      </c>
      <c r="X36" s="116">
        <f ca="1">(PRÉSENTATION!$F$11-W36)/365</f>
        <v>3.2191780821917808</v>
      </c>
      <c r="Y36" s="20">
        <v>17.5</v>
      </c>
      <c r="Z36" s="38"/>
      <c r="AA36" s="128">
        <f ca="1">(PRÉSENTATION!$F$11-Z36)/365</f>
        <v>114.42739726027398</v>
      </c>
      <c r="AB36" s="38">
        <v>40558</v>
      </c>
      <c r="AC36" s="128">
        <f ca="1">(PRÉSENTATION!$F$11-AB36)/365</f>
        <v>3.3095890410958906</v>
      </c>
      <c r="AD36" s="38"/>
      <c r="AE36" s="128">
        <f ca="1">(PRÉSENTATION!$F$11-AD36)/365</f>
        <v>114.42739726027398</v>
      </c>
      <c r="AF36" s="20" t="s">
        <v>257</v>
      </c>
      <c r="AG36" s="20"/>
      <c r="AH36" s="20"/>
      <c r="AI36" s="20"/>
      <c r="AJ36" s="128">
        <f t="shared" si="0"/>
        <v>0</v>
      </c>
      <c r="AK36" s="38"/>
      <c r="AL36" s="38"/>
      <c r="AM36" s="38"/>
      <c r="AN36" s="38"/>
      <c r="AO36" s="38"/>
      <c r="AP36" s="38"/>
      <c r="AQ36" s="38"/>
      <c r="AR36" s="38"/>
      <c r="AS36" s="125">
        <f ca="1">(PRÉSENTATION!$F$11-AR36)/365</f>
        <v>114.42739726027398</v>
      </c>
      <c r="AT36" s="40"/>
      <c r="AU36" s="40"/>
      <c r="AV36" s="51" t="s">
        <v>334</v>
      </c>
      <c r="AW36" s="51" t="s">
        <v>289</v>
      </c>
      <c r="AX36" s="51" t="s">
        <v>37</v>
      </c>
      <c r="AY36" s="51" t="s">
        <v>38</v>
      </c>
      <c r="AZ36" s="9" t="s">
        <v>15</v>
      </c>
      <c r="BA36" s="9">
        <v>4</v>
      </c>
      <c r="BB36" s="65" t="str">
        <f t="shared" si="1"/>
        <v>MATHIS</v>
      </c>
    </row>
    <row r="37" spans="1:59" s="94" customFormat="1" ht="24.75" customHeight="1" x14ac:dyDescent="0.2">
      <c r="A37" s="111">
        <v>33</v>
      </c>
      <c r="B37" s="147" t="s">
        <v>430</v>
      </c>
      <c r="C37" s="9" t="s">
        <v>431</v>
      </c>
      <c r="D37" s="9" t="s">
        <v>31</v>
      </c>
      <c r="E37" s="22">
        <v>23631</v>
      </c>
      <c r="F37" s="126">
        <f ca="1">(PRÉSENTATION!$F$11-E37)/365</f>
        <v>49.684931506849317</v>
      </c>
      <c r="G37" s="20" t="s">
        <v>205</v>
      </c>
      <c r="H37" s="20"/>
      <c r="I37" s="24">
        <v>34578</v>
      </c>
      <c r="J37" s="128">
        <f ca="1">((PRÉSENTATION!$F$11-I37)/365)</f>
        <v>19.693150684931506</v>
      </c>
      <c r="K37" s="20" t="s">
        <v>219</v>
      </c>
      <c r="L37" s="146" t="s">
        <v>309</v>
      </c>
      <c r="M37" s="20" t="s">
        <v>249</v>
      </c>
      <c r="N37" s="20" t="s">
        <v>224</v>
      </c>
      <c r="O37" s="20" t="s">
        <v>264</v>
      </c>
      <c r="P37" s="20" t="s">
        <v>38</v>
      </c>
      <c r="Q37" s="24">
        <v>35674</v>
      </c>
      <c r="R37" s="128">
        <f ca="1">(PRÉSENTATION!$F$11-Q37)/365</f>
        <v>16.69041095890411</v>
      </c>
      <c r="S37" s="20">
        <v>62</v>
      </c>
      <c r="T37" s="20" t="s">
        <v>53</v>
      </c>
      <c r="U37" s="20">
        <v>11</v>
      </c>
      <c r="V37" s="38">
        <v>40884</v>
      </c>
      <c r="W37" s="38">
        <v>41309</v>
      </c>
      <c r="X37" s="116">
        <f ca="1">(PRÉSENTATION!$F$11-W37)/365</f>
        <v>1.252054794520548</v>
      </c>
      <c r="Y37" s="20">
        <v>18.5</v>
      </c>
      <c r="Z37" s="38"/>
      <c r="AA37" s="128">
        <f ca="1">(PRÉSENTATION!$F$11-Z37)/365</f>
        <v>114.42739726027398</v>
      </c>
      <c r="AB37" s="38"/>
      <c r="AC37" s="128">
        <f ca="1">(PRÉSENTATION!$F$11-AB37)/365</f>
        <v>114.42739726027398</v>
      </c>
      <c r="AD37" s="38"/>
      <c r="AE37" s="128">
        <f ca="1">(PRÉSENTATION!$F$11-AD37)/365</f>
        <v>114.42739726027398</v>
      </c>
      <c r="AF37" s="20" t="s">
        <v>257</v>
      </c>
      <c r="AG37" s="20"/>
      <c r="AH37" s="20"/>
      <c r="AI37" s="20"/>
      <c r="AJ37" s="128">
        <f t="shared" si="0"/>
        <v>0</v>
      </c>
      <c r="AK37" s="38"/>
      <c r="AL37" s="38"/>
      <c r="AM37" s="38"/>
      <c r="AN37" s="38"/>
      <c r="AO37" s="38"/>
      <c r="AP37" s="38"/>
      <c r="AQ37" s="38"/>
      <c r="AR37" s="38"/>
      <c r="AS37" s="125">
        <f ca="1">(PRÉSENTATION!$F$11-AR37)/365</f>
        <v>114.42739726027398</v>
      </c>
      <c r="AT37" s="40"/>
      <c r="AU37" s="40"/>
      <c r="AV37" s="51" t="s">
        <v>334</v>
      </c>
      <c r="AW37" s="51" t="s">
        <v>289</v>
      </c>
      <c r="AX37" s="51" t="s">
        <v>38</v>
      </c>
      <c r="AY37" s="51" t="s">
        <v>38</v>
      </c>
      <c r="AZ37" s="9" t="s">
        <v>18</v>
      </c>
      <c r="BA37" s="9">
        <v>1</v>
      </c>
      <c r="BB37" s="147" t="str">
        <f t="shared" si="1"/>
        <v>MATTANA</v>
      </c>
    </row>
    <row r="38" spans="1:59" s="94" customFormat="1" ht="24.75" customHeight="1" x14ac:dyDescent="0.2">
      <c r="A38" s="111">
        <v>34</v>
      </c>
      <c r="B38" s="65" t="s">
        <v>432</v>
      </c>
      <c r="C38" s="9" t="s">
        <v>433</v>
      </c>
      <c r="D38" s="9" t="s">
        <v>29</v>
      </c>
      <c r="E38" s="64">
        <v>28634</v>
      </c>
      <c r="F38" s="126">
        <f ca="1">(PRÉSENTATION!$F$11-E38)/365</f>
        <v>35.978082191780821</v>
      </c>
      <c r="G38" s="20" t="s">
        <v>204</v>
      </c>
      <c r="H38" s="20" t="s">
        <v>214</v>
      </c>
      <c r="I38" s="26">
        <v>39995</v>
      </c>
      <c r="J38" s="128">
        <f ca="1">((PRÉSENTATION!$F$11-I38)/365)</f>
        <v>4.8520547945205479</v>
      </c>
      <c r="K38" s="20" t="s">
        <v>219</v>
      </c>
      <c r="L38" s="146" t="s">
        <v>309</v>
      </c>
      <c r="M38" s="20" t="s">
        <v>249</v>
      </c>
      <c r="N38" s="20" t="s">
        <v>224</v>
      </c>
      <c r="O38" s="20" t="s">
        <v>264</v>
      </c>
      <c r="P38" s="20" t="s">
        <v>38</v>
      </c>
      <c r="Q38" s="24">
        <v>41518</v>
      </c>
      <c r="R38" s="128">
        <f ca="1">(PRÉSENTATION!$F$11-Q38)/365</f>
        <v>0.67945205479452053</v>
      </c>
      <c r="S38" s="20">
        <v>6</v>
      </c>
      <c r="T38" s="20" t="s">
        <v>53</v>
      </c>
      <c r="U38" s="20">
        <v>4</v>
      </c>
      <c r="V38" s="20"/>
      <c r="W38" s="38">
        <v>40726</v>
      </c>
      <c r="X38" s="116">
        <f ca="1">(PRÉSENTATION!$F$11-W38)/365</f>
        <v>2.8493150684931505</v>
      </c>
      <c r="Y38" s="20">
        <v>13</v>
      </c>
      <c r="Z38" s="38">
        <v>40584</v>
      </c>
      <c r="AA38" s="128">
        <f ca="1">(PRÉSENTATION!$F$11-Z38)/365</f>
        <v>3.2383561643835614</v>
      </c>
      <c r="AB38" s="38"/>
      <c r="AC38" s="128">
        <f ca="1">(PRÉSENTATION!$F$11-AB38)/365</f>
        <v>114.42739726027398</v>
      </c>
      <c r="AD38" s="38"/>
      <c r="AE38" s="128">
        <f ca="1">(PRÉSENTATION!$F$11-AD38)/365</f>
        <v>114.42739726027398</v>
      </c>
      <c r="AF38" s="20" t="s">
        <v>257</v>
      </c>
      <c r="AG38" s="20"/>
      <c r="AH38" s="20"/>
      <c r="AI38" s="20"/>
      <c r="AJ38" s="128">
        <f t="shared" si="0"/>
        <v>0</v>
      </c>
      <c r="AK38" s="38"/>
      <c r="AL38" s="38"/>
      <c r="AM38" s="38"/>
      <c r="AN38" s="38"/>
      <c r="AO38" s="38"/>
      <c r="AP38" s="38"/>
      <c r="AQ38" s="38"/>
      <c r="AR38" s="38"/>
      <c r="AS38" s="125">
        <f ca="1">(PRÉSENTATION!$F$11-AR38)/365</f>
        <v>114.42739726027398</v>
      </c>
      <c r="AT38" s="40"/>
      <c r="AU38" s="40"/>
      <c r="AV38" s="51" t="s">
        <v>334</v>
      </c>
      <c r="AW38" s="51" t="s">
        <v>287</v>
      </c>
      <c r="AX38" s="51" t="s">
        <v>37</v>
      </c>
      <c r="AY38" s="51" t="s">
        <v>38</v>
      </c>
      <c r="AZ38" s="9" t="s">
        <v>14</v>
      </c>
      <c r="BA38" s="9">
        <v>1</v>
      </c>
      <c r="BB38" s="65" t="str">
        <f t="shared" si="1"/>
        <v>MAZUIR</v>
      </c>
    </row>
    <row r="39" spans="1:59" s="21" customFormat="1" ht="24.75" customHeight="1" x14ac:dyDescent="0.2">
      <c r="A39" s="111">
        <v>35</v>
      </c>
      <c r="B39" s="147" t="s">
        <v>434</v>
      </c>
      <c r="C39" s="9" t="s">
        <v>435</v>
      </c>
      <c r="D39" s="9" t="s">
        <v>29</v>
      </c>
      <c r="E39" s="22">
        <v>23876</v>
      </c>
      <c r="F39" s="126">
        <f ca="1">(PRÉSENTATION!$F$11-E39)/365</f>
        <v>49.013698630136986</v>
      </c>
      <c r="G39" s="20" t="s">
        <v>206</v>
      </c>
      <c r="H39" s="20"/>
      <c r="I39" s="24"/>
      <c r="J39" s="128">
        <f ca="1">((PRÉSENTATION!$F$11-I39)/365)</f>
        <v>114.42739726027398</v>
      </c>
      <c r="K39" s="20" t="s">
        <v>219</v>
      </c>
      <c r="L39" s="146" t="s">
        <v>308</v>
      </c>
      <c r="M39" s="20" t="s">
        <v>249</v>
      </c>
      <c r="N39" s="20" t="s">
        <v>224</v>
      </c>
      <c r="O39" s="20" t="s">
        <v>264</v>
      </c>
      <c r="P39" s="20" t="s">
        <v>38</v>
      </c>
      <c r="Q39" s="24">
        <v>37264</v>
      </c>
      <c r="R39" s="128">
        <f ca="1">(PRÉSENTATION!$F$11-Q39)/365</f>
        <v>12.334246575342465</v>
      </c>
      <c r="S39" s="65"/>
      <c r="T39" s="20" t="s">
        <v>52</v>
      </c>
      <c r="U39" s="20"/>
      <c r="V39" s="38"/>
      <c r="W39" s="38">
        <v>41003</v>
      </c>
      <c r="X39" s="116">
        <f ca="1">(PRÉSENTATION!$F$11-W39)/365</f>
        <v>2.0904109589041098</v>
      </c>
      <c r="Y39" s="20"/>
      <c r="Z39" s="38"/>
      <c r="AA39" s="128">
        <f ca="1">(PRÉSENTATION!$F$11-Z39)/365</f>
        <v>114.42739726027398</v>
      </c>
      <c r="AB39" s="38">
        <v>40494</v>
      </c>
      <c r="AC39" s="128">
        <f ca="1">(PRÉSENTATION!$F$11-AB39)/365</f>
        <v>3.484931506849315</v>
      </c>
      <c r="AD39" s="38"/>
      <c r="AE39" s="128">
        <f ca="1">(PRÉSENTATION!$F$11-AD39)/365</f>
        <v>114.42739726027398</v>
      </c>
      <c r="AF39" s="20" t="s">
        <v>264</v>
      </c>
      <c r="AG39" s="20"/>
      <c r="AH39" s="20"/>
      <c r="AI39" s="20"/>
      <c r="AJ39" s="128">
        <f t="shared" si="0"/>
        <v>0</v>
      </c>
      <c r="AK39" s="38"/>
      <c r="AL39" s="38"/>
      <c r="AM39" s="38"/>
      <c r="AN39" s="38"/>
      <c r="AO39" s="38"/>
      <c r="AP39" s="38"/>
      <c r="AQ39" s="38"/>
      <c r="AR39" s="38"/>
      <c r="AS39" s="125">
        <f ca="1">(PRÉSENTATION!$F$11-AR39)/365</f>
        <v>114.42739726027398</v>
      </c>
      <c r="AT39" s="40"/>
      <c r="AU39" s="40"/>
      <c r="AV39" s="51" t="s">
        <v>289</v>
      </c>
      <c r="AW39" s="51" t="s">
        <v>334</v>
      </c>
      <c r="AX39" s="51" t="s">
        <v>38</v>
      </c>
      <c r="AY39" s="51" t="s">
        <v>38</v>
      </c>
      <c r="AZ39" s="9" t="s">
        <v>47</v>
      </c>
      <c r="BA39" s="9">
        <v>4</v>
      </c>
      <c r="BB39" s="147" t="str">
        <f t="shared" si="1"/>
        <v>MEDINA</v>
      </c>
      <c r="BC39" s="94"/>
      <c r="BD39" s="94"/>
      <c r="BE39" s="94"/>
    </row>
    <row r="40" spans="1:59" s="21" customFormat="1" ht="24.75" customHeight="1" x14ac:dyDescent="0.2">
      <c r="A40" s="111">
        <v>36</v>
      </c>
      <c r="B40" s="65" t="s">
        <v>436</v>
      </c>
      <c r="C40" s="9" t="s">
        <v>437</v>
      </c>
      <c r="D40" s="9" t="s">
        <v>29</v>
      </c>
      <c r="E40" s="25">
        <v>27471</v>
      </c>
      <c r="F40" s="126">
        <f ca="1">(PRÉSENTATION!$F$11-E40)/365</f>
        <v>39.164383561643838</v>
      </c>
      <c r="G40" s="20" t="s">
        <v>206</v>
      </c>
      <c r="H40" s="20"/>
      <c r="I40" s="24"/>
      <c r="J40" s="128">
        <f ca="1">((PRÉSENTATION!$F$11-I40)/365)</f>
        <v>114.42739726027398</v>
      </c>
      <c r="K40" s="20" t="s">
        <v>219</v>
      </c>
      <c r="L40" s="146" t="s">
        <v>309</v>
      </c>
      <c r="M40" s="20" t="s">
        <v>253</v>
      </c>
      <c r="N40" s="20" t="s">
        <v>224</v>
      </c>
      <c r="O40" s="20" t="s">
        <v>264</v>
      </c>
      <c r="P40" s="20" t="s">
        <v>38</v>
      </c>
      <c r="Q40" s="23">
        <v>40422</v>
      </c>
      <c r="R40" s="128">
        <f ca="1">(PRÉSENTATION!$F$11-Q40)/365</f>
        <v>3.6821917808219178</v>
      </c>
      <c r="S40" s="20"/>
      <c r="T40" s="20" t="s">
        <v>52</v>
      </c>
      <c r="U40" s="20"/>
      <c r="V40" s="20"/>
      <c r="W40" s="64"/>
      <c r="X40" s="116">
        <f ca="1">(PRÉSENTATION!$F$11-W40)/365</f>
        <v>114.42739726027398</v>
      </c>
      <c r="Y40" s="20"/>
      <c r="Z40" s="64"/>
      <c r="AA40" s="128">
        <f ca="1">(PRÉSENTATION!$F$11-Z40)/365</f>
        <v>114.42739726027398</v>
      </c>
      <c r="AB40" s="64">
        <v>40943</v>
      </c>
      <c r="AC40" s="128">
        <f ca="1">(PRÉSENTATION!$F$11-AB40)/365</f>
        <v>2.2547945205479452</v>
      </c>
      <c r="AD40" s="64"/>
      <c r="AE40" s="128">
        <f ca="1">(PRÉSENTATION!$F$11-AD40)/365</f>
        <v>114.42739726027398</v>
      </c>
      <c r="AF40" s="20" t="s">
        <v>265</v>
      </c>
      <c r="AG40" s="20"/>
      <c r="AH40" s="20"/>
      <c r="AI40" s="20"/>
      <c r="AJ40" s="128">
        <f t="shared" si="0"/>
        <v>0</v>
      </c>
      <c r="AK40" s="38"/>
      <c r="AL40" s="38"/>
      <c r="AM40" s="38"/>
      <c r="AN40" s="38"/>
      <c r="AO40" s="38"/>
      <c r="AP40" s="38"/>
      <c r="AQ40" s="38"/>
      <c r="AR40" s="38"/>
      <c r="AS40" s="125">
        <f ca="1">(PRÉSENTATION!$F$11-AR40)/365</f>
        <v>114.42739726027398</v>
      </c>
      <c r="AT40" s="40"/>
      <c r="AU40" s="40"/>
      <c r="AV40" s="51" t="s">
        <v>285</v>
      </c>
      <c r="AW40" s="51" t="s">
        <v>334</v>
      </c>
      <c r="AX40" s="51" t="s">
        <v>38</v>
      </c>
      <c r="AY40" s="51" t="s">
        <v>38</v>
      </c>
      <c r="AZ40" s="9" t="s">
        <v>332</v>
      </c>
      <c r="BA40" s="9">
        <v>4</v>
      </c>
      <c r="BB40" s="65" t="str">
        <f t="shared" si="1"/>
        <v>MEJIA LOPEZ</v>
      </c>
      <c r="BC40" s="94"/>
      <c r="BD40" s="94"/>
      <c r="BE40" s="94"/>
    </row>
    <row r="41" spans="1:59" s="21" customFormat="1" ht="24.75" customHeight="1" x14ac:dyDescent="0.2">
      <c r="A41" s="111">
        <v>37</v>
      </c>
      <c r="B41" s="147" t="s">
        <v>438</v>
      </c>
      <c r="C41" s="9" t="s">
        <v>439</v>
      </c>
      <c r="D41" s="9" t="s">
        <v>29</v>
      </c>
      <c r="E41" s="38">
        <v>27085</v>
      </c>
      <c r="F41" s="126">
        <f ca="1">(PRÉSENTATION!$F$11-E41)/365</f>
        <v>40.221917808219175</v>
      </c>
      <c r="G41" s="20" t="s">
        <v>205</v>
      </c>
      <c r="H41" s="20"/>
      <c r="I41" s="26"/>
      <c r="J41" s="128">
        <f ca="1">((PRÉSENTATION!$F$11-I41)/365)</f>
        <v>114.42739726027398</v>
      </c>
      <c r="K41" s="20" t="s">
        <v>219</v>
      </c>
      <c r="L41" s="146" t="s">
        <v>309</v>
      </c>
      <c r="M41" s="20" t="s">
        <v>250</v>
      </c>
      <c r="N41" s="20" t="s">
        <v>224</v>
      </c>
      <c r="O41" s="20" t="s">
        <v>264</v>
      </c>
      <c r="P41" s="20" t="s">
        <v>38</v>
      </c>
      <c r="Q41" s="24">
        <v>41518</v>
      </c>
      <c r="R41" s="128">
        <f ca="1">(PRÉSENTATION!$F$11-Q41)/365</f>
        <v>0.67945205479452053</v>
      </c>
      <c r="S41" s="20"/>
      <c r="T41" s="20" t="s">
        <v>52</v>
      </c>
      <c r="U41" s="20"/>
      <c r="V41" s="20"/>
      <c r="W41" s="38"/>
      <c r="X41" s="116">
        <f ca="1">(PRÉSENTATION!$F$11-W41)/365</f>
        <v>114.42739726027398</v>
      </c>
      <c r="Y41" s="20"/>
      <c r="Z41" s="38"/>
      <c r="AA41" s="128">
        <f ca="1">(PRÉSENTATION!$F$11-Z41)/365</f>
        <v>114.42739726027398</v>
      </c>
      <c r="AB41" s="38">
        <v>41747</v>
      </c>
      <c r="AC41" s="128">
        <f ca="1">(PRÉSENTATION!$F$11-AB41)/365</f>
        <v>5.2054794520547946E-2</v>
      </c>
      <c r="AD41" s="38">
        <v>41700</v>
      </c>
      <c r="AE41" s="128">
        <f ca="1">(PRÉSENTATION!$F$11-AD41)/365</f>
        <v>0.18082191780821918</v>
      </c>
      <c r="AF41" s="20" t="s">
        <v>259</v>
      </c>
      <c r="AG41" s="20"/>
      <c r="AH41" s="20"/>
      <c r="AI41" s="20"/>
      <c r="AJ41" s="128">
        <f t="shared" si="0"/>
        <v>0</v>
      </c>
      <c r="AK41" s="38"/>
      <c r="AL41" s="38"/>
      <c r="AM41" s="38"/>
      <c r="AN41" s="38"/>
      <c r="AO41" s="38"/>
      <c r="AP41" s="38"/>
      <c r="AQ41" s="38"/>
      <c r="AR41" s="38"/>
      <c r="AS41" s="125">
        <f ca="1">(PRÉSENTATION!$F$11-AR41)/365</f>
        <v>114.42739726027398</v>
      </c>
      <c r="AT41" s="40"/>
      <c r="AU41" s="40"/>
      <c r="AV41" s="51" t="s">
        <v>289</v>
      </c>
      <c r="AW41" s="51" t="s">
        <v>334</v>
      </c>
      <c r="AX41" s="51" t="s">
        <v>38</v>
      </c>
      <c r="AY41" s="51" t="s">
        <v>38</v>
      </c>
      <c r="AZ41" s="9" t="s">
        <v>332</v>
      </c>
      <c r="BA41" s="9">
        <v>1</v>
      </c>
      <c r="BB41" s="147" t="str">
        <f t="shared" si="1"/>
        <v>MENDOZA</v>
      </c>
      <c r="BC41" s="94"/>
      <c r="BD41" s="94"/>
      <c r="BE41" s="94"/>
    </row>
    <row r="42" spans="1:59" s="94" customFormat="1" ht="24.75" customHeight="1" x14ac:dyDescent="0.2">
      <c r="A42" s="111">
        <v>38</v>
      </c>
      <c r="B42" s="65" t="s">
        <v>440</v>
      </c>
      <c r="C42" s="9" t="s">
        <v>441</v>
      </c>
      <c r="D42" s="9" t="s">
        <v>29</v>
      </c>
      <c r="E42" s="25">
        <v>32765</v>
      </c>
      <c r="F42" s="126">
        <f ca="1">(PRÉSENTATION!$F$11-E42)/365</f>
        <v>24.660273972602738</v>
      </c>
      <c r="G42" s="20" t="s">
        <v>205</v>
      </c>
      <c r="H42" s="20"/>
      <c r="I42" s="24"/>
      <c r="J42" s="128">
        <f ca="1">((PRÉSENTATION!$F$11-I42)/365)</f>
        <v>114.42739726027398</v>
      </c>
      <c r="K42" s="20" t="s">
        <v>219</v>
      </c>
      <c r="L42" s="146" t="s">
        <v>308</v>
      </c>
      <c r="M42" s="20" t="s">
        <v>249</v>
      </c>
      <c r="N42" s="20" t="s">
        <v>224</v>
      </c>
      <c r="O42" s="20" t="s">
        <v>264</v>
      </c>
      <c r="P42" s="20" t="s">
        <v>38</v>
      </c>
      <c r="Q42" s="23">
        <v>41518</v>
      </c>
      <c r="R42" s="128">
        <f ca="1">(PRÉSENTATION!$F$11-Q42)/365</f>
        <v>0.67945205479452053</v>
      </c>
      <c r="S42" s="20"/>
      <c r="T42" s="20" t="s">
        <v>52</v>
      </c>
      <c r="U42" s="20"/>
      <c r="V42" s="20"/>
      <c r="W42" s="38"/>
      <c r="X42" s="116">
        <f ca="1">(PRÉSENTATION!$F$11-W42)/365</f>
        <v>114.42739726027398</v>
      </c>
      <c r="Y42" s="20"/>
      <c r="Z42" s="38"/>
      <c r="AA42" s="128">
        <f ca="1">(PRÉSENTATION!$F$11-Z42)/365</f>
        <v>114.42739726027398</v>
      </c>
      <c r="AB42" s="38">
        <v>41590</v>
      </c>
      <c r="AC42" s="128">
        <f ca="1">(PRÉSENTATION!$F$11-AB42)/365</f>
        <v>0.48219178082191783</v>
      </c>
      <c r="AD42" s="38"/>
      <c r="AE42" s="128">
        <f ca="1">(PRÉSENTATION!$F$11-AD42)/365</f>
        <v>114.42739726027398</v>
      </c>
      <c r="AF42" s="20" t="s">
        <v>259</v>
      </c>
      <c r="AG42" s="20"/>
      <c r="AH42" s="20"/>
      <c r="AI42" s="20"/>
      <c r="AJ42" s="128">
        <f t="shared" si="0"/>
        <v>0</v>
      </c>
      <c r="AK42" s="38"/>
      <c r="AL42" s="38"/>
      <c r="AM42" s="38"/>
      <c r="AN42" s="38"/>
      <c r="AO42" s="38"/>
      <c r="AP42" s="38"/>
      <c r="AQ42" s="38"/>
      <c r="AR42" s="38"/>
      <c r="AS42" s="125">
        <f ca="1">(PRÉSENTATION!$F$11-AR42)/365</f>
        <v>114.42739726027398</v>
      </c>
      <c r="AT42" s="40"/>
      <c r="AU42" s="40"/>
      <c r="AV42" s="51" t="s">
        <v>334</v>
      </c>
      <c r="AW42" s="51" t="s">
        <v>289</v>
      </c>
      <c r="AX42" s="51" t="s">
        <v>38</v>
      </c>
      <c r="AY42" s="51" t="s">
        <v>38</v>
      </c>
      <c r="AZ42" s="9" t="s">
        <v>45</v>
      </c>
      <c r="BA42" s="9">
        <v>1</v>
      </c>
      <c r="BB42" s="65" t="str">
        <f t="shared" si="1"/>
        <v>MERCIER</v>
      </c>
    </row>
    <row r="43" spans="1:59" s="41" customFormat="1" ht="24.75" customHeight="1" x14ac:dyDescent="0.2">
      <c r="A43" s="111">
        <v>39</v>
      </c>
      <c r="B43" s="147" t="s">
        <v>443</v>
      </c>
      <c r="C43" s="9" t="s">
        <v>442</v>
      </c>
      <c r="D43" s="9" t="s">
        <v>29</v>
      </c>
      <c r="E43" s="22">
        <v>28423</v>
      </c>
      <c r="F43" s="126">
        <f ca="1">(PRÉSENTATION!$F$11-E43)/365</f>
        <v>36.556164383561644</v>
      </c>
      <c r="G43" s="20" t="s">
        <v>206</v>
      </c>
      <c r="H43" s="20"/>
      <c r="I43" s="23">
        <v>37865</v>
      </c>
      <c r="J43" s="128">
        <f ca="1">((PRÉSENTATION!$F$11-I43)/365)</f>
        <v>10.687671232876712</v>
      </c>
      <c r="K43" s="20" t="s">
        <v>219</v>
      </c>
      <c r="L43" s="146" t="s">
        <v>308</v>
      </c>
      <c r="M43" s="20" t="s">
        <v>249</v>
      </c>
      <c r="N43" s="20" t="s">
        <v>224</v>
      </c>
      <c r="O43" s="20" t="s">
        <v>264</v>
      </c>
      <c r="P43" s="20" t="s">
        <v>38</v>
      </c>
      <c r="Q43" s="24">
        <v>39326</v>
      </c>
      <c r="R43" s="128">
        <f ca="1">(PRÉSENTATION!$F$11-Q43)/365</f>
        <v>6.6849315068493151</v>
      </c>
      <c r="S43" s="20">
        <v>17</v>
      </c>
      <c r="T43" s="20" t="s">
        <v>53</v>
      </c>
      <c r="U43" s="20">
        <v>7</v>
      </c>
      <c r="V43" s="38">
        <v>40787</v>
      </c>
      <c r="W43" s="38">
        <v>41309</v>
      </c>
      <c r="X43" s="116">
        <f ca="1">(PRÉSENTATION!$F$11-W43)/365</f>
        <v>1.252054794520548</v>
      </c>
      <c r="Y43" s="20">
        <v>17</v>
      </c>
      <c r="Z43" s="38"/>
      <c r="AA43" s="128">
        <f ca="1">(PRÉSENTATION!$F$11-Z43)/365</f>
        <v>114.42739726027398</v>
      </c>
      <c r="AB43" s="38"/>
      <c r="AC43" s="128">
        <f ca="1">(PRÉSENTATION!$F$11-AB43)/365</f>
        <v>114.42739726027398</v>
      </c>
      <c r="AD43" s="38"/>
      <c r="AE43" s="128">
        <f ca="1">(PRÉSENTATION!$F$11-AD43)/365</f>
        <v>114.42739726027398</v>
      </c>
      <c r="AF43" s="20" t="s">
        <v>257</v>
      </c>
      <c r="AG43" s="20"/>
      <c r="AH43" s="20"/>
      <c r="AI43" s="20"/>
      <c r="AJ43" s="128">
        <f t="shared" si="0"/>
        <v>0</v>
      </c>
      <c r="AK43" s="38"/>
      <c r="AL43" s="38"/>
      <c r="AM43" s="38"/>
      <c r="AN43" s="38"/>
      <c r="AO43" s="38"/>
      <c r="AP43" s="38"/>
      <c r="AQ43" s="38"/>
      <c r="AR43" s="38"/>
      <c r="AS43" s="125">
        <f ca="1">(PRÉSENTATION!$F$11-AR43)/365</f>
        <v>114.42739726027398</v>
      </c>
      <c r="AT43" s="40"/>
      <c r="AU43" s="40"/>
      <c r="AV43" s="51" t="s">
        <v>334</v>
      </c>
      <c r="AW43" s="51" t="s">
        <v>290</v>
      </c>
      <c r="AX43" s="51" t="s">
        <v>38</v>
      </c>
      <c r="AY43" s="51" t="s">
        <v>38</v>
      </c>
      <c r="AZ43" s="9" t="s">
        <v>45</v>
      </c>
      <c r="BA43" s="9">
        <v>7</v>
      </c>
      <c r="BB43" s="147" t="str">
        <f t="shared" si="1"/>
        <v>MORALES-HAMET</v>
      </c>
      <c r="BC43" s="63"/>
      <c r="BD43" s="63"/>
      <c r="BE43" s="63"/>
      <c r="BF43" s="63"/>
      <c r="BG43" s="63"/>
    </row>
    <row r="44" spans="1:59" s="41" customFormat="1" ht="24.75" customHeight="1" x14ac:dyDescent="0.2">
      <c r="A44" s="111">
        <v>40</v>
      </c>
      <c r="B44" s="65" t="s">
        <v>445</v>
      </c>
      <c r="C44" s="9" t="s">
        <v>444</v>
      </c>
      <c r="D44" s="9" t="s">
        <v>29</v>
      </c>
      <c r="E44" s="25">
        <v>26774</v>
      </c>
      <c r="F44" s="126">
        <f ca="1">(PRÉSENTATION!$F$11-E44)/365</f>
        <v>41.073972602739723</v>
      </c>
      <c r="G44" s="20" t="s">
        <v>204</v>
      </c>
      <c r="H44" s="20"/>
      <c r="I44" s="23">
        <v>36404</v>
      </c>
      <c r="J44" s="128">
        <f ca="1">((PRÉSENTATION!$F$11-I44)/365)</f>
        <v>14.69041095890411</v>
      </c>
      <c r="K44" s="20" t="s">
        <v>219</v>
      </c>
      <c r="L44" s="146" t="s">
        <v>309</v>
      </c>
      <c r="M44" s="20" t="s">
        <v>249</v>
      </c>
      <c r="N44" s="20" t="s">
        <v>224</v>
      </c>
      <c r="O44" s="20" t="s">
        <v>264</v>
      </c>
      <c r="P44" s="20" t="s">
        <v>38</v>
      </c>
      <c r="Q44" s="23">
        <v>41518</v>
      </c>
      <c r="R44" s="128">
        <f ca="1">(PRÉSENTATION!$F$11-Q44)/365</f>
        <v>0.67945205479452053</v>
      </c>
      <c r="S44" s="20">
        <v>83</v>
      </c>
      <c r="T44" s="20" t="s">
        <v>53</v>
      </c>
      <c r="U44" s="20">
        <v>7</v>
      </c>
      <c r="V44" s="38">
        <v>40781</v>
      </c>
      <c r="W44" s="22">
        <v>41372</v>
      </c>
      <c r="X44" s="116">
        <f ca="1">(PRÉSENTATION!$F$11-W44)/365</f>
        <v>1.0794520547945206</v>
      </c>
      <c r="Y44" s="20">
        <v>16.5</v>
      </c>
      <c r="Z44" s="22"/>
      <c r="AA44" s="128">
        <f ca="1">(PRÉSENTATION!$F$11-Z44)/365</f>
        <v>114.42739726027398</v>
      </c>
      <c r="AB44" s="22"/>
      <c r="AC44" s="128">
        <f ca="1">(PRÉSENTATION!$F$11-AB44)/365</f>
        <v>114.42739726027398</v>
      </c>
      <c r="AD44" s="22"/>
      <c r="AE44" s="128">
        <f ca="1">(PRÉSENTATION!$F$11-AD44)/365</f>
        <v>114.42739726027398</v>
      </c>
      <c r="AF44" s="20" t="s">
        <v>257</v>
      </c>
      <c r="AG44" s="20"/>
      <c r="AH44" s="20"/>
      <c r="AI44" s="20"/>
      <c r="AJ44" s="128">
        <f t="shared" si="0"/>
        <v>0</v>
      </c>
      <c r="AK44" s="38"/>
      <c r="AL44" s="38"/>
      <c r="AM44" s="38"/>
      <c r="AN44" s="38"/>
      <c r="AO44" s="38"/>
      <c r="AP44" s="38"/>
      <c r="AQ44" s="38"/>
      <c r="AR44" s="38"/>
      <c r="AS44" s="125">
        <f ca="1">(PRÉSENTATION!$F$11-AR44)/365</f>
        <v>114.42739726027398</v>
      </c>
      <c r="AT44" s="40"/>
      <c r="AU44" s="40"/>
      <c r="AV44" s="51" t="s">
        <v>334</v>
      </c>
      <c r="AW44" s="51" t="s">
        <v>286</v>
      </c>
      <c r="AX44" s="51" t="s">
        <v>38</v>
      </c>
      <c r="AY44" s="51" t="s">
        <v>37</v>
      </c>
      <c r="AZ44" s="9" t="s">
        <v>14</v>
      </c>
      <c r="BA44" s="9">
        <v>1</v>
      </c>
      <c r="BB44" s="65" t="str">
        <f t="shared" si="1"/>
        <v>MICHAUDEL-DEMARIA</v>
      </c>
      <c r="BC44" s="63"/>
      <c r="BD44" s="63"/>
      <c r="BE44" s="63"/>
      <c r="BF44" s="63"/>
      <c r="BG44" s="63"/>
    </row>
    <row r="45" spans="1:59" s="41" customFormat="1" ht="24.75" customHeight="1" x14ac:dyDescent="0.2">
      <c r="A45" s="111">
        <v>41</v>
      </c>
      <c r="B45" s="147" t="s">
        <v>446</v>
      </c>
      <c r="C45" s="9" t="s">
        <v>447</v>
      </c>
      <c r="D45" s="9" t="s">
        <v>29</v>
      </c>
      <c r="E45" s="22">
        <v>18487</v>
      </c>
      <c r="F45" s="126">
        <f ca="1">(PRÉSENTATION!$F$11-E45)/365</f>
        <v>63.778082191780825</v>
      </c>
      <c r="G45" s="20" t="s">
        <v>207</v>
      </c>
      <c r="H45" s="20"/>
      <c r="I45" s="24"/>
      <c r="J45" s="128">
        <f ca="1">((PRÉSENTATION!$F$11-I45)/365)</f>
        <v>114.42739726027398</v>
      </c>
      <c r="K45" s="20" t="s">
        <v>219</v>
      </c>
      <c r="L45" s="146" t="s">
        <v>309</v>
      </c>
      <c r="M45" s="20" t="s">
        <v>249</v>
      </c>
      <c r="N45" s="20" t="s">
        <v>224</v>
      </c>
      <c r="O45" s="20" t="s">
        <v>264</v>
      </c>
      <c r="P45" s="20" t="s">
        <v>38</v>
      </c>
      <c r="Q45" s="24">
        <v>38596</v>
      </c>
      <c r="R45" s="128">
        <f ca="1">(PRÉSENTATION!$F$11-Q45)/365</f>
        <v>8.6849315068493151</v>
      </c>
      <c r="S45" s="20"/>
      <c r="T45" s="20" t="s">
        <v>52</v>
      </c>
      <c r="U45" s="20"/>
      <c r="V45" s="20"/>
      <c r="W45" s="38">
        <v>39590</v>
      </c>
      <c r="X45" s="116">
        <f ca="1">(PRÉSENTATION!$F$11-W45)/365</f>
        <v>5.9616438356164387</v>
      </c>
      <c r="Y45" s="20"/>
      <c r="Z45" s="38"/>
      <c r="AA45" s="128">
        <f ca="1">(PRÉSENTATION!$F$11-Z45)/365</f>
        <v>114.42739726027398</v>
      </c>
      <c r="AB45" s="38">
        <v>40211</v>
      </c>
      <c r="AC45" s="128">
        <f ca="1">(PRÉSENTATION!$F$11-AB45)/365</f>
        <v>4.2602739726027394</v>
      </c>
      <c r="AD45" s="38"/>
      <c r="AE45" s="128">
        <f ca="1">(PRÉSENTATION!$F$11-AD45)/365</f>
        <v>114.42739726027398</v>
      </c>
      <c r="AF45" s="20" t="s">
        <v>264</v>
      </c>
      <c r="AG45" s="20"/>
      <c r="AH45" s="20"/>
      <c r="AI45" s="20"/>
      <c r="AJ45" s="128">
        <f t="shared" si="0"/>
        <v>0</v>
      </c>
      <c r="AK45" s="38"/>
      <c r="AL45" s="38"/>
      <c r="AM45" s="38"/>
      <c r="AN45" s="38"/>
      <c r="AO45" s="38"/>
      <c r="AP45" s="38"/>
      <c r="AQ45" s="38"/>
      <c r="AR45" s="38"/>
      <c r="AS45" s="125">
        <f ca="1">(PRÉSENTATION!$F$11-AR45)/365</f>
        <v>114.42739726027398</v>
      </c>
      <c r="AT45" s="40"/>
      <c r="AU45" s="40"/>
      <c r="AV45" s="51" t="s">
        <v>289</v>
      </c>
      <c r="AW45" s="51" t="s">
        <v>334</v>
      </c>
      <c r="AX45" s="51" t="s">
        <v>38</v>
      </c>
      <c r="AY45" s="51" t="s">
        <v>38</v>
      </c>
      <c r="AZ45" s="9" t="s">
        <v>16</v>
      </c>
      <c r="BA45" s="9">
        <v>9</v>
      </c>
      <c r="BB45" s="147" t="str">
        <f t="shared" si="1"/>
        <v>MUNERA</v>
      </c>
      <c r="BC45" s="63"/>
      <c r="BD45" s="63"/>
      <c r="BE45" s="63"/>
      <c r="BF45" s="63"/>
      <c r="BG45" s="63"/>
    </row>
    <row r="46" spans="1:59" s="41" customFormat="1" ht="24.75" customHeight="1" x14ac:dyDescent="0.2">
      <c r="A46" s="111">
        <v>42</v>
      </c>
      <c r="B46" s="65" t="s">
        <v>448</v>
      </c>
      <c r="C46" s="9" t="s">
        <v>449</v>
      </c>
      <c r="D46" s="9" t="s">
        <v>31</v>
      </c>
      <c r="E46" s="22">
        <v>29927</v>
      </c>
      <c r="F46" s="126">
        <f ca="1">(PRÉSENTATION!$F$11-E46)/365</f>
        <v>32.435616438356163</v>
      </c>
      <c r="G46" s="20" t="s">
        <v>204</v>
      </c>
      <c r="H46" s="20"/>
      <c r="I46" s="24"/>
      <c r="J46" s="128">
        <f ca="1">((PRÉSENTATION!$F$11-I46)/365)</f>
        <v>114.42739726027398</v>
      </c>
      <c r="K46" s="20" t="s">
        <v>219</v>
      </c>
      <c r="L46" s="146" t="s">
        <v>309</v>
      </c>
      <c r="M46" s="20" t="s">
        <v>249</v>
      </c>
      <c r="N46" s="20" t="s">
        <v>224</v>
      </c>
      <c r="O46" s="20" t="s">
        <v>264</v>
      </c>
      <c r="P46" s="20" t="s">
        <v>38</v>
      </c>
      <c r="Q46" s="24">
        <v>40787</v>
      </c>
      <c r="R46" s="128">
        <f ca="1">(PRÉSENTATION!$F$11-Q46)/365</f>
        <v>2.6821917808219178</v>
      </c>
      <c r="S46" s="20"/>
      <c r="T46" s="20" t="s">
        <v>52</v>
      </c>
      <c r="U46" s="20"/>
      <c r="V46" s="20"/>
      <c r="W46" s="38"/>
      <c r="X46" s="116">
        <f ca="1">(PRÉSENTATION!$F$11-W46)/365</f>
        <v>114.42739726027398</v>
      </c>
      <c r="Y46" s="20"/>
      <c r="Z46" s="38">
        <v>41233</v>
      </c>
      <c r="AA46" s="128">
        <f ca="1">(PRÉSENTATION!$F$11-Z46)/365</f>
        <v>1.4602739726027398</v>
      </c>
      <c r="AB46" s="38">
        <v>40817</v>
      </c>
      <c r="AC46" s="128">
        <f ca="1">(PRÉSENTATION!$F$11-AB46)/365</f>
        <v>2.6</v>
      </c>
      <c r="AD46" s="38"/>
      <c r="AE46" s="128">
        <f ca="1">(PRÉSENTATION!$F$11-AD46)/365</f>
        <v>114.42739726027398</v>
      </c>
      <c r="AF46" s="20" t="s">
        <v>259</v>
      </c>
      <c r="AG46" s="20"/>
      <c r="AH46" s="20"/>
      <c r="AI46" s="20"/>
      <c r="AJ46" s="128">
        <f t="shared" si="0"/>
        <v>0</v>
      </c>
      <c r="AK46" s="23"/>
      <c r="AL46" s="23"/>
      <c r="AM46" s="23"/>
      <c r="AN46" s="23"/>
      <c r="AO46" s="23"/>
      <c r="AP46" s="23"/>
      <c r="AQ46" s="23"/>
      <c r="AR46" s="23"/>
      <c r="AS46" s="125">
        <f ca="1">(PRÉSENTATION!$F$11-AR46)/365</f>
        <v>114.42739726027398</v>
      </c>
      <c r="AT46" s="40"/>
      <c r="AU46" s="40"/>
      <c r="AV46" s="51" t="s">
        <v>334</v>
      </c>
      <c r="AW46" s="51" t="s">
        <v>289</v>
      </c>
      <c r="AX46" s="51" t="s">
        <v>37</v>
      </c>
      <c r="AY46" s="51" t="s">
        <v>38</v>
      </c>
      <c r="AZ46" s="9" t="s">
        <v>14</v>
      </c>
      <c r="BA46" s="9">
        <v>3</v>
      </c>
      <c r="BB46" s="65" t="str">
        <f t="shared" si="1"/>
        <v>NEVEU</v>
      </c>
      <c r="BC46" s="63"/>
      <c r="BD46" s="63"/>
      <c r="BE46" s="63"/>
      <c r="BF46" s="63"/>
      <c r="BG46" s="63"/>
    </row>
    <row r="47" spans="1:59" s="41" customFormat="1" ht="24.75" customHeight="1" x14ac:dyDescent="0.2">
      <c r="A47" s="111">
        <v>43</v>
      </c>
      <c r="B47" s="147" t="s">
        <v>450</v>
      </c>
      <c r="C47" s="9" t="s">
        <v>451</v>
      </c>
      <c r="D47" s="9" t="s">
        <v>31</v>
      </c>
      <c r="E47" s="22">
        <v>27179</v>
      </c>
      <c r="F47" s="126">
        <f ca="1">(PRÉSENTATION!$F$11-E47)/365</f>
        <v>39.964383561643835</v>
      </c>
      <c r="G47" s="20" t="s">
        <v>204</v>
      </c>
      <c r="H47" s="20"/>
      <c r="I47" s="24">
        <v>37865</v>
      </c>
      <c r="J47" s="128">
        <f ca="1">((PRÉSENTATION!$F$11-I47)/365)</f>
        <v>10.687671232876712</v>
      </c>
      <c r="K47" s="20" t="s">
        <v>219</v>
      </c>
      <c r="L47" s="146" t="s">
        <v>308</v>
      </c>
      <c r="M47" s="20" t="s">
        <v>249</v>
      </c>
      <c r="N47" s="20" t="s">
        <v>224</v>
      </c>
      <c r="O47" s="20" t="s">
        <v>264</v>
      </c>
      <c r="P47" s="20" t="s">
        <v>38</v>
      </c>
      <c r="Q47" s="24">
        <v>38596</v>
      </c>
      <c r="R47" s="128">
        <f ca="1">(PRÉSENTATION!$F$11-Q47)/365</f>
        <v>8.6849315068493151</v>
      </c>
      <c r="S47" s="20">
        <v>30</v>
      </c>
      <c r="T47" s="20" t="s">
        <v>53</v>
      </c>
      <c r="U47" s="20">
        <v>8</v>
      </c>
      <c r="V47" s="23">
        <v>40424</v>
      </c>
      <c r="W47" s="38">
        <v>40872</v>
      </c>
      <c r="X47" s="116">
        <f ca="1">(PRÉSENTATION!$F$11-W47)/365</f>
        <v>2.4493150684931506</v>
      </c>
      <c r="Y47" s="20">
        <v>15.5</v>
      </c>
      <c r="Z47" s="38"/>
      <c r="AA47" s="128">
        <f ca="1">(PRÉSENTATION!$F$11-Z47)/365</f>
        <v>114.42739726027398</v>
      </c>
      <c r="AB47" s="38"/>
      <c r="AC47" s="128">
        <f ca="1">(PRÉSENTATION!$F$11-AB47)/365</f>
        <v>114.42739726027398</v>
      </c>
      <c r="AD47" s="38"/>
      <c r="AE47" s="128">
        <f ca="1">(PRÉSENTATION!$F$11-AD47)/365</f>
        <v>114.42739726027398</v>
      </c>
      <c r="AF47" s="20" t="s">
        <v>257</v>
      </c>
      <c r="AG47" s="20"/>
      <c r="AH47" s="20"/>
      <c r="AI47" s="20"/>
      <c r="AJ47" s="128">
        <f t="shared" si="0"/>
        <v>0</v>
      </c>
      <c r="AK47" s="38"/>
      <c r="AL47" s="38"/>
      <c r="AM47" s="38"/>
      <c r="AN47" s="38"/>
      <c r="AO47" s="38"/>
      <c r="AP47" s="38"/>
      <c r="AQ47" s="38"/>
      <c r="AR47" s="38"/>
      <c r="AS47" s="125">
        <f ca="1">(PRÉSENTATION!$F$11-AR47)/365</f>
        <v>114.42739726027398</v>
      </c>
      <c r="AT47" s="40"/>
      <c r="AU47" s="40"/>
      <c r="AV47" s="51" t="s">
        <v>334</v>
      </c>
      <c r="AW47" s="51" t="s">
        <v>289</v>
      </c>
      <c r="AX47" s="51" t="s">
        <v>38</v>
      </c>
      <c r="AY47" s="51" t="s">
        <v>38</v>
      </c>
      <c r="AZ47" s="65" t="s">
        <v>47</v>
      </c>
      <c r="BA47" s="65">
        <v>2</v>
      </c>
      <c r="BB47" s="147" t="str">
        <f t="shared" si="1"/>
        <v>NICOLAS</v>
      </c>
      <c r="BC47" s="63"/>
      <c r="BD47" s="63"/>
      <c r="BE47" s="63"/>
      <c r="BF47" s="63"/>
      <c r="BG47" s="63"/>
    </row>
    <row r="48" spans="1:59" s="41" customFormat="1" ht="24.75" customHeight="1" x14ac:dyDescent="0.2">
      <c r="A48" s="111">
        <v>44</v>
      </c>
      <c r="B48" s="65" t="s">
        <v>452</v>
      </c>
      <c r="C48" s="9" t="s">
        <v>453</v>
      </c>
      <c r="D48" s="9" t="s">
        <v>29</v>
      </c>
      <c r="E48" s="22">
        <v>21749</v>
      </c>
      <c r="F48" s="126">
        <f ca="1">(PRÉSENTATION!$F$11-E48)/365</f>
        <v>54.841095890410962</v>
      </c>
      <c r="G48" s="20" t="s">
        <v>204</v>
      </c>
      <c r="H48" s="20"/>
      <c r="I48" s="23"/>
      <c r="J48" s="128">
        <f ca="1">((PRÉSENTATION!$F$11-I48)/365)</f>
        <v>114.42739726027398</v>
      </c>
      <c r="K48" s="20" t="s">
        <v>219</v>
      </c>
      <c r="L48" s="146" t="s">
        <v>309</v>
      </c>
      <c r="M48" s="20" t="s">
        <v>249</v>
      </c>
      <c r="N48" s="20" t="s">
        <v>224</v>
      </c>
      <c r="O48" s="20" t="s">
        <v>264</v>
      </c>
      <c r="P48" s="20" t="s">
        <v>38</v>
      </c>
      <c r="Q48" s="24">
        <v>34218</v>
      </c>
      <c r="R48" s="128">
        <f ca="1">(PRÉSENTATION!$F$11-Q48)/365</f>
        <v>20.67945205479452</v>
      </c>
      <c r="S48" s="20"/>
      <c r="T48" s="20" t="s">
        <v>52</v>
      </c>
      <c r="U48" s="20"/>
      <c r="V48" s="20"/>
      <c r="W48" s="64">
        <v>38686</v>
      </c>
      <c r="X48" s="116">
        <f ca="1">(PRÉSENTATION!$F$11-W48)/365</f>
        <v>8.4383561643835616</v>
      </c>
      <c r="Y48" s="20"/>
      <c r="Z48" s="64"/>
      <c r="AA48" s="128">
        <f ca="1">(PRÉSENTATION!$F$11-Z48)/365</f>
        <v>114.42739726027398</v>
      </c>
      <c r="AB48" s="64">
        <v>40826</v>
      </c>
      <c r="AC48" s="128">
        <f ca="1">(PRÉSENTATION!$F$11-AB48)/365</f>
        <v>2.5753424657534247</v>
      </c>
      <c r="AD48" s="64"/>
      <c r="AE48" s="128">
        <f ca="1">(PRÉSENTATION!$F$11-AD48)/365</f>
        <v>114.42739726027398</v>
      </c>
      <c r="AF48" s="20" t="s">
        <v>264</v>
      </c>
      <c r="AG48" s="20"/>
      <c r="AH48" s="20"/>
      <c r="AI48" s="20"/>
      <c r="AJ48" s="128">
        <f t="shared" si="0"/>
        <v>0</v>
      </c>
      <c r="AK48" s="38"/>
      <c r="AL48" s="38"/>
      <c r="AM48" s="38"/>
      <c r="AN48" s="38"/>
      <c r="AO48" s="38"/>
      <c r="AP48" s="38"/>
      <c r="AQ48" s="38"/>
      <c r="AR48" s="38"/>
      <c r="AS48" s="125">
        <f ca="1">(PRÉSENTATION!$F$11-AR48)/365</f>
        <v>114.42739726027398</v>
      </c>
      <c r="AT48" s="40"/>
      <c r="AU48" s="40"/>
      <c r="AV48" s="51" t="s">
        <v>290</v>
      </c>
      <c r="AW48" s="51" t="s">
        <v>334</v>
      </c>
      <c r="AX48" s="51" t="s">
        <v>38</v>
      </c>
      <c r="AY48" s="51" t="s">
        <v>38</v>
      </c>
      <c r="AZ48" s="9" t="s">
        <v>14</v>
      </c>
      <c r="BA48" s="9">
        <v>2</v>
      </c>
      <c r="BB48" s="65" t="str">
        <f t="shared" si="1"/>
        <v>NIETO</v>
      </c>
      <c r="BC48" s="63"/>
      <c r="BD48" s="63"/>
      <c r="BE48" s="63"/>
      <c r="BF48" s="63"/>
      <c r="BG48" s="63"/>
    </row>
    <row r="49" spans="1:59" s="41" customFormat="1" ht="24.75" customHeight="1" x14ac:dyDescent="0.2">
      <c r="A49" s="111">
        <v>45</v>
      </c>
      <c r="B49" s="147" t="s">
        <v>454</v>
      </c>
      <c r="C49" s="20" t="s">
        <v>455</v>
      </c>
      <c r="D49" s="20" t="s">
        <v>29</v>
      </c>
      <c r="E49" s="64">
        <v>27941</v>
      </c>
      <c r="F49" s="126">
        <f ca="1">(PRÉSENTATION!$F$11-E49)/365</f>
        <v>37.876712328767127</v>
      </c>
      <c r="G49" s="20" t="s">
        <v>207</v>
      </c>
      <c r="H49" s="20"/>
      <c r="I49" s="64"/>
      <c r="J49" s="128">
        <f ca="1">((PRÉSENTATION!$F$11-I49)/365)</f>
        <v>114.42739726027398</v>
      </c>
      <c r="K49" s="20" t="s">
        <v>219</v>
      </c>
      <c r="L49" s="146" t="s">
        <v>308</v>
      </c>
      <c r="M49" s="20" t="s">
        <v>249</v>
      </c>
      <c r="N49" s="20" t="s">
        <v>224</v>
      </c>
      <c r="O49" s="20" t="s">
        <v>264</v>
      </c>
      <c r="P49" s="20" t="s">
        <v>38</v>
      </c>
      <c r="Q49" s="38">
        <v>41153</v>
      </c>
      <c r="R49" s="128">
        <f ca="1">(PRÉSENTATION!$F$11-Q49)/365</f>
        <v>1.6794520547945206</v>
      </c>
      <c r="S49" s="20"/>
      <c r="T49" s="20" t="s">
        <v>52</v>
      </c>
      <c r="U49" s="20"/>
      <c r="V49" s="38"/>
      <c r="W49" s="64"/>
      <c r="X49" s="116">
        <f ca="1">(PRÉSENTATION!$F$11-W49)/365</f>
        <v>114.42739726027398</v>
      </c>
      <c r="Y49" s="20"/>
      <c r="Z49" s="64">
        <v>41214</v>
      </c>
      <c r="AA49" s="128">
        <f ca="1">(PRÉSENTATION!$F$11-Z49)/365</f>
        <v>1.5123287671232877</v>
      </c>
      <c r="AB49" s="64"/>
      <c r="AC49" s="128">
        <f ca="1">(PRÉSENTATION!$F$11-AB49)/365</f>
        <v>114.42739726027398</v>
      </c>
      <c r="AD49" s="64"/>
      <c r="AE49" s="128">
        <f ca="1">(PRÉSENTATION!$F$11-AD49)/365</f>
        <v>114.42739726027398</v>
      </c>
      <c r="AF49" s="20" t="s">
        <v>259</v>
      </c>
      <c r="AG49" s="20"/>
      <c r="AH49" s="20"/>
      <c r="AI49" s="20"/>
      <c r="AJ49" s="128">
        <f t="shared" si="0"/>
        <v>0</v>
      </c>
      <c r="AK49" s="38"/>
      <c r="AL49" s="38"/>
      <c r="AM49" s="38"/>
      <c r="AN49" s="38"/>
      <c r="AO49" s="38"/>
      <c r="AP49" s="38"/>
      <c r="AQ49" s="38"/>
      <c r="AR49" s="38"/>
      <c r="AS49" s="125">
        <f ca="1">(PRÉSENTATION!$F$11-AR49)/365</f>
        <v>114.42739726027398</v>
      </c>
      <c r="AT49" s="40"/>
      <c r="AU49" s="40"/>
      <c r="AV49" s="51" t="s">
        <v>290</v>
      </c>
      <c r="AW49" s="51" t="s">
        <v>334</v>
      </c>
      <c r="AX49" s="51" t="s">
        <v>38</v>
      </c>
      <c r="AY49" s="51" t="s">
        <v>38</v>
      </c>
      <c r="AZ49" s="20" t="s">
        <v>46</v>
      </c>
      <c r="BA49" s="20">
        <v>2</v>
      </c>
      <c r="BB49" s="147" t="str">
        <f t="shared" si="1"/>
        <v>PALACIOS</v>
      </c>
      <c r="BC49" s="63"/>
      <c r="BD49" s="63"/>
      <c r="BE49" s="63"/>
      <c r="BF49" s="63"/>
      <c r="BG49" s="63"/>
    </row>
    <row r="50" spans="1:59" s="41" customFormat="1" ht="24.75" customHeight="1" x14ac:dyDescent="0.2">
      <c r="A50" s="111">
        <v>46</v>
      </c>
      <c r="B50" s="65" t="s">
        <v>456</v>
      </c>
      <c r="C50" s="9" t="s">
        <v>457</v>
      </c>
      <c r="D50" s="9" t="s">
        <v>29</v>
      </c>
      <c r="E50" s="22">
        <v>26401</v>
      </c>
      <c r="F50" s="126">
        <f ca="1">(PRÉSENTATION!$F$11-E50)/365</f>
        <v>42.095890410958901</v>
      </c>
      <c r="G50" s="20" t="s">
        <v>205</v>
      </c>
      <c r="H50" s="20"/>
      <c r="I50" s="24"/>
      <c r="J50" s="128">
        <f ca="1">((PRÉSENTATION!$F$11-I50)/365)</f>
        <v>114.42739726027398</v>
      </c>
      <c r="K50" s="20" t="s">
        <v>219</v>
      </c>
      <c r="L50" s="146" t="s">
        <v>309</v>
      </c>
      <c r="M50" s="20" t="s">
        <v>255</v>
      </c>
      <c r="N50" s="20" t="s">
        <v>224</v>
      </c>
      <c r="O50" s="20" t="s">
        <v>264</v>
      </c>
      <c r="P50" s="20" t="s">
        <v>38</v>
      </c>
      <c r="Q50" s="24">
        <v>40945</v>
      </c>
      <c r="R50" s="128">
        <f ca="1">(PRÉSENTATION!$F$11-Q50)/365</f>
        <v>2.2493150684931509</v>
      </c>
      <c r="S50" s="20"/>
      <c r="T50" s="20" t="s">
        <v>52</v>
      </c>
      <c r="U50" s="20"/>
      <c r="V50" s="20"/>
      <c r="W50" s="24"/>
      <c r="X50" s="116">
        <f ca="1">(PRÉSENTATION!$F$11-W50)/365</f>
        <v>114.42739726027398</v>
      </c>
      <c r="Y50" s="20"/>
      <c r="Z50" s="24"/>
      <c r="AA50" s="128">
        <f ca="1">(PRÉSENTATION!$F$11-Z50)/365</f>
        <v>114.42739726027398</v>
      </c>
      <c r="AB50" s="24"/>
      <c r="AC50" s="128">
        <f ca="1">(PRÉSENTATION!$F$11-AB50)/365</f>
        <v>114.42739726027398</v>
      </c>
      <c r="AD50" s="24"/>
      <c r="AE50" s="128">
        <f ca="1">(PRÉSENTATION!$F$11-AD50)/365</f>
        <v>114.42739726027398</v>
      </c>
      <c r="AF50" s="20" t="s">
        <v>265</v>
      </c>
      <c r="AG50" s="20"/>
      <c r="AH50" s="20"/>
      <c r="AI50" s="20"/>
      <c r="AJ50" s="128">
        <f t="shared" si="0"/>
        <v>0</v>
      </c>
      <c r="AK50" s="38"/>
      <c r="AL50" s="38"/>
      <c r="AM50" s="38"/>
      <c r="AN50" s="38"/>
      <c r="AO50" s="38"/>
      <c r="AP50" s="38"/>
      <c r="AQ50" s="38"/>
      <c r="AR50" s="38"/>
      <c r="AS50" s="125">
        <f ca="1">(PRÉSENTATION!$F$11-AR50)/365</f>
        <v>114.42739726027398</v>
      </c>
      <c r="AT50" s="40"/>
      <c r="AU50" s="40"/>
      <c r="AV50" s="51" t="s">
        <v>290</v>
      </c>
      <c r="AW50" s="51" t="s">
        <v>334</v>
      </c>
      <c r="AX50" s="51" t="s">
        <v>38</v>
      </c>
      <c r="AY50" s="51" t="s">
        <v>38</v>
      </c>
      <c r="AZ50" s="9" t="s">
        <v>255</v>
      </c>
      <c r="BA50" s="9">
        <v>2</v>
      </c>
      <c r="BB50" s="65" t="str">
        <f t="shared" si="1"/>
        <v>PAREDES</v>
      </c>
      <c r="BC50" s="63"/>
      <c r="BD50" s="63"/>
      <c r="BE50" s="63"/>
      <c r="BF50" s="63"/>
      <c r="BG50"/>
    </row>
    <row r="51" spans="1:59" s="41" customFormat="1" ht="24.75" customHeight="1" x14ac:dyDescent="0.2">
      <c r="A51" s="111">
        <v>47</v>
      </c>
      <c r="B51" s="147" t="s">
        <v>458</v>
      </c>
      <c r="C51" s="9" t="s">
        <v>429</v>
      </c>
      <c r="D51" s="9" t="s">
        <v>29</v>
      </c>
      <c r="E51" s="22">
        <v>21190</v>
      </c>
      <c r="F51" s="126">
        <f ca="1">(PRÉSENTATION!$F$11-E51)/365</f>
        <v>56.372602739726027</v>
      </c>
      <c r="G51" s="20" t="s">
        <v>203</v>
      </c>
      <c r="H51" s="20"/>
      <c r="I51" s="38"/>
      <c r="J51" s="128">
        <f ca="1">((PRÉSENTATION!$F$11-I51)/365)</f>
        <v>114.42739726027398</v>
      </c>
      <c r="K51" s="20" t="s">
        <v>219</v>
      </c>
      <c r="L51" s="146" t="s">
        <v>309</v>
      </c>
      <c r="M51" s="20" t="s">
        <v>249</v>
      </c>
      <c r="N51" s="20" t="s">
        <v>224</v>
      </c>
      <c r="O51" s="20" t="s">
        <v>264</v>
      </c>
      <c r="P51" s="20" t="s">
        <v>38</v>
      </c>
      <c r="Q51" s="24">
        <v>34213</v>
      </c>
      <c r="R51" s="128">
        <f ca="1">(PRÉSENTATION!$F$11-Q51)/365</f>
        <v>20.693150684931506</v>
      </c>
      <c r="S51" s="20"/>
      <c r="T51" s="20" t="s">
        <v>52</v>
      </c>
      <c r="U51" s="20"/>
      <c r="V51" s="38"/>
      <c r="W51" s="38">
        <v>38473</v>
      </c>
      <c r="X51" s="116">
        <f ca="1">(PRÉSENTATION!$F$11-W51)/365</f>
        <v>9.0219178082191789</v>
      </c>
      <c r="Y51" s="20"/>
      <c r="Z51" s="38">
        <v>40603</v>
      </c>
      <c r="AA51" s="128">
        <f ca="1">(PRÉSENTATION!$F$11-Z51)/365</f>
        <v>3.1863013698630138</v>
      </c>
      <c r="AB51" s="38"/>
      <c r="AC51" s="128">
        <f ca="1">(PRÉSENTATION!$F$11-AB51)/365</f>
        <v>114.42739726027398</v>
      </c>
      <c r="AD51" s="38"/>
      <c r="AE51" s="128">
        <f ca="1">(PRÉSENTATION!$F$11-AD51)/365</f>
        <v>114.42739726027398</v>
      </c>
      <c r="AF51" s="20" t="s">
        <v>264</v>
      </c>
      <c r="AG51" s="20"/>
      <c r="AH51" s="20"/>
      <c r="AI51" s="20"/>
      <c r="AJ51" s="128">
        <f t="shared" si="0"/>
        <v>0</v>
      </c>
      <c r="AK51" s="38"/>
      <c r="AL51" s="38"/>
      <c r="AM51" s="38"/>
      <c r="AN51" s="38"/>
      <c r="AO51" s="38"/>
      <c r="AP51" s="38"/>
      <c r="AQ51" s="38"/>
      <c r="AR51" s="38"/>
      <c r="AS51" s="125">
        <f ca="1">(PRÉSENTATION!$F$11-AR51)/365</f>
        <v>114.42739726027398</v>
      </c>
      <c r="AT51" s="40"/>
      <c r="AU51" s="40"/>
      <c r="AV51" s="51" t="s">
        <v>334</v>
      </c>
      <c r="AW51" s="51" t="s">
        <v>290</v>
      </c>
      <c r="AX51" s="51" t="s">
        <v>38</v>
      </c>
      <c r="AY51" s="51" t="s">
        <v>38</v>
      </c>
      <c r="AZ51" s="9" t="s">
        <v>18</v>
      </c>
      <c r="BA51" s="9">
        <v>5</v>
      </c>
      <c r="BB51" s="147" t="str">
        <f t="shared" si="1"/>
        <v>PAYMAL</v>
      </c>
      <c r="BC51" s="63"/>
      <c r="BD51" s="63"/>
      <c r="BE51" s="63"/>
      <c r="BF51" s="63"/>
      <c r="BG51" s="63"/>
    </row>
    <row r="52" spans="1:59" s="41" customFormat="1" ht="24.75" customHeight="1" x14ac:dyDescent="0.2">
      <c r="A52" s="111">
        <v>48</v>
      </c>
      <c r="B52" s="65" t="s">
        <v>459</v>
      </c>
      <c r="C52" s="9" t="s">
        <v>460</v>
      </c>
      <c r="D52" s="9" t="s">
        <v>31</v>
      </c>
      <c r="E52" s="25">
        <v>28919</v>
      </c>
      <c r="F52" s="126">
        <f ca="1">(PRÉSENTATION!$F$11-E52)/365</f>
        <v>35.197260273972603</v>
      </c>
      <c r="G52" s="20" t="s">
        <v>204</v>
      </c>
      <c r="H52" s="20"/>
      <c r="I52" s="26"/>
      <c r="J52" s="128">
        <f ca="1">((PRÉSENTATION!$F$11-I52)/365)</f>
        <v>114.42739726027398</v>
      </c>
      <c r="K52" s="20" t="s">
        <v>219</v>
      </c>
      <c r="L52" s="146" t="s">
        <v>308</v>
      </c>
      <c r="M52" s="20" t="s">
        <v>249</v>
      </c>
      <c r="N52" s="20" t="s">
        <v>224</v>
      </c>
      <c r="O52" s="20" t="s">
        <v>264</v>
      </c>
      <c r="P52" s="20" t="s">
        <v>38</v>
      </c>
      <c r="Q52" s="23">
        <v>39326</v>
      </c>
      <c r="R52" s="128">
        <f ca="1">(PRÉSENTATION!$F$11-Q52)/365</f>
        <v>6.6849315068493151</v>
      </c>
      <c r="S52" s="20"/>
      <c r="T52" s="20" t="s">
        <v>52</v>
      </c>
      <c r="U52" s="20"/>
      <c r="V52" s="20"/>
      <c r="W52" s="38"/>
      <c r="X52" s="116">
        <f ca="1">(PRÉSENTATION!$F$11-W52)/365</f>
        <v>114.42739726027398</v>
      </c>
      <c r="Y52" s="20"/>
      <c r="Z52" s="38">
        <v>41404</v>
      </c>
      <c r="AA52" s="128">
        <f ca="1">(PRÉSENTATION!$F$11-Z52)/365</f>
        <v>0.99178082191780825</v>
      </c>
      <c r="AB52" s="38"/>
      <c r="AC52" s="128">
        <f ca="1">(PRÉSENTATION!$F$11-AB52)/365</f>
        <v>114.42739726027398</v>
      </c>
      <c r="AD52" s="38"/>
      <c r="AE52" s="128">
        <f ca="1">(PRÉSENTATION!$F$11-AD52)/365</f>
        <v>114.42739726027398</v>
      </c>
      <c r="AF52" s="20" t="s">
        <v>264</v>
      </c>
      <c r="AG52" s="20"/>
      <c r="AH52" s="20"/>
      <c r="AI52" s="20"/>
      <c r="AJ52" s="128">
        <f t="shared" si="0"/>
        <v>0</v>
      </c>
      <c r="AK52" s="38"/>
      <c r="AL52" s="38"/>
      <c r="AM52" s="38"/>
      <c r="AN52" s="38"/>
      <c r="AO52" s="38"/>
      <c r="AP52" s="38"/>
      <c r="AQ52" s="38"/>
      <c r="AR52" s="38"/>
      <c r="AS52" s="125">
        <f ca="1">(PRÉSENTATION!$F$11-AR52)/365</f>
        <v>114.42739726027398</v>
      </c>
      <c r="AT52" s="40"/>
      <c r="AU52" s="40"/>
      <c r="AV52" s="51" t="s">
        <v>334</v>
      </c>
      <c r="AW52" s="51" t="s">
        <v>289</v>
      </c>
      <c r="AX52" s="51" t="s">
        <v>38</v>
      </c>
      <c r="AY52" s="51" t="s">
        <v>38</v>
      </c>
      <c r="AZ52" s="9" t="s">
        <v>45</v>
      </c>
      <c r="BA52" s="9">
        <v>7</v>
      </c>
      <c r="BB52" s="65" t="str">
        <f t="shared" si="1"/>
        <v>PROU</v>
      </c>
      <c r="BC52" s="63"/>
      <c r="BD52" s="63"/>
      <c r="BE52" s="63"/>
      <c r="BF52" s="63"/>
      <c r="BG52" s="63"/>
    </row>
    <row r="53" spans="1:59" s="41" customFormat="1" ht="24.75" customHeight="1" x14ac:dyDescent="0.2">
      <c r="A53" s="111">
        <v>49</v>
      </c>
      <c r="B53" s="147" t="s">
        <v>461</v>
      </c>
      <c r="C53" s="9" t="s">
        <v>373</v>
      </c>
      <c r="D53" s="9" t="s">
        <v>31</v>
      </c>
      <c r="E53" s="22">
        <v>27147</v>
      </c>
      <c r="F53" s="126">
        <f ca="1">(PRÉSENTATION!$F$11-E53)/365</f>
        <v>40.052054794520551</v>
      </c>
      <c r="G53" s="20" t="s">
        <v>204</v>
      </c>
      <c r="H53" s="20"/>
      <c r="I53" s="23">
        <v>36770</v>
      </c>
      <c r="J53" s="128">
        <f ca="1">((PRÉSENTATION!$F$11-I53)/365)</f>
        <v>13.687671232876712</v>
      </c>
      <c r="K53" s="20" t="s">
        <v>219</v>
      </c>
      <c r="L53" s="146" t="s">
        <v>309</v>
      </c>
      <c r="M53" s="20" t="s">
        <v>249</v>
      </c>
      <c r="N53" s="20" t="s">
        <v>224</v>
      </c>
      <c r="O53" s="20" t="s">
        <v>264</v>
      </c>
      <c r="P53" s="20" t="s">
        <v>38</v>
      </c>
      <c r="Q53" s="23">
        <v>37865</v>
      </c>
      <c r="R53" s="128">
        <f ca="1">(PRÉSENTATION!$F$11-Q53)/365</f>
        <v>10.687671232876712</v>
      </c>
      <c r="S53" s="20">
        <v>31</v>
      </c>
      <c r="T53" s="20" t="s">
        <v>53</v>
      </c>
      <c r="U53" s="20">
        <v>9</v>
      </c>
      <c r="V53" s="38">
        <v>40875</v>
      </c>
      <c r="W53" s="64">
        <v>40308</v>
      </c>
      <c r="X53" s="116">
        <f ca="1">(PRÉSENTATION!$F$11-W53)/365</f>
        <v>3.9945205479452053</v>
      </c>
      <c r="Y53" s="20">
        <v>16</v>
      </c>
      <c r="Z53" s="64"/>
      <c r="AA53" s="128">
        <f ca="1">(PRÉSENTATION!$F$11-Z53)/365</f>
        <v>114.42739726027398</v>
      </c>
      <c r="AB53" s="64"/>
      <c r="AC53" s="128">
        <f ca="1">(PRÉSENTATION!$F$11-AB53)/365</f>
        <v>114.42739726027398</v>
      </c>
      <c r="AD53" s="64"/>
      <c r="AE53" s="128">
        <f ca="1">(PRÉSENTATION!$F$11-AD53)/365</f>
        <v>114.42739726027398</v>
      </c>
      <c r="AF53" s="20" t="s">
        <v>257</v>
      </c>
      <c r="AG53" s="20"/>
      <c r="AH53" s="20"/>
      <c r="AI53" s="20"/>
      <c r="AJ53" s="128">
        <f t="shared" si="0"/>
        <v>0</v>
      </c>
      <c r="AK53" s="38"/>
      <c r="AL53" s="38"/>
      <c r="AM53" s="38"/>
      <c r="AN53" s="38"/>
      <c r="AO53" s="38"/>
      <c r="AP53" s="38"/>
      <c r="AQ53" s="38"/>
      <c r="AR53" s="38"/>
      <c r="AS53" s="125">
        <f ca="1">(PRÉSENTATION!$F$11-AR53)/365</f>
        <v>114.42739726027398</v>
      </c>
      <c r="AT53" s="40"/>
      <c r="AU53" s="40"/>
      <c r="AV53" s="51" t="s">
        <v>334</v>
      </c>
      <c r="AW53" s="51" t="s">
        <v>289</v>
      </c>
      <c r="AX53" s="51" t="s">
        <v>38</v>
      </c>
      <c r="AY53" s="51" t="s">
        <v>37</v>
      </c>
      <c r="AZ53" s="9" t="s">
        <v>16</v>
      </c>
      <c r="BA53" s="9">
        <v>8</v>
      </c>
      <c r="BB53" s="147" t="str">
        <f t="shared" si="1"/>
        <v>QUERO</v>
      </c>
      <c r="BC53" s="63"/>
      <c r="BD53" s="63"/>
      <c r="BE53" s="63"/>
      <c r="BF53" s="63"/>
      <c r="BG53" s="63"/>
    </row>
    <row r="54" spans="1:59" s="41" customFormat="1" ht="24.75" customHeight="1" x14ac:dyDescent="0.2">
      <c r="A54" s="111">
        <v>50</v>
      </c>
      <c r="B54" s="65" t="s">
        <v>462</v>
      </c>
      <c r="C54" s="9" t="s">
        <v>463</v>
      </c>
      <c r="D54" s="9" t="s">
        <v>29</v>
      </c>
      <c r="E54" s="22">
        <v>29870</v>
      </c>
      <c r="F54" s="126">
        <f ca="1">(PRÉSENTATION!$F$11-E54)/365</f>
        <v>32.591780821917808</v>
      </c>
      <c r="G54" s="20" t="s">
        <v>204</v>
      </c>
      <c r="H54" s="20"/>
      <c r="I54" s="38"/>
      <c r="J54" s="128">
        <f ca="1">((PRÉSENTATION!$F$11-I54)/365)</f>
        <v>114.42739726027398</v>
      </c>
      <c r="K54" s="20" t="s">
        <v>219</v>
      </c>
      <c r="L54" s="146" t="s">
        <v>308</v>
      </c>
      <c r="M54" s="20" t="s">
        <v>250</v>
      </c>
      <c r="N54" s="20" t="s">
        <v>224</v>
      </c>
      <c r="O54" s="20" t="s">
        <v>264</v>
      </c>
      <c r="P54" s="20" t="s">
        <v>38</v>
      </c>
      <c r="Q54" s="24">
        <v>39326</v>
      </c>
      <c r="R54" s="128">
        <f ca="1">(PRÉSENTATION!$F$11-Q54)/365</f>
        <v>6.6849315068493151</v>
      </c>
      <c r="S54" s="20"/>
      <c r="T54" s="20" t="s">
        <v>52</v>
      </c>
      <c r="U54" s="20"/>
      <c r="V54" s="38"/>
      <c r="W54" s="38"/>
      <c r="X54" s="116">
        <f ca="1">(PRÉSENTATION!$F$11-W54)/365</f>
        <v>114.42739726027398</v>
      </c>
      <c r="Y54" s="20"/>
      <c r="Z54" s="38">
        <v>40563</v>
      </c>
      <c r="AA54" s="128">
        <f ca="1">(PRÉSENTATION!$F$11-Z54)/365</f>
        <v>3.2958904109589042</v>
      </c>
      <c r="AB54" s="38"/>
      <c r="AC54" s="128">
        <f ca="1">(PRÉSENTATION!$F$11-AB54)/365</f>
        <v>114.42739726027398</v>
      </c>
      <c r="AD54" s="38"/>
      <c r="AE54" s="128">
        <f ca="1">(PRÉSENTATION!$F$11-AD54)/365</f>
        <v>114.42739726027398</v>
      </c>
      <c r="AF54" s="20" t="s">
        <v>265</v>
      </c>
      <c r="AG54" s="20"/>
      <c r="AH54" s="20"/>
      <c r="AI54" s="20"/>
      <c r="AJ54" s="128">
        <f t="shared" si="0"/>
        <v>0</v>
      </c>
      <c r="AK54" s="38"/>
      <c r="AL54" s="38"/>
      <c r="AM54" s="38"/>
      <c r="AN54" s="38"/>
      <c r="AO54" s="38"/>
      <c r="AP54" s="38"/>
      <c r="AQ54" s="38"/>
      <c r="AR54" s="38"/>
      <c r="AS54" s="125">
        <f ca="1">(PRÉSENTATION!$F$11-AR54)/365</f>
        <v>114.42739726027398</v>
      </c>
      <c r="AT54" s="40"/>
      <c r="AU54" s="40"/>
      <c r="AV54" s="51" t="s">
        <v>287</v>
      </c>
      <c r="AW54" s="51" t="s">
        <v>334</v>
      </c>
      <c r="AX54" s="51" t="s">
        <v>38</v>
      </c>
      <c r="AY54" s="51" t="s">
        <v>38</v>
      </c>
      <c r="AZ54" s="9" t="s">
        <v>45</v>
      </c>
      <c r="BA54" s="9">
        <v>7</v>
      </c>
      <c r="BB54" s="65" t="str">
        <f t="shared" si="1"/>
        <v>QUIROGA VARGAS</v>
      </c>
      <c r="BC54" s="63"/>
      <c r="BD54" s="63"/>
      <c r="BE54" s="63"/>
      <c r="BF54" s="63"/>
      <c r="BG54" s="63"/>
    </row>
    <row r="55" spans="1:59" s="41" customFormat="1" ht="24.75" customHeight="1" x14ac:dyDescent="0.2">
      <c r="A55" s="111">
        <v>51</v>
      </c>
      <c r="B55" s="147" t="s">
        <v>464</v>
      </c>
      <c r="C55" s="9" t="s">
        <v>465</v>
      </c>
      <c r="D55" s="9" t="s">
        <v>29</v>
      </c>
      <c r="E55" s="64">
        <v>30782</v>
      </c>
      <c r="F55" s="126">
        <f ca="1">(PRÉSENTATION!$F$11-E55)/365</f>
        <v>30.093150684931508</v>
      </c>
      <c r="G55" s="20" t="s">
        <v>204</v>
      </c>
      <c r="H55" s="20"/>
      <c r="I55" s="26"/>
      <c r="J55" s="128">
        <f ca="1">((PRÉSENTATION!$F$11-I55)/365)</f>
        <v>114.42739726027398</v>
      </c>
      <c r="K55" s="20" t="s">
        <v>219</v>
      </c>
      <c r="L55" s="146" t="s">
        <v>308</v>
      </c>
      <c r="M55" s="20" t="s">
        <v>249</v>
      </c>
      <c r="N55" s="20">
        <v>0.5</v>
      </c>
      <c r="O55" s="20" t="s">
        <v>264</v>
      </c>
      <c r="P55" s="20" t="s">
        <v>38</v>
      </c>
      <c r="Q55" s="24">
        <v>41518</v>
      </c>
      <c r="R55" s="128">
        <f ca="1">(PRÉSENTATION!$F$11-Q55)/365</f>
        <v>0.67945205479452053</v>
      </c>
      <c r="S55" s="20"/>
      <c r="T55" s="20" t="s">
        <v>52</v>
      </c>
      <c r="U55" s="20"/>
      <c r="V55" s="20"/>
      <c r="W55" s="38"/>
      <c r="X55" s="116">
        <f ca="1">(PRÉSENTATION!$F$11-W55)/365</f>
        <v>114.42739726027398</v>
      </c>
      <c r="Y55" s="20"/>
      <c r="Z55" s="38"/>
      <c r="AA55" s="128">
        <f ca="1">(PRÉSENTATION!$F$11-Z55)/365</f>
        <v>114.42739726027398</v>
      </c>
      <c r="AB55" s="38">
        <v>41548</v>
      </c>
      <c r="AC55" s="128">
        <f ca="1">(PRÉSENTATION!$F$11-AB55)/365</f>
        <v>0.59726027397260273</v>
      </c>
      <c r="AD55" s="38"/>
      <c r="AE55" s="128">
        <f ca="1">(PRÉSENTATION!$F$11-AD55)/365</f>
        <v>114.42739726027398</v>
      </c>
      <c r="AF55" s="20" t="s">
        <v>259</v>
      </c>
      <c r="AG55" s="20"/>
      <c r="AH55" s="20"/>
      <c r="AI55" s="20"/>
      <c r="AJ55" s="128">
        <f t="shared" si="0"/>
        <v>0</v>
      </c>
      <c r="AK55" s="38"/>
      <c r="AL55" s="38"/>
      <c r="AM55" s="38"/>
      <c r="AN55" s="38"/>
      <c r="AO55" s="38"/>
      <c r="AP55" s="38"/>
      <c r="AQ55" s="38"/>
      <c r="AR55" s="38"/>
      <c r="AS55" s="125">
        <f ca="1">(PRÉSENTATION!$F$11-AR55)/365</f>
        <v>114.42739726027398</v>
      </c>
      <c r="AT55" s="40"/>
      <c r="AU55" s="40"/>
      <c r="AV55" s="51" t="s">
        <v>334</v>
      </c>
      <c r="AW55" s="51" t="s">
        <v>288</v>
      </c>
      <c r="AX55" s="51" t="s">
        <v>38</v>
      </c>
      <c r="AY55" s="51" t="s">
        <v>38</v>
      </c>
      <c r="AZ55" s="9" t="s">
        <v>47</v>
      </c>
      <c r="BA55" s="9">
        <v>1</v>
      </c>
      <c r="BB55" s="147" t="str">
        <f t="shared" si="1"/>
        <v>REPETTO</v>
      </c>
      <c r="BC55" s="63"/>
      <c r="BD55" s="63"/>
      <c r="BE55" s="63"/>
      <c r="BF55" s="63"/>
      <c r="BG55" s="63"/>
    </row>
    <row r="56" spans="1:59" s="94" customFormat="1" ht="24.75" customHeight="1" x14ac:dyDescent="0.2">
      <c r="A56" s="111">
        <v>52</v>
      </c>
      <c r="B56" s="65" t="s">
        <v>478</v>
      </c>
      <c r="C56" s="9" t="s">
        <v>479</v>
      </c>
      <c r="D56" s="9" t="s">
        <v>31</v>
      </c>
      <c r="E56" s="64">
        <v>32038</v>
      </c>
      <c r="F56" s="126">
        <f ca="1">(PRÉSENTATION!$F$11-E56)/365</f>
        <v>26.652054794520549</v>
      </c>
      <c r="G56" s="20" t="s">
        <v>204</v>
      </c>
      <c r="H56" s="20"/>
      <c r="I56" s="26"/>
      <c r="J56" s="128">
        <f ca="1">((PRÉSENTATION!$F$11-I56)/365)</f>
        <v>114.42739726027398</v>
      </c>
      <c r="K56" s="20" t="s">
        <v>219</v>
      </c>
      <c r="L56" s="146" t="s">
        <v>309</v>
      </c>
      <c r="M56" s="20" t="s">
        <v>252</v>
      </c>
      <c r="N56" s="20" t="s">
        <v>224</v>
      </c>
      <c r="O56" s="20" t="s">
        <v>264</v>
      </c>
      <c r="P56" s="20" t="s">
        <v>38</v>
      </c>
      <c r="Q56" s="24">
        <v>41649</v>
      </c>
      <c r="R56" s="128">
        <f ca="1">(PRÉSENTATION!$F$11-Q56)/365</f>
        <v>0.32054794520547947</v>
      </c>
      <c r="S56" s="20"/>
      <c r="T56" s="20" t="s">
        <v>52</v>
      </c>
      <c r="U56" s="20"/>
      <c r="V56" s="20"/>
      <c r="W56" s="38"/>
      <c r="X56" s="116">
        <f ca="1">(PRÉSENTATION!$F$11-W56)/365</f>
        <v>114.42739726027398</v>
      </c>
      <c r="Y56" s="20"/>
      <c r="Z56" s="38"/>
      <c r="AA56" s="128">
        <f ca="1">(PRÉSENTATION!$F$11-Z56)/365</f>
        <v>114.42739726027398</v>
      </c>
      <c r="AB56" s="38"/>
      <c r="AC56" s="128">
        <f ca="1">(PRÉSENTATION!$F$11-AB56)/365</f>
        <v>114.42739726027398</v>
      </c>
      <c r="AD56" s="38"/>
      <c r="AE56" s="128">
        <f ca="1">(PRÉSENTATION!$F$11-AD56)/365</f>
        <v>114.42739726027398</v>
      </c>
      <c r="AF56" s="20" t="s">
        <v>265</v>
      </c>
      <c r="AG56" s="20"/>
      <c r="AH56" s="20"/>
      <c r="AI56" s="20"/>
      <c r="AJ56" s="128">
        <f t="shared" ref="AJ56:AJ63" si="2">SUM(AG56:AI56)</f>
        <v>0</v>
      </c>
      <c r="AK56" s="38"/>
      <c r="AL56" s="38"/>
      <c r="AM56" s="38"/>
      <c r="AN56" s="38"/>
      <c r="AO56" s="38"/>
      <c r="AP56" s="38"/>
      <c r="AQ56" s="38"/>
      <c r="AR56" s="38"/>
      <c r="AS56" s="125">
        <f ca="1">(PRÉSENTATION!$F$11-AR56)/365</f>
        <v>114.42739726027398</v>
      </c>
      <c r="AT56" s="40"/>
      <c r="AU56" s="40"/>
      <c r="AV56" s="51" t="s">
        <v>288</v>
      </c>
      <c r="AW56" s="51" t="s">
        <v>334</v>
      </c>
      <c r="AX56" s="51" t="s">
        <v>37</v>
      </c>
      <c r="AY56" s="51" t="s">
        <v>38</v>
      </c>
      <c r="AZ56" s="9" t="s">
        <v>332</v>
      </c>
      <c r="BA56" s="9">
        <v>1</v>
      </c>
      <c r="BB56" s="65" t="str">
        <f t="shared" ref="BB56:BB63" si="3">B56</f>
        <v>RODRIGUEZ</v>
      </c>
    </row>
    <row r="57" spans="1:59" s="94" customFormat="1" ht="24.75" customHeight="1" x14ac:dyDescent="0.2">
      <c r="A57" s="111">
        <v>53</v>
      </c>
      <c r="B57" s="147" t="s">
        <v>466</v>
      </c>
      <c r="C57" s="9" t="s">
        <v>375</v>
      </c>
      <c r="D57" s="9" t="s">
        <v>29</v>
      </c>
      <c r="E57" s="22">
        <v>25795</v>
      </c>
      <c r="F57" s="126">
        <f ca="1">(PRÉSENTATION!$F$11-E57)/365</f>
        <v>43.756164383561647</v>
      </c>
      <c r="G57" s="20" t="s">
        <v>206</v>
      </c>
      <c r="H57" s="20"/>
      <c r="I57" s="24"/>
      <c r="J57" s="128">
        <f ca="1">((PRÉSENTATION!$F$11-I57)/365)</f>
        <v>114.42739726027398</v>
      </c>
      <c r="K57" s="20" t="s">
        <v>219</v>
      </c>
      <c r="L57" s="146" t="s">
        <v>43</v>
      </c>
      <c r="M57" s="20" t="s">
        <v>249</v>
      </c>
      <c r="N57" s="20" t="s">
        <v>224</v>
      </c>
      <c r="O57" s="20" t="s">
        <v>264</v>
      </c>
      <c r="P57" s="20" t="s">
        <v>38</v>
      </c>
      <c r="Q57" s="24">
        <v>40789</v>
      </c>
      <c r="R57" s="128">
        <f ca="1">(PRÉSENTATION!$F$11-Q57)/365</f>
        <v>2.6767123287671235</v>
      </c>
      <c r="S57" s="20"/>
      <c r="T57" s="20" t="s">
        <v>52</v>
      </c>
      <c r="U57" s="20"/>
      <c r="V57" s="20"/>
      <c r="W57" s="38"/>
      <c r="X57" s="116">
        <f ca="1">(PRÉSENTATION!$F$11-W57)/365</f>
        <v>114.42739726027398</v>
      </c>
      <c r="Y57" s="20"/>
      <c r="Z57" s="38"/>
      <c r="AA57" s="128">
        <f ca="1">(PRÉSENTATION!$F$11-Z57)/365</f>
        <v>114.42739726027398</v>
      </c>
      <c r="AB57" s="38">
        <v>40857</v>
      </c>
      <c r="AC57" s="128">
        <f ca="1">(PRÉSENTATION!$F$11-AB57)/365</f>
        <v>2.4904109589041097</v>
      </c>
      <c r="AD57" s="38"/>
      <c r="AE57" s="128">
        <f ca="1">(PRÉSENTATION!$F$11-AD57)/365</f>
        <v>114.42739726027398</v>
      </c>
      <c r="AF57" s="20" t="s">
        <v>259</v>
      </c>
      <c r="AG57" s="20"/>
      <c r="AH57" s="20"/>
      <c r="AI57" s="20"/>
      <c r="AJ57" s="128">
        <f t="shared" si="2"/>
        <v>0</v>
      </c>
      <c r="AK57" s="38"/>
      <c r="AL57" s="38"/>
      <c r="AM57" s="38"/>
      <c r="AN57" s="38"/>
      <c r="AO57" s="38"/>
      <c r="AP57" s="38"/>
      <c r="AQ57" s="38"/>
      <c r="AR57" s="38"/>
      <c r="AS57" s="125">
        <f ca="1">(PRÉSENTATION!$F$11-AR57)/365</f>
        <v>114.42739726027398</v>
      </c>
      <c r="AT57" s="40"/>
      <c r="AU57" s="40"/>
      <c r="AV57" s="51" t="s">
        <v>334</v>
      </c>
      <c r="AW57" s="51" t="s">
        <v>289</v>
      </c>
      <c r="AX57" s="51" t="s">
        <v>38</v>
      </c>
      <c r="AY57" s="51" t="s">
        <v>38</v>
      </c>
      <c r="AZ57" s="9" t="s">
        <v>263</v>
      </c>
      <c r="BA57" s="9">
        <v>3</v>
      </c>
      <c r="BB57" s="147" t="str">
        <f t="shared" si="3"/>
        <v>SAENZ</v>
      </c>
    </row>
    <row r="58" spans="1:59" s="21" customFormat="1" ht="24.75" customHeight="1" x14ac:dyDescent="0.2">
      <c r="A58" s="111">
        <v>54</v>
      </c>
      <c r="B58" s="65" t="s">
        <v>467</v>
      </c>
      <c r="C58" s="9" t="s">
        <v>468</v>
      </c>
      <c r="D58" s="9" t="s">
        <v>29</v>
      </c>
      <c r="E58" s="64">
        <v>25732</v>
      </c>
      <c r="F58" s="126">
        <f ca="1">(PRÉSENTATION!$F$11-E58)/365</f>
        <v>43.92876712328767</v>
      </c>
      <c r="G58" s="20" t="s">
        <v>204</v>
      </c>
      <c r="H58" s="20"/>
      <c r="I58" s="26"/>
      <c r="J58" s="128">
        <f ca="1">((PRÉSENTATION!$F$11-I58)/365)</f>
        <v>114.42739726027398</v>
      </c>
      <c r="K58" s="20" t="s">
        <v>219</v>
      </c>
      <c r="L58" s="146" t="s">
        <v>309</v>
      </c>
      <c r="M58" s="20" t="s">
        <v>249</v>
      </c>
      <c r="N58" s="20" t="s">
        <v>224</v>
      </c>
      <c r="O58" s="20" t="s">
        <v>264</v>
      </c>
      <c r="P58" s="20" t="s">
        <v>38</v>
      </c>
      <c r="Q58" s="24">
        <v>38596</v>
      </c>
      <c r="R58" s="128">
        <f ca="1">(PRÉSENTATION!$F$11-Q58)/365</f>
        <v>8.6849315068493151</v>
      </c>
      <c r="S58" s="20"/>
      <c r="T58" s="20" t="s">
        <v>52</v>
      </c>
      <c r="U58" s="20"/>
      <c r="V58" s="20"/>
      <c r="W58" s="38">
        <v>39393</v>
      </c>
      <c r="X58" s="116">
        <f ca="1">(PRÉSENTATION!$F$11-W58)/365</f>
        <v>6.5013698630136982</v>
      </c>
      <c r="Y58" s="20"/>
      <c r="Z58" s="38"/>
      <c r="AA58" s="128">
        <f ca="1">(PRÉSENTATION!$F$11-Z58)/365</f>
        <v>114.42739726027398</v>
      </c>
      <c r="AB58" s="38">
        <v>39378</v>
      </c>
      <c r="AC58" s="128">
        <f ca="1">(PRÉSENTATION!$F$11-AB58)/365</f>
        <v>6.5424657534246577</v>
      </c>
      <c r="AD58" s="38"/>
      <c r="AE58" s="128">
        <f ca="1">(PRÉSENTATION!$F$11-AD58)/365</f>
        <v>114.42739726027398</v>
      </c>
      <c r="AF58" s="20" t="s">
        <v>264</v>
      </c>
      <c r="AG58" s="20"/>
      <c r="AH58" s="20"/>
      <c r="AI58" s="20"/>
      <c r="AJ58" s="128">
        <f t="shared" si="2"/>
        <v>0</v>
      </c>
      <c r="AK58" s="38"/>
      <c r="AL58" s="38"/>
      <c r="AM58" s="38"/>
      <c r="AN58" s="38"/>
      <c r="AO58" s="38"/>
      <c r="AP58" s="38"/>
      <c r="AQ58" s="38"/>
      <c r="AR58" s="38"/>
      <c r="AS58" s="125">
        <f ca="1">(PRÉSENTATION!$F$11-AR58)/365</f>
        <v>114.42739726027398</v>
      </c>
      <c r="AT58" s="40"/>
      <c r="AU58" s="40"/>
      <c r="AV58" s="51" t="s">
        <v>334</v>
      </c>
      <c r="AW58" s="51" t="s">
        <v>290</v>
      </c>
      <c r="AX58" s="51" t="s">
        <v>38</v>
      </c>
      <c r="AY58" s="51" t="s">
        <v>38</v>
      </c>
      <c r="AZ58" s="9" t="s">
        <v>15</v>
      </c>
      <c r="BA58" s="9">
        <v>4</v>
      </c>
      <c r="BB58" s="65" t="str">
        <f t="shared" si="3"/>
        <v>TASIAUX</v>
      </c>
      <c r="BC58" s="94"/>
      <c r="BD58" s="94"/>
      <c r="BE58" s="94"/>
    </row>
    <row r="59" spans="1:59" s="21" customFormat="1" ht="24.75" customHeight="1" x14ac:dyDescent="0.2">
      <c r="A59" s="111">
        <v>55</v>
      </c>
      <c r="B59" s="147" t="s">
        <v>469</v>
      </c>
      <c r="C59" s="9" t="s">
        <v>470</v>
      </c>
      <c r="D59" s="9" t="s">
        <v>29</v>
      </c>
      <c r="E59" s="22">
        <v>29333</v>
      </c>
      <c r="F59" s="126">
        <f ca="1">(PRÉSENTATION!$F$11-E59)/365</f>
        <v>34.063013698630137</v>
      </c>
      <c r="G59" s="20" t="s">
        <v>206</v>
      </c>
      <c r="H59" s="20"/>
      <c r="I59" s="24"/>
      <c r="J59" s="128">
        <f ca="1">((PRÉSENTATION!$F$11-I59)/365)</f>
        <v>114.42739726027398</v>
      </c>
      <c r="K59" s="20" t="s">
        <v>219</v>
      </c>
      <c r="L59" s="146" t="s">
        <v>309</v>
      </c>
      <c r="M59" s="20" t="s">
        <v>249</v>
      </c>
      <c r="N59" s="20">
        <v>0.5</v>
      </c>
      <c r="O59" s="20" t="s">
        <v>264</v>
      </c>
      <c r="P59" s="20" t="s">
        <v>38</v>
      </c>
      <c r="Q59" s="24">
        <v>41153</v>
      </c>
      <c r="R59" s="128">
        <f ca="1">(PRÉSENTATION!$F$11-Q59)/365</f>
        <v>1.6794520547945206</v>
      </c>
      <c r="S59" s="65"/>
      <c r="T59" s="20" t="s">
        <v>52</v>
      </c>
      <c r="U59" s="20"/>
      <c r="V59" s="38"/>
      <c r="W59" s="38">
        <v>41774</v>
      </c>
      <c r="X59" s="116">
        <f ca="1">(PRÉSENTATION!$F$11-W59)/365</f>
        <v>-2.1917808219178082E-2</v>
      </c>
      <c r="Y59" s="20"/>
      <c r="Z59" s="38">
        <v>40668</v>
      </c>
      <c r="AA59" s="128">
        <f ca="1">(PRÉSENTATION!$F$11-Z59)/365</f>
        <v>3.0082191780821916</v>
      </c>
      <c r="AB59" s="38"/>
      <c r="AC59" s="128">
        <f ca="1">(PRÉSENTATION!$F$11-AB59)/365</f>
        <v>114.42739726027398</v>
      </c>
      <c r="AD59" s="38"/>
      <c r="AE59" s="128">
        <f ca="1">(PRÉSENTATION!$F$11-AD59)/365</f>
        <v>114.42739726027398</v>
      </c>
      <c r="AF59" s="20" t="s">
        <v>259</v>
      </c>
      <c r="AG59" s="20"/>
      <c r="AH59" s="20"/>
      <c r="AI59" s="20"/>
      <c r="AJ59" s="128">
        <f t="shared" si="2"/>
        <v>0</v>
      </c>
      <c r="AK59" s="38"/>
      <c r="AL59" s="38"/>
      <c r="AM59" s="38"/>
      <c r="AN59" s="38"/>
      <c r="AO59" s="38"/>
      <c r="AP59" s="38"/>
      <c r="AQ59" s="38"/>
      <c r="AR59" s="38"/>
      <c r="AS59" s="125">
        <f ca="1">(PRÉSENTATION!$F$11-AR59)/365</f>
        <v>114.42739726027398</v>
      </c>
      <c r="AT59" s="40"/>
      <c r="AU59" s="40"/>
      <c r="AV59" s="51" t="s">
        <v>334</v>
      </c>
      <c r="AW59" s="51" t="s">
        <v>289</v>
      </c>
      <c r="AX59" s="51" t="s">
        <v>38</v>
      </c>
      <c r="AY59" s="51" t="s">
        <v>38</v>
      </c>
      <c r="AZ59" s="9" t="s">
        <v>15</v>
      </c>
      <c r="BA59" s="9">
        <v>2</v>
      </c>
      <c r="BB59" s="147" t="str">
        <f t="shared" si="3"/>
        <v>TICHADOU</v>
      </c>
      <c r="BC59" s="94"/>
      <c r="BD59" s="94"/>
      <c r="BE59" s="94"/>
    </row>
    <row r="60" spans="1:59" s="21" customFormat="1" ht="24.75" customHeight="1" x14ac:dyDescent="0.2">
      <c r="A60" s="111">
        <v>56</v>
      </c>
      <c r="B60" s="65" t="s">
        <v>471</v>
      </c>
      <c r="C60" s="9" t="s">
        <v>472</v>
      </c>
      <c r="D60" s="9" t="s">
        <v>29</v>
      </c>
      <c r="E60" s="25">
        <v>24154</v>
      </c>
      <c r="F60" s="126">
        <f ca="1">(PRÉSENTATION!$F$11-E60)/365</f>
        <v>48.252054794520546</v>
      </c>
      <c r="G60" s="20" t="s">
        <v>12</v>
      </c>
      <c r="H60" s="20"/>
      <c r="I60" s="24"/>
      <c r="J60" s="128">
        <f ca="1">((PRÉSENTATION!$F$11-I60)/365)</f>
        <v>114.42739726027398</v>
      </c>
      <c r="K60" s="20" t="s">
        <v>219</v>
      </c>
      <c r="L60" s="146" t="s">
        <v>309</v>
      </c>
      <c r="M60" s="20" t="s">
        <v>249</v>
      </c>
      <c r="N60" s="20" t="s">
        <v>224</v>
      </c>
      <c r="O60" s="20" t="s">
        <v>264</v>
      </c>
      <c r="P60" s="20" t="s">
        <v>38</v>
      </c>
      <c r="Q60" s="23">
        <v>35310</v>
      </c>
      <c r="R60" s="128">
        <f ca="1">(PRÉSENTATION!$F$11-Q60)/365</f>
        <v>17.687671232876713</v>
      </c>
      <c r="S60" s="20"/>
      <c r="T60" s="20" t="s">
        <v>52</v>
      </c>
      <c r="U60" s="20"/>
      <c r="V60" s="20"/>
      <c r="W60" s="64">
        <v>38476</v>
      </c>
      <c r="X60" s="116">
        <f ca="1">(PRÉSENTATION!$F$11-W60)/365</f>
        <v>9.0136986301369859</v>
      </c>
      <c r="Y60" s="20"/>
      <c r="Z60" s="64"/>
      <c r="AA60" s="128">
        <f ca="1">(PRÉSENTATION!$F$11-Z60)/365</f>
        <v>114.42739726027398</v>
      </c>
      <c r="AB60" s="64">
        <v>40299</v>
      </c>
      <c r="AC60" s="128">
        <f ca="1">(PRÉSENTATION!$F$11-AB60)/365</f>
        <v>4.0191780821917806</v>
      </c>
      <c r="AD60" s="64"/>
      <c r="AE60" s="128">
        <f ca="1">(PRÉSENTATION!$F$11-AD60)/365</f>
        <v>114.42739726027398</v>
      </c>
      <c r="AF60" s="20" t="s">
        <v>264</v>
      </c>
      <c r="AG60" s="20"/>
      <c r="AH60" s="20"/>
      <c r="AI60" s="20"/>
      <c r="AJ60" s="128">
        <f t="shared" si="2"/>
        <v>0</v>
      </c>
      <c r="AK60" s="38"/>
      <c r="AL60" s="38"/>
      <c r="AM60" s="38"/>
      <c r="AN60" s="38"/>
      <c r="AO60" s="38"/>
      <c r="AP60" s="38"/>
      <c r="AQ60" s="38"/>
      <c r="AR60" s="38"/>
      <c r="AS60" s="125">
        <f ca="1">(PRÉSENTATION!$F$11-AR60)/365</f>
        <v>114.42739726027398</v>
      </c>
      <c r="AT60" s="40"/>
      <c r="AU60" s="40"/>
      <c r="AV60" s="51" t="s">
        <v>290</v>
      </c>
      <c r="AW60" s="51" t="s">
        <v>334</v>
      </c>
      <c r="AX60" s="51" t="s">
        <v>38</v>
      </c>
      <c r="AY60" s="51" t="s">
        <v>38</v>
      </c>
      <c r="AZ60" s="9" t="s">
        <v>16</v>
      </c>
      <c r="BA60" s="9">
        <v>6</v>
      </c>
      <c r="BB60" s="65" t="str">
        <f t="shared" si="3"/>
        <v>VARGAS</v>
      </c>
      <c r="BC60" s="94"/>
      <c r="BD60" s="94"/>
      <c r="BE60" s="94"/>
    </row>
    <row r="61" spans="1:59" s="94" customFormat="1" ht="24.75" customHeight="1" x14ac:dyDescent="0.2">
      <c r="A61" s="111">
        <v>57</v>
      </c>
      <c r="B61" s="147" t="s">
        <v>471</v>
      </c>
      <c r="C61" s="9" t="s">
        <v>473</v>
      </c>
      <c r="D61" s="9" t="s">
        <v>31</v>
      </c>
      <c r="E61" s="38">
        <v>24911</v>
      </c>
      <c r="F61" s="126">
        <f ca="1">(PRÉSENTATION!$F$11-E61)/365</f>
        <v>46.178082191780824</v>
      </c>
      <c r="G61" s="20" t="s">
        <v>12</v>
      </c>
      <c r="H61" s="20"/>
      <c r="I61" s="26"/>
      <c r="J61" s="128">
        <f ca="1">((PRÉSENTATION!$F$11-I61)/365)</f>
        <v>114.42739726027398</v>
      </c>
      <c r="K61" s="20" t="s">
        <v>219</v>
      </c>
      <c r="L61" s="146" t="s">
        <v>309</v>
      </c>
      <c r="M61" s="20" t="s">
        <v>249</v>
      </c>
      <c r="N61" s="20" t="s">
        <v>224</v>
      </c>
      <c r="O61" s="20" t="s">
        <v>264</v>
      </c>
      <c r="P61" s="20" t="s">
        <v>38</v>
      </c>
      <c r="Q61" s="24">
        <v>37500</v>
      </c>
      <c r="R61" s="128">
        <f ca="1">(PRÉSENTATION!$F$11-Q61)/365</f>
        <v>11.687671232876712</v>
      </c>
      <c r="S61" s="20"/>
      <c r="T61" s="20" t="s">
        <v>52</v>
      </c>
      <c r="U61" s="20"/>
      <c r="V61" s="20"/>
      <c r="W61" s="38">
        <v>39764</v>
      </c>
      <c r="X61" s="116">
        <f ca="1">(PRÉSENTATION!$F$11-W61)/365</f>
        <v>5.484931506849315</v>
      </c>
      <c r="Y61" s="20"/>
      <c r="Z61" s="38"/>
      <c r="AA61" s="128">
        <f ca="1">(PRÉSENTATION!$F$11-Z61)/365</f>
        <v>114.42739726027398</v>
      </c>
      <c r="AB61" s="38">
        <v>40504</v>
      </c>
      <c r="AC61" s="128">
        <f ca="1">(PRÉSENTATION!$F$11-AB61)/365</f>
        <v>3.4575342465753423</v>
      </c>
      <c r="AD61" s="38"/>
      <c r="AE61" s="128">
        <f ca="1">(PRÉSENTATION!$F$11-AD61)/365</f>
        <v>114.42739726027398</v>
      </c>
      <c r="AF61" s="20" t="s">
        <v>264</v>
      </c>
      <c r="AG61" s="20"/>
      <c r="AH61" s="20"/>
      <c r="AI61" s="20"/>
      <c r="AJ61" s="128">
        <f t="shared" si="2"/>
        <v>0</v>
      </c>
      <c r="AK61" s="38"/>
      <c r="AL61" s="38"/>
      <c r="AM61" s="38"/>
      <c r="AN61" s="38"/>
      <c r="AO61" s="38"/>
      <c r="AP61" s="38"/>
      <c r="AQ61" s="38"/>
      <c r="AR61" s="38"/>
      <c r="AS61" s="125">
        <f ca="1">(PRÉSENTATION!$F$11-AR61)/365</f>
        <v>114.42739726027398</v>
      </c>
      <c r="AT61" s="40"/>
      <c r="AU61" s="40"/>
      <c r="AV61" s="51" t="s">
        <v>290</v>
      </c>
      <c r="AW61" s="51" t="s">
        <v>334</v>
      </c>
      <c r="AX61" s="51" t="s">
        <v>38</v>
      </c>
      <c r="AY61" s="51" t="s">
        <v>38</v>
      </c>
      <c r="AZ61" s="9" t="s">
        <v>17</v>
      </c>
      <c r="BA61" s="9">
        <v>4</v>
      </c>
      <c r="BB61" s="147" t="str">
        <f t="shared" si="3"/>
        <v>VARGAS</v>
      </c>
    </row>
    <row r="62" spans="1:59" s="41" customFormat="1" ht="24.75" customHeight="1" x14ac:dyDescent="0.2">
      <c r="A62" s="111">
        <v>58</v>
      </c>
      <c r="B62" s="65" t="s">
        <v>474</v>
      </c>
      <c r="C62" s="9" t="s">
        <v>475</v>
      </c>
      <c r="D62" s="9" t="s">
        <v>31</v>
      </c>
      <c r="E62" s="25">
        <v>29769</v>
      </c>
      <c r="F62" s="126">
        <f ca="1">(PRÉSENTATION!$F$11-E62)/365</f>
        <v>32.868493150684934</v>
      </c>
      <c r="G62" s="20" t="s">
        <v>204</v>
      </c>
      <c r="H62" s="20"/>
      <c r="I62" s="24"/>
      <c r="J62" s="128">
        <f ca="1">((PRÉSENTATION!$F$11-I62)/365)</f>
        <v>114.42739726027398</v>
      </c>
      <c r="K62" s="20" t="s">
        <v>219</v>
      </c>
      <c r="L62" s="146" t="s">
        <v>309</v>
      </c>
      <c r="M62" s="20" t="s">
        <v>249</v>
      </c>
      <c r="N62" s="20" t="s">
        <v>224</v>
      </c>
      <c r="O62" s="20" t="s">
        <v>264</v>
      </c>
      <c r="P62" s="20" t="s">
        <v>38</v>
      </c>
      <c r="Q62" s="23">
        <v>40483</v>
      </c>
      <c r="R62" s="128">
        <f ca="1">(PRÉSENTATION!$F$11-Q62)/365</f>
        <v>3.515068493150685</v>
      </c>
      <c r="S62" s="20">
        <v>69</v>
      </c>
      <c r="T62" s="20" t="s">
        <v>232</v>
      </c>
      <c r="U62" s="20">
        <v>6</v>
      </c>
      <c r="V62" s="38">
        <v>40422</v>
      </c>
      <c r="W62" s="38"/>
      <c r="X62" s="116">
        <f ca="1">(PRÉSENTATION!$F$11-W62)/365</f>
        <v>114.42739726027398</v>
      </c>
      <c r="Y62" s="20">
        <v>12.5</v>
      </c>
      <c r="Z62" s="38">
        <v>40817</v>
      </c>
      <c r="AA62" s="128">
        <f ca="1">(PRÉSENTATION!$F$11-Z62)/365</f>
        <v>2.6</v>
      </c>
      <c r="AB62" s="38"/>
      <c r="AC62" s="128">
        <f ca="1">(PRÉSENTATION!$F$11-AB62)/365</f>
        <v>114.42739726027398</v>
      </c>
      <c r="AD62" s="38"/>
      <c r="AE62" s="128">
        <f ca="1">(PRÉSENTATION!$F$11-AD62)/365</f>
        <v>114.42739726027398</v>
      </c>
      <c r="AF62" s="20" t="s">
        <v>257</v>
      </c>
      <c r="AG62" s="20"/>
      <c r="AH62" s="20"/>
      <c r="AI62" s="20"/>
      <c r="AJ62" s="128">
        <f t="shared" si="2"/>
        <v>0</v>
      </c>
      <c r="AK62" s="38"/>
      <c r="AL62" s="38"/>
      <c r="AM62" s="38"/>
      <c r="AN62" s="38"/>
      <c r="AO62" s="38"/>
      <c r="AP62" s="38"/>
      <c r="AQ62" s="38"/>
      <c r="AR62" s="38"/>
      <c r="AS62" s="125">
        <f ca="1">(PRÉSENTATION!$F$11-AR62)/365</f>
        <v>114.42739726027398</v>
      </c>
      <c r="AT62" s="40"/>
      <c r="AU62" s="40"/>
      <c r="AV62" s="51" t="s">
        <v>334</v>
      </c>
      <c r="AW62" s="51" t="s">
        <v>289</v>
      </c>
      <c r="AX62" s="51" t="s">
        <v>38</v>
      </c>
      <c r="AY62" s="51" t="s">
        <v>38</v>
      </c>
      <c r="AZ62" s="9" t="s">
        <v>14</v>
      </c>
      <c r="BA62" s="9">
        <v>3</v>
      </c>
      <c r="BB62" s="65" t="str">
        <f t="shared" si="3"/>
        <v>VERNAY</v>
      </c>
      <c r="BC62" s="63"/>
      <c r="BD62" s="63"/>
      <c r="BE62" s="63"/>
    </row>
    <row r="63" spans="1:59" s="41" customFormat="1" ht="24.75" customHeight="1" thickBot="1" x14ac:dyDescent="0.25">
      <c r="A63" s="111">
        <v>59</v>
      </c>
      <c r="B63" s="147" t="s">
        <v>476</v>
      </c>
      <c r="C63" s="9" t="s">
        <v>477</v>
      </c>
      <c r="D63" s="9" t="s">
        <v>29</v>
      </c>
      <c r="E63" s="22">
        <v>30298</v>
      </c>
      <c r="F63" s="126">
        <f ca="1">(PRÉSENTATION!$F$11-E63)/365</f>
        <v>31.419178082191781</v>
      </c>
      <c r="G63" s="20" t="s">
        <v>204</v>
      </c>
      <c r="H63" s="20"/>
      <c r="I63" s="24"/>
      <c r="J63" s="128">
        <f ca="1">((PRÉSENTATION!$F$11-I63)/365)</f>
        <v>114.42739726027398</v>
      </c>
      <c r="K63" s="20" t="s">
        <v>219</v>
      </c>
      <c r="L63" s="146" t="s">
        <v>308</v>
      </c>
      <c r="M63" s="20" t="s">
        <v>250</v>
      </c>
      <c r="N63" s="20" t="s">
        <v>224</v>
      </c>
      <c r="O63" s="20" t="s">
        <v>264</v>
      </c>
      <c r="P63" s="20" t="s">
        <v>38</v>
      </c>
      <c r="Q63" s="24">
        <v>41153</v>
      </c>
      <c r="R63" s="128">
        <f ca="1">(PRÉSENTATION!$F$11-Q63)/365</f>
        <v>1.6794520547945206</v>
      </c>
      <c r="S63" s="20"/>
      <c r="T63" s="20" t="s">
        <v>52</v>
      </c>
      <c r="U63" s="20"/>
      <c r="V63" s="20"/>
      <c r="W63" s="38"/>
      <c r="X63" s="116">
        <f ca="1">(PRÉSENTATION!$F$11-W63)/365</f>
        <v>114.42739726027398</v>
      </c>
      <c r="Y63" s="20"/>
      <c r="Z63" s="38"/>
      <c r="AA63" s="128">
        <f ca="1">(PRÉSENTATION!$F$11-Z63)/365</f>
        <v>114.42739726027398</v>
      </c>
      <c r="AB63" s="38">
        <v>40618</v>
      </c>
      <c r="AC63" s="128">
        <f ca="1">(PRÉSENTATION!$F$11-AB63)/365</f>
        <v>3.1452054794520548</v>
      </c>
      <c r="AD63" s="38"/>
      <c r="AE63" s="128">
        <f ca="1">(PRÉSENTATION!$F$11-AD63)/365</f>
        <v>114.42739726027398</v>
      </c>
      <c r="AF63" s="20" t="s">
        <v>265</v>
      </c>
      <c r="AG63" s="20"/>
      <c r="AH63" s="20"/>
      <c r="AI63" s="20"/>
      <c r="AJ63" s="128">
        <f t="shared" si="2"/>
        <v>0</v>
      </c>
      <c r="AK63" s="38"/>
      <c r="AL63" s="38"/>
      <c r="AM63" s="38"/>
      <c r="AN63" s="38"/>
      <c r="AO63" s="38"/>
      <c r="AP63" s="38"/>
      <c r="AQ63" s="38"/>
      <c r="AR63" s="38"/>
      <c r="AS63" s="125">
        <f ca="1">(PRÉSENTATION!$F$11-AR63)/365</f>
        <v>114.42739726027398</v>
      </c>
      <c r="AT63" s="40"/>
      <c r="AU63" s="40"/>
      <c r="AV63" s="51" t="s">
        <v>287</v>
      </c>
      <c r="AW63" s="51" t="s">
        <v>334</v>
      </c>
      <c r="AX63" s="51" t="s">
        <v>38</v>
      </c>
      <c r="AY63" s="51" t="s">
        <v>38</v>
      </c>
      <c r="AZ63" s="9" t="s">
        <v>47</v>
      </c>
      <c r="BA63" s="9">
        <v>4</v>
      </c>
      <c r="BB63" s="147" t="str">
        <f t="shared" si="3"/>
        <v>ZARATE CARO</v>
      </c>
      <c r="BC63" s="63"/>
      <c r="BD63" s="63"/>
      <c r="BE63" s="63"/>
    </row>
    <row r="64" spans="1:59" s="21" customFormat="1" ht="24.75" hidden="1" customHeight="1" x14ac:dyDescent="0.2">
      <c r="A64" s="111">
        <v>60</v>
      </c>
      <c r="B64" s="65"/>
      <c r="C64" s="9"/>
      <c r="D64" s="9"/>
      <c r="E64" s="22"/>
      <c r="F64" s="126">
        <f ca="1">(PRÉSENTATION!$F$11-E64)/365</f>
        <v>114.42739726027398</v>
      </c>
      <c r="G64" s="20"/>
      <c r="H64" s="20"/>
      <c r="I64" s="24"/>
      <c r="J64" s="128">
        <f ca="1">((PRÉSENTATION!$F$11-I64)/365)</f>
        <v>114.42739726027398</v>
      </c>
      <c r="K64" s="20"/>
      <c r="L64" s="146"/>
      <c r="M64" s="20"/>
      <c r="N64" s="20"/>
      <c r="O64" s="20"/>
      <c r="P64" s="20"/>
      <c r="Q64" s="24"/>
      <c r="R64" s="128">
        <f ca="1">(PRÉSENTATION!$F$11-Q64)/365</f>
        <v>114.42739726027398</v>
      </c>
      <c r="S64" s="65"/>
      <c r="T64" s="20"/>
      <c r="U64" s="20"/>
      <c r="V64" s="38"/>
      <c r="W64" s="38"/>
      <c r="X64" s="116">
        <f ca="1">(PRÉSENTATION!$F$11-W64)/365</f>
        <v>114.42739726027398</v>
      </c>
      <c r="Y64" s="20"/>
      <c r="Z64" s="38"/>
      <c r="AA64" s="128">
        <f ca="1">(PRÉSENTATION!$F$11-Z64)/365</f>
        <v>114.42739726027398</v>
      </c>
      <c r="AB64" s="38"/>
      <c r="AC64" s="128">
        <f ca="1">(PRÉSENTATION!$F$11-AB64)/365</f>
        <v>114.42739726027398</v>
      </c>
      <c r="AD64" s="38"/>
      <c r="AE64" s="128">
        <f ca="1">(PRÉSENTATION!$F$11-AD64)/365</f>
        <v>114.42739726027398</v>
      </c>
      <c r="AF64" s="20"/>
      <c r="AG64" s="20"/>
      <c r="AH64" s="20"/>
      <c r="AI64" s="20"/>
      <c r="AJ64" s="128">
        <f t="shared" si="0"/>
        <v>0</v>
      </c>
      <c r="AK64" s="38"/>
      <c r="AL64" s="38"/>
      <c r="AM64" s="38"/>
      <c r="AN64" s="38"/>
      <c r="AO64" s="38"/>
      <c r="AP64" s="38"/>
      <c r="AQ64" s="38"/>
      <c r="AR64" s="38"/>
      <c r="AS64" s="125">
        <f ca="1">(PRÉSENTATION!$F$11-AR64)/365</f>
        <v>114.42739726027398</v>
      </c>
      <c r="AT64" s="40"/>
      <c r="AU64" s="40"/>
      <c r="AV64" s="51"/>
      <c r="AW64" s="51"/>
      <c r="AX64" s="51"/>
      <c r="AY64" s="51"/>
      <c r="AZ64" s="9"/>
      <c r="BA64" s="9"/>
      <c r="BB64" s="65">
        <f t="shared" si="1"/>
        <v>0</v>
      </c>
      <c r="BC64" s="41"/>
      <c r="BD64" s="41"/>
      <c r="BE64" s="41"/>
    </row>
    <row r="65" spans="1:57" s="21" customFormat="1" ht="24.75" hidden="1" customHeight="1" x14ac:dyDescent="0.2">
      <c r="A65" s="111">
        <v>61</v>
      </c>
      <c r="B65" s="147"/>
      <c r="C65" s="9"/>
      <c r="D65" s="9"/>
      <c r="E65" s="25"/>
      <c r="F65" s="126">
        <f ca="1">(PRÉSENTATION!$F$11-E65)/365</f>
        <v>114.42739726027398</v>
      </c>
      <c r="G65" s="20"/>
      <c r="H65" s="20"/>
      <c r="I65" s="24"/>
      <c r="J65" s="128">
        <f ca="1">((PRÉSENTATION!$F$11-I65)/365)</f>
        <v>114.42739726027398</v>
      </c>
      <c r="K65" s="20"/>
      <c r="L65" s="146"/>
      <c r="M65" s="20"/>
      <c r="N65" s="20"/>
      <c r="O65" s="20"/>
      <c r="P65" s="20"/>
      <c r="Q65" s="23"/>
      <c r="R65" s="128">
        <f ca="1">(PRÉSENTATION!$F$11-Q65)/365</f>
        <v>114.42739726027398</v>
      </c>
      <c r="S65" s="20"/>
      <c r="T65" s="20"/>
      <c r="U65" s="20"/>
      <c r="V65" s="20"/>
      <c r="W65" s="64"/>
      <c r="X65" s="116">
        <f ca="1">(PRÉSENTATION!$F$11-W65)/365</f>
        <v>114.42739726027398</v>
      </c>
      <c r="Y65" s="20"/>
      <c r="Z65" s="64"/>
      <c r="AA65" s="128">
        <f ca="1">(PRÉSENTATION!$F$11-Z65)/365</f>
        <v>114.42739726027398</v>
      </c>
      <c r="AB65" s="64"/>
      <c r="AC65" s="128">
        <f ca="1">(PRÉSENTATION!$F$11-AB65)/365</f>
        <v>114.42739726027398</v>
      </c>
      <c r="AD65" s="64"/>
      <c r="AE65" s="128">
        <f ca="1">(PRÉSENTATION!$F$11-AD65)/365</f>
        <v>114.42739726027398</v>
      </c>
      <c r="AF65" s="20"/>
      <c r="AG65" s="20"/>
      <c r="AH65" s="20"/>
      <c r="AI65" s="20"/>
      <c r="AJ65" s="128">
        <f t="shared" si="0"/>
        <v>0</v>
      </c>
      <c r="AK65" s="38"/>
      <c r="AL65" s="38"/>
      <c r="AM65" s="38"/>
      <c r="AN65" s="38"/>
      <c r="AO65" s="38"/>
      <c r="AP65" s="38"/>
      <c r="AQ65" s="38"/>
      <c r="AR65" s="38"/>
      <c r="AS65" s="125">
        <f ca="1">(PRÉSENTATION!$F$11-AR65)/365</f>
        <v>114.42739726027398</v>
      </c>
      <c r="AT65" s="40"/>
      <c r="AU65" s="40"/>
      <c r="AV65" s="51"/>
      <c r="AW65" s="51"/>
      <c r="AX65" s="51"/>
      <c r="AY65" s="51"/>
      <c r="AZ65" s="9"/>
      <c r="BA65" s="9"/>
      <c r="BB65" s="147">
        <f t="shared" si="1"/>
        <v>0</v>
      </c>
      <c r="BC65" s="66"/>
      <c r="BD65" s="66"/>
      <c r="BE65" s="66"/>
    </row>
    <row r="66" spans="1:57" s="21" customFormat="1" ht="24.75" hidden="1" customHeight="1" x14ac:dyDescent="0.2">
      <c r="A66" s="111">
        <v>62</v>
      </c>
      <c r="B66" s="65"/>
      <c r="C66" s="9"/>
      <c r="D66" s="9"/>
      <c r="E66" s="38"/>
      <c r="F66" s="126">
        <f ca="1">(PRÉSENTATION!$F$11-E66)/365</f>
        <v>114.42739726027398</v>
      </c>
      <c r="G66" s="20"/>
      <c r="H66" s="20"/>
      <c r="I66" s="26"/>
      <c r="J66" s="128">
        <f ca="1">((PRÉSENTATION!$F$11-I66)/365)</f>
        <v>114.42739726027398</v>
      </c>
      <c r="K66" s="20"/>
      <c r="L66" s="146"/>
      <c r="M66" s="20"/>
      <c r="N66" s="20"/>
      <c r="O66" s="20"/>
      <c r="P66" s="20"/>
      <c r="Q66" s="24"/>
      <c r="R66" s="128">
        <f ca="1">(PRÉSENTATION!$F$11-Q66)/365</f>
        <v>114.42739726027398</v>
      </c>
      <c r="S66" s="20"/>
      <c r="T66" s="20"/>
      <c r="U66" s="20"/>
      <c r="V66" s="20"/>
      <c r="W66" s="38"/>
      <c r="X66" s="116">
        <f ca="1">(PRÉSENTATION!$F$11-W66)/365</f>
        <v>114.42739726027398</v>
      </c>
      <c r="Y66" s="20"/>
      <c r="Z66" s="38"/>
      <c r="AA66" s="128">
        <f ca="1">(PRÉSENTATION!$F$11-Z66)/365</f>
        <v>114.42739726027398</v>
      </c>
      <c r="AB66" s="38"/>
      <c r="AC66" s="128">
        <f ca="1">(PRÉSENTATION!$F$11-AB66)/365</f>
        <v>114.42739726027398</v>
      </c>
      <c r="AD66" s="38"/>
      <c r="AE66" s="128">
        <f ca="1">(PRÉSENTATION!$F$11-AD66)/365</f>
        <v>114.42739726027398</v>
      </c>
      <c r="AF66" s="20"/>
      <c r="AG66" s="20"/>
      <c r="AH66" s="20"/>
      <c r="AI66" s="20"/>
      <c r="AJ66" s="128">
        <f t="shared" si="0"/>
        <v>0</v>
      </c>
      <c r="AK66" s="38"/>
      <c r="AL66" s="38"/>
      <c r="AM66" s="38"/>
      <c r="AN66" s="38"/>
      <c r="AO66" s="38"/>
      <c r="AP66" s="38"/>
      <c r="AQ66" s="38"/>
      <c r="AR66" s="38"/>
      <c r="AS66" s="125">
        <f ca="1">(PRÉSENTATION!$F$11-AR66)/365</f>
        <v>114.42739726027398</v>
      </c>
      <c r="AT66" s="40"/>
      <c r="AU66" s="40"/>
      <c r="AV66" s="51"/>
      <c r="AW66" s="51"/>
      <c r="AX66" s="51"/>
      <c r="AY66" s="51"/>
      <c r="AZ66" s="9"/>
      <c r="BA66" s="9"/>
      <c r="BB66" s="65">
        <f t="shared" si="1"/>
        <v>0</v>
      </c>
      <c r="BC66" s="66"/>
      <c r="BD66" s="66"/>
      <c r="BE66" s="66"/>
    </row>
    <row r="67" spans="1:57" s="41" customFormat="1" ht="24.75" hidden="1" customHeight="1" x14ac:dyDescent="0.2">
      <c r="A67" s="111">
        <v>63</v>
      </c>
      <c r="B67" s="147"/>
      <c r="C67" s="9"/>
      <c r="D67" s="9"/>
      <c r="E67" s="25"/>
      <c r="F67" s="215">
        <f ca="1">(PRÉSENTATION!$F$11-E67)/365</f>
        <v>114.42739726027398</v>
      </c>
      <c r="G67" s="20"/>
      <c r="H67" s="20"/>
      <c r="I67" s="24"/>
      <c r="J67" s="128">
        <f ca="1">((PRÉSENTATION!$F$11-I67)/365)</f>
        <v>114.42739726027398</v>
      </c>
      <c r="K67" s="20"/>
      <c r="L67" s="146"/>
      <c r="M67" s="20"/>
      <c r="N67" s="20"/>
      <c r="O67" s="20"/>
      <c r="P67" s="20"/>
      <c r="Q67" s="23"/>
      <c r="R67" s="128">
        <f ca="1">(PRÉSENTATION!$F$11-Q67)/365</f>
        <v>114.42739726027398</v>
      </c>
      <c r="S67" s="20"/>
      <c r="T67" s="20"/>
      <c r="U67" s="20"/>
      <c r="V67" s="20"/>
      <c r="W67" s="38"/>
      <c r="X67" s="116">
        <f ca="1">(PRÉSENTATION!$F$11-W67)/365</f>
        <v>114.42739726027398</v>
      </c>
      <c r="Y67" s="20"/>
      <c r="Z67" s="38"/>
      <c r="AA67" s="128">
        <f ca="1">(PRÉSENTATION!$F$11-Z67)/365</f>
        <v>114.42739726027398</v>
      </c>
      <c r="AB67" s="38"/>
      <c r="AC67" s="128">
        <f ca="1">(PRÉSENTATION!$F$11-AB67)/365</f>
        <v>114.42739726027398</v>
      </c>
      <c r="AD67" s="38"/>
      <c r="AE67" s="128">
        <f ca="1">(PRÉSENTATION!$F$11-AD67)/365</f>
        <v>114.42739726027398</v>
      </c>
      <c r="AF67" s="20"/>
      <c r="AG67" s="20"/>
      <c r="AH67" s="20"/>
      <c r="AI67" s="20"/>
      <c r="AJ67" s="128">
        <f t="shared" si="0"/>
        <v>0</v>
      </c>
      <c r="AK67" s="38"/>
      <c r="AL67" s="38"/>
      <c r="AM67" s="38"/>
      <c r="AN67" s="38"/>
      <c r="AO67" s="38"/>
      <c r="AP67" s="38"/>
      <c r="AQ67" s="38"/>
      <c r="AR67" s="38"/>
      <c r="AS67" s="125">
        <f ca="1">(PRÉSENTATION!$F$11-AR67)/365</f>
        <v>114.42739726027398</v>
      </c>
      <c r="AT67" s="40"/>
      <c r="AU67" s="40"/>
      <c r="AV67" s="51"/>
      <c r="AW67" s="51"/>
      <c r="AX67" s="51"/>
      <c r="AY67" s="51"/>
      <c r="AZ67" s="9"/>
      <c r="BA67" s="9"/>
      <c r="BB67" s="147">
        <f t="shared" si="1"/>
        <v>0</v>
      </c>
      <c r="BC67" s="63"/>
      <c r="BD67" s="63"/>
      <c r="BE67" s="63"/>
    </row>
    <row r="68" spans="1:57" s="10" customFormat="1" ht="20.100000000000001" customHeight="1" thickBot="1" x14ac:dyDescent="0.25">
      <c r="F68" s="216">
        <f ca="1">AVERAGE(F5:F67)</f>
        <v>46.423352902804986</v>
      </c>
      <c r="G68" s="11"/>
      <c r="H68" s="11"/>
      <c r="J68"/>
      <c r="Q68" s="12"/>
      <c r="R68" s="129">
        <f ca="1">AVERAGE(R5:R67)</f>
        <v>17.196868884540127</v>
      </c>
      <c r="S68" s="13"/>
      <c r="AT68" s="127" t="e">
        <f>AVERAGE(AT5:AT67)</f>
        <v>#DIV/0!</v>
      </c>
      <c r="AU68" s="127" t="e">
        <f>AVERAGE(AU5:AU67)</f>
        <v>#DIV/0!</v>
      </c>
      <c r="AV68" s="50"/>
      <c r="AW68" s="50"/>
      <c r="AX68" s="50"/>
      <c r="AY68" s="50"/>
      <c r="AZ68" s="41"/>
      <c r="BA68" s="41"/>
      <c r="BB68" s="41"/>
      <c r="BC68" s="41"/>
      <c r="BD68" s="41"/>
      <c r="BE68" s="41"/>
    </row>
    <row r="69" spans="1:57" s="10" customFormat="1" ht="20.100000000000001" customHeight="1" thickBot="1" x14ac:dyDescent="0.25">
      <c r="F69" s="27"/>
      <c r="G69" s="11"/>
      <c r="H69" s="11"/>
      <c r="J69" s="27"/>
      <c r="Q69" s="12"/>
      <c r="R69" s="27"/>
      <c r="S69" s="13"/>
      <c r="AZ69" s="41"/>
      <c r="BA69" s="41"/>
      <c r="BB69" s="41"/>
      <c r="BC69" s="41"/>
      <c r="BD69" s="41"/>
      <c r="BE69" s="41"/>
    </row>
    <row r="70" spans="1:57" s="14" customFormat="1" ht="25.5" x14ac:dyDescent="0.2">
      <c r="B70" s="218" t="s">
        <v>481</v>
      </c>
      <c r="C70" s="219" t="s">
        <v>29</v>
      </c>
      <c r="D70" s="130">
        <f>SUMPRODUCT((D5:D68="F")*(L5:L68="MATERNELLE"))</f>
        <v>13</v>
      </c>
      <c r="E70" s="131">
        <f>D70/$B$71</f>
        <v>0.65</v>
      </c>
      <c r="Q70" s="15"/>
      <c r="R70" s="15"/>
      <c r="S70" s="16"/>
      <c r="AZ70" s="41"/>
      <c r="BA70" s="41"/>
      <c r="BB70" s="41"/>
      <c r="BC70" s="41"/>
      <c r="BD70" s="41"/>
      <c r="BE70" s="41"/>
    </row>
    <row r="71" spans="1:57" s="14" customFormat="1" ht="15.75" x14ac:dyDescent="0.2">
      <c r="B71" s="220">
        <f>COUNTIF(L5:L68,"MATERNELLE")</f>
        <v>20</v>
      </c>
      <c r="C71" s="221" t="s">
        <v>31</v>
      </c>
      <c r="D71" s="222">
        <f>SUMPRODUCT((D5:D68="M")*(L5:L68="MATERNELLE"))</f>
        <v>7</v>
      </c>
      <c r="E71" s="223">
        <f>D71/$B$71</f>
        <v>0.35</v>
      </c>
      <c r="R71" s="15"/>
      <c r="S71" s="16"/>
      <c r="BB71" s="41"/>
      <c r="BC71" s="41"/>
      <c r="BD71" s="41"/>
      <c r="BE71" s="41"/>
    </row>
    <row r="72" spans="1:57" s="14" customFormat="1" ht="13.5" thickBot="1" x14ac:dyDescent="0.25">
      <c r="B72" s="231" t="s">
        <v>52</v>
      </c>
      <c r="C72" s="232">
        <f>SUMPRODUCT(($T$5:$T$68="RL")*($L$5:$L$68="MATERNELLE"))</f>
        <v>11</v>
      </c>
      <c r="D72" s="233">
        <f>C72/$B$71</f>
        <v>0.55000000000000004</v>
      </c>
      <c r="E72" s="229"/>
      <c r="R72" s="15"/>
      <c r="S72" s="16"/>
      <c r="BB72" s="41"/>
      <c r="BC72" s="41"/>
      <c r="BD72" s="41"/>
      <c r="BE72" s="41"/>
    </row>
    <row r="73" spans="1:57" s="14" customFormat="1" x14ac:dyDescent="0.2">
      <c r="B73" s="237" t="s">
        <v>53</v>
      </c>
      <c r="C73" s="238">
        <f>SUMPRODUCT(($T$5:$T$68="Résident")*($L$5:$L$68="MATERNELLE"))</f>
        <v>8</v>
      </c>
      <c r="D73" s="239">
        <f>C73/$B$71</f>
        <v>0.4</v>
      </c>
      <c r="E73" s="280">
        <f>SUM(D73,D74)</f>
        <v>0.4</v>
      </c>
      <c r="F73"/>
      <c r="R73" s="15"/>
      <c r="S73" s="16"/>
      <c r="BB73" s="41"/>
      <c r="BC73" s="41"/>
      <c r="BD73" s="41"/>
      <c r="BE73" s="41"/>
    </row>
    <row r="74" spans="1:57" s="14" customFormat="1" ht="13.5" thickBot="1" x14ac:dyDescent="0.25">
      <c r="B74" s="224" t="s">
        <v>231</v>
      </c>
      <c r="C74" s="228">
        <f>SUMPRODUCT(($T$5:$T$68="TNR")*($L$5:$L$68="MATERNELLE"))</f>
        <v>0</v>
      </c>
      <c r="D74" s="225">
        <f>C74/$B$71</f>
        <v>0</v>
      </c>
      <c r="E74" s="281"/>
      <c r="F74"/>
      <c r="R74" s="15"/>
      <c r="S74" s="16"/>
      <c r="BB74" s="41"/>
      <c r="BC74" s="41"/>
      <c r="BD74" s="41"/>
      <c r="BE74" s="41"/>
    </row>
    <row r="75" spans="1:57" s="14" customFormat="1" ht="13.5" thickBot="1" x14ac:dyDescent="0.25">
      <c r="B75" s="249" t="s">
        <v>232</v>
      </c>
      <c r="C75" s="250">
        <f>SUMPRODUCT(($T$5:$T$68="TNR privé")*($L$5:$L$68="MATERNELLE"))</f>
        <v>0</v>
      </c>
      <c r="D75" s="251">
        <f>C75/$B$71</f>
        <v>0</v>
      </c>
      <c r="E75" s="252"/>
      <c r="F75"/>
      <c r="R75" s="15"/>
      <c r="S75" s="16"/>
      <c r="BB75" s="41"/>
      <c r="BC75" s="41"/>
      <c r="BD75" s="41"/>
      <c r="BE75" s="41"/>
    </row>
    <row r="76" spans="1:57" s="14" customFormat="1" x14ac:dyDescent="0.2">
      <c r="B76" s="234" t="s">
        <v>485</v>
      </c>
      <c r="C76" s="235">
        <f>COUNTIFS(L5:L68,"MATERNELLE",T5:T68,"Expatrié")</f>
        <v>1</v>
      </c>
      <c r="D76" s="236">
        <f>C76/$B$71</f>
        <v>0.05</v>
      </c>
      <c r="E76" s="244"/>
      <c r="F76"/>
      <c r="R76" s="15"/>
      <c r="S76" s="16"/>
      <c r="BB76" s="94"/>
      <c r="BC76" s="94"/>
      <c r="BD76" s="94"/>
      <c r="BE76" s="94"/>
    </row>
    <row r="77" spans="1:57" s="29" customFormat="1" ht="8.1" customHeight="1" thickBot="1" x14ac:dyDescent="0.25">
      <c r="B77" s="187"/>
      <c r="C77" s="187"/>
      <c r="D77" s="188"/>
      <c r="E77" s="188"/>
      <c r="F77"/>
      <c r="R77" s="30"/>
      <c r="BB77" s="41"/>
      <c r="BC77" s="41"/>
      <c r="BD77" s="41"/>
      <c r="BE77" s="41"/>
    </row>
    <row r="78" spans="1:57" s="29" customFormat="1" ht="24.75" customHeight="1" x14ac:dyDescent="0.2">
      <c r="B78" s="226" t="s">
        <v>482</v>
      </c>
      <c r="C78" s="219" t="s">
        <v>29</v>
      </c>
      <c r="D78" s="130">
        <f>SUMPRODUCT((D5:D68="F")*(L5:L68="ELEMENTAIRE"))</f>
        <v>21</v>
      </c>
      <c r="E78" s="131">
        <f>D78/$B$79</f>
        <v>0.56756756756756754</v>
      </c>
      <c r="F78"/>
      <c r="BB78" s="41"/>
      <c r="BC78" s="41"/>
      <c r="BD78" s="41"/>
      <c r="BE78" s="41"/>
    </row>
    <row r="79" spans="1:57" s="29" customFormat="1" ht="15.75" x14ac:dyDescent="0.2">
      <c r="B79" s="220">
        <f>COUNTIF(L5:L68,"ELEMENTAIRE")</f>
        <v>37</v>
      </c>
      <c r="C79" s="221" t="s">
        <v>31</v>
      </c>
      <c r="D79" s="222">
        <f>SUMPRODUCT((D5:D68="M")*(L5:L68="ELEMENTAIRE"))</f>
        <v>16</v>
      </c>
      <c r="E79" s="223">
        <f>D79/$B$79</f>
        <v>0.43243243243243246</v>
      </c>
      <c r="F79"/>
      <c r="BB79" s="41"/>
      <c r="BC79" s="41"/>
      <c r="BD79" s="41"/>
      <c r="BE79" s="41"/>
    </row>
    <row r="80" spans="1:57" s="29" customFormat="1" ht="13.5" thickBot="1" x14ac:dyDescent="0.25">
      <c r="B80" s="231" t="s">
        <v>52</v>
      </c>
      <c r="C80" s="232">
        <f>SUMPRODUCT(($T$5:$T$68="RL")*($L$5:$L$68="ELEMENTAIRE"))</f>
        <v>23</v>
      </c>
      <c r="D80" s="233">
        <f>C80/$B$79</f>
        <v>0.6216216216216216</v>
      </c>
      <c r="E80" s="229"/>
      <c r="F80"/>
      <c r="R80" s="30"/>
      <c r="BB80" s="41"/>
      <c r="BC80" s="41"/>
      <c r="BD80" s="41"/>
      <c r="BE80" s="41"/>
    </row>
    <row r="81" spans="2:57" s="14" customFormat="1" x14ac:dyDescent="0.2">
      <c r="B81" s="237" t="s">
        <v>53</v>
      </c>
      <c r="C81" s="238">
        <f>SUMPRODUCT(($T$5:$T$68="Résident")*($L$5:$L$68="ELEMENTAIRE"))</f>
        <v>11</v>
      </c>
      <c r="D81" s="239">
        <f>C81/$B$79</f>
        <v>0.29729729729729731</v>
      </c>
      <c r="E81" s="280">
        <f>SUM(D81,D82)</f>
        <v>0.29729729729729731</v>
      </c>
      <c r="F81"/>
      <c r="R81" s="15"/>
      <c r="S81" s="16"/>
      <c r="BB81" s="41"/>
      <c r="BC81" s="41"/>
      <c r="BD81" s="41"/>
      <c r="BE81" s="41"/>
    </row>
    <row r="82" spans="2:57" s="14" customFormat="1" ht="13.5" thickBot="1" x14ac:dyDescent="0.25">
      <c r="B82" s="224" t="s">
        <v>231</v>
      </c>
      <c r="C82" s="228">
        <f>SUMPRODUCT(($T$5:$T$68="TNR")*($L$5:$L$68="ELEMENTAIRE"))</f>
        <v>0</v>
      </c>
      <c r="D82" s="225">
        <f>C82/$B$79</f>
        <v>0</v>
      </c>
      <c r="E82" s="281"/>
      <c r="F82"/>
      <c r="R82" s="15"/>
      <c r="S82" s="16"/>
      <c r="BB82" s="41"/>
      <c r="BC82" s="41"/>
      <c r="BD82" s="41"/>
      <c r="BE82" s="41"/>
    </row>
    <row r="83" spans="2:57" s="14" customFormat="1" x14ac:dyDescent="0.2">
      <c r="B83" s="237" t="s">
        <v>232</v>
      </c>
      <c r="C83" s="238">
        <f>SUMPRODUCT(($T$5:$T$68="TNR privé")*($L$5:$L$68="ELEMENTAIRE"))</f>
        <v>1</v>
      </c>
      <c r="D83" s="239">
        <f>C83/$B$79</f>
        <v>2.7027027027027029E-2</v>
      </c>
      <c r="E83" s="253"/>
      <c r="F83"/>
      <c r="R83" s="15"/>
      <c r="S83" s="16"/>
      <c r="BB83" s="41"/>
      <c r="BC83" s="41"/>
      <c r="BD83" s="41"/>
      <c r="BE83" s="41"/>
    </row>
    <row r="84" spans="2:57" s="14" customFormat="1" ht="13.5" thickBot="1" x14ac:dyDescent="0.25">
      <c r="B84" s="254" t="s">
        <v>485</v>
      </c>
      <c r="C84" s="261">
        <f>SUMPRODUCT(($T$5:$T$68="Expatrié")*($L$5:$L$68="ELEMENTAIRE"))</f>
        <v>2</v>
      </c>
      <c r="D84" s="255">
        <f>C84/$B$79</f>
        <v>5.4054054054054057E-2</v>
      </c>
      <c r="E84" s="230"/>
      <c r="F84"/>
      <c r="R84" s="15"/>
      <c r="S84" s="16"/>
      <c r="BB84" s="94"/>
      <c r="BC84" s="94"/>
      <c r="BD84" s="94"/>
      <c r="BE84" s="94"/>
    </row>
    <row r="85" spans="2:57" s="14" customFormat="1" ht="13.5" thickBot="1" x14ac:dyDescent="0.25">
      <c r="B85" s="217"/>
      <c r="C85" s="217"/>
      <c r="D85" s="217"/>
      <c r="E85" s="217"/>
      <c r="F85"/>
      <c r="R85" s="42"/>
      <c r="S85" s="16"/>
      <c r="BB85" s="41"/>
      <c r="BC85" s="41"/>
      <c r="BD85" s="41"/>
      <c r="BE85" s="41"/>
    </row>
    <row r="86" spans="2:57" s="14" customFormat="1" ht="25.5" x14ac:dyDescent="0.2">
      <c r="B86" s="227" t="s">
        <v>483</v>
      </c>
      <c r="C86" s="219" t="s">
        <v>29</v>
      </c>
      <c r="D86" s="130">
        <f>COUNTIF(D5:D68,"F")</f>
        <v>36</v>
      </c>
      <c r="E86" s="131">
        <f>D86/$B$87</f>
        <v>0.61016949152542377</v>
      </c>
      <c r="F86"/>
      <c r="R86" s="42"/>
      <c r="S86" s="16"/>
      <c r="BB86" s="94"/>
      <c r="BC86" s="94"/>
      <c r="BD86" s="94"/>
      <c r="BE86" s="94"/>
    </row>
    <row r="87" spans="2:57" s="14" customFormat="1" ht="15.75" x14ac:dyDescent="0.2">
      <c r="B87" s="220">
        <f>B71+B79+COUNTIF(L5:L68,"PRIMAIRE")</f>
        <v>59</v>
      </c>
      <c r="C87" s="221" t="s">
        <v>31</v>
      </c>
      <c r="D87" s="222">
        <f>COUNTIF(D5:D68,"M")</f>
        <v>23</v>
      </c>
      <c r="E87" s="223">
        <f>D87/$B$87</f>
        <v>0.38983050847457629</v>
      </c>
      <c r="F87"/>
      <c r="R87" s="42"/>
      <c r="S87" s="16"/>
      <c r="BB87" s="94"/>
      <c r="BC87" s="94"/>
      <c r="BD87" s="94"/>
      <c r="BE87" s="94"/>
    </row>
    <row r="88" spans="2:57" s="14" customFormat="1" ht="13.5" thickBot="1" x14ac:dyDescent="0.25">
      <c r="B88" s="231" t="s">
        <v>52</v>
      </c>
      <c r="C88" s="232">
        <f>C72+C80</f>
        <v>34</v>
      </c>
      <c r="D88" s="233">
        <f>C88/$B$87</f>
        <v>0.57627118644067798</v>
      </c>
      <c r="E88" s="229"/>
      <c r="F88"/>
      <c r="R88" s="42"/>
      <c r="S88" s="16"/>
      <c r="BB88" s="94"/>
      <c r="BC88" s="94"/>
      <c r="BD88" s="94"/>
      <c r="BE88" s="94"/>
    </row>
    <row r="89" spans="2:57" s="14" customFormat="1" x14ac:dyDescent="0.2">
      <c r="B89" s="237" t="s">
        <v>53</v>
      </c>
      <c r="C89" s="238">
        <f>C73+C81</f>
        <v>19</v>
      </c>
      <c r="D89" s="239">
        <f>C89/$B$87</f>
        <v>0.32203389830508472</v>
      </c>
      <c r="E89" s="280">
        <f>SUM(D89,D90)</f>
        <v>0.32203389830508472</v>
      </c>
      <c r="F89"/>
      <c r="R89" s="42"/>
      <c r="S89" s="16"/>
      <c r="BB89" s="94"/>
      <c r="BC89" s="94"/>
      <c r="BD89" s="94"/>
      <c r="BE89" s="94"/>
    </row>
    <row r="90" spans="2:57" s="14" customFormat="1" ht="13.5" thickBot="1" x14ac:dyDescent="0.25">
      <c r="B90" s="224" t="s">
        <v>231</v>
      </c>
      <c r="C90" s="228">
        <f>C74+C82</f>
        <v>0</v>
      </c>
      <c r="D90" s="225">
        <f>C90/$B$87</f>
        <v>0</v>
      </c>
      <c r="E90" s="281"/>
      <c r="F90"/>
      <c r="R90" s="42"/>
      <c r="S90" s="16"/>
      <c r="BB90" s="41"/>
      <c r="BC90" s="41"/>
      <c r="BD90" s="41"/>
      <c r="BE90" s="41"/>
    </row>
    <row r="91" spans="2:57" s="29" customFormat="1" x14ac:dyDescent="0.2">
      <c r="B91" s="234" t="s">
        <v>232</v>
      </c>
      <c r="C91" s="235">
        <f>C75+C83</f>
        <v>1</v>
      </c>
      <c r="D91" s="236">
        <f>C91/$B$87</f>
        <v>1.6949152542372881E-2</v>
      </c>
      <c r="E91" s="229"/>
      <c r="F91" s="14"/>
      <c r="R91" s="42"/>
      <c r="BB91" s="41"/>
      <c r="BC91" s="41"/>
      <c r="BD91" s="41"/>
      <c r="BE91" s="41"/>
    </row>
    <row r="92" spans="2:57" s="14" customFormat="1" ht="13.5" thickBot="1" x14ac:dyDescent="0.25">
      <c r="B92" s="224" t="s">
        <v>230</v>
      </c>
      <c r="C92" s="228">
        <f>C76+C84</f>
        <v>3</v>
      </c>
      <c r="D92" s="225">
        <f>C92/$B$87</f>
        <v>5.0847457627118647E-2</v>
      </c>
      <c r="E92" s="230"/>
      <c r="R92" s="42"/>
      <c r="S92" s="16"/>
      <c r="BB92" s="41"/>
      <c r="BC92" s="41"/>
      <c r="BD92" s="41"/>
      <c r="BE92" s="41"/>
    </row>
    <row r="93" spans="2:57" s="14" customFormat="1" x14ac:dyDescent="0.2">
      <c r="B93" s="17"/>
      <c r="C93"/>
      <c r="D93"/>
      <c r="R93" s="42"/>
      <c r="S93" s="16"/>
      <c r="AK93" s="15"/>
      <c r="AL93" s="15"/>
      <c r="AM93" s="15"/>
      <c r="AN93" s="15"/>
      <c r="AO93" s="15"/>
      <c r="AP93" s="15"/>
      <c r="AQ93" s="15"/>
      <c r="AR93" s="15"/>
      <c r="BB93" s="41"/>
      <c r="BC93" s="41"/>
      <c r="BD93" s="41"/>
      <c r="BE93" s="41"/>
    </row>
    <row r="94" spans="2:57" s="14" customFormat="1" ht="13.5" thickBot="1" x14ac:dyDescent="0.25">
      <c r="B94" s="17"/>
      <c r="C94"/>
      <c r="D94"/>
      <c r="R94" s="15"/>
      <c r="S94" s="16"/>
      <c r="AK94" s="15"/>
      <c r="AL94" s="15"/>
      <c r="AM94" s="15"/>
      <c r="AN94" s="15"/>
      <c r="AO94" s="15"/>
      <c r="AP94" s="15"/>
      <c r="AQ94" s="15"/>
      <c r="AR94" s="15"/>
      <c r="BB94" s="41"/>
      <c r="BC94" s="41"/>
      <c r="BD94" s="41"/>
      <c r="BE94" s="41"/>
    </row>
    <row r="95" spans="2:57" s="14" customFormat="1" ht="21.75" thickBot="1" x14ac:dyDescent="0.25">
      <c r="B95" s="37" t="s">
        <v>21</v>
      </c>
      <c r="C95" s="134" t="s">
        <v>304</v>
      </c>
      <c r="D95" s="135" t="s">
        <v>305</v>
      </c>
      <c r="E95" s="135" t="s">
        <v>306</v>
      </c>
      <c r="F95" s="35" t="s">
        <v>42</v>
      </c>
      <c r="H95" s="284" t="s">
        <v>308</v>
      </c>
      <c r="I95" s="8" t="s">
        <v>33</v>
      </c>
      <c r="J95" s="69" t="s">
        <v>2</v>
      </c>
      <c r="K95" s="69" t="s">
        <v>3</v>
      </c>
      <c r="L95" s="69" t="s">
        <v>11</v>
      </c>
      <c r="M95" s="69" t="s">
        <v>486</v>
      </c>
      <c r="N95" s="70" t="s">
        <v>487</v>
      </c>
      <c r="O95" s="266"/>
      <c r="S95" s="16"/>
      <c r="AK95" s="15"/>
      <c r="AL95" s="15"/>
      <c r="AM95" s="15"/>
      <c r="AN95" s="15"/>
      <c r="AO95" s="15"/>
      <c r="AP95" s="15"/>
      <c r="AQ95" s="15"/>
      <c r="AR95" s="15"/>
      <c r="BB95" s="41"/>
      <c r="BC95" s="41"/>
      <c r="BD95" s="41"/>
      <c r="BE95" s="41"/>
    </row>
    <row r="96" spans="2:57" s="14" customFormat="1" x14ac:dyDescent="0.2">
      <c r="B96" s="49">
        <v>2005</v>
      </c>
      <c r="C96" s="143"/>
      <c r="D96" s="144"/>
      <c r="E96" s="144"/>
      <c r="F96" s="141">
        <f>SUM(C96:E96)</f>
        <v>0</v>
      </c>
      <c r="H96" s="285"/>
      <c r="I96" s="240" t="s">
        <v>488</v>
      </c>
      <c r="J96" s="265">
        <f ca="1">SUMPRODUCT(($L$5:$L$68="MATERNELLE")*($F$5:$F$68="&lt;30"))</f>
        <v>0</v>
      </c>
      <c r="K96" s="265">
        <f ca="1">SUMPRODUCT(($F$5:$F$68="&lt;41")*($L$5:$L$68="MATERNELLE"))-J96</f>
        <v>0</v>
      </c>
      <c r="L96" s="265">
        <f ca="1">SUMPRODUCT(($F$5:$F$68="&lt;51")*($L$5:$L$68="MATERNELLE"))-J96-K96</f>
        <v>0</v>
      </c>
      <c r="M96" s="265">
        <f ca="1">SUMPRODUCT(($F$5:$F$68="&lt;61")*($L$5:$L$68="MATERNELLE"))-L96-K96-J96</f>
        <v>0</v>
      </c>
      <c r="N96" s="265">
        <f ca="1">SUMPRODUCT(($F$5:$F$68="&gt;60")*($L$5:$L$68="MATERNELLE"))</f>
        <v>0</v>
      </c>
      <c r="O96" s="266"/>
      <c r="S96" s="16"/>
      <c r="AK96" s="15"/>
      <c r="AL96" s="15"/>
      <c r="AM96" s="15"/>
      <c r="AN96" s="15"/>
      <c r="AO96" s="15"/>
      <c r="AP96" s="15"/>
      <c r="AQ96" s="15"/>
      <c r="AR96" s="15"/>
      <c r="BB96" s="41"/>
      <c r="BC96" s="41"/>
      <c r="BD96" s="41"/>
      <c r="BE96" s="41"/>
    </row>
    <row r="97" spans="2:57" s="14" customFormat="1" ht="13.5" thickBot="1" x14ac:dyDescent="0.25">
      <c r="B97" s="31">
        <v>2006</v>
      </c>
      <c r="C97" s="33"/>
      <c r="D97" s="9"/>
      <c r="E97" s="9"/>
      <c r="F97" s="142">
        <f t="shared" ref="F97:F109" si="4">SUM(C97:E97)</f>
        <v>0</v>
      </c>
      <c r="H97" s="286"/>
      <c r="I97" s="241" t="s">
        <v>34</v>
      </c>
      <c r="J97" s="242">
        <f ca="1">J96/$B$71</f>
        <v>0</v>
      </c>
      <c r="K97" s="242">
        <f ca="1">K96/$B$71</f>
        <v>0</v>
      </c>
      <c r="L97" s="242">
        <f ca="1">L96/$B$71</f>
        <v>0</v>
      </c>
      <c r="M97" s="242">
        <f ca="1">M96/$B$71</f>
        <v>0</v>
      </c>
      <c r="N97" s="243">
        <f ca="1">N96/$B$71</f>
        <v>0</v>
      </c>
      <c r="O97" s="266"/>
      <c r="S97" s="16"/>
      <c r="AK97" s="15"/>
      <c r="AL97" s="15"/>
      <c r="AM97" s="15"/>
      <c r="AN97" s="15"/>
      <c r="AO97" s="15"/>
      <c r="AP97" s="15"/>
      <c r="AQ97" s="15"/>
      <c r="AR97" s="15"/>
      <c r="BB97" s="41"/>
      <c r="BC97" s="41"/>
      <c r="BD97" s="41"/>
      <c r="BE97" s="41"/>
    </row>
    <row r="98" spans="2:57" s="14" customFormat="1" ht="13.5" thickBot="1" x14ac:dyDescent="0.25">
      <c r="B98" s="31">
        <v>2007</v>
      </c>
      <c r="C98" s="33"/>
      <c r="D98" s="9"/>
      <c r="E98" s="9"/>
      <c r="F98" s="142">
        <f t="shared" si="4"/>
        <v>0</v>
      </c>
      <c r="H98" s="244"/>
      <c r="I98" s="189"/>
      <c r="J98" s="189"/>
      <c r="K98" s="189"/>
      <c r="L98" s="189"/>
      <c r="M98" s="189"/>
      <c r="N98" s="189"/>
      <c r="O98" s="267"/>
      <c r="P98" s="42"/>
      <c r="Q98" s="42"/>
      <c r="S98" s="16"/>
      <c r="AK98" s="15"/>
      <c r="AL98" s="15"/>
      <c r="AM98" s="15"/>
      <c r="AN98" s="15"/>
      <c r="AO98" s="15"/>
      <c r="AP98" s="15"/>
      <c r="AQ98" s="15"/>
      <c r="AR98" s="15"/>
      <c r="BB98" s="41"/>
      <c r="BC98" s="41"/>
      <c r="BD98" s="41"/>
      <c r="BE98" s="41"/>
    </row>
    <row r="99" spans="2:57" s="14" customFormat="1" x14ac:dyDescent="0.2">
      <c r="B99" s="31">
        <v>2008</v>
      </c>
      <c r="C99" s="33"/>
      <c r="D99" s="9"/>
      <c r="E99" s="9"/>
      <c r="F99" s="142">
        <f t="shared" si="4"/>
        <v>0</v>
      </c>
      <c r="H99" s="284" t="s">
        <v>309</v>
      </c>
      <c r="I99" s="8" t="s">
        <v>33</v>
      </c>
      <c r="J99" s="69" t="s">
        <v>2</v>
      </c>
      <c r="K99" s="69" t="s">
        <v>3</v>
      </c>
      <c r="L99" s="69" t="s">
        <v>11</v>
      </c>
      <c r="M99" s="69" t="s">
        <v>486</v>
      </c>
      <c r="N99" s="70" t="s">
        <v>487</v>
      </c>
      <c r="O99" s="266"/>
      <c r="P99" s="42"/>
      <c r="Q99" s="42"/>
      <c r="S99" s="16"/>
      <c r="AK99" s="15"/>
      <c r="AL99" s="15"/>
      <c r="AM99" s="15"/>
      <c r="AN99" s="15"/>
      <c r="AO99" s="15"/>
      <c r="AP99" s="15"/>
      <c r="AQ99" s="15"/>
      <c r="AR99" s="15"/>
      <c r="BB99" s="41"/>
      <c r="BC99" s="41"/>
      <c r="BD99" s="41"/>
      <c r="BE99" s="41"/>
    </row>
    <row r="100" spans="2:57" s="14" customFormat="1" x14ac:dyDescent="0.2">
      <c r="B100" s="31">
        <v>2009</v>
      </c>
      <c r="C100" s="33"/>
      <c r="D100" s="9"/>
      <c r="E100" s="9"/>
      <c r="F100" s="142">
        <f t="shared" si="4"/>
        <v>0</v>
      </c>
      <c r="H100" s="285"/>
      <c r="I100" s="240" t="s">
        <v>488</v>
      </c>
      <c r="J100" s="262"/>
      <c r="K100" s="263"/>
      <c r="L100" s="263"/>
      <c r="M100" s="263"/>
      <c r="N100" s="264"/>
      <c r="O100" s="266"/>
      <c r="P100" s="42"/>
      <c r="Q100" s="42"/>
      <c r="S100" s="16"/>
      <c r="AA100" s="29"/>
      <c r="AC100" s="29"/>
      <c r="AE100" s="29"/>
      <c r="AF100" s="29"/>
      <c r="AG100" s="29"/>
      <c r="AH100" s="29"/>
      <c r="AI100" s="29"/>
      <c r="AJ100" s="29"/>
      <c r="AK100" s="30"/>
      <c r="AL100" s="30"/>
      <c r="AM100" s="30"/>
      <c r="AN100" s="30"/>
      <c r="AO100" s="30"/>
      <c r="AP100" s="30"/>
      <c r="AQ100" s="30"/>
      <c r="AR100" s="30"/>
      <c r="BB100" s="41"/>
      <c r="BC100" s="41"/>
      <c r="BD100" s="41"/>
      <c r="BE100" s="41"/>
    </row>
    <row r="101" spans="2:57" s="14" customFormat="1" ht="13.5" thickBot="1" x14ac:dyDescent="0.25">
      <c r="B101" s="31">
        <v>2010</v>
      </c>
      <c r="C101" s="33"/>
      <c r="D101" s="9"/>
      <c r="E101" s="9"/>
      <c r="F101" s="142">
        <f t="shared" si="4"/>
        <v>0</v>
      </c>
      <c r="H101" s="286"/>
      <c r="I101" s="241" t="s">
        <v>34</v>
      </c>
      <c r="J101" s="242">
        <f>J100/$B$79</f>
        <v>0</v>
      </c>
      <c r="K101" s="242">
        <f t="shared" ref="K101:N101" si="5">K100/$B$79</f>
        <v>0</v>
      </c>
      <c r="L101" s="242">
        <f t="shared" si="5"/>
        <v>0</v>
      </c>
      <c r="M101" s="242">
        <f t="shared" si="5"/>
        <v>0</v>
      </c>
      <c r="N101" s="242">
        <f t="shared" si="5"/>
        <v>0</v>
      </c>
      <c r="O101" s="266"/>
      <c r="S101" s="16"/>
      <c r="AA101" s="29"/>
      <c r="AC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BB101" s="41"/>
      <c r="BC101" s="41"/>
      <c r="BD101" s="41"/>
      <c r="BE101" s="41"/>
    </row>
    <row r="102" spans="2:57" s="14" customFormat="1" ht="13.5" thickBot="1" x14ac:dyDescent="0.25">
      <c r="B102" s="31">
        <v>2011</v>
      </c>
      <c r="C102" s="33"/>
      <c r="D102" s="9"/>
      <c r="E102" s="9"/>
      <c r="F102" s="142">
        <f t="shared" si="4"/>
        <v>0</v>
      </c>
      <c r="H102" s="244"/>
      <c r="I102" s="245"/>
      <c r="J102" s="244"/>
      <c r="K102" s="244"/>
      <c r="L102" s="244"/>
      <c r="M102" s="244"/>
      <c r="N102" s="244"/>
      <c r="S102" s="16"/>
      <c r="AA102" s="29"/>
      <c r="AC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BB102" s="41"/>
      <c r="BC102" s="41"/>
      <c r="BD102" s="41"/>
      <c r="BE102" s="41"/>
    </row>
    <row r="103" spans="2:57" s="14" customFormat="1" x14ac:dyDescent="0.2">
      <c r="B103" s="31">
        <v>2012</v>
      </c>
      <c r="C103" s="33"/>
      <c r="D103" s="9"/>
      <c r="E103" s="9"/>
      <c r="F103" s="142">
        <f t="shared" si="4"/>
        <v>0</v>
      </c>
      <c r="H103" s="284" t="s">
        <v>43</v>
      </c>
      <c r="I103" s="8" t="s">
        <v>33</v>
      </c>
      <c r="J103" s="69" t="s">
        <v>2</v>
      </c>
      <c r="K103" s="69" t="s">
        <v>3</v>
      </c>
      <c r="L103" s="69" t="s">
        <v>11</v>
      </c>
      <c r="M103" s="69" t="s">
        <v>486</v>
      </c>
      <c r="N103" s="70" t="s">
        <v>487</v>
      </c>
      <c r="O103"/>
      <c r="S103" s="16"/>
      <c r="AA103" s="29"/>
      <c r="AC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BB103" s="41"/>
      <c r="BC103" s="41"/>
      <c r="BD103" s="41"/>
      <c r="BE103" s="41"/>
    </row>
    <row r="104" spans="2:57" s="14" customFormat="1" x14ac:dyDescent="0.2">
      <c r="B104" s="31">
        <v>2013</v>
      </c>
      <c r="C104" s="136"/>
      <c r="D104" s="137"/>
      <c r="E104" s="137"/>
      <c r="F104" s="142">
        <f t="shared" si="4"/>
        <v>0</v>
      </c>
      <c r="H104" s="285"/>
      <c r="I104" s="240" t="s">
        <v>488</v>
      </c>
      <c r="J104" s="257">
        <f ca="1">COUNTIF($F$5:$F$63,"&lt;30")</f>
        <v>4</v>
      </c>
      <c r="K104" s="257">
        <f ca="1">COUNTIF($F$5:$F$63,"&lt;41")-J104</f>
        <v>24</v>
      </c>
      <c r="L104" s="257">
        <f ca="1">COUNTIF($F$5:$F$63,"&lt;51")-K104-J104</f>
        <v>20</v>
      </c>
      <c r="M104" s="257">
        <f ca="1">COUNTIF($F$5:$F$63,"&lt;61")-L104-K104-J104</f>
        <v>9</v>
      </c>
      <c r="N104" s="259">
        <f ca="1">COUNTIF($F$5:$F$63,"&gt;61")</f>
        <v>2</v>
      </c>
      <c r="O104" s="258"/>
      <c r="Q104" s="15"/>
      <c r="R104" s="15"/>
      <c r="S104" s="16"/>
      <c r="AA104" s="29"/>
      <c r="AC104" s="29"/>
      <c r="AE104" s="29"/>
      <c r="AF104" s="29"/>
      <c r="AG104" s="29"/>
      <c r="AH104" s="29"/>
      <c r="AI104" s="29"/>
      <c r="AJ104" s="29"/>
      <c r="AK104" s="30"/>
      <c r="AL104" s="30"/>
      <c r="AM104" s="30"/>
      <c r="AN104" s="30"/>
      <c r="AO104" s="30"/>
      <c r="AP104" s="30"/>
      <c r="AQ104" s="30"/>
      <c r="AR104" s="30"/>
      <c r="BB104" s="41"/>
      <c r="BC104" s="41"/>
      <c r="BD104" s="41"/>
      <c r="BE104" s="41"/>
    </row>
    <row r="105" spans="2:57" s="14" customFormat="1" ht="13.5" thickBot="1" x14ac:dyDescent="0.25">
      <c r="B105" s="31">
        <v>2014</v>
      </c>
      <c r="C105" s="136"/>
      <c r="D105" s="137"/>
      <c r="E105" s="137"/>
      <c r="F105" s="142">
        <f t="shared" si="4"/>
        <v>0</v>
      </c>
      <c r="H105" s="286"/>
      <c r="I105" s="241" t="s">
        <v>34</v>
      </c>
      <c r="J105" s="242">
        <f ca="1">J104/$B$87</f>
        <v>6.7796610169491525E-2</v>
      </c>
      <c r="K105" s="242">
        <f t="shared" ref="K105:N105" ca="1" si="6">K104/$B$87</f>
        <v>0.40677966101694918</v>
      </c>
      <c r="L105" s="242">
        <f t="shared" ca="1" si="6"/>
        <v>0.33898305084745761</v>
      </c>
      <c r="M105" s="242">
        <f t="shared" ca="1" si="6"/>
        <v>0.15254237288135594</v>
      </c>
      <c r="N105" s="242">
        <f t="shared" ca="1" si="6"/>
        <v>3.3898305084745763E-2</v>
      </c>
      <c r="O105" s="260"/>
      <c r="Q105" s="15"/>
      <c r="R105" s="15"/>
      <c r="S105" s="16"/>
      <c r="AK105" s="15"/>
      <c r="AL105" s="15"/>
      <c r="AM105" s="15"/>
      <c r="AN105" s="15"/>
      <c r="AO105" s="15"/>
      <c r="AP105" s="15"/>
      <c r="AQ105" s="15"/>
      <c r="AR105" s="15"/>
      <c r="BB105" s="41"/>
      <c r="BC105" s="41"/>
      <c r="BD105" s="41"/>
      <c r="BE105" s="41"/>
    </row>
    <row r="106" spans="2:57" s="14" customFormat="1" ht="13.5" thickBot="1" x14ac:dyDescent="0.25">
      <c r="B106" s="31">
        <v>2015</v>
      </c>
      <c r="C106" s="136"/>
      <c r="D106" s="137"/>
      <c r="E106" s="137"/>
      <c r="F106" s="142">
        <f t="shared" si="4"/>
        <v>0</v>
      </c>
      <c r="H106" s="244"/>
      <c r="I106" s="244"/>
      <c r="J106" s="244"/>
      <c r="K106" s="244"/>
      <c r="Q106" s="15"/>
      <c r="R106" s="15"/>
      <c r="S106" s="16"/>
      <c r="AK106" s="15"/>
      <c r="AL106" s="15"/>
      <c r="AM106" s="15"/>
      <c r="AN106" s="15"/>
      <c r="AO106" s="15"/>
      <c r="AP106" s="15"/>
      <c r="AQ106" s="15"/>
      <c r="AR106" s="15"/>
      <c r="BB106" s="41"/>
      <c r="BC106" s="41"/>
      <c r="BD106" s="41"/>
      <c r="BE106" s="41"/>
    </row>
    <row r="107" spans="2:57" s="14" customFormat="1" ht="13.5" thickBot="1" x14ac:dyDescent="0.25">
      <c r="B107" s="31">
        <v>2016</v>
      </c>
      <c r="C107" s="136"/>
      <c r="D107" s="137"/>
      <c r="E107" s="137"/>
      <c r="F107" s="142">
        <f t="shared" si="4"/>
        <v>0</v>
      </c>
      <c r="H107" s="28" t="s">
        <v>51</v>
      </c>
      <c r="I107" s="132">
        <f ca="1">COUNTIF(R43:R67,"&lt;1")</f>
        <v>3</v>
      </c>
      <c r="J107" s="133">
        <f ca="1">I107/$B$71</f>
        <v>0.15</v>
      </c>
      <c r="K107" s="133" t="e">
        <f>#REF!/$B$71</f>
        <v>#REF!</v>
      </c>
      <c r="Q107" s="15"/>
      <c r="R107" s="15"/>
      <c r="S107" s="16"/>
      <c r="AK107" s="15"/>
      <c r="AL107" s="15"/>
      <c r="AM107" s="15"/>
      <c r="AN107" s="15"/>
      <c r="AO107" s="15"/>
      <c r="AP107" s="15"/>
      <c r="AQ107" s="15"/>
      <c r="AR107" s="15"/>
      <c r="BB107" s="41"/>
      <c r="BC107" s="41"/>
      <c r="BD107" s="41"/>
      <c r="BE107" s="41"/>
    </row>
    <row r="108" spans="2:57" ht="13.5" thickBot="1" x14ac:dyDescent="0.25">
      <c r="B108" s="31">
        <v>2017</v>
      </c>
      <c r="C108" s="136"/>
      <c r="D108" s="137"/>
      <c r="E108" s="137"/>
      <c r="F108" s="142">
        <f t="shared" si="4"/>
        <v>0</v>
      </c>
      <c r="H108" s="190"/>
      <c r="I108" s="190"/>
      <c r="J108" s="190"/>
      <c r="K108" s="190"/>
      <c r="L108"/>
      <c r="M108"/>
      <c r="AK108" s="42"/>
      <c r="AL108" s="42"/>
      <c r="AM108" s="42"/>
      <c r="AN108" s="42"/>
      <c r="AO108" s="42"/>
      <c r="AP108" s="42"/>
      <c r="AQ108" s="42"/>
      <c r="AR108" s="42"/>
    </row>
    <row r="109" spans="2:57" ht="13.5" thickBot="1" x14ac:dyDescent="0.25">
      <c r="B109" s="32">
        <v>2018</v>
      </c>
      <c r="C109" s="34"/>
      <c r="D109" s="36"/>
      <c r="E109" s="36"/>
      <c r="F109" s="145">
        <f t="shared" si="4"/>
        <v>0</v>
      </c>
      <c r="H109" s="247" t="s">
        <v>308</v>
      </c>
      <c r="I109" s="28" t="s">
        <v>490</v>
      </c>
      <c r="J109" s="132">
        <f ca="1">COUNTIF($X$5:$X$68,"&gt;3")</f>
        <v>46</v>
      </c>
      <c r="K109" s="133">
        <f ca="1">J109/$B$71</f>
        <v>2.2999999999999998</v>
      </c>
      <c r="L109" s="133" t="e">
        <f>#REF!/$B$71</f>
        <v>#REF!</v>
      </c>
      <c r="M109" s="133" t="e">
        <f>L109/$B$71</f>
        <v>#REF!</v>
      </c>
      <c r="N109" s="133" t="e">
        <f>M109/$B$71</f>
        <v>#REF!</v>
      </c>
      <c r="AK109" s="52" t="e">
        <f ca="1">SUM(A109:N109)</f>
        <v>#REF!</v>
      </c>
      <c r="AL109" s="52" t="e">
        <f ca="1">SUM(I109:N109)</f>
        <v>#REF!</v>
      </c>
      <c r="AM109" s="52">
        <f>SUM(O109:O109)</f>
        <v>0</v>
      </c>
      <c r="AN109" s="52">
        <f>SUM(O109:P109)</f>
        <v>0</v>
      </c>
      <c r="AO109" s="52">
        <f>SUM(O109:O109)</f>
        <v>0</v>
      </c>
      <c r="AP109" s="52">
        <f>SUM(O109:P109)</f>
        <v>0</v>
      </c>
      <c r="AQ109" s="52">
        <f ca="1">SUM(I96:M96)</f>
        <v>0</v>
      </c>
      <c r="AR109" s="52">
        <f ca="1">SUM(J96:O96)</f>
        <v>0</v>
      </c>
    </row>
    <row r="110" spans="2:57" ht="13.5" thickBot="1" x14ac:dyDescent="0.25">
      <c r="B110" s="41"/>
      <c r="C110" s="139">
        <f>SUM(C96:C109)</f>
        <v>0</v>
      </c>
      <c r="D110" s="139">
        <f>SUM(D96:D109)</f>
        <v>0</v>
      </c>
      <c r="E110" s="139">
        <f>SUM(E96:E109)</f>
        <v>0</v>
      </c>
      <c r="F110" s="138">
        <f>SUM(F96:F109)</f>
        <v>0</v>
      </c>
      <c r="H110" s="246" t="s">
        <v>309</v>
      </c>
      <c r="I110" s="28" t="s">
        <v>490</v>
      </c>
      <c r="J110" s="132">
        <f ca="1">COUNTIF($X$5:$X$68,"&gt;3")</f>
        <v>46</v>
      </c>
      <c r="K110" s="133">
        <f ca="1">J110/$B$71</f>
        <v>2.2999999999999998</v>
      </c>
      <c r="L110" s="133" t="e">
        <f>#REF!/$B$71</f>
        <v>#REF!</v>
      </c>
      <c r="M110" s="133" t="e">
        <f>L110/$B$71</f>
        <v>#REF!</v>
      </c>
      <c r="N110" s="133" t="e">
        <f>M110/$B$71</f>
        <v>#REF!</v>
      </c>
      <c r="AK110" s="42"/>
      <c r="AL110" s="42"/>
      <c r="AM110" s="42"/>
      <c r="AN110" s="42"/>
      <c r="AO110" s="42"/>
      <c r="AP110" s="42"/>
      <c r="AQ110" s="42"/>
      <c r="AR110" s="42"/>
    </row>
    <row r="111" spans="2:57" ht="13.5" thickBot="1" x14ac:dyDescent="0.25">
      <c r="B111" s="41"/>
      <c r="C111" s="140" t="e">
        <f>C110/F110</f>
        <v>#DIV/0!</v>
      </c>
      <c r="D111" s="140" t="e">
        <f>D110/F110</f>
        <v>#DIV/0!</v>
      </c>
      <c r="E111" s="140" t="e">
        <f>E110/F110</f>
        <v>#DIV/0!</v>
      </c>
      <c r="F111"/>
      <c r="H111" s="248"/>
      <c r="I111" s="110"/>
      <c r="J111" s="110"/>
      <c r="K111" s="110"/>
      <c r="L111" s="110"/>
      <c r="M111" s="110"/>
      <c r="N111" s="110"/>
      <c r="AK111" s="42"/>
      <c r="AL111" s="42"/>
      <c r="AM111" s="42"/>
      <c r="AN111" s="42"/>
      <c r="AO111" s="42"/>
      <c r="AP111" s="42"/>
      <c r="AQ111" s="42"/>
      <c r="AR111" s="42"/>
    </row>
    <row r="112" spans="2:57" ht="13.5" thickBot="1" x14ac:dyDescent="0.25">
      <c r="G112" s="29"/>
      <c r="H112" s="247" t="s">
        <v>308</v>
      </c>
      <c r="I112" s="28" t="s">
        <v>489</v>
      </c>
      <c r="J112" s="132">
        <f ca="1">COUNTIF($X$5:$X$68,"&gt;3")</f>
        <v>46</v>
      </c>
      <c r="K112" s="133">
        <f ca="1">J112/$B$71</f>
        <v>2.2999999999999998</v>
      </c>
      <c r="L112" s="133" t="e">
        <f>#REF!/$B$71</f>
        <v>#REF!</v>
      </c>
      <c r="M112" s="133" t="e">
        <f>L112/$B$71</f>
        <v>#REF!</v>
      </c>
      <c r="N112" s="133" t="e">
        <f>M112/$B$71</f>
        <v>#REF!</v>
      </c>
      <c r="AK112" s="42"/>
      <c r="AL112" s="42"/>
      <c r="AM112" s="42"/>
      <c r="AN112" s="42"/>
      <c r="AO112" s="42"/>
      <c r="AP112" s="42"/>
      <c r="AQ112" s="42"/>
      <c r="AR112" s="42"/>
    </row>
    <row r="113" spans="7:44" ht="13.5" thickBot="1" x14ac:dyDescent="0.25">
      <c r="H113" s="246" t="s">
        <v>309</v>
      </c>
      <c r="I113" s="28" t="s">
        <v>489</v>
      </c>
      <c r="J113" s="132">
        <f ca="1">COUNTIF($X$5:$X$68,"&gt;3")</f>
        <v>46</v>
      </c>
      <c r="K113" s="133">
        <f ca="1">J113/$B$71</f>
        <v>2.2999999999999998</v>
      </c>
      <c r="L113" s="133" t="e">
        <f>#REF!/$B$71</f>
        <v>#REF!</v>
      </c>
      <c r="M113" s="133" t="e">
        <f>L113/$B$71</f>
        <v>#REF!</v>
      </c>
      <c r="N113" s="133" t="e">
        <f>M113/$B$71</f>
        <v>#REF!</v>
      </c>
      <c r="AK113" s="42"/>
      <c r="AL113" s="42"/>
      <c r="AM113" s="42"/>
      <c r="AN113" s="42"/>
      <c r="AO113" s="42"/>
      <c r="AP113" s="42"/>
      <c r="AQ113" s="42"/>
      <c r="AR113" s="42"/>
    </row>
    <row r="114" spans="7:44" ht="13.5" thickBot="1" x14ac:dyDescent="0.25">
      <c r="G114" s="29"/>
      <c r="H114" s="186"/>
      <c r="I114" s="110"/>
      <c r="J114" s="110"/>
      <c r="K114" s="110"/>
      <c r="L114" s="110"/>
      <c r="M114" s="110"/>
      <c r="N114" s="110"/>
      <c r="AK114" s="15"/>
      <c r="AL114" s="15"/>
      <c r="AM114" s="15"/>
      <c r="AN114" s="15"/>
      <c r="AO114" s="15"/>
      <c r="AP114" s="15"/>
      <c r="AQ114" s="15"/>
      <c r="AR114" s="15"/>
    </row>
    <row r="115" spans="7:44" ht="13.5" thickBot="1" x14ac:dyDescent="0.25">
      <c r="H115" s="247" t="s">
        <v>308</v>
      </c>
      <c r="I115" s="39" t="s">
        <v>491</v>
      </c>
      <c r="J115" s="132">
        <f ca="1">COUNTIF(AS43:AS67,"&gt;3")</f>
        <v>25</v>
      </c>
      <c r="K115" s="133">
        <f ca="1">J115/$B$71</f>
        <v>1.25</v>
      </c>
      <c r="L115" s="133" t="e">
        <f>#REF!/$B$71</f>
        <v>#REF!</v>
      </c>
      <c r="M115" s="133" t="e">
        <f>L115/$B$71</f>
        <v>#REF!</v>
      </c>
      <c r="N115" s="133" t="e">
        <f>M115/$B$71</f>
        <v>#REF!</v>
      </c>
      <c r="AK115" s="15"/>
      <c r="AL115" s="15"/>
      <c r="AM115" s="15"/>
      <c r="AN115" s="15"/>
      <c r="AO115" s="15"/>
      <c r="AP115" s="15"/>
      <c r="AQ115" s="15"/>
      <c r="AR115" s="15"/>
    </row>
    <row r="116" spans="7:44" ht="13.5" thickBot="1" x14ac:dyDescent="0.25">
      <c r="H116" s="246" t="s">
        <v>309</v>
      </c>
      <c r="I116" s="39" t="s">
        <v>491</v>
      </c>
      <c r="J116" s="132">
        <f ca="1">COUNTIF(AS44:AS68,"&gt;3")</f>
        <v>24</v>
      </c>
      <c r="K116" s="133">
        <f ca="1">J116/$B$71</f>
        <v>1.2</v>
      </c>
      <c r="L116" s="133" t="e">
        <f>#REF!/$B$71</f>
        <v>#REF!</v>
      </c>
      <c r="M116" s="133" t="e">
        <f>L116/$B$71</f>
        <v>#REF!</v>
      </c>
      <c r="N116" s="133" t="e">
        <f>M116/$B$71</f>
        <v>#REF!</v>
      </c>
      <c r="AK116" s="15"/>
      <c r="AL116" s="15"/>
      <c r="AM116" s="15"/>
      <c r="AN116" s="15"/>
      <c r="AO116" s="15"/>
      <c r="AP116" s="15"/>
      <c r="AQ116" s="15"/>
      <c r="AR116" s="15"/>
    </row>
    <row r="117" spans="7:44" x14ac:dyDescent="0.2">
      <c r="H117"/>
      <c r="I117"/>
      <c r="J117"/>
      <c r="K117"/>
      <c r="L117"/>
      <c r="M117"/>
    </row>
    <row r="118" spans="7:44" x14ac:dyDescent="0.2">
      <c r="H118"/>
      <c r="I118"/>
      <c r="J118"/>
      <c r="K118"/>
      <c r="L118"/>
      <c r="M118"/>
    </row>
    <row r="153" ht="24.75" customHeight="1" x14ac:dyDescent="0.2"/>
    <row r="154" ht="24.75" customHeight="1" x14ac:dyDescent="0.2"/>
    <row r="155" ht="24.75" customHeight="1" x14ac:dyDescent="0.2"/>
    <row r="156" ht="24.75" customHeight="1" x14ac:dyDescent="0.2"/>
    <row r="157" ht="24.75" customHeight="1" x14ac:dyDescent="0.2"/>
    <row r="158" ht="24.75" customHeight="1" x14ac:dyDescent="0.2"/>
    <row r="159" ht="24.75" customHeight="1" x14ac:dyDescent="0.2"/>
    <row r="160" ht="24.75" customHeight="1" x14ac:dyDescent="0.2"/>
    <row r="161" ht="24.75" customHeight="1" x14ac:dyDescent="0.2"/>
    <row r="162" ht="24.75" customHeight="1" x14ac:dyDescent="0.2"/>
    <row r="163" ht="24.75" customHeight="1" x14ac:dyDescent="0.2"/>
    <row r="164" ht="24.75" customHeight="1" x14ac:dyDescent="0.2"/>
    <row r="165" ht="24.75" customHeight="1" x14ac:dyDescent="0.2"/>
    <row r="166" ht="24.75" customHeight="1" x14ac:dyDescent="0.2"/>
    <row r="167" ht="24.75" customHeight="1" x14ac:dyDescent="0.2"/>
    <row r="168" ht="24.75" customHeight="1" x14ac:dyDescent="0.2"/>
    <row r="169" ht="24.75" customHeight="1" x14ac:dyDescent="0.2"/>
    <row r="170" ht="24.75" customHeight="1" x14ac:dyDescent="0.2"/>
    <row r="171" ht="24.75" customHeight="1" x14ac:dyDescent="0.2"/>
    <row r="172" ht="24.75" customHeight="1" x14ac:dyDescent="0.2"/>
    <row r="173" ht="24.75" customHeight="1" x14ac:dyDescent="0.2"/>
    <row r="174" ht="24.75" customHeight="1" x14ac:dyDescent="0.2"/>
    <row r="175" ht="24.75" customHeight="1" x14ac:dyDescent="0.2"/>
    <row r="176" ht="24.75" customHeight="1" x14ac:dyDescent="0.2"/>
    <row r="177" ht="24.75" customHeight="1" x14ac:dyDescent="0.2"/>
    <row r="178" ht="24.75" customHeight="1" x14ac:dyDescent="0.2"/>
    <row r="179" ht="24.75" customHeight="1" x14ac:dyDescent="0.2"/>
    <row r="180" ht="24.75" customHeight="1" x14ac:dyDescent="0.2"/>
    <row r="181" ht="24.75" customHeight="1" x14ac:dyDescent="0.2"/>
    <row r="182" ht="24.75" customHeight="1" x14ac:dyDescent="0.2"/>
    <row r="183" ht="24.75" customHeight="1" x14ac:dyDescent="0.2"/>
    <row r="184" ht="24.75" customHeight="1" x14ac:dyDescent="0.2"/>
    <row r="185" ht="24.75" customHeight="1" x14ac:dyDescent="0.2"/>
    <row r="186" ht="24.75" customHeight="1" x14ac:dyDescent="0.2"/>
    <row r="187" ht="24.75" customHeight="1" x14ac:dyDescent="0.2"/>
    <row r="188" ht="24.75" customHeight="1" x14ac:dyDescent="0.2"/>
    <row r="189" ht="24.75" customHeight="1" x14ac:dyDescent="0.2"/>
    <row r="190" ht="24.75" customHeight="1" x14ac:dyDescent="0.2"/>
    <row r="191" ht="24.75" customHeight="1" x14ac:dyDescent="0.2"/>
    <row r="192" ht="24.75" customHeight="1" x14ac:dyDescent="0.2"/>
    <row r="193" ht="24.75" customHeight="1" x14ac:dyDescent="0.2"/>
    <row r="194" ht="24.75" customHeight="1" x14ac:dyDescent="0.2"/>
    <row r="195" ht="24.75" customHeight="1" x14ac:dyDescent="0.2"/>
    <row r="196" ht="24.75" customHeight="1" x14ac:dyDescent="0.2"/>
    <row r="197" ht="24.75" customHeight="1" x14ac:dyDescent="0.2"/>
    <row r="198" ht="24.75" customHeight="1" x14ac:dyDescent="0.2"/>
    <row r="199" ht="24.75" customHeight="1" x14ac:dyDescent="0.2"/>
    <row r="200" ht="24.75" customHeight="1" x14ac:dyDescent="0.2"/>
    <row r="201" ht="24.75" customHeight="1" x14ac:dyDescent="0.2"/>
    <row r="202" ht="24.75" customHeight="1" x14ac:dyDescent="0.2"/>
    <row r="203" ht="24.75" customHeight="1" x14ac:dyDescent="0.2"/>
    <row r="204" ht="24.75" customHeight="1" x14ac:dyDescent="0.2"/>
    <row r="205" ht="24.75" customHeight="1" x14ac:dyDescent="0.2"/>
    <row r="206" ht="24.75" customHeight="1" x14ac:dyDescent="0.2"/>
    <row r="207" ht="24.75" customHeight="1" x14ac:dyDescent="0.2"/>
    <row r="208" ht="24.75" customHeight="1" x14ac:dyDescent="0.2"/>
    <row r="209" ht="24.75" customHeight="1" x14ac:dyDescent="0.2"/>
    <row r="210" ht="24.75" customHeight="1" x14ac:dyDescent="0.2"/>
    <row r="211" ht="24.75" customHeight="1" x14ac:dyDescent="0.2"/>
    <row r="212" ht="24.75" customHeight="1" x14ac:dyDescent="0.2"/>
    <row r="213" ht="24.75" customHeight="1" x14ac:dyDescent="0.2"/>
    <row r="214" ht="24.75" customHeight="1" x14ac:dyDescent="0.2"/>
    <row r="215" ht="24.75" customHeight="1" x14ac:dyDescent="0.2"/>
    <row r="216" ht="24.75" customHeight="1" x14ac:dyDescent="0.2"/>
    <row r="217" ht="24.75" customHeight="1" x14ac:dyDescent="0.2"/>
    <row r="218" ht="24.75" customHeight="1" x14ac:dyDescent="0.2"/>
    <row r="219" ht="24.75" customHeight="1" x14ac:dyDescent="0.2"/>
    <row r="220" ht="24.75" customHeight="1" x14ac:dyDescent="0.2"/>
    <row r="221" ht="24.75" customHeight="1" x14ac:dyDescent="0.2"/>
    <row r="222" ht="24.75" customHeight="1" x14ac:dyDescent="0.2"/>
    <row r="223" ht="24.75" customHeight="1" x14ac:dyDescent="0.2"/>
    <row r="224" ht="24.75" customHeight="1" x14ac:dyDescent="0.2"/>
    <row r="225" ht="24.75" customHeight="1" x14ac:dyDescent="0.2"/>
    <row r="226" ht="24.75" customHeight="1" x14ac:dyDescent="0.2"/>
    <row r="227" ht="24.75" customHeight="1" x14ac:dyDescent="0.2"/>
    <row r="228" ht="24.75" customHeight="1" x14ac:dyDescent="0.2"/>
    <row r="229" ht="24.75" customHeight="1" x14ac:dyDescent="0.2"/>
    <row r="230" ht="24.75" customHeight="1" x14ac:dyDescent="0.2"/>
    <row r="231" ht="24.75" customHeight="1" x14ac:dyDescent="0.2"/>
    <row r="232" ht="24.75" customHeight="1" x14ac:dyDescent="0.2"/>
    <row r="233" ht="24.75" customHeight="1" x14ac:dyDescent="0.2"/>
    <row r="234" ht="24.75" customHeight="1" x14ac:dyDescent="0.2"/>
    <row r="235" ht="24.75" customHeight="1" x14ac:dyDescent="0.2"/>
    <row r="236" ht="24.75" customHeight="1" x14ac:dyDescent="0.2"/>
    <row r="237" ht="24.75" customHeight="1" x14ac:dyDescent="0.2"/>
    <row r="238" ht="24.75" customHeight="1" x14ac:dyDescent="0.2"/>
    <row r="239" ht="24.75" customHeight="1" x14ac:dyDescent="0.2"/>
    <row r="240" ht="24.75" customHeight="1" x14ac:dyDescent="0.2"/>
    <row r="241" ht="24.75" customHeight="1" x14ac:dyDescent="0.2"/>
    <row r="242" ht="24.75" customHeight="1" x14ac:dyDescent="0.2"/>
    <row r="243" ht="24.75" customHeight="1" x14ac:dyDescent="0.2"/>
    <row r="244" ht="24.75" customHeight="1" x14ac:dyDescent="0.2"/>
    <row r="245" ht="24.75" customHeight="1" x14ac:dyDescent="0.2"/>
    <row r="246" ht="24.75" customHeight="1" x14ac:dyDescent="0.2"/>
    <row r="247" ht="24.75" customHeight="1" x14ac:dyDescent="0.2"/>
    <row r="248" ht="24.75" customHeight="1" x14ac:dyDescent="0.2"/>
    <row r="249" ht="24.75" customHeight="1" x14ac:dyDescent="0.2"/>
    <row r="250" ht="24.75" customHeight="1" x14ac:dyDescent="0.2"/>
    <row r="251" ht="24.75" customHeight="1" x14ac:dyDescent="0.2"/>
    <row r="252" ht="24.75" customHeight="1" x14ac:dyDescent="0.2"/>
    <row r="253" ht="24.75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</sheetData>
  <sortState ref="B56:BB63">
    <sortCondition ref="B56:B63"/>
  </sortState>
  <mergeCells count="9">
    <mergeCell ref="H95:H97"/>
    <mergeCell ref="H99:H101"/>
    <mergeCell ref="H103:H105"/>
    <mergeCell ref="AF2:AR2"/>
    <mergeCell ref="B1:I1"/>
    <mergeCell ref="E73:E74"/>
    <mergeCell ref="B2:W2"/>
    <mergeCell ref="E81:E82"/>
    <mergeCell ref="E89:E90"/>
  </mergeCells>
  <phoneticPr fontId="0" type="noConversion"/>
  <conditionalFormatting sqref="X4:X67">
    <cfRule type="cellIs" dxfId="28" priority="12" operator="greaterThan">
      <formula>5</formula>
    </cfRule>
    <cfRule type="cellIs" dxfId="27" priority="53" operator="greaterThan">
      <formula>3</formula>
    </cfRule>
  </conditionalFormatting>
  <conditionalFormatting sqref="F4:F67">
    <cfRule type="cellIs" dxfId="26" priority="20" operator="greaterThan">
      <formula>60</formula>
    </cfRule>
    <cfRule type="cellIs" dxfId="25" priority="49" operator="greaterThan">
      <formula>55</formula>
    </cfRule>
  </conditionalFormatting>
  <conditionalFormatting sqref="R4:R67">
    <cfRule type="cellIs" dxfId="24" priority="13" operator="between">
      <formula>1</formula>
      <formula>2</formula>
    </cfRule>
    <cfRule type="cellIs" dxfId="23" priority="52" operator="lessThan">
      <formula>1</formula>
    </cfRule>
  </conditionalFormatting>
  <conditionalFormatting sqref="AA4:AA67">
    <cfRule type="cellIs" dxfId="22" priority="10" operator="greaterThan">
      <formula>15</formula>
    </cfRule>
    <cfRule type="cellIs" dxfId="21" priority="41" operator="greaterThan">
      <formula>3</formula>
    </cfRule>
  </conditionalFormatting>
  <conditionalFormatting sqref="AC4:AC67">
    <cfRule type="cellIs" dxfId="20" priority="37" operator="greaterThan">
      <formula>3</formula>
    </cfRule>
  </conditionalFormatting>
  <conditionalFormatting sqref="AE4:AE67">
    <cfRule type="cellIs" dxfId="19" priority="33" operator="greaterThan">
      <formula>3</formula>
    </cfRule>
  </conditionalFormatting>
  <conditionalFormatting sqref="AS4:AS67">
    <cfRule type="cellIs" dxfId="18" priority="9" operator="greaterThan">
      <formula>10</formula>
    </cfRule>
    <cfRule type="cellIs" dxfId="17" priority="23" operator="greaterThanOrEqual">
      <formula>4</formula>
    </cfRule>
  </conditionalFormatting>
  <conditionalFormatting sqref="Y5:Y67 U5:V67 S5:S67">
    <cfRule type="containsBlanks" dxfId="16" priority="55">
      <formula>LEN(TRIM(S5))=0</formula>
    </cfRule>
  </conditionalFormatting>
  <conditionalFormatting sqref="BA4:BA67">
    <cfRule type="cellIs" dxfId="15" priority="21" operator="greaterThanOrEqual">
      <formula>8</formula>
    </cfRule>
  </conditionalFormatting>
  <conditionalFormatting sqref="F5:F67">
    <cfRule type="cellIs" dxfId="14" priority="19" operator="greaterThan">
      <formula>80</formula>
    </cfRule>
  </conditionalFormatting>
  <conditionalFormatting sqref="P4:P67">
    <cfRule type="containsText" dxfId="13" priority="17" operator="containsText" text="OUI">
      <formula>NOT(ISERROR(SEARCH("OUI",P4)))</formula>
    </cfRule>
  </conditionalFormatting>
  <conditionalFormatting sqref="D4:D67">
    <cfRule type="containsText" dxfId="12" priority="16" operator="containsText" text="M">
      <formula>NOT(ISERROR(SEARCH("M",D4)))</formula>
    </cfRule>
  </conditionalFormatting>
  <conditionalFormatting sqref="H5:H67">
    <cfRule type="containsBlanks" dxfId="11" priority="54">
      <formula>LEN(TRIM(H5))=0</formula>
    </cfRule>
    <cfRule type="containsBlanks" dxfId="10" priority="56">
      <formula>LEN(TRIM(H5))=0</formula>
    </cfRule>
  </conditionalFormatting>
  <conditionalFormatting sqref="L5:L67">
    <cfRule type="containsText" dxfId="9" priority="14" operator="containsText" text="MATERNELLE">
      <formula>NOT(ISERROR(SEARCH("MATERNELLE",L5)))</formula>
    </cfRule>
  </conditionalFormatting>
  <conditionalFormatting sqref="X5:X67">
    <cfRule type="cellIs" dxfId="8" priority="11" operator="greaterThan">
      <formula>15</formula>
    </cfRule>
  </conditionalFormatting>
  <conditionalFormatting sqref="I5:I67">
    <cfRule type="containsBlanks" dxfId="7" priority="8">
      <formula>LEN(TRIM(I5))=0</formula>
    </cfRule>
  </conditionalFormatting>
  <conditionalFormatting sqref="AG4:AG67">
    <cfRule type="cellIs" dxfId="6" priority="7" operator="equal">
      <formula>0</formula>
    </cfRule>
  </conditionalFormatting>
  <conditionalFormatting sqref="AG5:AG67">
    <cfRule type="containsBlanks" dxfId="5" priority="6">
      <formula>LEN(TRIM(AG5))=0</formula>
    </cfRule>
  </conditionalFormatting>
  <conditionalFormatting sqref="J5">
    <cfRule type="cellIs" dxfId="4" priority="57" operator="greaterThan">
      <formula>45</formula>
    </cfRule>
  </conditionalFormatting>
  <conditionalFormatting sqref="J6:J67">
    <cfRule type="cellIs" dxfId="3" priority="4" operator="greaterThan">
      <formula>45</formula>
    </cfRule>
  </conditionalFormatting>
  <conditionalFormatting sqref="AR4:AR67">
    <cfRule type="containsBlanks" dxfId="2" priority="3">
      <formula>LEN(TRIM(AR4))=0</formula>
    </cfRule>
  </conditionalFormatting>
  <conditionalFormatting sqref="AF4:AF67">
    <cfRule type="containsText" dxfId="1" priority="1" operator="containsText" text="SANS">
      <formula>NOT(ISERROR(SEARCH("SANS",AF4)))</formula>
    </cfRule>
    <cfRule type="containsText" dxfId="0" priority="2" operator="containsText" text="AEM">
      <formula>NOT(ISERROR(SEARCH("AEM",AF4)))</formula>
    </cfRule>
  </conditionalFormatting>
  <dataValidations disablePrompts="1" count="22">
    <dataValidation type="list" allowBlank="1" showInputMessage="1" showErrorMessage="1" prompt="Choisir sexe" sqref="D4:D67">
      <formula1>SEXE</formula1>
    </dataValidation>
    <dataValidation type="list" allowBlank="1" showInputMessage="1" showErrorMessage="1" prompt="CHOISIR LE PLUS ELEVE" sqref="G4:G67">
      <formula1>DIPLOME</formula1>
    </dataValidation>
    <dataValidation type="list" allowBlank="1" showInputMessage="1" showErrorMessage="1" prompt="CHOISIR FONCTION" sqref="K4:K67">
      <formula1>FONCTION</formula1>
    </dataValidation>
    <dataValidation type="list" allowBlank="1" showInputMessage="1" showErrorMessage="1" prompt="CHOIX DU TEMPS DE TRAVAIL" sqref="N4:N67">
      <formula1>HORAIRE</formula1>
    </dataValidation>
    <dataValidation type="list" allowBlank="1" showInputMessage="1" showErrorMessage="1" prompt="CHOIX DU DÉPARTEMENT D'ORIGINE POUR LES TITULAIRES DU MEN" sqref="S4:S67">
      <formula1>DEPARTEMENT</formula1>
    </dataValidation>
    <dataValidation type="list" allowBlank="1" showInputMessage="1" showErrorMessage="1" prompt="CHOIX DU STATUT" sqref="T4:T67">
      <formula1>STATUT</formula1>
    </dataValidation>
    <dataValidation type="list" allowBlank="1" showInputMessage="1" showErrorMessage="1" prompt="CHOIX ECHELON POUR LES PE" sqref="U4:U67">
      <formula1>ECHELON</formula1>
    </dataValidation>
    <dataValidation type="list" allowBlank="1" showInputMessage="1" showErrorMessage="1" prompt="OUI / NON" sqref="P4:P67">
      <formula1>OUINON</formula1>
    </dataValidation>
    <dataValidation type="list" allowBlank="1" showInputMessage="1" showErrorMessage="1" prompt="CHOISIR DISCIPLINE" sqref="M4:M67">
      <formula1>DISCIPLINE</formula1>
    </dataValidation>
    <dataValidation type="list" allowBlank="1" showInputMessage="1" showErrorMessage="1" prompt="CHOIX DECHARGE" sqref="O4:O67">
      <formula1>DECHARGE</formula1>
    </dataValidation>
    <dataValidation type="list" allowBlank="1" showInputMessage="1" showErrorMessage="1" prompt="CHOISIR" sqref="H4:H67">
      <formula1>DIPLOMEPRO</formula1>
    </dataValidation>
    <dataValidation type="list" allowBlank="1" showInputMessage="1" showErrorMessage="1" prompt="Choix formation enseignement" sqref="AF4:AF67">
      <formula1>FIE</formula1>
    </dataValidation>
    <dataValidation type="list" allowBlank="1" showInputMessage="1" showErrorMessage="1" prompt="NOMBRE DE JOURNÉES DE FORMATION DE 6H DEPUIS 2004" sqref="AG4:AI67">
      <formula1>FORMATION</formula1>
    </dataValidation>
    <dataValidation type="list" allowBlank="1" showInputMessage="1" showErrorMessage="1" prompt="CHOIX ANCIENNETE SUR LE NIVEAU ENSEIGNE" sqref="BA4:BA67">
      <formula1>ANCIENNETE</formula1>
    </dataValidation>
    <dataValidation type="list" allowBlank="1" showInputMessage="1" showErrorMessage="1" prompt="CHOIX CLASSE D'ENSEIGNEMENT" sqref="AZ4:AZ67">
      <formula1>CLASSE</formula1>
    </dataValidation>
    <dataValidation type="list" allowBlank="1" showInputMessage="1" showErrorMessage="1" prompt="CHOIX NIVEAU CERL" sqref="AV4:AW67">
      <formula1>CERL</formula1>
    </dataValidation>
    <dataValidation type="list" allowBlank="1" showInputMessage="1" showErrorMessage="1" prompt="CHOIX NOMBRES DE JOURNÉES" sqref="AT4:AU67">
      <formula1>ABSENTEISME</formula1>
    </dataValidation>
    <dataValidation type="list" allowBlank="1" showInputMessage="1" showErrorMessage="1" prompt="OU / NON" sqref="AX4:AY67">
      <formula1>OUINON</formula1>
    </dataValidation>
    <dataValidation type="list" allowBlank="1" showInputMessage="1" showErrorMessage="1" prompt="NOMBRE DE STAGES DEPUIS 2004" sqref="AK4:AQ67">
      <formula1>PRF</formula1>
    </dataValidation>
    <dataValidation type="list" allowBlank="1" showInputMessage="1" showErrorMessage="1" prompt="CHOISIR ECOLE" sqref="L4:L67">
      <formula1>ECOLE</formula1>
    </dataValidation>
    <dataValidation allowBlank="1" showInputMessage="1" showErrorMessage="1" prompt="Uniquement pour les personnels résidents" sqref="V5:V67 Y5:Y67"/>
    <dataValidation allowBlank="1" showInputMessage="1" showErrorMessage="1" prompt="Uniquement pour les personnels titulaires FR" sqref="I5:I67"/>
  </dataValidations>
  <pageMargins left="0.55118110236220474" right="0.55118110236220474" top="0.59055118110236227" bottom="0.59055118110236227" header="0.51181102362204722" footer="0.51181102362204722"/>
  <pageSetup paperSize="9" scale="45" fitToWidth="2" fitToHeight="2" orientation="landscape" horizontalDpi="4294967292" verticalDpi="4294967292" r:id="rId1"/>
  <ignoredErrors>
    <ignoredError sqref="D78 B79" emptyCellReference="1"/>
  </ignoredErrors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L105"/>
  <sheetViews>
    <sheetView topLeftCell="A16" workbookViewId="0">
      <selection activeCell="B46" sqref="B46"/>
    </sheetView>
  </sheetViews>
  <sheetFormatPr baseColWidth="10" defaultColWidth="10.85546875" defaultRowHeight="12.75" x14ac:dyDescent="0.2"/>
  <cols>
    <col min="1" max="1" width="38.28515625" style="104" bestFit="1" customWidth="1"/>
    <col min="2" max="2" width="36.42578125" style="104" bestFit="1" customWidth="1"/>
    <col min="3" max="3" width="13.85546875" style="104" bestFit="1" customWidth="1"/>
    <col min="4" max="4" width="15.85546875" style="104" bestFit="1" customWidth="1"/>
    <col min="5" max="5" width="27.7109375" style="104" bestFit="1" customWidth="1"/>
    <col min="6" max="6" width="4.85546875" style="104" bestFit="1" customWidth="1"/>
    <col min="7" max="7" width="12.42578125" style="104" bestFit="1" customWidth="1"/>
    <col min="8" max="8" width="13.140625" style="104" bestFit="1" customWidth="1"/>
    <col min="9" max="9" width="8.42578125" style="104" bestFit="1" customWidth="1"/>
    <col min="10" max="10" width="13.140625" style="184" bestFit="1" customWidth="1"/>
    <col min="11" max="12" width="10.85546875" style="184"/>
    <col min="13" max="16384" width="10.85546875" style="104"/>
  </cols>
  <sheetData>
    <row r="1" spans="1:12" ht="17.100000000000001" customHeight="1" x14ac:dyDescent="0.2">
      <c r="A1" s="176" t="s">
        <v>150</v>
      </c>
      <c r="B1" s="176" t="s">
        <v>192</v>
      </c>
      <c r="C1" s="177" t="s">
        <v>191</v>
      </c>
      <c r="D1" s="177" t="s">
        <v>190</v>
      </c>
      <c r="E1" s="177" t="s">
        <v>189</v>
      </c>
      <c r="F1" s="179" t="s">
        <v>229</v>
      </c>
      <c r="G1" s="179" t="s">
        <v>272</v>
      </c>
      <c r="H1" s="179" t="s">
        <v>275</v>
      </c>
      <c r="I1" s="124" t="s">
        <v>331</v>
      </c>
      <c r="J1" s="201" t="s">
        <v>351</v>
      </c>
      <c r="K1" s="202" t="s">
        <v>354</v>
      </c>
      <c r="L1" s="202" t="s">
        <v>355</v>
      </c>
    </row>
    <row r="2" spans="1:12" x14ac:dyDescent="0.2">
      <c r="A2" s="104" t="s">
        <v>112</v>
      </c>
      <c r="B2" s="104" t="s">
        <v>131</v>
      </c>
      <c r="C2" s="104" t="s">
        <v>157</v>
      </c>
      <c r="D2" s="104" t="s">
        <v>178</v>
      </c>
      <c r="E2" s="104" t="s">
        <v>180</v>
      </c>
      <c r="F2" s="121">
        <v>1</v>
      </c>
      <c r="G2" s="119">
        <v>0</v>
      </c>
      <c r="H2" s="119">
        <v>1</v>
      </c>
      <c r="I2" s="119">
        <v>45</v>
      </c>
      <c r="J2" s="184">
        <v>0</v>
      </c>
      <c r="K2" s="184">
        <v>0</v>
      </c>
      <c r="L2" s="184">
        <v>1</v>
      </c>
    </row>
    <row r="3" spans="1:12" x14ac:dyDescent="0.2">
      <c r="A3" s="104" t="s">
        <v>113</v>
      </c>
      <c r="B3" s="104" t="s">
        <v>132</v>
      </c>
      <c r="C3" s="104" t="s">
        <v>56</v>
      </c>
      <c r="D3" s="104" t="s">
        <v>57</v>
      </c>
      <c r="E3" s="104" t="s">
        <v>185</v>
      </c>
      <c r="F3" s="121">
        <v>2</v>
      </c>
      <c r="G3" s="119">
        <v>0.3</v>
      </c>
      <c r="H3" s="119">
        <v>2</v>
      </c>
      <c r="I3" s="119">
        <v>44</v>
      </c>
      <c r="J3" s="184">
        <v>1</v>
      </c>
      <c r="K3" s="184">
        <v>1</v>
      </c>
      <c r="L3" s="184">
        <v>2</v>
      </c>
    </row>
    <row r="4" spans="1:12" x14ac:dyDescent="0.2">
      <c r="A4" s="104" t="s">
        <v>114</v>
      </c>
      <c r="B4" s="104" t="s">
        <v>133</v>
      </c>
      <c r="C4" s="104" t="s">
        <v>160</v>
      </c>
      <c r="D4" s="104" t="s">
        <v>162</v>
      </c>
      <c r="E4" s="104" t="s">
        <v>181</v>
      </c>
      <c r="F4" s="121">
        <v>3</v>
      </c>
      <c r="G4" s="119">
        <v>0.5</v>
      </c>
      <c r="H4" s="119">
        <v>3</v>
      </c>
      <c r="I4" s="119">
        <v>43</v>
      </c>
      <c r="J4" s="184">
        <v>2</v>
      </c>
      <c r="K4" s="184">
        <v>2</v>
      </c>
      <c r="L4" s="184">
        <v>3</v>
      </c>
    </row>
    <row r="5" spans="1:12" x14ac:dyDescent="0.2">
      <c r="A5" s="104" t="s">
        <v>115</v>
      </c>
      <c r="B5" s="104" t="s">
        <v>134</v>
      </c>
      <c r="C5" s="104" t="s">
        <v>158</v>
      </c>
      <c r="D5" s="104" t="s">
        <v>163</v>
      </c>
      <c r="E5" s="104" t="s">
        <v>183</v>
      </c>
      <c r="F5" s="121">
        <v>4</v>
      </c>
      <c r="G5" s="119">
        <v>1</v>
      </c>
      <c r="H5" s="119">
        <v>4</v>
      </c>
      <c r="I5" s="119">
        <v>42</v>
      </c>
      <c r="J5" s="184">
        <v>3</v>
      </c>
      <c r="K5" s="184">
        <v>3</v>
      </c>
      <c r="L5" s="184">
        <v>4</v>
      </c>
    </row>
    <row r="6" spans="1:12" x14ac:dyDescent="0.2">
      <c r="A6" s="104" t="s">
        <v>116</v>
      </c>
      <c r="B6" s="104" t="s">
        <v>137</v>
      </c>
      <c r="C6" s="104" t="s">
        <v>161</v>
      </c>
      <c r="D6" s="104" t="s">
        <v>165</v>
      </c>
      <c r="E6" s="104" t="s">
        <v>175</v>
      </c>
      <c r="F6" s="121">
        <v>5</v>
      </c>
      <c r="G6" s="119">
        <v>2</v>
      </c>
      <c r="H6" s="119">
        <v>5</v>
      </c>
      <c r="I6" s="119">
        <v>41</v>
      </c>
      <c r="J6" s="184">
        <v>4</v>
      </c>
      <c r="K6" s="184">
        <v>4</v>
      </c>
      <c r="L6" s="184">
        <v>5</v>
      </c>
    </row>
    <row r="7" spans="1:12" x14ac:dyDescent="0.2">
      <c r="A7" s="104" t="s">
        <v>117</v>
      </c>
      <c r="B7" s="104" t="s">
        <v>135</v>
      </c>
      <c r="C7" s="104" t="s">
        <v>159</v>
      </c>
      <c r="D7" s="104" t="s">
        <v>179</v>
      </c>
      <c r="E7" s="104" t="s">
        <v>172</v>
      </c>
      <c r="F7" s="121">
        <v>6</v>
      </c>
      <c r="G7" s="119">
        <v>3</v>
      </c>
      <c r="H7" s="119">
        <v>6</v>
      </c>
      <c r="I7" s="119">
        <v>40</v>
      </c>
      <c r="J7" s="184">
        <v>5</v>
      </c>
      <c r="K7" s="184">
        <v>5</v>
      </c>
      <c r="L7" s="184">
        <v>6</v>
      </c>
    </row>
    <row r="8" spans="1:12" x14ac:dyDescent="0.2">
      <c r="A8" s="104" t="s">
        <v>118</v>
      </c>
      <c r="B8" s="104" t="s">
        <v>136</v>
      </c>
      <c r="C8" s="105"/>
      <c r="D8" s="104" t="s">
        <v>177</v>
      </c>
      <c r="E8" s="104" t="s">
        <v>171</v>
      </c>
      <c r="F8" s="121">
        <v>7</v>
      </c>
      <c r="G8" s="119">
        <v>4</v>
      </c>
      <c r="H8" s="119">
        <v>7</v>
      </c>
      <c r="I8" s="119">
        <v>39</v>
      </c>
      <c r="J8" s="184">
        <v>6</v>
      </c>
      <c r="K8" s="184">
        <v>6</v>
      </c>
      <c r="L8" s="184">
        <v>7</v>
      </c>
    </row>
    <row r="9" spans="1:12" x14ac:dyDescent="0.2">
      <c r="A9" s="104" t="s">
        <v>119</v>
      </c>
      <c r="B9" s="104" t="s">
        <v>138</v>
      </c>
      <c r="C9" s="179" t="s">
        <v>201</v>
      </c>
      <c r="D9" s="104" t="s">
        <v>182</v>
      </c>
      <c r="E9" s="104" t="s">
        <v>174</v>
      </c>
      <c r="F9" s="121">
        <v>8</v>
      </c>
      <c r="G9" s="119">
        <v>5</v>
      </c>
      <c r="H9" s="119">
        <v>8</v>
      </c>
      <c r="I9" s="119">
        <v>38</v>
      </c>
      <c r="J9" s="184">
        <v>7</v>
      </c>
      <c r="K9" s="184">
        <v>7</v>
      </c>
      <c r="L9" s="184">
        <v>8</v>
      </c>
    </row>
    <row r="10" spans="1:12" x14ac:dyDescent="0.2">
      <c r="A10" s="104" t="s">
        <v>120</v>
      </c>
      <c r="B10" s="104" t="s">
        <v>139</v>
      </c>
      <c r="C10" s="104" t="s">
        <v>31</v>
      </c>
      <c r="D10" s="104" t="s">
        <v>184</v>
      </c>
      <c r="E10" s="104" t="s">
        <v>58</v>
      </c>
      <c r="F10" s="121">
        <v>9</v>
      </c>
      <c r="G10" s="119">
        <v>6</v>
      </c>
      <c r="H10" s="119">
        <v>9</v>
      </c>
      <c r="I10" s="119">
        <v>37</v>
      </c>
      <c r="J10" s="184">
        <v>8</v>
      </c>
      <c r="K10" s="184">
        <v>8</v>
      </c>
      <c r="L10" s="184">
        <v>9</v>
      </c>
    </row>
    <row r="11" spans="1:12" x14ac:dyDescent="0.2">
      <c r="A11" s="104" t="s">
        <v>121</v>
      </c>
      <c r="B11" s="104" t="s">
        <v>140</v>
      </c>
      <c r="C11" s="104" t="s">
        <v>29</v>
      </c>
      <c r="D11" s="104" t="s">
        <v>164</v>
      </c>
      <c r="E11" s="104" t="s">
        <v>169</v>
      </c>
      <c r="F11" s="121">
        <v>10</v>
      </c>
      <c r="G11" s="119">
        <v>7</v>
      </c>
      <c r="H11" s="119">
        <v>10</v>
      </c>
      <c r="I11" s="119">
        <v>36</v>
      </c>
      <c r="J11" s="184">
        <v>9</v>
      </c>
      <c r="K11" s="184">
        <v>9</v>
      </c>
      <c r="L11" s="184">
        <v>10</v>
      </c>
    </row>
    <row r="12" spans="1:12" x14ac:dyDescent="0.2">
      <c r="A12" s="104" t="s">
        <v>122</v>
      </c>
      <c r="B12" s="104" t="s">
        <v>141</v>
      </c>
      <c r="C12" s="180"/>
      <c r="D12" s="104" t="s">
        <v>178</v>
      </c>
      <c r="E12" s="104" t="s">
        <v>170</v>
      </c>
      <c r="F12" s="121">
        <v>11</v>
      </c>
      <c r="G12" s="119">
        <v>8</v>
      </c>
      <c r="H12" s="119">
        <v>11</v>
      </c>
      <c r="I12" s="119">
        <v>35</v>
      </c>
      <c r="J12" s="184">
        <v>10</v>
      </c>
      <c r="K12" s="184">
        <v>10</v>
      </c>
      <c r="L12" s="184">
        <v>11</v>
      </c>
    </row>
    <row r="13" spans="1:12" x14ac:dyDescent="0.2">
      <c r="A13" s="104" t="s">
        <v>123</v>
      </c>
      <c r="B13" s="104" t="s">
        <v>142</v>
      </c>
      <c r="C13" s="104" t="s">
        <v>37</v>
      </c>
      <c r="D13" s="104" t="s">
        <v>57</v>
      </c>
      <c r="E13" s="104" t="s">
        <v>176</v>
      </c>
      <c r="F13" s="121">
        <v>12</v>
      </c>
      <c r="G13" s="119">
        <v>9</v>
      </c>
      <c r="H13" s="119">
        <v>12</v>
      </c>
      <c r="I13" s="119">
        <v>34</v>
      </c>
      <c r="J13" s="184" t="s">
        <v>352</v>
      </c>
      <c r="K13" s="184">
        <v>11</v>
      </c>
      <c r="L13" s="184">
        <v>12</v>
      </c>
    </row>
    <row r="14" spans="1:12" x14ac:dyDescent="0.2">
      <c r="A14" s="104" t="s">
        <v>124</v>
      </c>
      <c r="B14" s="104" t="s">
        <v>143</v>
      </c>
      <c r="C14" s="104" t="s">
        <v>38</v>
      </c>
      <c r="D14" s="104" t="s">
        <v>162</v>
      </c>
      <c r="E14" s="104" t="s">
        <v>166</v>
      </c>
      <c r="F14" s="121">
        <v>13</v>
      </c>
      <c r="G14" s="119">
        <v>10</v>
      </c>
      <c r="H14" s="119">
        <v>13</v>
      </c>
      <c r="I14" s="119">
        <v>33</v>
      </c>
      <c r="J14" s="185"/>
      <c r="K14" s="184">
        <v>12</v>
      </c>
      <c r="L14" s="184">
        <v>13</v>
      </c>
    </row>
    <row r="15" spans="1:12" x14ac:dyDescent="0.2">
      <c r="A15" s="104" t="s">
        <v>125</v>
      </c>
      <c r="B15" s="104" t="s">
        <v>144</v>
      </c>
      <c r="C15" s="105"/>
      <c r="D15" s="104" t="s">
        <v>163</v>
      </c>
      <c r="E15" s="104" t="s">
        <v>173</v>
      </c>
      <c r="F15" s="121">
        <v>14</v>
      </c>
      <c r="G15" s="119">
        <v>11</v>
      </c>
      <c r="H15" s="119">
        <v>14</v>
      </c>
      <c r="I15" s="119">
        <v>32</v>
      </c>
      <c r="J15" s="211" t="s">
        <v>366</v>
      </c>
      <c r="K15" s="184">
        <v>13</v>
      </c>
      <c r="L15" s="184">
        <v>14</v>
      </c>
    </row>
    <row r="16" spans="1:12" x14ac:dyDescent="0.2">
      <c r="A16" s="104" t="s">
        <v>126</v>
      </c>
      <c r="B16" s="104" t="s">
        <v>145</v>
      </c>
      <c r="C16" s="179" t="s">
        <v>248</v>
      </c>
      <c r="D16" s="105"/>
      <c r="E16" s="105"/>
      <c r="F16" s="121">
        <v>15</v>
      </c>
      <c r="G16" s="119">
        <v>12</v>
      </c>
      <c r="H16" s="119">
        <v>15</v>
      </c>
      <c r="I16" s="119">
        <v>31</v>
      </c>
      <c r="J16" s="104" t="s">
        <v>250</v>
      </c>
      <c r="K16" s="184">
        <v>14</v>
      </c>
      <c r="L16" s="184">
        <v>15</v>
      </c>
    </row>
    <row r="17" spans="1:12" x14ac:dyDescent="0.2">
      <c r="A17" s="104" t="s">
        <v>127</v>
      </c>
      <c r="B17" s="104" t="s">
        <v>146</v>
      </c>
      <c r="C17" s="104" t="s">
        <v>249</v>
      </c>
      <c r="D17" s="179" t="s">
        <v>223</v>
      </c>
      <c r="E17" s="177" t="s">
        <v>193</v>
      </c>
      <c r="F17" s="121">
        <v>16</v>
      </c>
      <c r="G17" s="119">
        <v>13</v>
      </c>
      <c r="H17" s="119">
        <v>16</v>
      </c>
      <c r="I17" s="119">
        <v>30</v>
      </c>
      <c r="J17" s="104" t="s">
        <v>251</v>
      </c>
      <c r="K17" s="184">
        <v>15</v>
      </c>
      <c r="L17" s="184">
        <v>16</v>
      </c>
    </row>
    <row r="18" spans="1:12" x14ac:dyDescent="0.2">
      <c r="A18" s="104" t="s">
        <v>128</v>
      </c>
      <c r="B18" s="104" t="s">
        <v>147</v>
      </c>
      <c r="C18" s="104" t="s">
        <v>250</v>
      </c>
      <c r="D18" s="119" t="s">
        <v>224</v>
      </c>
      <c r="E18" s="104" t="s">
        <v>186</v>
      </c>
      <c r="F18" s="121">
        <v>17</v>
      </c>
      <c r="G18" s="119">
        <v>14</v>
      </c>
      <c r="H18" s="119">
        <v>17</v>
      </c>
      <c r="I18" s="119">
        <v>29</v>
      </c>
      <c r="J18" s="104" t="s">
        <v>252</v>
      </c>
      <c r="K18" s="184">
        <v>16</v>
      </c>
      <c r="L18" s="184">
        <v>17</v>
      </c>
    </row>
    <row r="19" spans="1:12" x14ac:dyDescent="0.2">
      <c r="A19" s="104" t="s">
        <v>129</v>
      </c>
      <c r="B19" s="104" t="s">
        <v>149</v>
      </c>
      <c r="C19" s="104" t="s">
        <v>251</v>
      </c>
      <c r="D19" s="120">
        <v>0.75</v>
      </c>
      <c r="E19" s="104" t="s">
        <v>188</v>
      </c>
      <c r="F19" s="121">
        <v>18</v>
      </c>
      <c r="G19" s="119">
        <v>15</v>
      </c>
      <c r="H19" s="119">
        <v>18</v>
      </c>
      <c r="I19" s="119">
        <v>28</v>
      </c>
      <c r="J19" s="104" t="s">
        <v>253</v>
      </c>
      <c r="K19" s="184">
        <v>17</v>
      </c>
      <c r="L19" s="184">
        <v>18</v>
      </c>
    </row>
    <row r="20" spans="1:12" x14ac:dyDescent="0.2">
      <c r="A20" s="104" t="s">
        <v>130</v>
      </c>
      <c r="B20" s="104" t="s">
        <v>148</v>
      </c>
      <c r="C20" s="104" t="s">
        <v>252</v>
      </c>
      <c r="D20" s="120">
        <v>0.5</v>
      </c>
      <c r="E20" s="104" t="s">
        <v>187</v>
      </c>
      <c r="F20" s="121">
        <v>19</v>
      </c>
      <c r="G20" s="119">
        <v>16</v>
      </c>
      <c r="H20" s="119">
        <v>19</v>
      </c>
      <c r="I20" s="119">
        <v>27</v>
      </c>
      <c r="J20" s="104" t="s">
        <v>254</v>
      </c>
      <c r="K20" s="184">
        <v>18</v>
      </c>
      <c r="L20" s="184">
        <v>19</v>
      </c>
    </row>
    <row r="21" spans="1:12" x14ac:dyDescent="0.2">
      <c r="A21" s="106"/>
      <c r="B21" s="105"/>
      <c r="C21" s="104" t="s">
        <v>253</v>
      </c>
      <c r="D21" s="120">
        <v>0.25</v>
      </c>
      <c r="E21" s="105"/>
      <c r="F21" s="121">
        <v>20</v>
      </c>
      <c r="G21" s="119">
        <v>17</v>
      </c>
      <c r="H21" s="119">
        <v>20</v>
      </c>
      <c r="I21" s="119">
        <v>26</v>
      </c>
      <c r="J21" s="104" t="s">
        <v>314</v>
      </c>
      <c r="K21" s="184">
        <v>19</v>
      </c>
      <c r="L21" s="184">
        <v>20</v>
      </c>
    </row>
    <row r="22" spans="1:12" x14ac:dyDescent="0.2">
      <c r="A22" s="176" t="s">
        <v>195</v>
      </c>
      <c r="B22" s="178" t="s">
        <v>196</v>
      </c>
      <c r="C22" s="104" t="s">
        <v>254</v>
      </c>
      <c r="D22" s="119" t="s">
        <v>54</v>
      </c>
      <c r="E22" s="179" t="s">
        <v>211</v>
      </c>
      <c r="F22" s="121">
        <v>21</v>
      </c>
      <c r="G22" s="119">
        <v>18</v>
      </c>
      <c r="H22" s="119">
        <v>21</v>
      </c>
      <c r="I22" s="119">
        <v>25</v>
      </c>
      <c r="J22" s="210" t="s">
        <v>256</v>
      </c>
      <c r="K22" s="184">
        <v>20</v>
      </c>
      <c r="L22" s="184">
        <v>21</v>
      </c>
    </row>
    <row r="23" spans="1:12" x14ac:dyDescent="0.2">
      <c r="A23" s="181" t="s">
        <v>74</v>
      </c>
      <c r="B23" s="182" t="s">
        <v>89</v>
      </c>
      <c r="C23" s="104" t="s">
        <v>255</v>
      </c>
      <c r="D23" s="183" t="s">
        <v>263</v>
      </c>
      <c r="E23" s="104" t="s">
        <v>12</v>
      </c>
      <c r="F23" s="121">
        <v>22</v>
      </c>
      <c r="G23" s="119">
        <v>19</v>
      </c>
      <c r="H23" s="119">
        <v>22</v>
      </c>
      <c r="I23" s="119">
        <v>24</v>
      </c>
      <c r="J23" s="185"/>
      <c r="K23" s="184">
        <v>21</v>
      </c>
      <c r="L23" s="184">
        <v>22</v>
      </c>
    </row>
    <row r="24" spans="1:12" x14ac:dyDescent="0.2">
      <c r="A24" s="181" t="s">
        <v>77</v>
      </c>
      <c r="B24" s="182" t="s">
        <v>91</v>
      </c>
      <c r="C24" s="104" t="s">
        <v>314</v>
      </c>
      <c r="D24" s="179" t="s">
        <v>234</v>
      </c>
      <c r="E24" s="104" t="s">
        <v>203</v>
      </c>
      <c r="F24" s="121">
        <v>23</v>
      </c>
      <c r="G24" s="119">
        <v>20</v>
      </c>
      <c r="H24" s="119">
        <v>23</v>
      </c>
      <c r="I24" s="119">
        <v>23</v>
      </c>
      <c r="J24" s="184" t="s">
        <v>37</v>
      </c>
      <c r="K24" s="184">
        <v>22</v>
      </c>
      <c r="L24" s="184">
        <v>23</v>
      </c>
    </row>
    <row r="25" spans="1:12" x14ac:dyDescent="0.2">
      <c r="A25" s="181" t="s">
        <v>156</v>
      </c>
      <c r="B25" s="182" t="s">
        <v>198</v>
      </c>
      <c r="C25" s="104" t="s">
        <v>256</v>
      </c>
      <c r="D25" s="119">
        <v>4</v>
      </c>
      <c r="E25" s="104" t="s">
        <v>204</v>
      </c>
      <c r="F25" s="121">
        <v>24</v>
      </c>
      <c r="G25" s="119">
        <v>21</v>
      </c>
      <c r="H25" s="119">
        <v>24</v>
      </c>
      <c r="I25" s="119">
        <v>22</v>
      </c>
      <c r="J25" s="184" t="s">
        <v>38</v>
      </c>
      <c r="K25" s="184">
        <v>23</v>
      </c>
      <c r="L25" s="184">
        <v>24</v>
      </c>
    </row>
    <row r="26" spans="1:12" x14ac:dyDescent="0.2">
      <c r="A26" s="105"/>
      <c r="B26" s="182" t="s">
        <v>197</v>
      </c>
      <c r="C26" s="179" t="s">
        <v>291</v>
      </c>
      <c r="D26" s="119">
        <v>5</v>
      </c>
      <c r="E26" s="104" t="s">
        <v>205</v>
      </c>
      <c r="F26" s="121">
        <v>25</v>
      </c>
      <c r="G26" s="119">
        <v>22</v>
      </c>
      <c r="H26" s="119">
        <v>25</v>
      </c>
      <c r="I26" s="119">
        <v>21</v>
      </c>
      <c r="J26" s="184" t="s">
        <v>480</v>
      </c>
      <c r="K26" s="184">
        <v>24</v>
      </c>
      <c r="L26" s="184">
        <v>25</v>
      </c>
    </row>
    <row r="27" spans="1:12" x14ac:dyDescent="0.2">
      <c r="A27" s="179" t="s">
        <v>218</v>
      </c>
      <c r="B27" s="182" t="s">
        <v>199</v>
      </c>
      <c r="C27" s="104" t="s">
        <v>285</v>
      </c>
      <c r="D27" s="119">
        <v>6</v>
      </c>
      <c r="E27" s="104" t="s">
        <v>206</v>
      </c>
      <c r="F27" s="121">
        <v>26</v>
      </c>
      <c r="G27" s="119">
        <v>23</v>
      </c>
      <c r="H27" s="105"/>
      <c r="I27" s="119">
        <v>20</v>
      </c>
      <c r="J27" s="213"/>
      <c r="K27" s="184">
        <v>25</v>
      </c>
      <c r="L27" s="184">
        <v>26</v>
      </c>
    </row>
    <row r="28" spans="1:12" x14ac:dyDescent="0.2">
      <c r="A28" s="104" t="s">
        <v>220</v>
      </c>
      <c r="B28" s="182" t="s">
        <v>94</v>
      </c>
      <c r="C28" s="104" t="s">
        <v>286</v>
      </c>
      <c r="D28" s="119">
        <v>7</v>
      </c>
      <c r="E28" s="104" t="s">
        <v>207</v>
      </c>
      <c r="F28" s="121">
        <v>27</v>
      </c>
      <c r="G28" s="119">
        <v>24</v>
      </c>
      <c r="H28" s="209" t="s">
        <v>364</v>
      </c>
      <c r="I28" s="119">
        <v>19</v>
      </c>
      <c r="K28" s="184">
        <v>26</v>
      </c>
      <c r="L28" s="184">
        <v>27</v>
      </c>
    </row>
    <row r="29" spans="1:12" x14ac:dyDescent="0.2">
      <c r="A29" s="104" t="s">
        <v>221</v>
      </c>
      <c r="B29" s="182" t="s">
        <v>96</v>
      </c>
      <c r="C29" s="104" t="s">
        <v>287</v>
      </c>
      <c r="D29" s="119">
        <v>8</v>
      </c>
      <c r="E29" s="104" t="s">
        <v>208</v>
      </c>
      <c r="F29" s="121">
        <v>28</v>
      </c>
      <c r="G29" s="119">
        <v>25</v>
      </c>
      <c r="H29" s="119">
        <v>0.5</v>
      </c>
      <c r="I29" s="119">
        <v>18</v>
      </c>
      <c r="K29" s="184">
        <v>27</v>
      </c>
      <c r="L29" s="184">
        <v>28</v>
      </c>
    </row>
    <row r="30" spans="1:12" x14ac:dyDescent="0.2">
      <c r="A30" s="104" t="s">
        <v>78</v>
      </c>
      <c r="B30" s="182" t="s">
        <v>100</v>
      </c>
      <c r="C30" s="104" t="s">
        <v>288</v>
      </c>
      <c r="D30" s="119">
        <v>9</v>
      </c>
      <c r="E30" s="105"/>
      <c r="F30" s="121">
        <v>29</v>
      </c>
      <c r="G30" s="119">
        <v>26</v>
      </c>
      <c r="H30" s="119">
        <v>1</v>
      </c>
      <c r="I30" s="119">
        <v>17</v>
      </c>
      <c r="K30" s="184">
        <v>28</v>
      </c>
      <c r="L30" s="184">
        <v>29</v>
      </c>
    </row>
    <row r="31" spans="1:12" x14ac:dyDescent="0.2">
      <c r="A31" s="104" t="s">
        <v>219</v>
      </c>
      <c r="B31" s="182" t="s">
        <v>98</v>
      </c>
      <c r="C31" s="104" t="s">
        <v>289</v>
      </c>
      <c r="D31" s="119">
        <v>10</v>
      </c>
      <c r="E31" s="179" t="s">
        <v>210</v>
      </c>
      <c r="F31" s="121">
        <v>30</v>
      </c>
      <c r="G31" s="119">
        <v>27</v>
      </c>
      <c r="H31" s="119">
        <v>1.5</v>
      </c>
      <c r="I31" s="119">
        <v>16</v>
      </c>
      <c r="K31" s="184">
        <v>29</v>
      </c>
      <c r="L31" s="184">
        <v>30</v>
      </c>
    </row>
    <row r="32" spans="1:12" x14ac:dyDescent="0.2">
      <c r="A32" s="104" t="s">
        <v>222</v>
      </c>
      <c r="B32" s="105"/>
      <c r="C32" s="104" t="s">
        <v>290</v>
      </c>
      <c r="D32" s="119">
        <v>11</v>
      </c>
      <c r="E32" s="104" t="s">
        <v>212</v>
      </c>
      <c r="F32" s="121">
        <v>31</v>
      </c>
      <c r="G32" s="119">
        <v>28</v>
      </c>
      <c r="H32" s="119">
        <v>2</v>
      </c>
      <c r="I32" s="119">
        <v>15</v>
      </c>
      <c r="K32" s="184">
        <v>30</v>
      </c>
      <c r="L32" s="184">
        <v>31</v>
      </c>
    </row>
    <row r="33" spans="1:12" x14ac:dyDescent="0.2">
      <c r="A33" s="105"/>
      <c r="B33" s="179" t="s">
        <v>307</v>
      </c>
      <c r="C33" s="183" t="s">
        <v>334</v>
      </c>
      <c r="D33" s="104" t="s">
        <v>236</v>
      </c>
      <c r="E33" s="104" t="s">
        <v>213</v>
      </c>
      <c r="F33" s="121">
        <v>32</v>
      </c>
      <c r="G33" s="119">
        <v>29</v>
      </c>
      <c r="H33" s="119">
        <v>2.5</v>
      </c>
      <c r="I33" s="119">
        <v>14</v>
      </c>
      <c r="K33" s="184" t="s">
        <v>353</v>
      </c>
      <c r="L33" s="184">
        <v>32</v>
      </c>
    </row>
    <row r="34" spans="1:12" x14ac:dyDescent="0.2">
      <c r="A34" s="179" t="s">
        <v>217</v>
      </c>
      <c r="B34" s="104" t="s">
        <v>308</v>
      </c>
      <c r="C34" s="179" t="s">
        <v>293</v>
      </c>
      <c r="D34" s="104" t="s">
        <v>237</v>
      </c>
      <c r="E34" s="104" t="s">
        <v>214</v>
      </c>
      <c r="F34" s="121">
        <v>33</v>
      </c>
      <c r="G34" s="119">
        <v>30</v>
      </c>
      <c r="H34" s="119">
        <v>3</v>
      </c>
      <c r="I34" s="119">
        <v>13</v>
      </c>
      <c r="K34" s="185"/>
      <c r="L34" s="184">
        <v>33</v>
      </c>
    </row>
    <row r="35" spans="1:12" x14ac:dyDescent="0.2">
      <c r="A35" s="104" t="s">
        <v>52</v>
      </c>
      <c r="B35" s="104" t="s">
        <v>309</v>
      </c>
      <c r="C35" s="119">
        <v>0</v>
      </c>
      <c r="D35" s="104" t="s">
        <v>238</v>
      </c>
      <c r="E35" s="105"/>
      <c r="F35" s="121">
        <v>34</v>
      </c>
      <c r="G35" s="119">
        <v>31</v>
      </c>
      <c r="H35" s="119">
        <v>3.5</v>
      </c>
      <c r="I35" s="119">
        <v>12</v>
      </c>
      <c r="L35" s="184">
        <v>34</v>
      </c>
    </row>
    <row r="36" spans="1:12" x14ac:dyDescent="0.2">
      <c r="A36" s="104" t="s">
        <v>53</v>
      </c>
      <c r="B36" s="183" t="s">
        <v>43</v>
      </c>
      <c r="C36" s="119">
        <v>0.5</v>
      </c>
      <c r="D36" s="104" t="s">
        <v>239</v>
      </c>
      <c r="E36" s="179" t="s">
        <v>276</v>
      </c>
      <c r="F36" s="121">
        <v>35</v>
      </c>
      <c r="G36" s="119">
        <v>32</v>
      </c>
      <c r="H36" s="119">
        <v>4</v>
      </c>
      <c r="I36" s="119">
        <v>11</v>
      </c>
      <c r="L36" s="184">
        <v>35</v>
      </c>
    </row>
    <row r="37" spans="1:12" x14ac:dyDescent="0.2">
      <c r="A37" s="104" t="s">
        <v>231</v>
      </c>
      <c r="B37" s="105"/>
      <c r="C37" s="119">
        <v>1</v>
      </c>
      <c r="D37" s="104" t="s">
        <v>240</v>
      </c>
      <c r="E37" s="104" t="s">
        <v>39</v>
      </c>
      <c r="F37" s="121">
        <v>36</v>
      </c>
      <c r="G37" s="119">
        <v>33</v>
      </c>
      <c r="H37" s="119">
        <v>4.5</v>
      </c>
      <c r="I37" s="119">
        <v>10</v>
      </c>
      <c r="L37" s="184">
        <v>36</v>
      </c>
    </row>
    <row r="38" spans="1:12" x14ac:dyDescent="0.2">
      <c r="A38" s="104" t="s">
        <v>232</v>
      </c>
      <c r="B38" s="179" t="s">
        <v>261</v>
      </c>
      <c r="C38" s="119">
        <v>1.5</v>
      </c>
      <c r="D38" s="104" t="s">
        <v>241</v>
      </c>
      <c r="E38" s="104" t="s">
        <v>45</v>
      </c>
      <c r="F38" s="121">
        <v>37</v>
      </c>
      <c r="G38" s="119">
        <v>34</v>
      </c>
      <c r="H38" s="119">
        <v>5</v>
      </c>
      <c r="I38" s="119">
        <v>9</v>
      </c>
      <c r="L38" s="184">
        <v>37</v>
      </c>
    </row>
    <row r="39" spans="1:12" x14ac:dyDescent="0.2">
      <c r="A39" s="104" t="s">
        <v>485</v>
      </c>
      <c r="B39" s="120">
        <v>0.25</v>
      </c>
      <c r="C39" s="119">
        <v>2</v>
      </c>
      <c r="D39" s="105"/>
      <c r="E39" s="104" t="s">
        <v>46</v>
      </c>
      <c r="F39" s="121">
        <v>38</v>
      </c>
      <c r="G39" s="119">
        <v>35</v>
      </c>
      <c r="H39" s="105"/>
      <c r="I39" s="119">
        <v>8</v>
      </c>
      <c r="L39" s="184">
        <v>38</v>
      </c>
    </row>
    <row r="40" spans="1:12" x14ac:dyDescent="0.2">
      <c r="A40" s="105"/>
      <c r="B40" s="120">
        <v>0.5</v>
      </c>
      <c r="C40" s="119">
        <v>2.5</v>
      </c>
      <c r="D40" s="179" t="s">
        <v>268</v>
      </c>
      <c r="E40" s="104" t="s">
        <v>47</v>
      </c>
      <c r="F40" s="121">
        <v>39</v>
      </c>
      <c r="G40" s="119">
        <v>36</v>
      </c>
      <c r="H40" s="209" t="s">
        <v>365</v>
      </c>
      <c r="I40" s="119">
        <v>7</v>
      </c>
      <c r="L40" s="184">
        <v>39</v>
      </c>
    </row>
    <row r="41" spans="1:12" x14ac:dyDescent="0.2">
      <c r="A41" s="179" t="s">
        <v>266</v>
      </c>
      <c r="B41" s="120">
        <v>0.75</v>
      </c>
      <c r="C41" s="119">
        <v>3</v>
      </c>
      <c r="D41" s="119">
        <v>0</v>
      </c>
      <c r="E41" s="104" t="s">
        <v>14</v>
      </c>
      <c r="F41" s="121">
        <v>40</v>
      </c>
      <c r="G41" s="119">
        <v>37</v>
      </c>
      <c r="H41" s="104" t="s">
        <v>249</v>
      </c>
      <c r="I41" s="119">
        <v>6</v>
      </c>
      <c r="L41" s="184">
        <v>40</v>
      </c>
    </row>
    <row r="42" spans="1:12" x14ac:dyDescent="0.2">
      <c r="A42" s="104" t="s">
        <v>257</v>
      </c>
      <c r="B42" s="120">
        <v>1</v>
      </c>
      <c r="C42" s="119">
        <v>3.5</v>
      </c>
      <c r="D42" s="119">
        <v>1</v>
      </c>
      <c r="E42" s="104" t="s">
        <v>15</v>
      </c>
      <c r="F42" s="121">
        <v>41</v>
      </c>
      <c r="G42" s="119">
        <v>38</v>
      </c>
      <c r="H42" s="104" t="s">
        <v>250</v>
      </c>
      <c r="I42" s="119">
        <v>5</v>
      </c>
      <c r="L42" s="184">
        <v>41</v>
      </c>
    </row>
    <row r="43" spans="1:12" x14ac:dyDescent="0.2">
      <c r="A43" s="104" t="s">
        <v>258</v>
      </c>
      <c r="B43" s="119" t="s">
        <v>264</v>
      </c>
      <c r="C43" s="119">
        <v>4</v>
      </c>
      <c r="D43" s="119">
        <v>2</v>
      </c>
      <c r="E43" s="104" t="s">
        <v>16</v>
      </c>
      <c r="F43" s="121">
        <v>42</v>
      </c>
      <c r="G43" s="119">
        <v>39</v>
      </c>
      <c r="H43" s="104" t="s">
        <v>251</v>
      </c>
      <c r="I43" s="119">
        <v>4</v>
      </c>
      <c r="L43" s="184">
        <v>42</v>
      </c>
    </row>
    <row r="44" spans="1:12" x14ac:dyDescent="0.2">
      <c r="A44" s="104" t="s">
        <v>259</v>
      </c>
      <c r="B44" s="119" t="s">
        <v>263</v>
      </c>
      <c r="C44" s="119">
        <v>4.5</v>
      </c>
      <c r="D44" s="119">
        <v>3</v>
      </c>
      <c r="E44" s="104" t="s">
        <v>17</v>
      </c>
      <c r="F44" s="121">
        <v>43</v>
      </c>
      <c r="G44" s="119">
        <v>40</v>
      </c>
      <c r="H44" s="104" t="s">
        <v>252</v>
      </c>
      <c r="I44" s="119">
        <v>3</v>
      </c>
      <c r="L44" s="184">
        <v>43</v>
      </c>
    </row>
    <row r="45" spans="1:12" x14ac:dyDescent="0.2">
      <c r="A45" s="104" t="s">
        <v>264</v>
      </c>
      <c r="B45" s="119" t="s">
        <v>262</v>
      </c>
      <c r="C45" s="119">
        <v>5</v>
      </c>
      <c r="D45" s="119">
        <v>4</v>
      </c>
      <c r="E45" s="104" t="s">
        <v>18</v>
      </c>
      <c r="F45" s="121">
        <v>44</v>
      </c>
      <c r="G45" s="119">
        <v>41</v>
      </c>
      <c r="H45" s="105"/>
      <c r="I45" s="119">
        <v>2</v>
      </c>
      <c r="L45" s="184">
        <v>44</v>
      </c>
    </row>
    <row r="46" spans="1:12" x14ac:dyDescent="0.2">
      <c r="A46" s="104" t="s">
        <v>265</v>
      </c>
      <c r="B46" s="105"/>
      <c r="C46" s="119">
        <v>5.5</v>
      </c>
      <c r="D46" s="119">
        <v>5</v>
      </c>
      <c r="E46" s="104" t="s">
        <v>255</v>
      </c>
      <c r="F46" s="121">
        <v>45</v>
      </c>
      <c r="G46" s="119">
        <v>42</v>
      </c>
      <c r="H46" s="179" t="s">
        <v>369</v>
      </c>
      <c r="I46" s="119">
        <v>1</v>
      </c>
      <c r="L46" s="184">
        <v>45</v>
      </c>
    </row>
    <row r="47" spans="1:12" x14ac:dyDescent="0.2">
      <c r="A47" s="105"/>
      <c r="B47" s="124" t="s">
        <v>315</v>
      </c>
      <c r="C47" s="119">
        <v>6</v>
      </c>
      <c r="D47" s="119">
        <v>6</v>
      </c>
      <c r="E47" s="104" t="s">
        <v>280</v>
      </c>
      <c r="F47" s="121">
        <v>46</v>
      </c>
      <c r="G47" s="119">
        <v>43</v>
      </c>
      <c r="H47" s="104" t="s">
        <v>45</v>
      </c>
      <c r="I47" s="105"/>
      <c r="L47" s="185"/>
    </row>
    <row r="48" spans="1:12" x14ac:dyDescent="0.2">
      <c r="A48" s="124" t="s">
        <v>320</v>
      </c>
      <c r="B48" s="104" t="s">
        <v>316</v>
      </c>
      <c r="C48" s="119">
        <v>6.5</v>
      </c>
      <c r="D48" s="119">
        <v>7</v>
      </c>
      <c r="E48" s="104" t="s">
        <v>277</v>
      </c>
      <c r="F48" s="121">
        <v>47</v>
      </c>
      <c r="G48" s="119">
        <v>44</v>
      </c>
      <c r="H48" s="104" t="s">
        <v>46</v>
      </c>
    </row>
    <row r="49" spans="1:8" x14ac:dyDescent="0.2">
      <c r="A49" s="119" t="s">
        <v>321</v>
      </c>
      <c r="B49" s="104" t="s">
        <v>317</v>
      </c>
      <c r="C49" s="119">
        <v>7</v>
      </c>
      <c r="D49" s="119">
        <v>8</v>
      </c>
      <c r="E49" s="104" t="s">
        <v>278</v>
      </c>
      <c r="F49" s="121">
        <v>48</v>
      </c>
      <c r="G49" s="119">
        <v>45</v>
      </c>
      <c r="H49" s="104" t="s">
        <v>47</v>
      </c>
    </row>
    <row r="50" spans="1:8" x14ac:dyDescent="0.2">
      <c r="A50" s="104" t="s">
        <v>322</v>
      </c>
      <c r="B50" s="104" t="s">
        <v>318</v>
      </c>
      <c r="C50" s="119">
        <v>7.5</v>
      </c>
      <c r="D50" s="119">
        <v>9</v>
      </c>
      <c r="E50" s="104" t="s">
        <v>279</v>
      </c>
      <c r="F50" s="121">
        <v>49</v>
      </c>
      <c r="G50" s="119">
        <v>46</v>
      </c>
      <c r="H50" s="104" t="s">
        <v>14</v>
      </c>
    </row>
    <row r="51" spans="1:8" x14ac:dyDescent="0.2">
      <c r="A51" s="104" t="s">
        <v>329</v>
      </c>
      <c r="B51" s="104" t="s">
        <v>319</v>
      </c>
      <c r="C51" s="119">
        <v>8</v>
      </c>
      <c r="D51" s="105"/>
      <c r="E51" s="104" t="s">
        <v>281</v>
      </c>
      <c r="F51" s="121">
        <v>50</v>
      </c>
      <c r="G51" s="119">
        <v>47</v>
      </c>
      <c r="H51" s="104" t="s">
        <v>15</v>
      </c>
    </row>
    <row r="52" spans="1:8" x14ac:dyDescent="0.2">
      <c r="A52" s="104" t="s">
        <v>333</v>
      </c>
      <c r="B52" s="104" t="s">
        <v>254</v>
      </c>
      <c r="C52" s="119">
        <v>8.5</v>
      </c>
      <c r="D52" s="191" t="s">
        <v>342</v>
      </c>
      <c r="E52" s="104" t="s">
        <v>283</v>
      </c>
      <c r="F52" s="121">
        <v>51</v>
      </c>
      <c r="G52" s="119">
        <v>48</v>
      </c>
      <c r="H52" s="104" t="s">
        <v>16</v>
      </c>
    </row>
    <row r="53" spans="1:8" x14ac:dyDescent="0.2">
      <c r="A53" s="104" t="s">
        <v>330</v>
      </c>
      <c r="B53" s="104" t="s">
        <v>314</v>
      </c>
      <c r="C53" s="119">
        <v>9</v>
      </c>
      <c r="D53" s="119">
        <v>2010</v>
      </c>
      <c r="E53" s="104" t="s">
        <v>284</v>
      </c>
      <c r="F53" s="121">
        <v>52</v>
      </c>
      <c r="G53" s="119">
        <v>49</v>
      </c>
      <c r="H53" s="104" t="s">
        <v>17</v>
      </c>
    </row>
    <row r="54" spans="1:8" x14ac:dyDescent="0.2">
      <c r="A54" s="104" t="s">
        <v>325</v>
      </c>
      <c r="B54" s="104" t="s">
        <v>256</v>
      </c>
      <c r="C54" s="119">
        <v>9.5</v>
      </c>
      <c r="D54" s="119">
        <v>2011</v>
      </c>
      <c r="E54" s="104" t="s">
        <v>282</v>
      </c>
      <c r="F54" s="121">
        <v>53</v>
      </c>
      <c r="G54" s="119">
        <v>50</v>
      </c>
      <c r="H54" s="104" t="s">
        <v>18</v>
      </c>
    </row>
    <row r="55" spans="1:8" x14ac:dyDescent="0.2">
      <c r="A55" s="104" t="s">
        <v>327</v>
      </c>
      <c r="B55" s="105"/>
      <c r="C55" s="119">
        <v>10</v>
      </c>
      <c r="D55" s="119">
        <v>2012</v>
      </c>
      <c r="E55" s="104" t="s">
        <v>332</v>
      </c>
      <c r="F55" s="121">
        <v>54</v>
      </c>
      <c r="G55" s="119">
        <v>51</v>
      </c>
      <c r="H55" s="105"/>
    </row>
    <row r="56" spans="1:8" x14ac:dyDescent="0.2">
      <c r="A56" s="104" t="s">
        <v>323</v>
      </c>
      <c r="B56" s="191" t="s">
        <v>343</v>
      </c>
      <c r="C56" s="119">
        <v>10.5</v>
      </c>
      <c r="D56" s="119">
        <v>2013</v>
      </c>
      <c r="E56" s="104" t="s">
        <v>263</v>
      </c>
      <c r="F56" s="121">
        <v>55</v>
      </c>
      <c r="G56" s="119">
        <v>52</v>
      </c>
    </row>
    <row r="57" spans="1:8" x14ac:dyDescent="0.2">
      <c r="A57" s="104" t="s">
        <v>324</v>
      </c>
      <c r="B57" s="104" t="s">
        <v>344</v>
      </c>
      <c r="C57" s="119">
        <v>11</v>
      </c>
      <c r="D57" s="119">
        <v>2014</v>
      </c>
      <c r="E57" s="105"/>
      <c r="F57" s="121">
        <v>56</v>
      </c>
      <c r="G57" s="119">
        <v>53</v>
      </c>
    </row>
    <row r="58" spans="1:8" x14ac:dyDescent="0.2">
      <c r="A58" s="104" t="s">
        <v>328</v>
      </c>
      <c r="B58" s="104" t="s">
        <v>345</v>
      </c>
      <c r="C58" s="119">
        <v>11.5</v>
      </c>
      <c r="D58" s="119">
        <v>2015</v>
      </c>
      <c r="F58" s="121">
        <v>57</v>
      </c>
      <c r="G58" s="119">
        <v>54</v>
      </c>
    </row>
    <row r="59" spans="1:8" x14ac:dyDescent="0.2">
      <c r="A59" s="104" t="s">
        <v>326</v>
      </c>
      <c r="B59" s="104" t="s">
        <v>348</v>
      </c>
      <c r="C59" s="119">
        <v>12</v>
      </c>
      <c r="D59" s="119">
        <v>2016</v>
      </c>
      <c r="F59" s="121">
        <v>58</v>
      </c>
      <c r="G59" s="119">
        <v>55</v>
      </c>
    </row>
    <row r="60" spans="1:8" x14ac:dyDescent="0.2">
      <c r="A60" s="104" t="s">
        <v>256</v>
      </c>
      <c r="B60" s="104" t="s">
        <v>346</v>
      </c>
      <c r="C60" s="119">
        <v>12.5</v>
      </c>
      <c r="D60" s="190"/>
      <c r="F60" s="121">
        <v>59</v>
      </c>
      <c r="G60" s="119">
        <v>56</v>
      </c>
    </row>
    <row r="61" spans="1:8" x14ac:dyDescent="0.2">
      <c r="A61" s="105"/>
      <c r="B61" s="104" t="s">
        <v>347</v>
      </c>
      <c r="C61" s="119">
        <v>13</v>
      </c>
      <c r="D61" s="205" t="s">
        <v>363</v>
      </c>
      <c r="F61" s="121">
        <v>60</v>
      </c>
      <c r="G61" s="119">
        <v>57</v>
      </c>
    </row>
    <row r="62" spans="1:8" x14ac:dyDescent="0.2">
      <c r="A62" s="206" t="s">
        <v>356</v>
      </c>
      <c r="B62" s="104" t="s">
        <v>349</v>
      </c>
      <c r="C62" s="119">
        <v>13.5</v>
      </c>
      <c r="D62" s="104" t="s">
        <v>368</v>
      </c>
      <c r="F62" s="121">
        <v>61</v>
      </c>
      <c r="G62" s="119">
        <v>58</v>
      </c>
    </row>
    <row r="63" spans="1:8" x14ac:dyDescent="0.2">
      <c r="A63" s="203" t="s">
        <v>361</v>
      </c>
      <c r="B63" s="104" t="s">
        <v>350</v>
      </c>
      <c r="C63" s="119">
        <v>14</v>
      </c>
      <c r="D63" s="104" t="s">
        <v>336</v>
      </c>
      <c r="F63" s="121">
        <v>62</v>
      </c>
      <c r="G63" s="119">
        <v>59</v>
      </c>
    </row>
    <row r="64" spans="1:8" x14ac:dyDescent="0.2">
      <c r="A64" s="204" t="s">
        <v>357</v>
      </c>
      <c r="B64" s="105"/>
      <c r="C64" s="119">
        <v>14.5</v>
      </c>
      <c r="D64" s="104" t="s">
        <v>337</v>
      </c>
      <c r="F64" s="121">
        <v>63</v>
      </c>
      <c r="G64" s="119">
        <v>60</v>
      </c>
    </row>
    <row r="65" spans="1:7" x14ac:dyDescent="0.2">
      <c r="A65" s="204" t="s">
        <v>358</v>
      </c>
      <c r="C65" s="119">
        <v>15</v>
      </c>
      <c r="D65" s="104" t="s">
        <v>338</v>
      </c>
      <c r="F65" s="121">
        <v>64</v>
      </c>
      <c r="G65" s="119">
        <v>61</v>
      </c>
    </row>
    <row r="66" spans="1:7" x14ac:dyDescent="0.2">
      <c r="A66" s="204" t="s">
        <v>362</v>
      </c>
      <c r="C66" s="119">
        <v>15.5</v>
      </c>
      <c r="D66" s="104" t="s">
        <v>339</v>
      </c>
      <c r="F66" s="121">
        <v>65</v>
      </c>
      <c r="G66" s="119">
        <v>62</v>
      </c>
    </row>
    <row r="67" spans="1:7" x14ac:dyDescent="0.2">
      <c r="A67" s="204" t="s">
        <v>359</v>
      </c>
      <c r="C67" s="119">
        <v>16</v>
      </c>
      <c r="D67" s="104" t="s">
        <v>340</v>
      </c>
      <c r="F67" s="121">
        <v>66</v>
      </c>
      <c r="G67" s="119">
        <v>63</v>
      </c>
    </row>
    <row r="68" spans="1:7" x14ac:dyDescent="0.2">
      <c r="A68" s="204" t="s">
        <v>360</v>
      </c>
      <c r="C68" s="119">
        <v>16.5</v>
      </c>
      <c r="D68" s="104" t="s">
        <v>341</v>
      </c>
      <c r="F68" s="121">
        <v>67</v>
      </c>
      <c r="G68" s="119">
        <v>64</v>
      </c>
    </row>
    <row r="69" spans="1:7" x14ac:dyDescent="0.2">
      <c r="A69" s="123"/>
      <c r="C69" s="119">
        <v>17</v>
      </c>
      <c r="D69" s="105"/>
      <c r="F69" s="121">
        <v>68</v>
      </c>
      <c r="G69" s="119">
        <v>65</v>
      </c>
    </row>
    <row r="70" spans="1:7" x14ac:dyDescent="0.2">
      <c r="A70" s="119"/>
      <c r="C70" s="119">
        <v>17.5</v>
      </c>
      <c r="F70" s="121">
        <v>69</v>
      </c>
      <c r="G70" s="119">
        <v>66</v>
      </c>
    </row>
    <row r="71" spans="1:7" x14ac:dyDescent="0.2">
      <c r="A71" s="119"/>
      <c r="C71" s="119">
        <v>18</v>
      </c>
      <c r="F71" s="121">
        <v>70</v>
      </c>
      <c r="G71" s="119">
        <v>67</v>
      </c>
    </row>
    <row r="72" spans="1:7" x14ac:dyDescent="0.2">
      <c r="A72" s="119"/>
      <c r="C72" s="119">
        <v>18.5</v>
      </c>
      <c r="F72" s="121">
        <v>71</v>
      </c>
      <c r="G72" s="119">
        <v>68</v>
      </c>
    </row>
    <row r="73" spans="1:7" x14ac:dyDescent="0.2">
      <c r="C73" s="119">
        <v>19</v>
      </c>
      <c r="F73" s="121">
        <v>72</v>
      </c>
      <c r="G73" s="119">
        <v>69</v>
      </c>
    </row>
    <row r="74" spans="1:7" x14ac:dyDescent="0.2">
      <c r="C74" s="119">
        <v>19.5</v>
      </c>
      <c r="F74" s="121">
        <v>73</v>
      </c>
      <c r="G74" s="119">
        <v>70</v>
      </c>
    </row>
    <row r="75" spans="1:7" x14ac:dyDescent="0.2">
      <c r="C75" s="119">
        <v>20</v>
      </c>
      <c r="F75" s="121">
        <v>74</v>
      </c>
      <c r="G75" s="119">
        <v>71</v>
      </c>
    </row>
    <row r="76" spans="1:7" x14ac:dyDescent="0.2">
      <c r="C76" s="119">
        <v>20.5</v>
      </c>
      <c r="F76" s="121">
        <v>75</v>
      </c>
      <c r="G76" s="119">
        <v>72</v>
      </c>
    </row>
    <row r="77" spans="1:7" x14ac:dyDescent="0.2">
      <c r="C77" s="119">
        <v>21</v>
      </c>
      <c r="F77" s="121">
        <v>76</v>
      </c>
      <c r="G77" s="119">
        <v>73</v>
      </c>
    </row>
    <row r="78" spans="1:7" x14ac:dyDescent="0.2">
      <c r="C78" s="119">
        <v>21.5</v>
      </c>
      <c r="F78" s="121">
        <v>77</v>
      </c>
      <c r="G78" s="119">
        <v>74</v>
      </c>
    </row>
    <row r="79" spans="1:7" x14ac:dyDescent="0.2">
      <c r="C79" s="119">
        <v>22</v>
      </c>
      <c r="F79" s="121">
        <v>78</v>
      </c>
      <c r="G79" s="119">
        <v>75</v>
      </c>
    </row>
    <row r="80" spans="1:7" x14ac:dyDescent="0.2">
      <c r="C80" s="119">
        <v>22.5</v>
      </c>
      <c r="F80" s="121">
        <v>79</v>
      </c>
      <c r="G80" s="119">
        <v>76</v>
      </c>
    </row>
    <row r="81" spans="3:7" x14ac:dyDescent="0.2">
      <c r="C81" s="119">
        <v>23</v>
      </c>
      <c r="F81" s="121">
        <v>80</v>
      </c>
      <c r="G81" s="119">
        <v>77</v>
      </c>
    </row>
    <row r="82" spans="3:7" x14ac:dyDescent="0.2">
      <c r="C82" s="119">
        <v>23.5</v>
      </c>
      <c r="F82" s="121">
        <v>81</v>
      </c>
      <c r="G82" s="119">
        <v>78</v>
      </c>
    </row>
    <row r="83" spans="3:7" x14ac:dyDescent="0.2">
      <c r="C83" s="119">
        <v>24</v>
      </c>
      <c r="F83" s="121">
        <v>82</v>
      </c>
      <c r="G83" s="119">
        <v>79</v>
      </c>
    </row>
    <row r="84" spans="3:7" x14ac:dyDescent="0.2">
      <c r="C84" s="119">
        <v>24.5</v>
      </c>
      <c r="F84" s="121">
        <v>83</v>
      </c>
      <c r="G84" s="119">
        <v>80</v>
      </c>
    </row>
    <row r="85" spans="3:7" x14ac:dyDescent="0.2">
      <c r="C85" s="119">
        <v>25</v>
      </c>
      <c r="F85" s="121">
        <v>84</v>
      </c>
      <c r="G85" s="119">
        <v>81</v>
      </c>
    </row>
    <row r="86" spans="3:7" x14ac:dyDescent="0.2">
      <c r="C86" s="119">
        <v>25.5</v>
      </c>
      <c r="F86" s="121">
        <v>85</v>
      </c>
      <c r="G86" s="119">
        <v>82</v>
      </c>
    </row>
    <row r="87" spans="3:7" x14ac:dyDescent="0.2">
      <c r="C87" s="119">
        <v>26</v>
      </c>
      <c r="F87" s="121">
        <v>86</v>
      </c>
      <c r="G87" s="119">
        <v>83</v>
      </c>
    </row>
    <row r="88" spans="3:7" x14ac:dyDescent="0.2">
      <c r="C88" s="119">
        <v>26.5</v>
      </c>
      <c r="F88" s="121">
        <v>87</v>
      </c>
      <c r="G88" s="119">
        <v>84</v>
      </c>
    </row>
    <row r="89" spans="3:7" x14ac:dyDescent="0.2">
      <c r="C89" s="119">
        <v>27</v>
      </c>
      <c r="F89" s="121">
        <v>88</v>
      </c>
      <c r="G89" s="119">
        <v>85</v>
      </c>
    </row>
    <row r="90" spans="3:7" x14ac:dyDescent="0.2">
      <c r="C90" s="119">
        <v>27.5</v>
      </c>
      <c r="F90" s="121">
        <v>89</v>
      </c>
      <c r="G90" s="119">
        <v>86</v>
      </c>
    </row>
    <row r="91" spans="3:7" x14ac:dyDescent="0.2">
      <c r="C91" s="119">
        <v>28</v>
      </c>
      <c r="F91" s="121">
        <v>90</v>
      </c>
      <c r="G91" s="119">
        <v>87</v>
      </c>
    </row>
    <row r="92" spans="3:7" x14ac:dyDescent="0.2">
      <c r="C92" s="119">
        <v>28.5</v>
      </c>
      <c r="F92" s="121">
        <v>91</v>
      </c>
      <c r="G92" s="119">
        <v>88</v>
      </c>
    </row>
    <row r="93" spans="3:7" x14ac:dyDescent="0.2">
      <c r="C93" s="119">
        <v>29</v>
      </c>
      <c r="F93" s="121">
        <v>92</v>
      </c>
      <c r="G93" s="119">
        <v>89</v>
      </c>
    </row>
    <row r="94" spans="3:7" x14ac:dyDescent="0.2">
      <c r="C94" s="119">
        <v>29.5</v>
      </c>
      <c r="F94" s="121">
        <v>93</v>
      </c>
      <c r="G94" s="119">
        <v>90</v>
      </c>
    </row>
    <row r="95" spans="3:7" x14ac:dyDescent="0.2">
      <c r="C95" s="123"/>
      <c r="F95" s="121">
        <v>94</v>
      </c>
      <c r="G95" s="119">
        <v>91</v>
      </c>
    </row>
    <row r="96" spans="3:7" x14ac:dyDescent="0.2">
      <c r="F96" s="121">
        <v>95</v>
      </c>
      <c r="G96" s="119">
        <v>92</v>
      </c>
    </row>
    <row r="97" spans="6:7" x14ac:dyDescent="0.2">
      <c r="F97" s="121">
        <v>971</v>
      </c>
      <c r="G97" s="119">
        <v>93</v>
      </c>
    </row>
    <row r="98" spans="6:7" x14ac:dyDescent="0.2">
      <c r="F98" s="121">
        <v>972</v>
      </c>
      <c r="G98" s="119">
        <v>94</v>
      </c>
    </row>
    <row r="99" spans="6:7" x14ac:dyDescent="0.2">
      <c r="F99" s="121">
        <v>973</v>
      </c>
      <c r="G99" s="119">
        <v>95</v>
      </c>
    </row>
    <row r="100" spans="6:7" x14ac:dyDescent="0.2">
      <c r="F100" s="121">
        <v>974</v>
      </c>
      <c r="G100" s="119">
        <v>96</v>
      </c>
    </row>
    <row r="101" spans="6:7" x14ac:dyDescent="0.2">
      <c r="F101" s="121">
        <v>975</v>
      </c>
      <c r="G101" s="119">
        <v>97</v>
      </c>
    </row>
    <row r="102" spans="6:7" x14ac:dyDescent="0.2">
      <c r="F102" s="121">
        <v>976</v>
      </c>
      <c r="G102" s="119">
        <v>98</v>
      </c>
    </row>
    <row r="103" spans="6:7" x14ac:dyDescent="0.2">
      <c r="F103" s="104" t="s">
        <v>228</v>
      </c>
      <c r="G103" s="119">
        <v>99</v>
      </c>
    </row>
    <row r="104" spans="6:7" x14ac:dyDescent="0.2">
      <c r="F104" s="105"/>
      <c r="G104" s="119">
        <v>100</v>
      </c>
    </row>
    <row r="105" spans="6:7" x14ac:dyDescent="0.2">
      <c r="G105" s="105"/>
    </row>
  </sheetData>
  <sortState ref="A50:A59">
    <sortCondition ref="A49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43</vt:i4>
      </vt:variant>
    </vt:vector>
  </HeadingPairs>
  <TitlesOfParts>
    <vt:vector size="46" baseType="lpstr">
      <vt:lpstr>PRÉSENTATION</vt:lpstr>
      <vt:lpstr>ENSEIGNANTS</vt:lpstr>
      <vt:lpstr>PARAMETRES</vt:lpstr>
      <vt:lpstr>ABSENTEISME</vt:lpstr>
      <vt:lpstr>ACCIDENT</vt:lpstr>
      <vt:lpstr>ANCIENNETE</vt:lpstr>
      <vt:lpstr>ANNEE</vt:lpstr>
      <vt:lpstr>ANNÉES</vt:lpstr>
      <vt:lpstr>CATEGORIE</vt:lpstr>
      <vt:lpstr>CERL</vt:lpstr>
      <vt:lpstr>CERTIF</vt:lpstr>
      <vt:lpstr>CLASSE</vt:lpstr>
      <vt:lpstr>DECHARGE</vt:lpstr>
      <vt:lpstr>DEPARTEMENT</vt:lpstr>
      <vt:lpstr>DEVISE</vt:lpstr>
      <vt:lpstr>DIPLOME</vt:lpstr>
      <vt:lpstr>DIPLOMEPRO</vt:lpstr>
      <vt:lpstr>DIRECTEUR</vt:lpstr>
      <vt:lpstr>DISCIP</vt:lpstr>
      <vt:lpstr>DISCIPLINE</vt:lpstr>
      <vt:lpstr>DOMAINE</vt:lpstr>
      <vt:lpstr>ECHELON</vt:lpstr>
      <vt:lpstr>ECOLE</vt:lpstr>
      <vt:lpstr>ETABLISSEMENT</vt:lpstr>
      <vt:lpstr>FIE</vt:lpstr>
      <vt:lpstr>FONCT</vt:lpstr>
      <vt:lpstr>FONCTION</vt:lpstr>
      <vt:lpstr>FORMATION</vt:lpstr>
      <vt:lpstr>HEURES</vt:lpstr>
      <vt:lpstr>HORAIRE</vt:lpstr>
      <vt:lpstr>LENSEI</vt:lpstr>
      <vt:lpstr>MUTUALISATEUR</vt:lpstr>
      <vt:lpstr>NOMBRE</vt:lpstr>
      <vt:lpstr>OUINON</vt:lpstr>
      <vt:lpstr>OUINONM</vt:lpstr>
      <vt:lpstr>PAYS</vt:lpstr>
      <vt:lpstr>PE</vt:lpstr>
      <vt:lpstr>PRF</vt:lpstr>
      <vt:lpstr>PS</vt:lpstr>
      <vt:lpstr>SALLE</vt:lpstr>
      <vt:lpstr>SEXE</vt:lpstr>
      <vt:lpstr>STATUT</vt:lpstr>
      <vt:lpstr>TPENSEI</vt:lpstr>
      <vt:lpstr>VILLE</vt:lpstr>
      <vt:lpstr>VOYAGE</vt:lpstr>
      <vt:lpstr>ZONE</vt:lpstr>
    </vt:vector>
  </TitlesOfParts>
  <Company>Lycée français Louis Pasteur - Bogota - Colombie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de bord École - Zone Amérique du sud</dc:title>
  <dc:subject>Commande de Mme l'IEN</dc:subject>
  <dc:creator>Laurent Casanas - Directeur du primaire</dc:creator>
  <cp:lastModifiedBy>LAURENT CASANAS</cp:lastModifiedBy>
  <cp:revision>1</cp:revision>
  <cp:lastPrinted>2014-05-07T20:14:41Z</cp:lastPrinted>
  <dcterms:created xsi:type="dcterms:W3CDTF">2006-06-15T10:28:35Z</dcterms:created>
  <dcterms:modified xsi:type="dcterms:W3CDTF">2014-05-07T20:44:02Z</dcterms:modified>
</cp:coreProperties>
</file>