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65" windowWidth="19320" windowHeight="9915" activeTab="6"/>
  </bookViews>
  <sheets>
    <sheet name="Mail" sheetId="4" r:id="rId1"/>
    <sheet name="Janvier" sheetId="27" r:id="rId2"/>
    <sheet name="Février" sheetId="28" r:id="rId3"/>
    <sheet name="Mars" sheetId="30" r:id="rId4"/>
    <sheet name="Avril" sheetId="1" r:id="rId5"/>
    <sheet name="Mai" sheetId="5" r:id="rId6"/>
    <sheet name="TB 2014" sheetId="23" r:id="rId7"/>
  </sheets>
  <calcPr calcId="145621"/>
</workbook>
</file>

<file path=xl/calcChain.xml><?xml version="1.0" encoding="utf-8"?>
<calcChain xmlns="http://schemas.openxmlformats.org/spreadsheetml/2006/main">
  <c r="AV46" i="27" l="1"/>
  <c r="AV56" i="27"/>
  <c r="AV43" i="27"/>
  <c r="AV68" i="27"/>
  <c r="AV79" i="27"/>
  <c r="AV67" i="27"/>
  <c r="AV66" i="27"/>
  <c r="AV50" i="27"/>
  <c r="AV42" i="27"/>
  <c r="AV80" i="27"/>
  <c r="AV82" i="27"/>
  <c r="AV47" i="27"/>
  <c r="AV52" i="27"/>
  <c r="AV54" i="27"/>
  <c r="AV48" i="27"/>
  <c r="AV51" i="27"/>
  <c r="AV49" i="27"/>
  <c r="AV57" i="27"/>
  <c r="AV44" i="27"/>
  <c r="AV35" i="27"/>
  <c r="AV39" i="27"/>
  <c r="AV38" i="27"/>
  <c r="AV36" i="27"/>
  <c r="AT86" i="27"/>
  <c r="AT79" i="27"/>
  <c r="AT68" i="27"/>
  <c r="AT66" i="27"/>
  <c r="AT54" i="27"/>
  <c r="AT67" i="27"/>
  <c r="AT40" i="27"/>
  <c r="AT42" i="27"/>
  <c r="AT56" i="27"/>
  <c r="AT82" i="27"/>
  <c r="AT80" i="27"/>
  <c r="AT52" i="27"/>
  <c r="AT55" i="27"/>
  <c r="AT47" i="27"/>
  <c r="AT45" i="27"/>
  <c r="AT50" i="27"/>
  <c r="AT48" i="27"/>
  <c r="AT49" i="27"/>
  <c r="AT51" i="27"/>
  <c r="AT44" i="27"/>
  <c r="AT70" i="27"/>
  <c r="AT57" i="27"/>
  <c r="AT38" i="27"/>
  <c r="AT39" i="27"/>
  <c r="AT35" i="27"/>
  <c r="AT36" i="27"/>
  <c r="AT37" i="27"/>
  <c r="AT34" i="27"/>
  <c r="AP87" i="27"/>
  <c r="AP48" i="27"/>
  <c r="AP80" i="27"/>
  <c r="AP52" i="27"/>
  <c r="AP83" i="27"/>
  <c r="AP79" i="27"/>
  <c r="AP68" i="27"/>
  <c r="AP67" i="27"/>
  <c r="AP66" i="27"/>
  <c r="AP49" i="27"/>
  <c r="AP40" i="27"/>
  <c r="AP42" i="27"/>
  <c r="AP81" i="27"/>
  <c r="AP47" i="27"/>
  <c r="AP54" i="27"/>
  <c r="AP45" i="27"/>
  <c r="AP55" i="27"/>
  <c r="AP56" i="27"/>
  <c r="AP50" i="27"/>
  <c r="AP38" i="27"/>
  <c r="AP37" i="27"/>
  <c r="AP35" i="27"/>
  <c r="AP39" i="27"/>
  <c r="AN49" i="27"/>
  <c r="AN68" i="27"/>
  <c r="AN52" i="27"/>
  <c r="AN79" i="27"/>
  <c r="AN67" i="27"/>
  <c r="AN82" i="27"/>
  <c r="AN66" i="27"/>
  <c r="AN56" i="27"/>
  <c r="AN42" i="27"/>
  <c r="AN47" i="27"/>
  <c r="AN55" i="27"/>
  <c r="AN54" i="27"/>
  <c r="AN48" i="27"/>
  <c r="AN50" i="27"/>
  <c r="AN51" i="27"/>
  <c r="AN37" i="27"/>
  <c r="AN36" i="27"/>
  <c r="AN39" i="27"/>
  <c r="AN38" i="27"/>
  <c r="E31" i="23" l="1"/>
  <c r="E32" i="23"/>
  <c r="E33" i="23"/>
  <c r="E34" i="23"/>
  <c r="E35" i="23"/>
  <c r="E36" i="23"/>
  <c r="E37" i="23"/>
  <c r="AY80" i="28"/>
  <c r="AY81" i="28"/>
  <c r="AY82" i="28"/>
  <c r="AY83" i="28"/>
  <c r="AY84" i="28"/>
  <c r="AY85" i="28"/>
  <c r="AY86" i="28"/>
  <c r="AY87" i="28"/>
  <c r="AY79" i="28"/>
  <c r="BD84" i="27"/>
  <c r="BD85" i="27"/>
  <c r="BD87" i="27"/>
  <c r="AL49" i="27"/>
  <c r="AL79" i="27"/>
  <c r="AL66" i="27"/>
  <c r="AL68" i="27"/>
  <c r="AL69" i="27"/>
  <c r="AL67" i="27"/>
  <c r="AL81" i="27"/>
  <c r="AL82" i="27"/>
  <c r="AL80" i="27"/>
  <c r="AL48" i="27"/>
  <c r="AL55" i="27"/>
  <c r="AL47" i="27"/>
  <c r="AL56" i="27"/>
  <c r="AL54" i="27"/>
  <c r="AL45" i="27"/>
  <c r="AL57" i="27"/>
  <c r="AL44" i="27"/>
  <c r="AL36" i="27"/>
  <c r="AJ46" i="27"/>
  <c r="AJ48" i="27"/>
  <c r="AJ83" i="27"/>
  <c r="AJ81" i="27"/>
  <c r="AJ67" i="27"/>
  <c r="AJ80" i="27"/>
  <c r="AJ68" i="27"/>
  <c r="AJ66" i="27"/>
  <c r="AJ51" i="27"/>
  <c r="AJ49" i="27"/>
  <c r="AJ56" i="27"/>
  <c r="AJ38" i="27"/>
  <c r="AJ39" i="27"/>
  <c r="AJ34" i="27"/>
  <c r="AQ49" i="5" l="1"/>
  <c r="AQ79" i="5"/>
  <c r="AQ81" i="5"/>
  <c r="AQ82" i="5"/>
  <c r="AQ67" i="5"/>
  <c r="AQ69" i="5"/>
  <c r="AQ50" i="5"/>
  <c r="AQ66" i="5"/>
  <c r="AQ47" i="5"/>
  <c r="AQ54" i="5"/>
  <c r="AQ55" i="5"/>
  <c r="AQ45" i="5"/>
  <c r="AQ56" i="5"/>
  <c r="AQ41" i="5"/>
  <c r="AQ51" i="5"/>
  <c r="AQ48" i="5"/>
  <c r="AQ68" i="5"/>
  <c r="AQ40" i="5"/>
  <c r="AQ42" i="5"/>
  <c r="AQ57" i="5"/>
  <c r="AQ70" i="5"/>
  <c r="AQ65" i="5"/>
  <c r="AQ39" i="5"/>
  <c r="AQ36" i="5"/>
  <c r="AQ35" i="5"/>
  <c r="AQ37" i="5"/>
  <c r="AH56" i="27"/>
  <c r="AH68" i="27"/>
  <c r="AH79" i="27"/>
  <c r="AH67" i="27"/>
  <c r="AH55" i="27"/>
  <c r="AH57" i="27"/>
  <c r="AH34" i="27"/>
  <c r="AD83" i="27"/>
  <c r="AD79" i="27"/>
  <c r="AD43" i="27"/>
  <c r="AD42" i="27"/>
  <c r="AD68" i="27"/>
  <c r="AD67" i="27"/>
  <c r="AD47" i="27"/>
  <c r="AD66" i="27"/>
  <c r="AD82" i="27"/>
  <c r="AD80" i="27"/>
  <c r="AD48" i="27"/>
  <c r="AD40" i="27"/>
  <c r="AD56" i="27"/>
  <c r="AD52" i="27"/>
  <c r="AD54" i="27"/>
  <c r="AD51" i="27"/>
  <c r="AD50" i="27"/>
  <c r="AB81" i="27"/>
  <c r="AB68" i="27"/>
  <c r="AB80" i="27"/>
  <c r="AB79" i="27"/>
  <c r="AB67" i="27"/>
  <c r="AB66" i="27"/>
  <c r="AB40" i="27"/>
  <c r="AB42" i="27"/>
  <c r="AB82" i="27"/>
  <c r="AB54" i="27"/>
  <c r="AB55" i="27"/>
  <c r="AB47" i="27"/>
  <c r="AB50" i="27"/>
  <c r="AB49" i="27"/>
  <c r="AB51" i="27"/>
  <c r="AB69" i="27"/>
  <c r="AB39" i="27"/>
  <c r="AB36" i="27"/>
  <c r="AB37" i="27"/>
  <c r="AB34" i="27"/>
  <c r="Z46" i="27"/>
  <c r="Z86" i="27"/>
  <c r="BD86" i="27" s="1"/>
  <c r="Z68" i="27"/>
  <c r="Z79" i="27"/>
  <c r="Z81" i="27"/>
  <c r="Z66" i="27"/>
  <c r="Z42" i="27"/>
  <c r="Z82" i="27"/>
  <c r="Z80" i="27"/>
  <c r="Z67" i="27"/>
  <c r="Z47" i="27"/>
  <c r="Z52" i="27"/>
  <c r="Z55" i="27"/>
  <c r="Z45" i="27"/>
  <c r="Z50" i="27"/>
  <c r="Z56" i="27"/>
  <c r="Z49" i="27"/>
  <c r="Z38" i="27"/>
  <c r="Z37" i="27"/>
  <c r="AC13" i="23"/>
  <c r="AC14" i="23"/>
  <c r="AC15" i="23"/>
  <c r="AC16" i="23"/>
  <c r="AC17" i="23"/>
  <c r="AC18" i="23"/>
  <c r="AC19" i="23"/>
  <c r="AC20" i="23"/>
  <c r="W12" i="23"/>
  <c r="W11" i="23"/>
  <c r="W10" i="23"/>
  <c r="M12" i="23"/>
  <c r="AC12" i="23" s="1"/>
  <c r="M11" i="23"/>
  <c r="AC11" i="23" s="1"/>
  <c r="M10" i="23"/>
  <c r="AC10" i="23" s="1"/>
  <c r="X48" i="27" l="1"/>
  <c r="X81" i="27"/>
  <c r="X80" i="27"/>
  <c r="X66" i="27"/>
  <c r="X68" i="27"/>
  <c r="X40" i="27"/>
  <c r="X67" i="27"/>
  <c r="X51" i="27"/>
  <c r="X56" i="27"/>
  <c r="X47" i="27"/>
  <c r="X46" i="27"/>
  <c r="X52" i="27"/>
  <c r="X55" i="27"/>
  <c r="X49" i="27"/>
  <c r="X50" i="27"/>
  <c r="X44" i="27"/>
  <c r="X57" i="27"/>
  <c r="X39" i="27"/>
  <c r="X35" i="27"/>
  <c r="X38" i="27"/>
  <c r="X37" i="27"/>
  <c r="X36" i="27"/>
  <c r="AW79" i="28"/>
  <c r="AW68" i="28"/>
  <c r="AW82" i="28"/>
  <c r="AW67" i="28"/>
  <c r="AW40" i="28"/>
  <c r="AW81" i="28"/>
  <c r="AW66" i="28"/>
  <c r="AW42" i="28"/>
  <c r="AW43" i="28"/>
  <c r="AW45" i="28"/>
  <c r="AW56" i="28"/>
  <c r="AW52" i="28"/>
  <c r="AW47" i="28"/>
  <c r="AW54" i="28"/>
  <c r="AW55" i="28"/>
  <c r="AW51" i="28"/>
  <c r="AW48" i="28"/>
  <c r="AW50" i="28"/>
  <c r="AW44" i="28"/>
  <c r="AW38" i="28"/>
  <c r="AW39" i="28"/>
  <c r="AW36" i="28"/>
  <c r="AW37" i="28"/>
  <c r="AU79" i="28"/>
  <c r="AU50" i="28"/>
  <c r="AU68" i="28"/>
  <c r="AU52" i="28"/>
  <c r="AU55" i="28"/>
  <c r="AU47" i="28"/>
  <c r="AU67" i="28"/>
  <c r="AU48" i="28"/>
  <c r="AU49" i="28"/>
  <c r="AU81" i="28"/>
  <c r="AU66" i="28"/>
  <c r="AU40" i="28"/>
  <c r="AU42" i="28"/>
  <c r="AU85" i="28"/>
  <c r="AU37" i="28"/>
  <c r="AU36" i="28"/>
  <c r="AU39" i="28"/>
  <c r="AU65" i="28"/>
  <c r="AU35" i="28"/>
  <c r="AS48" i="28"/>
  <c r="AS40" i="28"/>
  <c r="AS68" i="28"/>
  <c r="AS52" i="28"/>
  <c r="AS81" i="28"/>
  <c r="AS67" i="28"/>
  <c r="AS69" i="28"/>
  <c r="AS66" i="28"/>
  <c r="AS42" i="28"/>
  <c r="AS54" i="28"/>
  <c r="AS55" i="28"/>
  <c r="AS47" i="28"/>
  <c r="AS45" i="28"/>
  <c r="AS70" i="28"/>
  <c r="AS44" i="28"/>
  <c r="AS57" i="28"/>
  <c r="AS36" i="28"/>
  <c r="AS35" i="28"/>
  <c r="AS34" i="28"/>
  <c r="AQ68" i="28" l="1"/>
  <c r="AQ80" i="28"/>
  <c r="AQ43" i="28"/>
  <c r="AQ79" i="28"/>
  <c r="AQ82" i="28"/>
  <c r="AQ50" i="28"/>
  <c r="AR50" i="28" s="1"/>
  <c r="AQ40" i="28"/>
  <c r="AQ42" i="28"/>
  <c r="AQ66" i="28"/>
  <c r="AQ47" i="28"/>
  <c r="AQ54" i="28"/>
  <c r="AQ55" i="28"/>
  <c r="AQ57" i="28"/>
  <c r="AR57" i="28" s="1"/>
  <c r="AR45" i="28"/>
  <c r="AR46" i="28"/>
  <c r="AR47" i="28"/>
  <c r="AR48" i="28"/>
  <c r="AR49" i="28"/>
  <c r="AR51" i="28"/>
  <c r="AR52" i="28"/>
  <c r="AR53" i="28"/>
  <c r="AR54" i="28"/>
  <c r="AR55" i="28"/>
  <c r="AR56" i="28"/>
  <c r="AQ38" i="28"/>
  <c r="AQ35" i="28"/>
  <c r="AQ34" i="28"/>
  <c r="AO47" i="28"/>
  <c r="AO79" i="28"/>
  <c r="AO82" i="28"/>
  <c r="AO81" i="28"/>
  <c r="AO68" i="28"/>
  <c r="AO67" i="28"/>
  <c r="AO80" i="28"/>
  <c r="AO66" i="28"/>
  <c r="AO51" i="28"/>
  <c r="AO55" i="28"/>
  <c r="AO52" i="28"/>
  <c r="AO48" i="28"/>
  <c r="AO50" i="28"/>
  <c r="AO56" i="28"/>
  <c r="AO49" i="28"/>
  <c r="AO40" i="28"/>
  <c r="AO42" i="28"/>
  <c r="AO57" i="28"/>
  <c r="E43" i="23"/>
  <c r="J10" i="23" s="1"/>
  <c r="E44" i="23"/>
  <c r="J11" i="23" s="1"/>
  <c r="E45" i="23"/>
  <c r="J12" i="23" s="1"/>
  <c r="E47" i="23"/>
  <c r="J14" i="23" s="1"/>
  <c r="K14" i="23" s="1"/>
  <c r="E48" i="23"/>
  <c r="J15" i="23" s="1"/>
  <c r="K15" i="23" s="1"/>
  <c r="E49" i="23"/>
  <c r="J16" i="23" s="1"/>
  <c r="K16" i="23" s="1"/>
  <c r="E50" i="23"/>
  <c r="J17" i="23" s="1"/>
  <c r="K17" i="23" s="1"/>
  <c r="E51" i="23"/>
  <c r="J18" i="23" s="1"/>
  <c r="K18" i="23" s="1"/>
  <c r="E52" i="23"/>
  <c r="J19" i="23" s="1"/>
  <c r="K19" i="23" s="1"/>
  <c r="E53" i="23"/>
  <c r="J20" i="23" s="1"/>
  <c r="K20" i="23" s="1"/>
  <c r="E42" i="23"/>
  <c r="J9" i="23" s="1"/>
  <c r="AK79" i="28"/>
  <c r="AK40" i="28"/>
  <c r="AK68" i="28"/>
  <c r="AK43" i="28"/>
  <c r="AK51" i="28"/>
  <c r="AK42" i="28"/>
  <c r="AK49" i="28"/>
  <c r="AK67" i="28"/>
  <c r="AK56" i="28"/>
  <c r="AK54" i="28"/>
  <c r="AK55" i="28"/>
  <c r="AK66" i="28"/>
  <c r="AI46" i="28"/>
  <c r="AI56" i="28"/>
  <c r="AI43" i="28"/>
  <c r="AI79" i="28"/>
  <c r="AI68" i="28"/>
  <c r="AI66" i="28"/>
  <c r="AI67" i="28"/>
  <c r="AI42" i="28"/>
  <c r="AI55" i="28"/>
  <c r="AI54" i="28"/>
  <c r="AI52" i="28"/>
  <c r="AI48" i="28"/>
  <c r="AI51" i="28"/>
  <c r="AI49" i="28"/>
  <c r="AI57" i="28"/>
  <c r="AI36" i="28"/>
  <c r="AI38" i="28"/>
  <c r="AI37" i="28"/>
  <c r="AI39" i="28"/>
  <c r="F48" i="23" l="1"/>
  <c r="Y14" i="23"/>
  <c r="Y15" i="23"/>
  <c r="Y16" i="23"/>
  <c r="Y17" i="23"/>
  <c r="Y18" i="23"/>
  <c r="Y19" i="23"/>
  <c r="Y20" i="23"/>
  <c r="AU30" i="28"/>
  <c r="AG81" i="28"/>
  <c r="AG79" i="28"/>
  <c r="AG68" i="28"/>
  <c r="AG67" i="28"/>
  <c r="AG51" i="28"/>
  <c r="AG56" i="28"/>
  <c r="AG50" i="28"/>
  <c r="AG66" i="28"/>
  <c r="AG54" i="28"/>
  <c r="AG47" i="28"/>
  <c r="AG55" i="28"/>
  <c r="AG48" i="28"/>
  <c r="AG70" i="28"/>
  <c r="AG57" i="28"/>
  <c r="AE67" i="28"/>
  <c r="AE66" i="28"/>
  <c r="AE68" i="28"/>
  <c r="AE80" i="28"/>
  <c r="AE51" i="28"/>
  <c r="AE50" i="28"/>
  <c r="AE54" i="28"/>
  <c r="AE55" i="28"/>
  <c r="AE42" i="28"/>
  <c r="AE57" i="28"/>
  <c r="AE38" i="28"/>
  <c r="AC79" i="28"/>
  <c r="AC56" i="28"/>
  <c r="AC68" i="28"/>
  <c r="AC67" i="28"/>
  <c r="AC81" i="28"/>
  <c r="AC83" i="28"/>
  <c r="AC47" i="28"/>
  <c r="AC54" i="28"/>
  <c r="AC55" i="28"/>
  <c r="AC45" i="28"/>
  <c r="AC43" i="28"/>
  <c r="AC48" i="28"/>
  <c r="AC50" i="28"/>
  <c r="AC49" i="28"/>
  <c r="AC44" i="28"/>
  <c r="AC65" i="28"/>
  <c r="Y79" i="28" l="1"/>
  <c r="Y80" i="28"/>
  <c r="Y68" i="28"/>
  <c r="Y66" i="28"/>
  <c r="Y40" i="28"/>
  <c r="Y42" i="28"/>
  <c r="Y67" i="28"/>
  <c r="Y51" i="28"/>
  <c r="Y48" i="28"/>
  <c r="Y45" i="28"/>
  <c r="Y47" i="28"/>
  <c r="Y55" i="28"/>
  <c r="Y43" i="28"/>
  <c r="Y50" i="28"/>
  <c r="Y56" i="28"/>
  <c r="Y34" i="28"/>
  <c r="Y38" i="28"/>
  <c r="Y36" i="28"/>
  <c r="W68" i="28"/>
  <c r="W80" i="28"/>
  <c r="W48" i="28"/>
  <c r="W43" i="28"/>
  <c r="W82" i="28"/>
  <c r="W55" i="28"/>
  <c r="W56" i="28"/>
  <c r="W54" i="28"/>
  <c r="W47" i="28"/>
  <c r="W51" i="28"/>
  <c r="W50" i="28"/>
  <c r="W52" i="28"/>
  <c r="W40" i="28"/>
  <c r="W66" i="28"/>
  <c r="W79" i="28"/>
  <c r="W57" i="28"/>
  <c r="AM79" i="5"/>
  <c r="AM68" i="5"/>
  <c r="AM80" i="5"/>
  <c r="AM67" i="5"/>
  <c r="AM43" i="5"/>
  <c r="AM66" i="5"/>
  <c r="AM50" i="5"/>
  <c r="AM40" i="5"/>
  <c r="AM42" i="5"/>
  <c r="AM56" i="5"/>
  <c r="AM54" i="5"/>
  <c r="AM47" i="5"/>
  <c r="AM45" i="5"/>
  <c r="AM55" i="5"/>
  <c r="AM52" i="5"/>
  <c r="AM48" i="5"/>
  <c r="AM57" i="5"/>
  <c r="AM44" i="5"/>
  <c r="AM38" i="5"/>
  <c r="AM35" i="5"/>
  <c r="AM37" i="5"/>
  <c r="AM36" i="5"/>
  <c r="H14" i="23"/>
  <c r="H15" i="23"/>
  <c r="H16" i="23"/>
  <c r="I16" i="23" s="1"/>
  <c r="H17" i="23"/>
  <c r="H18" i="23"/>
  <c r="I18" i="23" s="1"/>
  <c r="H19" i="23"/>
  <c r="H20" i="23"/>
  <c r="I20" i="23" s="1"/>
  <c r="D30" i="23"/>
  <c r="E30" i="23" s="1"/>
  <c r="D29" i="23"/>
  <c r="E29" i="23" s="1"/>
  <c r="D28" i="23"/>
  <c r="E28" i="23" s="1"/>
  <c r="D27" i="23"/>
  <c r="E27" i="23" s="1"/>
  <c r="D26" i="23"/>
  <c r="E26" i="23" s="1"/>
  <c r="I15" i="23"/>
  <c r="I17" i="23"/>
  <c r="I19" i="23"/>
  <c r="G10" i="23"/>
  <c r="F10" i="23" s="1"/>
  <c r="G11" i="23"/>
  <c r="G12" i="23"/>
  <c r="F11" i="23"/>
  <c r="F12" i="23"/>
  <c r="E14" i="23"/>
  <c r="E15" i="23"/>
  <c r="E16" i="23"/>
  <c r="E17" i="23"/>
  <c r="E18" i="23"/>
  <c r="E19" i="23"/>
  <c r="E20" i="23"/>
  <c r="H9" i="23" l="1"/>
  <c r="I14" i="23"/>
  <c r="G9" i="23"/>
  <c r="H10" i="23" l="1"/>
  <c r="I9" i="23"/>
  <c r="K9" i="23" s="1"/>
  <c r="U79" i="28"/>
  <c r="U82" i="28"/>
  <c r="U81" i="28"/>
  <c r="U40" i="28"/>
  <c r="U52" i="28"/>
  <c r="U46" i="28"/>
  <c r="U68" i="28"/>
  <c r="U67" i="28"/>
  <c r="U66" i="28"/>
  <c r="U56" i="28"/>
  <c r="U55" i="28"/>
  <c r="U54" i="28"/>
  <c r="U47" i="28"/>
  <c r="U45" i="28"/>
  <c r="U43" i="28"/>
  <c r="U51" i="28"/>
  <c r="U44" i="28"/>
  <c r="U38" i="28"/>
  <c r="U36" i="28"/>
  <c r="U65" i="28"/>
  <c r="S43" i="28"/>
  <c r="S79" i="28"/>
  <c r="S82" i="28"/>
  <c r="S69" i="28"/>
  <c r="S67" i="28"/>
  <c r="S68" i="28"/>
  <c r="S81" i="28"/>
  <c r="S80" i="28"/>
  <c r="S40" i="28"/>
  <c r="S56" i="28"/>
  <c r="S47" i="28"/>
  <c r="S55" i="28"/>
  <c r="S66" i="28"/>
  <c r="S48" i="28"/>
  <c r="S51" i="28"/>
  <c r="S57" i="28"/>
  <c r="S85" i="28"/>
  <c r="S36" i="28"/>
  <c r="S34" i="28"/>
  <c r="S37" i="28"/>
  <c r="S38" i="28"/>
  <c r="Q55" i="28"/>
  <c r="Q79" i="28"/>
  <c r="Q68" i="28"/>
  <c r="Q50" i="28"/>
  <c r="Q82" i="28"/>
  <c r="Q67" i="28"/>
  <c r="Q46" i="28"/>
  <c r="Q66" i="28"/>
  <c r="Q48" i="28"/>
  <c r="Q80" i="28"/>
  <c r="Q49" i="28"/>
  <c r="Q43" i="28"/>
  <c r="Q42" i="28"/>
  <c r="Q56" i="28"/>
  <c r="Q51" i="28"/>
  <c r="Q47" i="28"/>
  <c r="Q54" i="28"/>
  <c r="Q45" i="28"/>
  <c r="Q57" i="28"/>
  <c r="Q38" i="28"/>
  <c r="Q36" i="28"/>
  <c r="Q37" i="28"/>
  <c r="M48" i="28"/>
  <c r="M79" i="28"/>
  <c r="M68" i="28"/>
  <c r="M82" i="28"/>
  <c r="M67" i="28"/>
  <c r="M51" i="28"/>
  <c r="M42" i="28"/>
  <c r="M43" i="28"/>
  <c r="M80" i="28"/>
  <c r="M49" i="28"/>
  <c r="M47" i="28"/>
  <c r="M66" i="28"/>
  <c r="M40" i="28"/>
  <c r="M69" i="28"/>
  <c r="M52" i="28"/>
  <c r="M50" i="28"/>
  <c r="M56" i="28"/>
  <c r="M54" i="28"/>
  <c r="M85" i="28"/>
  <c r="M36" i="28"/>
  <c r="M38" i="28"/>
  <c r="M35" i="28"/>
  <c r="M34" i="28"/>
  <c r="M39" i="28"/>
  <c r="M37" i="28"/>
  <c r="BE30" i="5"/>
  <c r="BF30" i="1"/>
  <c r="BH30" i="27"/>
  <c r="BG30" i="30"/>
  <c r="BC30" i="28"/>
  <c r="BB30" i="28"/>
  <c r="BA30" i="28"/>
  <c r="BF30" i="30"/>
  <c r="BG30" i="27"/>
  <c r="BE30" i="1"/>
  <c r="BD30" i="5"/>
  <c r="BF30" i="27"/>
  <c r="BC30" i="5"/>
  <c r="D46" i="23" s="1"/>
  <c r="E46" i="23" s="1"/>
  <c r="J13" i="23" s="1"/>
  <c r="J21" i="23" s="1"/>
  <c r="BD30" i="1"/>
  <c r="BE30" i="30"/>
  <c r="K48" i="28"/>
  <c r="K81" i="28"/>
  <c r="K43" i="28"/>
  <c r="K49" i="28"/>
  <c r="K79" i="28"/>
  <c r="K68" i="28"/>
  <c r="K80" i="28"/>
  <c r="K66" i="28"/>
  <c r="K51" i="28"/>
  <c r="K40" i="28"/>
  <c r="K52" i="28"/>
  <c r="K42" i="28"/>
  <c r="K67" i="28"/>
  <c r="K50" i="28"/>
  <c r="K56" i="28"/>
  <c r="K46" i="28"/>
  <c r="K54" i="28"/>
  <c r="K47" i="28"/>
  <c r="K44" i="28"/>
  <c r="K57" i="28"/>
  <c r="K85" i="28"/>
  <c r="K36" i="28"/>
  <c r="K34" i="28"/>
  <c r="K37" i="28"/>
  <c r="K65" i="28"/>
  <c r="K38" i="28"/>
  <c r="K35" i="28"/>
  <c r="K39" i="28"/>
  <c r="G21" i="23"/>
  <c r="H11" i="23" l="1"/>
  <c r="I10" i="23"/>
  <c r="K10" i="23" s="1"/>
  <c r="BC80" i="30"/>
  <c r="BC81" i="30"/>
  <c r="BC82" i="30"/>
  <c r="BC83" i="30"/>
  <c r="BC84" i="30"/>
  <c r="BC85" i="30"/>
  <c r="BC86" i="30"/>
  <c r="BC87" i="30"/>
  <c r="BC79" i="30"/>
  <c r="I69" i="28"/>
  <c r="I50" i="28"/>
  <c r="I43" i="28"/>
  <c r="I68" i="28"/>
  <c r="I67" i="28"/>
  <c r="I80" i="28"/>
  <c r="I81" i="28"/>
  <c r="I55" i="28"/>
  <c r="I52" i="28"/>
  <c r="I54" i="28"/>
  <c r="I47" i="28"/>
  <c r="I56" i="28"/>
  <c r="I45" i="28"/>
  <c r="I48" i="28"/>
  <c r="I49" i="28"/>
  <c r="I51" i="28"/>
  <c r="I42" i="28"/>
  <c r="I40" i="28"/>
  <c r="I66" i="28"/>
  <c r="I57" i="28"/>
  <c r="I38" i="28"/>
  <c r="I35" i="28"/>
  <c r="I34" i="28"/>
  <c r="H12" i="23" l="1"/>
  <c r="I11" i="23"/>
  <c r="K11" i="23" s="1"/>
  <c r="V56" i="27"/>
  <c r="V79" i="27"/>
  <c r="V81" i="27"/>
  <c r="V40" i="27"/>
  <c r="V42" i="27"/>
  <c r="V66" i="27"/>
  <c r="V67" i="27"/>
  <c r="V47" i="27"/>
  <c r="V46" i="27"/>
  <c r="V55" i="27"/>
  <c r="V54" i="27"/>
  <c r="V50" i="27"/>
  <c r="V48" i="27"/>
  <c r="V49" i="27"/>
  <c r="V44" i="27"/>
  <c r="V57" i="27"/>
  <c r="V38" i="27"/>
  <c r="V37" i="27"/>
  <c r="V36" i="27"/>
  <c r="V39" i="27"/>
  <c r="H13" i="23" l="1"/>
  <c r="I12" i="23"/>
  <c r="K12" i="23" s="1"/>
  <c r="BA74" i="30"/>
  <c r="AY75" i="30"/>
  <c r="AZ75" i="30"/>
  <c r="BA75" i="30"/>
  <c r="BB75" i="30"/>
  <c r="BA72" i="30"/>
  <c r="BA93" i="30"/>
  <c r="BA91" i="30"/>
  <c r="BA89" i="30"/>
  <c r="BA68" i="30"/>
  <c r="BA79" i="30"/>
  <c r="BA40" i="30"/>
  <c r="BA82" i="30"/>
  <c r="BA67" i="30"/>
  <c r="BA47" i="30"/>
  <c r="BB47" i="30" s="1"/>
  <c r="BA54" i="30"/>
  <c r="BB54" i="30" s="1"/>
  <c r="BA55" i="30"/>
  <c r="BB55" i="30" s="1"/>
  <c r="BA45" i="30"/>
  <c r="BB45" i="30" s="1"/>
  <c r="BA50" i="30"/>
  <c r="BA56" i="30"/>
  <c r="BA48" i="30"/>
  <c r="BB48" i="30" s="1"/>
  <c r="BA49" i="30"/>
  <c r="BB49" i="30" s="1"/>
  <c r="BA66" i="30"/>
  <c r="BA57" i="30"/>
  <c r="BB57" i="30" s="1"/>
  <c r="BB35" i="30"/>
  <c r="BB36" i="30"/>
  <c r="BB37" i="30"/>
  <c r="BB38" i="30"/>
  <c r="BB39" i="30"/>
  <c r="BB40" i="30"/>
  <c r="BB41" i="30"/>
  <c r="BB42" i="30"/>
  <c r="BB43" i="30"/>
  <c r="BB44" i="30"/>
  <c r="BB46" i="30"/>
  <c r="BB50" i="30"/>
  <c r="BB51" i="30"/>
  <c r="BB52" i="30"/>
  <c r="BB53" i="30"/>
  <c r="BB56" i="30"/>
  <c r="BB34" i="30"/>
  <c r="BA39" i="30"/>
  <c r="AW79" i="30"/>
  <c r="AW80" i="30"/>
  <c r="AW84" i="30"/>
  <c r="AW67" i="30"/>
  <c r="AW51" i="30"/>
  <c r="AW40" i="30"/>
  <c r="AW42" i="30"/>
  <c r="AW56" i="30"/>
  <c r="AW54" i="30"/>
  <c r="AW55" i="30"/>
  <c r="AW49" i="30"/>
  <c r="AW41" i="30"/>
  <c r="AW48" i="30"/>
  <c r="AW35" i="30"/>
  <c r="AW39" i="30"/>
  <c r="AW85" i="30"/>
  <c r="AW34" i="30"/>
  <c r="AW37" i="30"/>
  <c r="AW38" i="30"/>
  <c r="AW65" i="30"/>
  <c r="AU48" i="30"/>
  <c r="AU68" i="30"/>
  <c r="AU82" i="30"/>
  <c r="AU66" i="30"/>
  <c r="AU80" i="30"/>
  <c r="AU83" i="30"/>
  <c r="AU79" i="30"/>
  <c r="AU54" i="30"/>
  <c r="AU42" i="30"/>
  <c r="AU43" i="30"/>
  <c r="AU46" i="30"/>
  <c r="AU47" i="30"/>
  <c r="AU55" i="30"/>
  <c r="AU67" i="30"/>
  <c r="AU51" i="30"/>
  <c r="AU56" i="30"/>
  <c r="AU50" i="30"/>
  <c r="AK81" i="5"/>
  <c r="AK80" i="5"/>
  <c r="AK66" i="5"/>
  <c r="AK40" i="5"/>
  <c r="AK42" i="5"/>
  <c r="AK56" i="5"/>
  <c r="AK79" i="5"/>
  <c r="AK54" i="5"/>
  <c r="AK52" i="5"/>
  <c r="AK55" i="5"/>
  <c r="AK47" i="5"/>
  <c r="AK43" i="5"/>
  <c r="AK48" i="5"/>
  <c r="AK50" i="5"/>
  <c r="AK51" i="5"/>
  <c r="AK57" i="5"/>
  <c r="AK70" i="5"/>
  <c r="AK38" i="5"/>
  <c r="AK34" i="5"/>
  <c r="AK36" i="5"/>
  <c r="AK35" i="5"/>
  <c r="AK37" i="5"/>
  <c r="AS87" i="30"/>
  <c r="AS40" i="30"/>
  <c r="AS81" i="30"/>
  <c r="AS68" i="30"/>
  <c r="AS43" i="30"/>
  <c r="AS79" i="30"/>
  <c r="AS50" i="30"/>
  <c r="AS67" i="30"/>
  <c r="AS42" i="30"/>
  <c r="AS83" i="30"/>
  <c r="AS80" i="30"/>
  <c r="AS47" i="30"/>
  <c r="AS55" i="30"/>
  <c r="AS54" i="30"/>
  <c r="AS46" i="30"/>
  <c r="AS45" i="30"/>
  <c r="AS49" i="30"/>
  <c r="AS51" i="30"/>
  <c r="AS48" i="30"/>
  <c r="AS57" i="30"/>
  <c r="AS36" i="30"/>
  <c r="AS37" i="30"/>
  <c r="AQ46" i="30"/>
  <c r="AQ79" i="30"/>
  <c r="AQ81" i="30"/>
  <c r="AQ56" i="30"/>
  <c r="AQ68" i="30"/>
  <c r="AQ69" i="30"/>
  <c r="AQ67" i="30"/>
  <c r="AQ42" i="30"/>
  <c r="AQ43" i="30"/>
  <c r="AQ66" i="30"/>
  <c r="AQ80" i="30"/>
  <c r="AQ54" i="30"/>
  <c r="AQ47" i="30"/>
  <c r="AQ55" i="30"/>
  <c r="AQ51" i="30"/>
  <c r="AQ50" i="30"/>
  <c r="AQ57" i="30"/>
  <c r="AQ44" i="30"/>
  <c r="AQ39" i="30"/>
  <c r="AO79" i="30"/>
  <c r="AO43" i="30"/>
  <c r="AO82" i="30"/>
  <c r="AO56" i="30"/>
  <c r="AO68" i="30"/>
  <c r="AO67" i="30"/>
  <c r="AO66" i="30"/>
  <c r="AO49" i="30"/>
  <c r="AO51" i="30"/>
  <c r="AO40" i="30"/>
  <c r="AO47" i="30"/>
  <c r="AO54" i="30"/>
  <c r="AO55" i="30"/>
  <c r="AO46" i="30"/>
  <c r="AO45" i="30"/>
  <c r="AO41" i="30"/>
  <c r="AO48" i="30"/>
  <c r="AO50" i="30"/>
  <c r="AO42" i="30"/>
  <c r="AO57" i="30"/>
  <c r="AO85" i="30"/>
  <c r="AO34" i="30"/>
  <c r="AO36" i="30"/>
  <c r="AO39" i="30"/>
  <c r="AO38" i="30"/>
  <c r="AO35" i="30"/>
  <c r="AO37" i="30"/>
  <c r="I13" i="23" l="1"/>
  <c r="H21" i="23"/>
  <c r="F9" i="23"/>
  <c r="F13" i="23"/>
  <c r="F14" i="23"/>
  <c r="F15" i="23"/>
  <c r="F16" i="23"/>
  <c r="F17" i="23"/>
  <c r="F18" i="23"/>
  <c r="F19" i="23"/>
  <c r="F20" i="23"/>
  <c r="AK79" i="30"/>
  <c r="AK81" i="30"/>
  <c r="AK52" i="30"/>
  <c r="AK50" i="30"/>
  <c r="AK68" i="30"/>
  <c r="AK69" i="30"/>
  <c r="AK67" i="30"/>
  <c r="AK66" i="30"/>
  <c r="AK82" i="30"/>
  <c r="AK80" i="30"/>
  <c r="AK43" i="30"/>
  <c r="AK42" i="30"/>
  <c r="AK47" i="30"/>
  <c r="AK55" i="30"/>
  <c r="AK54" i="30"/>
  <c r="AK56" i="30"/>
  <c r="AK48" i="30"/>
  <c r="AK70" i="30"/>
  <c r="AK57" i="30"/>
  <c r="AK85" i="30"/>
  <c r="AK34" i="30"/>
  <c r="AK35" i="30"/>
  <c r="AK39" i="30"/>
  <c r="AK36" i="30"/>
  <c r="AK65" i="30"/>
  <c r="AK37" i="30"/>
  <c r="AI43" i="30"/>
  <c r="AI79" i="30"/>
  <c r="AI68" i="30"/>
  <c r="AI66" i="30"/>
  <c r="AI81" i="30"/>
  <c r="AI67" i="30"/>
  <c r="AI42" i="30"/>
  <c r="AI47" i="30"/>
  <c r="AI55" i="30"/>
  <c r="AI46" i="30"/>
  <c r="AI44" i="30"/>
  <c r="AG79" i="30"/>
  <c r="AG84" i="30"/>
  <c r="AG81" i="30"/>
  <c r="AG82" i="30"/>
  <c r="AG67" i="30"/>
  <c r="AG80" i="30"/>
  <c r="AG68" i="30"/>
  <c r="AG46" i="30"/>
  <c r="AG43" i="30"/>
  <c r="AG42" i="30"/>
  <c r="AG50" i="30"/>
  <c r="AG55" i="30"/>
  <c r="AG45" i="30"/>
  <c r="AG48" i="30"/>
  <c r="AG49" i="30"/>
  <c r="AG56" i="30"/>
  <c r="AG57" i="30"/>
  <c r="AG44" i="30"/>
  <c r="AG35" i="30"/>
  <c r="AG34" i="30"/>
  <c r="AG37" i="30"/>
  <c r="AG39" i="30"/>
  <c r="AG65" i="30"/>
  <c r="I21" i="23" l="1"/>
  <c r="K13" i="23"/>
  <c r="F21" i="23"/>
  <c r="N19" i="23"/>
  <c r="N17" i="23"/>
  <c r="N15" i="23"/>
  <c r="O15" i="23" s="1"/>
  <c r="N13" i="23"/>
  <c r="O13" i="23" s="1"/>
  <c r="N20" i="23"/>
  <c r="O20" i="23" s="1"/>
  <c r="N18" i="23"/>
  <c r="O18" i="23" s="1"/>
  <c r="N16" i="23"/>
  <c r="O16" i="23" s="1"/>
  <c r="N14" i="23"/>
  <c r="O14" i="23" s="1"/>
  <c r="AE79" i="30"/>
  <c r="AE67" i="30"/>
  <c r="AE68" i="30"/>
  <c r="AE80" i="30"/>
  <c r="AE66" i="30"/>
  <c r="AE43" i="30"/>
  <c r="AE42" i="30"/>
  <c r="AE50" i="30"/>
  <c r="AE46" i="30"/>
  <c r="AE54" i="30"/>
  <c r="AE47" i="30"/>
  <c r="AE55" i="30"/>
  <c r="AE48" i="30"/>
  <c r="AE37" i="30"/>
  <c r="AE36" i="30"/>
  <c r="AE39" i="30"/>
  <c r="AE35" i="30"/>
  <c r="AE65" i="30"/>
  <c r="AE34" i="30"/>
  <c r="AE44" i="30"/>
  <c r="AE57" i="30"/>
  <c r="AC40" i="30"/>
  <c r="AC81" i="30"/>
  <c r="AC80" i="30"/>
  <c r="AC43" i="30"/>
  <c r="AC68" i="30"/>
  <c r="AC66" i="30"/>
  <c r="AC67" i="30"/>
  <c r="AC79" i="30"/>
  <c r="AC47" i="30"/>
  <c r="AC46" i="30"/>
  <c r="AC54" i="30"/>
  <c r="AC55" i="30"/>
  <c r="AC45" i="30"/>
  <c r="AC48" i="30"/>
  <c r="AC50" i="30"/>
  <c r="AC56" i="30"/>
  <c r="AC57" i="30"/>
  <c r="AC39" i="30"/>
  <c r="AC36" i="30"/>
  <c r="AC37" i="30"/>
  <c r="O17" i="23"/>
  <c r="O19" i="23"/>
  <c r="AB10" i="23" l="1"/>
  <c r="AB11" i="23"/>
  <c r="AB12" i="23"/>
  <c r="AB13" i="23"/>
  <c r="AB14" i="23"/>
  <c r="AB15" i="23"/>
  <c r="AB16" i="23"/>
  <c r="AB17" i="23"/>
  <c r="AB18" i="23"/>
  <c r="AB19" i="23"/>
  <c r="AB20" i="23"/>
  <c r="AB9" i="23"/>
  <c r="Y79" i="30" l="1"/>
  <c r="Y81" i="30"/>
  <c r="Y40" i="30"/>
  <c r="Y67" i="30"/>
  <c r="Y51" i="30"/>
  <c r="Y66" i="30"/>
  <c r="Y42" i="30"/>
  <c r="Y69" i="30"/>
  <c r="Y55" i="30"/>
  <c r="Y54" i="30"/>
  <c r="Y47" i="30"/>
  <c r="Y52" i="30"/>
  <c r="Y48" i="30"/>
  <c r="Y50" i="30"/>
  <c r="Y56" i="30"/>
  <c r="Y85" i="30"/>
  <c r="W43" i="30"/>
  <c r="W79" i="30"/>
  <c r="W67" i="30"/>
  <c r="W80" i="30"/>
  <c r="W66" i="30"/>
  <c r="W81" i="30"/>
  <c r="W46" i="30"/>
  <c r="W40" i="30"/>
  <c r="W55" i="30"/>
  <c r="W47" i="30"/>
  <c r="W42" i="30"/>
  <c r="W54" i="30"/>
  <c r="W56" i="30"/>
  <c r="W48" i="30"/>
  <c r="W50" i="30"/>
  <c r="W44" i="30"/>
  <c r="W57" i="30"/>
  <c r="W37" i="30"/>
  <c r="W39" i="30"/>
  <c r="W65" i="30"/>
  <c r="AI50" i="5" l="1"/>
  <c r="AI84" i="5"/>
  <c r="AI81" i="5"/>
  <c r="AI79" i="5"/>
  <c r="AI66" i="5"/>
  <c r="AI82" i="5"/>
  <c r="AI80" i="5"/>
  <c r="AI43" i="5"/>
  <c r="AI54" i="5"/>
  <c r="AI47" i="5"/>
  <c r="AI55" i="5"/>
  <c r="AI52" i="5"/>
  <c r="AI48" i="5"/>
  <c r="AI51" i="5"/>
  <c r="AI41" i="5"/>
  <c r="AI56" i="5"/>
  <c r="AI45" i="5"/>
  <c r="AI44" i="5"/>
  <c r="AI57" i="5"/>
  <c r="AI85" i="5"/>
  <c r="AI35" i="5"/>
  <c r="AI38" i="5"/>
  <c r="AI37" i="5"/>
  <c r="AI36" i="5"/>
  <c r="AI65" i="5"/>
  <c r="AA21" i="23"/>
  <c r="AB21" i="23" s="1"/>
  <c r="R81" i="27" l="1"/>
  <c r="R67" i="27"/>
  <c r="R66" i="27"/>
  <c r="R68" i="27"/>
  <c r="R79" i="27"/>
  <c r="R83" i="27"/>
  <c r="R51" i="27"/>
  <c r="R42" i="27"/>
  <c r="R46" i="27"/>
  <c r="R49" i="27"/>
  <c r="R56" i="27"/>
  <c r="R50" i="27"/>
  <c r="R80" i="27"/>
  <c r="R45" i="27"/>
  <c r="R55" i="27"/>
  <c r="R54" i="27"/>
  <c r="R57" i="27"/>
  <c r="R44" i="27"/>
  <c r="R35" i="27"/>
  <c r="R38" i="27"/>
  <c r="R37" i="27"/>
  <c r="R36" i="27"/>
  <c r="U79" i="30"/>
  <c r="U81" i="30"/>
  <c r="U68" i="30"/>
  <c r="U52" i="30"/>
  <c r="U67" i="30"/>
  <c r="U69" i="30"/>
  <c r="U56" i="30"/>
  <c r="U66" i="30"/>
  <c r="U42" i="30"/>
  <c r="U40" i="30"/>
  <c r="U80" i="30"/>
  <c r="U82" i="30"/>
  <c r="U54" i="30"/>
  <c r="U47" i="30"/>
  <c r="U55" i="30"/>
  <c r="U45" i="30"/>
  <c r="U51" i="30"/>
  <c r="U50" i="30"/>
  <c r="S79" i="30"/>
  <c r="S46" i="30"/>
  <c r="S40" i="30"/>
  <c r="S42" i="30"/>
  <c r="S68" i="30"/>
  <c r="S54" i="30"/>
  <c r="S48" i="30"/>
  <c r="S47" i="30"/>
  <c r="S56" i="30"/>
  <c r="S55" i="30"/>
  <c r="S49" i="30"/>
  <c r="S50" i="30"/>
  <c r="S67" i="30"/>
  <c r="S66" i="30"/>
  <c r="Q46" i="30"/>
  <c r="Q79" i="30"/>
  <c r="Q81" i="30"/>
  <c r="Q67" i="30"/>
  <c r="Q54" i="30"/>
  <c r="Q40" i="30"/>
  <c r="Q42" i="30"/>
  <c r="Q80" i="30"/>
  <c r="Q47" i="30"/>
  <c r="Q56" i="30"/>
  <c r="Q55" i="30"/>
  <c r="Q45" i="30"/>
  <c r="Q66" i="30"/>
  <c r="Q50" i="30"/>
  <c r="Q48" i="30"/>
  <c r="U57" i="30"/>
  <c r="U44" i="30"/>
  <c r="S57" i="30"/>
  <c r="Q57" i="30"/>
  <c r="S44" i="30"/>
  <c r="Q44" i="30"/>
  <c r="U38" i="30"/>
  <c r="U34" i="30"/>
  <c r="S84" i="30"/>
  <c r="S38" i="30"/>
  <c r="U36" i="30"/>
  <c r="U35" i="30"/>
  <c r="U39" i="30"/>
  <c r="U37" i="30"/>
  <c r="U65" i="30"/>
  <c r="S85" i="30"/>
  <c r="S39" i="30"/>
  <c r="S36" i="30"/>
  <c r="S37" i="30"/>
  <c r="Q65" i="30"/>
  <c r="Q85" i="30"/>
  <c r="Q34" i="30"/>
  <c r="Q35" i="30"/>
  <c r="Q36" i="30"/>
  <c r="Q38" i="30"/>
  <c r="Q37" i="30"/>
  <c r="M46" i="30"/>
  <c r="M87" i="30"/>
  <c r="M80" i="30"/>
  <c r="M68" i="30"/>
  <c r="M79" i="30"/>
  <c r="M81" i="30"/>
  <c r="M67" i="30"/>
  <c r="M43" i="30"/>
  <c r="M42" i="30"/>
  <c r="M54" i="30"/>
  <c r="M47" i="30"/>
  <c r="M52" i="30"/>
  <c r="M55" i="30"/>
  <c r="M45" i="30"/>
  <c r="M56" i="30"/>
  <c r="M50" i="30"/>
  <c r="M49" i="30"/>
  <c r="K56" i="30"/>
  <c r="K81" i="30"/>
  <c r="K82" i="30"/>
  <c r="K67" i="30"/>
  <c r="K66" i="30"/>
  <c r="K55" i="30"/>
  <c r="K47" i="30"/>
  <c r="K52" i="30"/>
  <c r="K49" i="30"/>
  <c r="K43" i="30"/>
  <c r="K50" i="30"/>
  <c r="K68" i="30"/>
  <c r="K54" i="30"/>
  <c r="M70" i="30"/>
  <c r="M44" i="30"/>
  <c r="M57" i="30"/>
  <c r="K44" i="30"/>
  <c r="K57" i="30"/>
  <c r="K85" i="30"/>
  <c r="M34" i="30"/>
  <c r="M38" i="30"/>
  <c r="M39" i="30"/>
  <c r="M37" i="30"/>
  <c r="K65" i="30"/>
  <c r="K34" i="30"/>
  <c r="K39" i="30"/>
  <c r="K35" i="30"/>
  <c r="K38" i="30"/>
  <c r="I81" i="30"/>
  <c r="I40" i="30"/>
  <c r="I79" i="30"/>
  <c r="I68" i="30"/>
  <c r="I66" i="30"/>
  <c r="I67" i="30"/>
  <c r="I52" i="30"/>
  <c r="I80" i="30"/>
  <c r="I82" i="30"/>
  <c r="I47" i="30"/>
  <c r="I54" i="30"/>
  <c r="I55" i="30"/>
  <c r="I45" i="30"/>
  <c r="I43" i="30"/>
  <c r="I42" i="30"/>
  <c r="I69" i="30"/>
  <c r="I50" i="30"/>
  <c r="I57" i="30"/>
  <c r="I44" i="30"/>
  <c r="I34" i="30"/>
  <c r="I38" i="30"/>
  <c r="I39" i="30"/>
  <c r="I35" i="30"/>
  <c r="G81" i="30" l="1"/>
  <c r="G43" i="30"/>
  <c r="G79" i="30"/>
  <c r="G68" i="30"/>
  <c r="G82" i="30"/>
  <c r="G67" i="30"/>
  <c r="G66" i="30"/>
  <c r="G55" i="30"/>
  <c r="G47" i="30"/>
  <c r="G54" i="30"/>
  <c r="G40" i="30"/>
  <c r="G52" i="30"/>
  <c r="G42" i="30"/>
  <c r="G50" i="30"/>
  <c r="G49" i="30"/>
  <c r="G56" i="30"/>
  <c r="G57" i="30"/>
  <c r="G44" i="30"/>
  <c r="G37" i="30"/>
  <c r="G65" i="30"/>
  <c r="K30" i="28" l="1"/>
  <c r="M30" i="28"/>
  <c r="Q30" i="28"/>
  <c r="S30" i="28"/>
  <c r="U30" i="28"/>
  <c r="W30" i="28"/>
  <c r="Y30" i="28"/>
  <c r="AC30" i="28"/>
  <c r="AE30" i="28"/>
  <c r="AG30" i="28"/>
  <c r="AI30" i="28"/>
  <c r="AK30" i="28"/>
  <c r="AO30" i="28"/>
  <c r="AQ30" i="28"/>
  <c r="AS30" i="28"/>
  <c r="AW30" i="28"/>
  <c r="I30" i="28"/>
  <c r="I30" i="30"/>
  <c r="K30" i="30"/>
  <c r="M30" i="30"/>
  <c r="Q30" i="30"/>
  <c r="S30" i="30"/>
  <c r="U30" i="30"/>
  <c r="W30" i="30"/>
  <c r="Y30" i="30"/>
  <c r="AC30" i="30"/>
  <c r="AE30" i="30"/>
  <c r="AG30" i="30"/>
  <c r="AI30" i="30"/>
  <c r="AK30" i="30"/>
  <c r="AO30" i="30"/>
  <c r="AQ30" i="30"/>
  <c r="AS30" i="30"/>
  <c r="AU30" i="30"/>
  <c r="AW30" i="30"/>
  <c r="BA30" i="30"/>
  <c r="G30" i="30"/>
  <c r="E83" i="30"/>
  <c r="E87" i="30"/>
  <c r="E79" i="30"/>
  <c r="E81" i="30"/>
  <c r="E82" i="30"/>
  <c r="E67" i="30"/>
  <c r="E47" i="30"/>
  <c r="E40" i="30"/>
  <c r="E80" i="30"/>
  <c r="E55" i="30"/>
  <c r="E54" i="30"/>
  <c r="E45" i="30"/>
  <c r="E50" i="30"/>
  <c r="E56" i="30"/>
  <c r="E66" i="30"/>
  <c r="E57" i="30"/>
  <c r="E38" i="30"/>
  <c r="E39" i="30"/>
  <c r="E35" i="30"/>
  <c r="G82" i="28"/>
  <c r="G79" i="28"/>
  <c r="G49" i="28"/>
  <c r="G68" i="28"/>
  <c r="G40" i="28"/>
  <c r="G43" i="28"/>
  <c r="G66" i="28"/>
  <c r="G42" i="28"/>
  <c r="G81" i="28"/>
  <c r="G67" i="28"/>
  <c r="G56" i="28"/>
  <c r="G47" i="28"/>
  <c r="G57" i="28"/>
  <c r="G44" i="28"/>
  <c r="G37" i="28"/>
  <c r="E48" i="28"/>
  <c r="E79" i="28"/>
  <c r="E81" i="28"/>
  <c r="E68" i="28"/>
  <c r="E55" i="28"/>
  <c r="E47" i="28"/>
  <c r="E51" i="28"/>
  <c r="E57" i="28"/>
  <c r="BB66" i="30" l="1"/>
  <c r="BB67" i="30"/>
  <c r="BB68" i="30"/>
  <c r="BB69" i="30"/>
  <c r="BB70" i="30"/>
  <c r="BB65" i="30"/>
  <c r="P45" i="27" l="1"/>
  <c r="P56" i="27"/>
  <c r="P68" i="27"/>
  <c r="P66" i="27"/>
  <c r="P67" i="27"/>
  <c r="P48" i="27"/>
  <c r="P51" i="27"/>
  <c r="P43" i="27"/>
  <c r="P42" i="27"/>
  <c r="P47" i="27"/>
  <c r="P46" i="27"/>
  <c r="P50" i="27"/>
  <c r="P69" i="27"/>
  <c r="P57" i="27"/>
  <c r="P35" i="27"/>
  <c r="P38" i="27"/>
  <c r="P36" i="27"/>
  <c r="N49" i="27" l="1"/>
  <c r="N68" i="27"/>
  <c r="N43" i="27"/>
  <c r="N81" i="27"/>
  <c r="N80" i="27"/>
  <c r="N89" i="27" s="1"/>
  <c r="N41" i="27"/>
  <c r="N42" i="27"/>
  <c r="N83" i="27"/>
  <c r="N46" i="27"/>
  <c r="N56" i="27"/>
  <c r="N55" i="27"/>
  <c r="N47" i="27"/>
  <c r="N50" i="27"/>
  <c r="N51" i="27"/>
  <c r="N44" i="27"/>
  <c r="N57" i="27"/>
  <c r="N37" i="27"/>
  <c r="N59" i="27" s="1"/>
  <c r="N93" i="27" l="1"/>
  <c r="N91" i="27"/>
  <c r="N62" i="27"/>
  <c r="AG81" i="5"/>
  <c r="AG79" i="5"/>
  <c r="AG40" i="5"/>
  <c r="AG67" i="5"/>
  <c r="AG66" i="5"/>
  <c r="AG41" i="5"/>
  <c r="AG51" i="5"/>
  <c r="AG42" i="5"/>
  <c r="AG47" i="5"/>
  <c r="AG52" i="5"/>
  <c r="AG48" i="5"/>
  <c r="AG54" i="5"/>
  <c r="AG55" i="5"/>
  <c r="AG43" i="5"/>
  <c r="AG50" i="5"/>
  <c r="AG56" i="5"/>
  <c r="AG83" i="5"/>
  <c r="AG44" i="5"/>
  <c r="AG57" i="5"/>
  <c r="AG84" i="5"/>
  <c r="AG85" i="5"/>
  <c r="AG38" i="5"/>
  <c r="AG37" i="5"/>
  <c r="AG36" i="5"/>
  <c r="AG35" i="5"/>
  <c r="AG39" i="5"/>
  <c r="L83" i="27"/>
  <c r="L43" i="27"/>
  <c r="L79" i="27"/>
  <c r="L80" i="27"/>
  <c r="L68" i="27"/>
  <c r="L81" i="27"/>
  <c r="L42" i="27"/>
  <c r="L48" i="27"/>
  <c r="L82" i="27"/>
  <c r="L47" i="27"/>
  <c r="L52" i="27"/>
  <c r="L55" i="27"/>
  <c r="L50" i="27"/>
  <c r="L56" i="27"/>
  <c r="L57" i="27"/>
  <c r="L38" i="27"/>
  <c r="L37" i="27"/>
  <c r="L39" i="27"/>
  <c r="J81" i="27" l="1"/>
  <c r="J79" i="27"/>
  <c r="J66" i="27"/>
  <c r="J45" i="27"/>
  <c r="J52" i="27"/>
  <c r="J42" i="27"/>
  <c r="J55" i="27"/>
  <c r="J54" i="27"/>
  <c r="J47" i="27"/>
  <c r="J50" i="27"/>
  <c r="J44" i="27"/>
  <c r="J56" i="27"/>
  <c r="J70" i="27"/>
  <c r="J38" i="27"/>
  <c r="J39" i="27"/>
  <c r="BB30" i="27"/>
  <c r="F81" i="27"/>
  <c r="F82" i="27"/>
  <c r="BD82" i="27" s="1"/>
  <c r="F79" i="27"/>
  <c r="F80" i="27"/>
  <c r="BD80" i="27" s="1"/>
  <c r="F83" i="27"/>
  <c r="BD83" i="27" s="1"/>
  <c r="F56" i="27"/>
  <c r="F46" i="27"/>
  <c r="F51" i="27"/>
  <c r="F49" i="27"/>
  <c r="F42" i="27"/>
  <c r="F55" i="27"/>
  <c r="F50" i="27"/>
  <c r="F48" i="27"/>
  <c r="F68" i="27"/>
  <c r="F66" i="27"/>
  <c r="J30" i="27"/>
  <c r="L30" i="27"/>
  <c r="N30" i="27"/>
  <c r="P30" i="27"/>
  <c r="R30" i="27"/>
  <c r="V30" i="27"/>
  <c r="X30" i="27"/>
  <c r="Z30" i="27"/>
  <c r="AB30" i="27"/>
  <c r="AD30" i="27"/>
  <c r="AH30" i="27"/>
  <c r="AJ30" i="27"/>
  <c r="AL30" i="27"/>
  <c r="AN30" i="27"/>
  <c r="AP30" i="27"/>
  <c r="AT30" i="27"/>
  <c r="AV30" i="27"/>
  <c r="AX30" i="27"/>
  <c r="AZ30" i="27"/>
  <c r="F30" i="27"/>
  <c r="D30" i="27"/>
  <c r="D81" i="27"/>
  <c r="BD81" i="27" s="1"/>
  <c r="D79" i="27"/>
  <c r="BD79" i="27" s="1"/>
  <c r="D56" i="27"/>
  <c r="D50" i="27"/>
  <c r="D57" i="27"/>
  <c r="BA62" i="30"/>
  <c r="BA60" i="30"/>
  <c r="BA59" i="30"/>
  <c r="BB59" i="30"/>
  <c r="BA31" i="30"/>
  <c r="AW89" i="30"/>
  <c r="AU89" i="30"/>
  <c r="AS89" i="30"/>
  <c r="AQ89" i="30"/>
  <c r="AO89" i="30"/>
  <c r="AK89" i="30"/>
  <c r="AI89" i="30"/>
  <c r="AG89" i="30"/>
  <c r="AE89" i="30"/>
  <c r="AC89" i="30"/>
  <c r="Y89" i="30"/>
  <c r="W89" i="30"/>
  <c r="U89" i="30"/>
  <c r="S89" i="30"/>
  <c r="Q89" i="30"/>
  <c r="M89" i="30"/>
  <c r="K89" i="30"/>
  <c r="I89" i="30"/>
  <c r="G89" i="30"/>
  <c r="E89" i="30"/>
  <c r="AW74" i="30"/>
  <c r="AU74" i="30"/>
  <c r="AS74" i="30"/>
  <c r="AQ74" i="30"/>
  <c r="AO74" i="30"/>
  <c r="AK74" i="30"/>
  <c r="AI74" i="30"/>
  <c r="AG74" i="30"/>
  <c r="AE74" i="30"/>
  <c r="AC74" i="30"/>
  <c r="Y74" i="30"/>
  <c r="W74" i="30"/>
  <c r="U74" i="30"/>
  <c r="S74" i="30"/>
  <c r="Q74" i="30"/>
  <c r="M74" i="30"/>
  <c r="K74" i="30"/>
  <c r="I74" i="30"/>
  <c r="G74" i="30"/>
  <c r="E74" i="30"/>
  <c r="AW72" i="30"/>
  <c r="AU72" i="30"/>
  <c r="AS72" i="30"/>
  <c r="AQ72" i="30"/>
  <c r="AO72" i="30"/>
  <c r="AK72" i="30"/>
  <c r="AE72" i="30"/>
  <c r="AC72" i="30"/>
  <c r="U72" i="30"/>
  <c r="S72" i="30"/>
  <c r="Q72" i="30"/>
  <c r="M72" i="30"/>
  <c r="K72" i="30"/>
  <c r="AX70" i="30"/>
  <c r="AV70" i="30"/>
  <c r="AT70" i="30"/>
  <c r="AR70" i="30"/>
  <c r="AP70" i="30"/>
  <c r="AL70" i="30"/>
  <c r="AJ70" i="30"/>
  <c r="AH70" i="30"/>
  <c r="AF70" i="30"/>
  <c r="AD70" i="30"/>
  <c r="Z70" i="30"/>
  <c r="X70" i="30"/>
  <c r="V70" i="30"/>
  <c r="T70" i="30"/>
  <c r="R70" i="30"/>
  <c r="N70" i="30"/>
  <c r="L70" i="30"/>
  <c r="J70" i="30"/>
  <c r="H70" i="30"/>
  <c r="F70" i="30"/>
  <c r="AX69" i="30"/>
  <c r="AV69" i="30"/>
  <c r="AT69" i="30"/>
  <c r="AR69" i="30"/>
  <c r="AP69" i="30"/>
  <c r="AL69" i="30"/>
  <c r="AJ69" i="30"/>
  <c r="AH69" i="30"/>
  <c r="AF69" i="30"/>
  <c r="AD69" i="30"/>
  <c r="Z69" i="30"/>
  <c r="X69" i="30"/>
  <c r="V69" i="30"/>
  <c r="T69" i="30"/>
  <c r="R69" i="30"/>
  <c r="N69" i="30"/>
  <c r="L69" i="30"/>
  <c r="J69" i="30"/>
  <c r="H69" i="30"/>
  <c r="F69" i="30"/>
  <c r="AX68" i="30"/>
  <c r="AV68" i="30"/>
  <c r="AT68" i="30"/>
  <c r="AR68" i="30"/>
  <c r="AP68" i="30"/>
  <c r="AL68" i="30"/>
  <c r="AJ68" i="30"/>
  <c r="AH68" i="30"/>
  <c r="AF68" i="30"/>
  <c r="AD68" i="30"/>
  <c r="Z68" i="30"/>
  <c r="X68" i="30"/>
  <c r="V68" i="30"/>
  <c r="T68" i="30"/>
  <c r="R68" i="30"/>
  <c r="N68" i="30"/>
  <c r="L68" i="30"/>
  <c r="J68" i="30"/>
  <c r="H68" i="30"/>
  <c r="F68" i="30"/>
  <c r="AX67" i="30"/>
  <c r="AV67" i="30"/>
  <c r="AT67" i="30"/>
  <c r="AR67" i="30"/>
  <c r="AP67" i="30"/>
  <c r="AL67" i="30"/>
  <c r="AJ67" i="30"/>
  <c r="AH67" i="30"/>
  <c r="AG72" i="30" s="1"/>
  <c r="AF67" i="30"/>
  <c r="AD67" i="30"/>
  <c r="Z67" i="30"/>
  <c r="X67" i="30"/>
  <c r="V67" i="30"/>
  <c r="T67" i="30"/>
  <c r="R67" i="30"/>
  <c r="N67" i="30"/>
  <c r="L67" i="30"/>
  <c r="J67" i="30"/>
  <c r="H67" i="30"/>
  <c r="F67" i="30"/>
  <c r="AX66" i="30"/>
  <c r="AV66" i="30"/>
  <c r="AT66" i="30"/>
  <c r="AR66" i="30"/>
  <c r="AP66" i="30"/>
  <c r="AL66" i="30"/>
  <c r="AJ66" i="30"/>
  <c r="AH66" i="30"/>
  <c r="AF66" i="30"/>
  <c r="AD66" i="30"/>
  <c r="Z66" i="30"/>
  <c r="X66" i="30"/>
  <c r="W72" i="30" s="1"/>
  <c r="V66" i="30"/>
  <c r="T66" i="30"/>
  <c r="R66" i="30"/>
  <c r="N66" i="30"/>
  <c r="L66" i="30"/>
  <c r="J66" i="30"/>
  <c r="H66" i="30"/>
  <c r="F66" i="30"/>
  <c r="AX65" i="30"/>
  <c r="AV65" i="30"/>
  <c r="AT65" i="30"/>
  <c r="AR65" i="30"/>
  <c r="AP65" i="30"/>
  <c r="AL65" i="30"/>
  <c r="AJ65" i="30"/>
  <c r="AI72" i="30" s="1"/>
  <c r="AH65" i="30"/>
  <c r="AF65" i="30"/>
  <c r="AD65" i="30"/>
  <c r="Z65" i="30"/>
  <c r="Y72" i="30" s="1"/>
  <c r="X65" i="30"/>
  <c r="V65" i="30"/>
  <c r="T65" i="30"/>
  <c r="R65" i="30"/>
  <c r="N65" i="30"/>
  <c r="L65" i="30"/>
  <c r="J65" i="30"/>
  <c r="H65" i="30"/>
  <c r="G72" i="30" s="1"/>
  <c r="F65" i="30"/>
  <c r="E72" i="30" s="1"/>
  <c r="AW62" i="30"/>
  <c r="AU62" i="30"/>
  <c r="AS62" i="30"/>
  <c r="AQ62" i="30"/>
  <c r="AO62" i="30"/>
  <c r="AK62" i="30"/>
  <c r="AI62" i="30"/>
  <c r="AG62" i="30"/>
  <c r="AE62" i="30"/>
  <c r="AC62" i="30"/>
  <c r="Y62" i="30"/>
  <c r="W62" i="30"/>
  <c r="U62" i="30"/>
  <c r="S62" i="30"/>
  <c r="Q62" i="30"/>
  <c r="M62" i="30"/>
  <c r="K62" i="30"/>
  <c r="I62" i="30"/>
  <c r="G62" i="30"/>
  <c r="E62" i="30"/>
  <c r="AW59" i="30"/>
  <c r="AU59" i="30"/>
  <c r="AS59" i="30"/>
  <c r="AQ59" i="30"/>
  <c r="AO59" i="30"/>
  <c r="AK59" i="30"/>
  <c r="AI59" i="30"/>
  <c r="AG59" i="30"/>
  <c r="AE59" i="30"/>
  <c r="AC59" i="30"/>
  <c r="Y59" i="30"/>
  <c r="W59" i="30"/>
  <c r="U59" i="30"/>
  <c r="S59" i="30"/>
  <c r="Q59" i="30"/>
  <c r="M59" i="30"/>
  <c r="K59" i="30"/>
  <c r="I59" i="30"/>
  <c r="G59" i="30"/>
  <c r="E59" i="30"/>
  <c r="AX57" i="30"/>
  <c r="AV57" i="30"/>
  <c r="AT57" i="30"/>
  <c r="AR57" i="30"/>
  <c r="AP57" i="30"/>
  <c r="AL57" i="30"/>
  <c r="AJ57" i="30"/>
  <c r="AH57" i="30"/>
  <c r="AF57" i="30"/>
  <c r="AD57" i="30"/>
  <c r="Z57" i="30"/>
  <c r="X57" i="30"/>
  <c r="V57" i="30"/>
  <c r="T57" i="30"/>
  <c r="R57" i="30"/>
  <c r="N57" i="30"/>
  <c r="L57" i="30"/>
  <c r="J57" i="30"/>
  <c r="H57" i="30"/>
  <c r="F57" i="30"/>
  <c r="AX56" i="30"/>
  <c r="AV56" i="30"/>
  <c r="AT56" i="30"/>
  <c r="AR56" i="30"/>
  <c r="AP56" i="30"/>
  <c r="AL56" i="30"/>
  <c r="AJ56" i="30"/>
  <c r="AH56" i="30"/>
  <c r="AF56" i="30"/>
  <c r="AD56" i="30"/>
  <c r="Z56" i="30"/>
  <c r="X56" i="30"/>
  <c r="V56" i="30"/>
  <c r="T56" i="30"/>
  <c r="R56" i="30"/>
  <c r="N56" i="30"/>
  <c r="L56" i="30"/>
  <c r="J56" i="30"/>
  <c r="H56" i="30"/>
  <c r="F56" i="30"/>
  <c r="AX55" i="30"/>
  <c r="AV55" i="30"/>
  <c r="AT55" i="30"/>
  <c r="AR55" i="30"/>
  <c r="AP55" i="30"/>
  <c r="AL55" i="30"/>
  <c r="AJ55" i="30"/>
  <c r="AH55" i="30"/>
  <c r="AF55" i="30"/>
  <c r="AD55" i="30"/>
  <c r="Z55" i="30"/>
  <c r="X55" i="30"/>
  <c r="V55" i="30"/>
  <c r="T55" i="30"/>
  <c r="R55" i="30"/>
  <c r="N55" i="30"/>
  <c r="L55" i="30"/>
  <c r="J55" i="30"/>
  <c r="H55" i="30"/>
  <c r="F55" i="30"/>
  <c r="AX54" i="30"/>
  <c r="AV54" i="30"/>
  <c r="AT54" i="30"/>
  <c r="AR54" i="30"/>
  <c r="AP54" i="30"/>
  <c r="AL54" i="30"/>
  <c r="AJ54" i="30"/>
  <c r="AH54" i="30"/>
  <c r="AF54" i="30"/>
  <c r="AD54" i="30"/>
  <c r="Z54" i="30"/>
  <c r="X54" i="30"/>
  <c r="V54" i="30"/>
  <c r="T54" i="30"/>
  <c r="R54" i="30"/>
  <c r="N54" i="30"/>
  <c r="L54" i="30"/>
  <c r="J54" i="30"/>
  <c r="H54" i="30"/>
  <c r="F54" i="30"/>
  <c r="AX53" i="30"/>
  <c r="AV53" i="30"/>
  <c r="AT53" i="30"/>
  <c r="AR53" i="30"/>
  <c r="AP53" i="30"/>
  <c r="AL53" i="30"/>
  <c r="AJ53" i="30"/>
  <c r="AH53" i="30"/>
  <c r="AF53" i="30"/>
  <c r="AD53" i="30"/>
  <c r="Z53" i="30"/>
  <c r="X53" i="30"/>
  <c r="V53" i="30"/>
  <c r="T53" i="30"/>
  <c r="R53" i="30"/>
  <c r="N53" i="30"/>
  <c r="L53" i="30"/>
  <c r="J53" i="30"/>
  <c r="H53" i="30"/>
  <c r="F53" i="30"/>
  <c r="AX52" i="30"/>
  <c r="AV52" i="30"/>
  <c r="AT52" i="30"/>
  <c r="AR52" i="30"/>
  <c r="AP52" i="30"/>
  <c r="AL52" i="30"/>
  <c r="AJ52" i="30"/>
  <c r="AH52" i="30"/>
  <c r="AF52" i="30"/>
  <c r="AD52" i="30"/>
  <c r="Z52" i="30"/>
  <c r="X52" i="30"/>
  <c r="V52" i="30"/>
  <c r="T52" i="30"/>
  <c r="R52" i="30"/>
  <c r="N52" i="30"/>
  <c r="L52" i="30"/>
  <c r="J52" i="30"/>
  <c r="H52" i="30"/>
  <c r="F52" i="30"/>
  <c r="AX51" i="30"/>
  <c r="AV51" i="30"/>
  <c r="AT51" i="30"/>
  <c r="AR51" i="30"/>
  <c r="AP51" i="30"/>
  <c r="AL51" i="30"/>
  <c r="AJ51" i="30"/>
  <c r="AH51" i="30"/>
  <c r="AF51" i="30"/>
  <c r="AD51" i="30"/>
  <c r="Z51" i="30"/>
  <c r="X51" i="30"/>
  <c r="V51" i="30"/>
  <c r="T51" i="30"/>
  <c r="R51" i="30"/>
  <c r="N51" i="30"/>
  <c r="L51" i="30"/>
  <c r="J51" i="30"/>
  <c r="H51" i="30"/>
  <c r="F51" i="30"/>
  <c r="AX50" i="30"/>
  <c r="AV50" i="30"/>
  <c r="AT50" i="30"/>
  <c r="AR50" i="30"/>
  <c r="AP50" i="30"/>
  <c r="AL50" i="30"/>
  <c r="AJ50" i="30"/>
  <c r="AH50" i="30"/>
  <c r="AF50" i="30"/>
  <c r="AD50" i="30"/>
  <c r="Z50" i="30"/>
  <c r="X50" i="30"/>
  <c r="V50" i="30"/>
  <c r="T50" i="30"/>
  <c r="R50" i="30"/>
  <c r="N50" i="30"/>
  <c r="L50" i="30"/>
  <c r="J50" i="30"/>
  <c r="H50" i="30"/>
  <c r="F50" i="30"/>
  <c r="AX49" i="30"/>
  <c r="AV49" i="30"/>
  <c r="AT49" i="30"/>
  <c r="AR49" i="30"/>
  <c r="AP49" i="30"/>
  <c r="AL49" i="30"/>
  <c r="AJ49" i="30"/>
  <c r="AH49" i="30"/>
  <c r="AF49" i="30"/>
  <c r="AD49" i="30"/>
  <c r="Z49" i="30"/>
  <c r="X49" i="30"/>
  <c r="V49" i="30"/>
  <c r="T49" i="30"/>
  <c r="R49" i="30"/>
  <c r="N49" i="30"/>
  <c r="L49" i="30"/>
  <c r="J49" i="30"/>
  <c r="H49" i="30"/>
  <c r="F49" i="30"/>
  <c r="AX48" i="30"/>
  <c r="AV48" i="30"/>
  <c r="AT48" i="30"/>
  <c r="AR48" i="30"/>
  <c r="AP48" i="30"/>
  <c r="AL48" i="30"/>
  <c r="AJ48" i="30"/>
  <c r="AH48" i="30"/>
  <c r="AF48" i="30"/>
  <c r="AD48" i="30"/>
  <c r="Z48" i="30"/>
  <c r="X48" i="30"/>
  <c r="V48" i="30"/>
  <c r="T48" i="30"/>
  <c r="R48" i="30"/>
  <c r="N48" i="30"/>
  <c r="L48" i="30"/>
  <c r="J48" i="30"/>
  <c r="H48" i="30"/>
  <c r="F48" i="30"/>
  <c r="AX47" i="30"/>
  <c r="AV47" i="30"/>
  <c r="AT47" i="30"/>
  <c r="AR47" i="30"/>
  <c r="AP47" i="30"/>
  <c r="AL47" i="30"/>
  <c r="AJ47" i="30"/>
  <c r="AH47" i="30"/>
  <c r="AF47" i="30"/>
  <c r="AD47" i="30"/>
  <c r="Z47" i="30"/>
  <c r="X47" i="30"/>
  <c r="V47" i="30"/>
  <c r="T47" i="30"/>
  <c r="R47" i="30"/>
  <c r="N47" i="30"/>
  <c r="L47" i="30"/>
  <c r="J47" i="30"/>
  <c r="H47" i="30"/>
  <c r="F47" i="30"/>
  <c r="AX46" i="30"/>
  <c r="AV46" i="30"/>
  <c r="AT46" i="30"/>
  <c r="AR46" i="30"/>
  <c r="AP46" i="30"/>
  <c r="AL46" i="30"/>
  <c r="AJ46" i="30"/>
  <c r="AH46" i="30"/>
  <c r="AF46" i="30"/>
  <c r="AD46" i="30"/>
  <c r="Z46" i="30"/>
  <c r="X46" i="30"/>
  <c r="V46" i="30"/>
  <c r="T46" i="30"/>
  <c r="R46" i="30"/>
  <c r="N46" i="30"/>
  <c r="L46" i="30"/>
  <c r="J46" i="30"/>
  <c r="H46" i="30"/>
  <c r="F46" i="30"/>
  <c r="AX45" i="30"/>
  <c r="AV45" i="30"/>
  <c r="AT45" i="30"/>
  <c r="AR45" i="30"/>
  <c r="AP45" i="30"/>
  <c r="AL45" i="30"/>
  <c r="AJ45" i="30"/>
  <c r="AH45" i="30"/>
  <c r="AF45" i="30"/>
  <c r="AD45" i="30"/>
  <c r="Z45" i="30"/>
  <c r="X45" i="30"/>
  <c r="V45" i="30"/>
  <c r="T45" i="30"/>
  <c r="R45" i="30"/>
  <c r="N45" i="30"/>
  <c r="L45" i="30"/>
  <c r="J45" i="30"/>
  <c r="H45" i="30"/>
  <c r="F45" i="30"/>
  <c r="AX44" i="30"/>
  <c r="AV44" i="30"/>
  <c r="AT44" i="30"/>
  <c r="AR44" i="30"/>
  <c r="AP44" i="30"/>
  <c r="AL44" i="30"/>
  <c r="AJ44" i="30"/>
  <c r="AH44" i="30"/>
  <c r="AF44" i="30"/>
  <c r="AD44" i="30"/>
  <c r="Z44" i="30"/>
  <c r="X44" i="30"/>
  <c r="V44" i="30"/>
  <c r="T44" i="30"/>
  <c r="R44" i="30"/>
  <c r="N44" i="30"/>
  <c r="L44" i="30"/>
  <c r="J44" i="30"/>
  <c r="H44" i="30"/>
  <c r="F44" i="30"/>
  <c r="AX43" i="30"/>
  <c r="AV43" i="30"/>
  <c r="AT43" i="30"/>
  <c r="AR43" i="30"/>
  <c r="AP43" i="30"/>
  <c r="AL43" i="30"/>
  <c r="AJ43" i="30"/>
  <c r="AH43" i="30"/>
  <c r="AF43" i="30"/>
  <c r="AD43" i="30"/>
  <c r="Z43" i="30"/>
  <c r="X43" i="30"/>
  <c r="V43" i="30"/>
  <c r="T43" i="30"/>
  <c r="R43" i="30"/>
  <c r="N43" i="30"/>
  <c r="L43" i="30"/>
  <c r="J43" i="30"/>
  <c r="H43" i="30"/>
  <c r="F43" i="30"/>
  <c r="AX42" i="30"/>
  <c r="AV42" i="30"/>
  <c r="AT42" i="30"/>
  <c r="AR42" i="30"/>
  <c r="AP42" i="30"/>
  <c r="AL42" i="30"/>
  <c r="AJ42" i="30"/>
  <c r="AH42" i="30"/>
  <c r="AF42" i="30"/>
  <c r="AD42" i="30"/>
  <c r="Z42" i="30"/>
  <c r="X42" i="30"/>
  <c r="V42" i="30"/>
  <c r="T42" i="30"/>
  <c r="R42" i="30"/>
  <c r="N42" i="30"/>
  <c r="L42" i="30"/>
  <c r="J42" i="30"/>
  <c r="H42" i="30"/>
  <c r="F42" i="30"/>
  <c r="AX41" i="30"/>
  <c r="AV41" i="30"/>
  <c r="AT41" i="30"/>
  <c r="AR41" i="30"/>
  <c r="AP41" i="30"/>
  <c r="AL41" i="30"/>
  <c r="AJ41" i="30"/>
  <c r="AH41" i="30"/>
  <c r="AF41" i="30"/>
  <c r="AD41" i="30"/>
  <c r="Z41" i="30"/>
  <c r="X41" i="30"/>
  <c r="V41" i="30"/>
  <c r="T41" i="30"/>
  <c r="R41" i="30"/>
  <c r="N41" i="30"/>
  <c r="L41" i="30"/>
  <c r="J41" i="30"/>
  <c r="H41" i="30"/>
  <c r="F41" i="30"/>
  <c r="AX40" i="30"/>
  <c r="AV40" i="30"/>
  <c r="AT40" i="30"/>
  <c r="AR40" i="30"/>
  <c r="AP40" i="30"/>
  <c r="AL40" i="30"/>
  <c r="AJ40" i="30"/>
  <c r="AH40" i="30"/>
  <c r="AF40" i="30"/>
  <c r="AD40" i="30"/>
  <c r="Z40" i="30"/>
  <c r="X40" i="30"/>
  <c r="V40" i="30"/>
  <c r="T40" i="30"/>
  <c r="R40" i="30"/>
  <c r="N40" i="30"/>
  <c r="L40" i="30"/>
  <c r="J40" i="30"/>
  <c r="H40" i="30"/>
  <c r="F40" i="30"/>
  <c r="AX39" i="30"/>
  <c r="AV39" i="30"/>
  <c r="AT39" i="30"/>
  <c r="AR39" i="30"/>
  <c r="AP39" i="30"/>
  <c r="AL39" i="30"/>
  <c r="AJ39" i="30"/>
  <c r="AH39" i="30"/>
  <c r="AF39" i="30"/>
  <c r="AD39" i="30"/>
  <c r="Z39" i="30"/>
  <c r="X39" i="30"/>
  <c r="V39" i="30"/>
  <c r="T39" i="30"/>
  <c r="R39" i="30"/>
  <c r="N39" i="30"/>
  <c r="L39" i="30"/>
  <c r="J39" i="30"/>
  <c r="H39" i="30"/>
  <c r="F39" i="30"/>
  <c r="AX38" i="30"/>
  <c r="AV38" i="30"/>
  <c r="AT38" i="30"/>
  <c r="AR38" i="30"/>
  <c r="AP38" i="30"/>
  <c r="AL38" i="30"/>
  <c r="AJ38" i="30"/>
  <c r="AH38" i="30"/>
  <c r="AF38" i="30"/>
  <c r="AD38" i="30"/>
  <c r="Z38" i="30"/>
  <c r="X38" i="30"/>
  <c r="V38" i="30"/>
  <c r="T38" i="30"/>
  <c r="T59" i="30" s="1"/>
  <c r="R38" i="30"/>
  <c r="N38" i="30"/>
  <c r="L38" i="30"/>
  <c r="J38" i="30"/>
  <c r="H38" i="30"/>
  <c r="F38" i="30"/>
  <c r="AX37" i="30"/>
  <c r="AV37" i="30"/>
  <c r="AT37" i="30"/>
  <c r="AR37" i="30"/>
  <c r="AP37" i="30"/>
  <c r="AL37" i="30"/>
  <c r="AJ37" i="30"/>
  <c r="AH37" i="30"/>
  <c r="AF37" i="30"/>
  <c r="AD37" i="30"/>
  <c r="Z37" i="30"/>
  <c r="X37" i="30"/>
  <c r="V37" i="30"/>
  <c r="T37" i="30"/>
  <c r="R37" i="30"/>
  <c r="N37" i="30"/>
  <c r="L37" i="30"/>
  <c r="J37" i="30"/>
  <c r="H37" i="30"/>
  <c r="F37" i="30"/>
  <c r="AX36" i="30"/>
  <c r="AV36" i="30"/>
  <c r="AT36" i="30"/>
  <c r="AR36" i="30"/>
  <c r="AP36" i="30"/>
  <c r="AL36" i="30"/>
  <c r="AJ36" i="30"/>
  <c r="AH36" i="30"/>
  <c r="AF36" i="30"/>
  <c r="AD36" i="30"/>
  <c r="Z36" i="30"/>
  <c r="X36" i="30"/>
  <c r="V36" i="30"/>
  <c r="T36" i="30"/>
  <c r="R36" i="30"/>
  <c r="N36" i="30"/>
  <c r="L36" i="30"/>
  <c r="J36" i="30"/>
  <c r="H36" i="30"/>
  <c r="F36" i="30"/>
  <c r="AX35" i="30"/>
  <c r="AV35" i="30"/>
  <c r="AT35" i="30"/>
  <c r="AR35" i="30"/>
  <c r="AP35" i="30"/>
  <c r="AL35" i="30"/>
  <c r="AJ35" i="30"/>
  <c r="AH35" i="30"/>
  <c r="AF35" i="30"/>
  <c r="AF59" i="30" s="1"/>
  <c r="AD35" i="30"/>
  <c r="AC60" i="30" s="1"/>
  <c r="Z35" i="30"/>
  <c r="X35" i="30"/>
  <c r="V35" i="30"/>
  <c r="T35" i="30"/>
  <c r="R35" i="30"/>
  <c r="N35" i="30"/>
  <c r="L35" i="30"/>
  <c r="J35" i="30"/>
  <c r="H35" i="30"/>
  <c r="F35" i="30"/>
  <c r="AX34" i="30"/>
  <c r="AV34" i="30"/>
  <c r="AT34" i="30"/>
  <c r="AT59" i="30" s="1"/>
  <c r="AR34" i="30"/>
  <c r="AP34" i="30"/>
  <c r="AL34" i="30"/>
  <c r="AJ34" i="30"/>
  <c r="AH34" i="30"/>
  <c r="AF34" i="30"/>
  <c r="AD34" i="30"/>
  <c r="Z34" i="30"/>
  <c r="X34" i="30"/>
  <c r="V34" i="30"/>
  <c r="T34" i="30"/>
  <c r="R34" i="30"/>
  <c r="N34" i="30"/>
  <c r="L34" i="30"/>
  <c r="J34" i="30"/>
  <c r="H34" i="30"/>
  <c r="G60" i="30" s="1"/>
  <c r="F34" i="30"/>
  <c r="E60" i="30" s="1"/>
  <c r="AV31" i="30"/>
  <c r="AH31" i="30"/>
  <c r="J31" i="30"/>
  <c r="AW31" i="30"/>
  <c r="AU31" i="30"/>
  <c r="AS31" i="30"/>
  <c r="AQ31" i="30"/>
  <c r="AO31" i="30"/>
  <c r="AK31" i="30"/>
  <c r="AI31" i="30"/>
  <c r="AG31" i="30"/>
  <c r="AE31" i="30"/>
  <c r="AC31" i="30"/>
  <c r="Y31" i="30"/>
  <c r="W31" i="30"/>
  <c r="U31" i="30"/>
  <c r="S31" i="30"/>
  <c r="Q31" i="30"/>
  <c r="M31" i="30"/>
  <c r="K31" i="30"/>
  <c r="I31" i="30"/>
  <c r="G31" i="30"/>
  <c r="E30" i="30"/>
  <c r="E31" i="30" s="1"/>
  <c r="C30" i="30"/>
  <c r="AW89" i="28"/>
  <c r="AU89" i="28"/>
  <c r="AS89" i="28"/>
  <c r="AQ89" i="28"/>
  <c r="AO89" i="28"/>
  <c r="AK89" i="28"/>
  <c r="AI89" i="28"/>
  <c r="AG89" i="28"/>
  <c r="AE89" i="28"/>
  <c r="AC89" i="28"/>
  <c r="Y89" i="28"/>
  <c r="W89" i="28"/>
  <c r="U89" i="28"/>
  <c r="S89" i="28"/>
  <c r="Q89" i="28"/>
  <c r="M89" i="28"/>
  <c r="K89" i="28"/>
  <c r="I89" i="28"/>
  <c r="G89" i="28"/>
  <c r="E89" i="28"/>
  <c r="AW74" i="28"/>
  <c r="AU74" i="28"/>
  <c r="AS74" i="28"/>
  <c r="AQ74" i="28"/>
  <c r="AO74" i="28"/>
  <c r="AK74" i="28"/>
  <c r="AI74" i="28"/>
  <c r="AG74" i="28"/>
  <c r="AE74" i="28"/>
  <c r="AC74" i="28"/>
  <c r="Y74" i="28"/>
  <c r="W74" i="28"/>
  <c r="U74" i="28"/>
  <c r="S74" i="28"/>
  <c r="Q74" i="28"/>
  <c r="M74" i="28"/>
  <c r="K74" i="28"/>
  <c r="I74" i="28"/>
  <c r="G74" i="28"/>
  <c r="E74" i="28"/>
  <c r="AW72" i="28"/>
  <c r="AU72" i="28"/>
  <c r="AS72" i="28"/>
  <c r="AQ72" i="28"/>
  <c r="AO72" i="28"/>
  <c r="AK72" i="28"/>
  <c r="AI72" i="28"/>
  <c r="AG72" i="28"/>
  <c r="AE72" i="28"/>
  <c r="AC72" i="28"/>
  <c r="Y72" i="28"/>
  <c r="W72" i="28"/>
  <c r="U72" i="28"/>
  <c r="S72" i="28"/>
  <c r="Q72" i="28"/>
  <c r="M72" i="28"/>
  <c r="K72" i="28"/>
  <c r="I72" i="28"/>
  <c r="G72" i="28"/>
  <c r="AX70" i="28"/>
  <c r="AV70" i="28"/>
  <c r="AT70" i="28"/>
  <c r="AR70" i="28"/>
  <c r="AP70" i="28"/>
  <c r="AL70" i="28"/>
  <c r="AJ70" i="28"/>
  <c r="AH70" i="28"/>
  <c r="AF70" i="28"/>
  <c r="AD70" i="28"/>
  <c r="Z70" i="28"/>
  <c r="X70" i="28"/>
  <c r="V70" i="28"/>
  <c r="T70" i="28"/>
  <c r="R70" i="28"/>
  <c r="N70" i="28"/>
  <c r="L70" i="28"/>
  <c r="J70" i="28"/>
  <c r="H70" i="28"/>
  <c r="F70" i="28"/>
  <c r="AX69" i="28"/>
  <c r="AV69" i="28"/>
  <c r="AT69" i="28"/>
  <c r="AR69" i="28"/>
  <c r="AP69" i="28"/>
  <c r="AL69" i="28"/>
  <c r="AJ69" i="28"/>
  <c r="AH69" i="28"/>
  <c r="AF69" i="28"/>
  <c r="AD69" i="28"/>
  <c r="Z69" i="28"/>
  <c r="X69" i="28"/>
  <c r="V69" i="28"/>
  <c r="T69" i="28"/>
  <c r="R69" i="28"/>
  <c r="N69" i="28"/>
  <c r="L69" i="28"/>
  <c r="J69" i="28"/>
  <c r="H69" i="28"/>
  <c r="F69" i="28"/>
  <c r="AX68" i="28"/>
  <c r="AV68" i="28"/>
  <c r="AT68" i="28"/>
  <c r="AR68" i="28"/>
  <c r="AP68" i="28"/>
  <c r="AL68" i="28"/>
  <c r="AJ68" i="28"/>
  <c r="AH68" i="28"/>
  <c r="AF68" i="28"/>
  <c r="AD68" i="28"/>
  <c r="Z68" i="28"/>
  <c r="X68" i="28"/>
  <c r="V68" i="28"/>
  <c r="T68" i="28"/>
  <c r="R68" i="28"/>
  <c r="N68" i="28"/>
  <c r="L68" i="28"/>
  <c r="J68" i="28"/>
  <c r="H68" i="28"/>
  <c r="F68" i="28"/>
  <c r="AX67" i="28"/>
  <c r="AV67" i="28"/>
  <c r="AT67" i="28"/>
  <c r="AR67" i="28"/>
  <c r="AP67" i="28"/>
  <c r="AL67" i="28"/>
  <c r="AJ67" i="28"/>
  <c r="AH67" i="28"/>
  <c r="AF67" i="28"/>
  <c r="AD67" i="28"/>
  <c r="Z67" i="28"/>
  <c r="X67" i="28"/>
  <c r="V67" i="28"/>
  <c r="T67" i="28"/>
  <c r="R67" i="28"/>
  <c r="N67" i="28"/>
  <c r="L67" i="28"/>
  <c r="J67" i="28"/>
  <c r="H67" i="28"/>
  <c r="F67" i="28"/>
  <c r="AX66" i="28"/>
  <c r="AV66" i="28"/>
  <c r="AT66" i="28"/>
  <c r="AR66" i="28"/>
  <c r="AP66" i="28"/>
  <c r="AL66" i="28"/>
  <c r="AJ66" i="28"/>
  <c r="AH66" i="28"/>
  <c r="AF66" i="28"/>
  <c r="AD66" i="28"/>
  <c r="Z66" i="28"/>
  <c r="X66" i="28"/>
  <c r="V66" i="28"/>
  <c r="T66" i="28"/>
  <c r="R66" i="28"/>
  <c r="N66" i="28"/>
  <c r="L66" i="28"/>
  <c r="J66" i="28"/>
  <c r="H66" i="28"/>
  <c r="F66" i="28"/>
  <c r="AX65" i="28"/>
  <c r="AV65" i="28"/>
  <c r="AT65" i="28"/>
  <c r="AR65" i="28"/>
  <c r="AP65" i="28"/>
  <c r="AL65" i="28"/>
  <c r="AJ65" i="28"/>
  <c r="AH65" i="28"/>
  <c r="AF65" i="28"/>
  <c r="AD65" i="28"/>
  <c r="Z65" i="28"/>
  <c r="X65" i="28"/>
  <c r="V65" i="28"/>
  <c r="T65" i="28"/>
  <c r="R65" i="28"/>
  <c r="N65" i="28"/>
  <c r="L65" i="28"/>
  <c r="J65" i="28"/>
  <c r="H65" i="28"/>
  <c r="F65" i="28"/>
  <c r="E72" i="28" s="1"/>
  <c r="AW62" i="28"/>
  <c r="AU62" i="28"/>
  <c r="AS62" i="28"/>
  <c r="AQ62" i="28"/>
  <c r="AO62" i="28"/>
  <c r="AK62" i="28"/>
  <c r="AI62" i="28"/>
  <c r="AG62" i="28"/>
  <c r="AE62" i="28"/>
  <c r="AC62" i="28"/>
  <c r="Y62" i="28"/>
  <c r="W62" i="28"/>
  <c r="U62" i="28"/>
  <c r="S62" i="28"/>
  <c r="Q62" i="28"/>
  <c r="M62" i="28"/>
  <c r="K62" i="28"/>
  <c r="I62" i="28"/>
  <c r="G62" i="28"/>
  <c r="E62" i="28"/>
  <c r="AW59" i="28"/>
  <c r="AU59" i="28"/>
  <c r="AS59" i="28"/>
  <c r="AQ59" i="28"/>
  <c r="AO59" i="28"/>
  <c r="AK59" i="28"/>
  <c r="AI59" i="28"/>
  <c r="AG59" i="28"/>
  <c r="AE59" i="28"/>
  <c r="AC59" i="28"/>
  <c r="Y59" i="28"/>
  <c r="W59" i="28"/>
  <c r="U59" i="28"/>
  <c r="S59" i="28"/>
  <c r="Q59" i="28"/>
  <c r="M59" i="28"/>
  <c r="K59" i="28"/>
  <c r="I59" i="28"/>
  <c r="G59" i="28"/>
  <c r="E59" i="28"/>
  <c r="AX57" i="28"/>
  <c r="AV57" i="28"/>
  <c r="AT57" i="28"/>
  <c r="AP57" i="28"/>
  <c r="AL57" i="28"/>
  <c r="AJ57" i="28"/>
  <c r="AH57" i="28"/>
  <c r="AF57" i="28"/>
  <c r="AD57" i="28"/>
  <c r="Z57" i="28"/>
  <c r="X57" i="28"/>
  <c r="V57" i="28"/>
  <c r="T57" i="28"/>
  <c r="R57" i="28"/>
  <c r="N57" i="28"/>
  <c r="L57" i="28"/>
  <c r="J57" i="28"/>
  <c r="H57" i="28"/>
  <c r="F57" i="28"/>
  <c r="AX56" i="28"/>
  <c r="AV56" i="28"/>
  <c r="AT56" i="28"/>
  <c r="AP56" i="28"/>
  <c r="AL56" i="28"/>
  <c r="AJ56" i="28"/>
  <c r="AH56" i="28"/>
  <c r="AF56" i="28"/>
  <c r="AD56" i="28"/>
  <c r="Z56" i="28"/>
  <c r="X56" i="28"/>
  <c r="V56" i="28"/>
  <c r="T56" i="28"/>
  <c r="R56" i="28"/>
  <c r="N56" i="28"/>
  <c r="L56" i="28"/>
  <c r="J56" i="28"/>
  <c r="H56" i="28"/>
  <c r="F56" i="28"/>
  <c r="AX55" i="28"/>
  <c r="AV55" i="28"/>
  <c r="AT55" i="28"/>
  <c r="AP55" i="28"/>
  <c r="AL55" i="28"/>
  <c r="AJ55" i="28"/>
  <c r="AH55" i="28"/>
  <c r="AF55" i="28"/>
  <c r="AD55" i="28"/>
  <c r="Z55" i="28"/>
  <c r="X55" i="28"/>
  <c r="V55" i="28"/>
  <c r="T55" i="28"/>
  <c r="R55" i="28"/>
  <c r="N55" i="28"/>
  <c r="L55" i="28"/>
  <c r="J55" i="28"/>
  <c r="H55" i="28"/>
  <c r="F55" i="28"/>
  <c r="AX54" i="28"/>
  <c r="AV54" i="28"/>
  <c r="AT54" i="28"/>
  <c r="AP54" i="28"/>
  <c r="AL54" i="28"/>
  <c r="AJ54" i="28"/>
  <c r="AH54" i="28"/>
  <c r="AF54" i="28"/>
  <c r="AD54" i="28"/>
  <c r="Z54" i="28"/>
  <c r="X54" i="28"/>
  <c r="V54" i="28"/>
  <c r="T54" i="28"/>
  <c r="R54" i="28"/>
  <c r="N54" i="28"/>
  <c r="L54" i="28"/>
  <c r="J54" i="28"/>
  <c r="H54" i="28"/>
  <c r="F54" i="28"/>
  <c r="AX53" i="28"/>
  <c r="AV53" i="28"/>
  <c r="AT53" i="28"/>
  <c r="AP53" i="28"/>
  <c r="AL53" i="28"/>
  <c r="AJ53" i="28"/>
  <c r="AH53" i="28"/>
  <c r="AF53" i="28"/>
  <c r="AD53" i="28"/>
  <c r="Z53" i="28"/>
  <c r="X53" i="28"/>
  <c r="V53" i="28"/>
  <c r="T53" i="28"/>
  <c r="R53" i="28"/>
  <c r="N53" i="28"/>
  <c r="L53" i="28"/>
  <c r="J53" i="28"/>
  <c r="H53" i="28"/>
  <c r="F53" i="28"/>
  <c r="AX52" i="28"/>
  <c r="AV52" i="28"/>
  <c r="AT52" i="28"/>
  <c r="AP52" i="28"/>
  <c r="AL52" i="28"/>
  <c r="AJ52" i="28"/>
  <c r="AH52" i="28"/>
  <c r="AF52" i="28"/>
  <c r="AD52" i="28"/>
  <c r="Z52" i="28"/>
  <c r="X52" i="28"/>
  <c r="V52" i="28"/>
  <c r="T52" i="28"/>
  <c r="R52" i="28"/>
  <c r="N52" i="28"/>
  <c r="L52" i="28"/>
  <c r="J52" i="28"/>
  <c r="H52" i="28"/>
  <c r="F52" i="28"/>
  <c r="AX51" i="28"/>
  <c r="AV51" i="28"/>
  <c r="AT51" i="28"/>
  <c r="AP51" i="28"/>
  <c r="AL51" i="28"/>
  <c r="AJ51" i="28"/>
  <c r="AH51" i="28"/>
  <c r="AF51" i="28"/>
  <c r="AD51" i="28"/>
  <c r="Z51" i="28"/>
  <c r="X51" i="28"/>
  <c r="V51" i="28"/>
  <c r="T51" i="28"/>
  <c r="R51" i="28"/>
  <c r="N51" i="28"/>
  <c r="L51" i="28"/>
  <c r="J51" i="28"/>
  <c r="H51" i="28"/>
  <c r="F51" i="28"/>
  <c r="AX50" i="28"/>
  <c r="AV50" i="28"/>
  <c r="AT50" i="28"/>
  <c r="AP50" i="28"/>
  <c r="AL50" i="28"/>
  <c r="AJ50" i="28"/>
  <c r="AH50" i="28"/>
  <c r="AF50" i="28"/>
  <c r="AD50" i="28"/>
  <c r="Z50" i="28"/>
  <c r="X50" i="28"/>
  <c r="V50" i="28"/>
  <c r="T50" i="28"/>
  <c r="R50" i="28"/>
  <c r="N50" i="28"/>
  <c r="L50" i="28"/>
  <c r="J50" i="28"/>
  <c r="H50" i="28"/>
  <c r="F50" i="28"/>
  <c r="AX49" i="28"/>
  <c r="AV49" i="28"/>
  <c r="AT49" i="28"/>
  <c r="AP49" i="28"/>
  <c r="AL49" i="28"/>
  <c r="AJ49" i="28"/>
  <c r="AH49" i="28"/>
  <c r="AF49" i="28"/>
  <c r="AD49" i="28"/>
  <c r="Z49" i="28"/>
  <c r="X49" i="28"/>
  <c r="V49" i="28"/>
  <c r="T49" i="28"/>
  <c r="R49" i="28"/>
  <c r="N49" i="28"/>
  <c r="L49" i="28"/>
  <c r="J49" i="28"/>
  <c r="H49" i="28"/>
  <c r="F49" i="28"/>
  <c r="AX48" i="28"/>
  <c r="AV48" i="28"/>
  <c r="AT48" i="28"/>
  <c r="AP48" i="28"/>
  <c r="AL48" i="28"/>
  <c r="AJ48" i="28"/>
  <c r="AH48" i="28"/>
  <c r="AF48" i="28"/>
  <c r="AD48" i="28"/>
  <c r="Z48" i="28"/>
  <c r="X48" i="28"/>
  <c r="V48" i="28"/>
  <c r="T48" i="28"/>
  <c r="R48" i="28"/>
  <c r="N48" i="28"/>
  <c r="L48" i="28"/>
  <c r="J48" i="28"/>
  <c r="H48" i="28"/>
  <c r="F48" i="28"/>
  <c r="AX47" i="28"/>
  <c r="AV47" i="28"/>
  <c r="AT47" i="28"/>
  <c r="AP47" i="28"/>
  <c r="AL47" i="28"/>
  <c r="AJ47" i="28"/>
  <c r="AH47" i="28"/>
  <c r="AF47" i="28"/>
  <c r="AD47" i="28"/>
  <c r="Z47" i="28"/>
  <c r="X47" i="28"/>
  <c r="V47" i="28"/>
  <c r="T47" i="28"/>
  <c r="R47" i="28"/>
  <c r="N47" i="28"/>
  <c r="L47" i="28"/>
  <c r="J47" i="28"/>
  <c r="H47" i="28"/>
  <c r="F47" i="28"/>
  <c r="AX46" i="28"/>
  <c r="AV46" i="28"/>
  <c r="AT46" i="28"/>
  <c r="AP46" i="28"/>
  <c r="AL46" i="28"/>
  <c r="AJ46" i="28"/>
  <c r="AH46" i="28"/>
  <c r="AF46" i="28"/>
  <c r="AD46" i="28"/>
  <c r="Z46" i="28"/>
  <c r="X46" i="28"/>
  <c r="V46" i="28"/>
  <c r="T46" i="28"/>
  <c r="R46" i="28"/>
  <c r="N46" i="28"/>
  <c r="L46" i="28"/>
  <c r="J46" i="28"/>
  <c r="H46" i="28"/>
  <c r="F46" i="28"/>
  <c r="AX45" i="28"/>
  <c r="AV45" i="28"/>
  <c r="AT45" i="28"/>
  <c r="AP45" i="28"/>
  <c r="AL45" i="28"/>
  <c r="AJ45" i="28"/>
  <c r="AH45" i="28"/>
  <c r="AF45" i="28"/>
  <c r="AD45" i="28"/>
  <c r="Z45" i="28"/>
  <c r="X45" i="28"/>
  <c r="V45" i="28"/>
  <c r="T45" i="28"/>
  <c r="R45" i="28"/>
  <c r="N45" i="28"/>
  <c r="L45" i="28"/>
  <c r="J45" i="28"/>
  <c r="H45" i="28"/>
  <c r="F45" i="28"/>
  <c r="AX44" i="28"/>
  <c r="AV44" i="28"/>
  <c r="AT44" i="28"/>
  <c r="AR44" i="28"/>
  <c r="AP44" i="28"/>
  <c r="AL44" i="28"/>
  <c r="AJ44" i="28"/>
  <c r="AH44" i="28"/>
  <c r="AF44" i="28"/>
  <c r="AD44" i="28"/>
  <c r="Z44" i="28"/>
  <c r="X44" i="28"/>
  <c r="V44" i="28"/>
  <c r="T44" i="28"/>
  <c r="R44" i="28"/>
  <c r="N44" i="28"/>
  <c r="L44" i="28"/>
  <c r="J44" i="28"/>
  <c r="H44" i="28"/>
  <c r="F44" i="28"/>
  <c r="AX43" i="28"/>
  <c r="AV43" i="28"/>
  <c r="AT43" i="28"/>
  <c r="AR43" i="28"/>
  <c r="AP43" i="28"/>
  <c r="AL43" i="28"/>
  <c r="AJ43" i="28"/>
  <c r="AH43" i="28"/>
  <c r="AF43" i="28"/>
  <c r="AD43" i="28"/>
  <c r="Z43" i="28"/>
  <c r="X43" i="28"/>
  <c r="V43" i="28"/>
  <c r="T43" i="28"/>
  <c r="R43" i="28"/>
  <c r="N43" i="28"/>
  <c r="L43" i="28"/>
  <c r="J43" i="28"/>
  <c r="H43" i="28"/>
  <c r="F43" i="28"/>
  <c r="AX42" i="28"/>
  <c r="AV42" i="28"/>
  <c r="AT42" i="28"/>
  <c r="AR42" i="28"/>
  <c r="AP42" i="28"/>
  <c r="AL42" i="28"/>
  <c r="AJ42" i="28"/>
  <c r="AH42" i="28"/>
  <c r="AF42" i="28"/>
  <c r="AD42" i="28"/>
  <c r="Z42" i="28"/>
  <c r="X42" i="28"/>
  <c r="V42" i="28"/>
  <c r="T42" i="28"/>
  <c r="R42" i="28"/>
  <c r="N42" i="28"/>
  <c r="L42" i="28"/>
  <c r="J42" i="28"/>
  <c r="H42" i="28"/>
  <c r="F42" i="28"/>
  <c r="AX41" i="28"/>
  <c r="AV41" i="28"/>
  <c r="AT41" i="28"/>
  <c r="AR41" i="28"/>
  <c r="AP41" i="28"/>
  <c r="AL41" i="28"/>
  <c r="AJ41" i="28"/>
  <c r="AH41" i="28"/>
  <c r="AF41" i="28"/>
  <c r="AD41" i="28"/>
  <c r="Z41" i="28"/>
  <c r="X41" i="28"/>
  <c r="V41" i="28"/>
  <c r="T41" i="28"/>
  <c r="R41" i="28"/>
  <c r="N41" i="28"/>
  <c r="L41" i="28"/>
  <c r="J41" i="28"/>
  <c r="H41" i="28"/>
  <c r="F41" i="28"/>
  <c r="AX40" i="28"/>
  <c r="AV40" i="28"/>
  <c r="AT40" i="28"/>
  <c r="AR40" i="28"/>
  <c r="AP40" i="28"/>
  <c r="AL40" i="28"/>
  <c r="AJ40" i="28"/>
  <c r="AH40" i="28"/>
  <c r="AF40" i="28"/>
  <c r="AD40" i="28"/>
  <c r="Z40" i="28"/>
  <c r="X40" i="28"/>
  <c r="V40" i="28"/>
  <c r="T40" i="28"/>
  <c r="R40" i="28"/>
  <c r="N40" i="28"/>
  <c r="L40" i="28"/>
  <c r="J40" i="28"/>
  <c r="H40" i="28"/>
  <c r="F40" i="28"/>
  <c r="AX39" i="28"/>
  <c r="AV39" i="28"/>
  <c r="AT39" i="28"/>
  <c r="AR39" i="28"/>
  <c r="AP39" i="28"/>
  <c r="AL39" i="28"/>
  <c r="AJ39" i="28"/>
  <c r="AH39" i="28"/>
  <c r="AF39" i="28"/>
  <c r="AD39" i="28"/>
  <c r="Z39" i="28"/>
  <c r="X39" i="28"/>
  <c r="V39" i="28"/>
  <c r="T39" i="28"/>
  <c r="R39" i="28"/>
  <c r="N39" i="28"/>
  <c r="L39" i="28"/>
  <c r="J39" i="28"/>
  <c r="H39" i="28"/>
  <c r="F39" i="28"/>
  <c r="AX38" i="28"/>
  <c r="AV38" i="28"/>
  <c r="AT38" i="28"/>
  <c r="AR38" i="28"/>
  <c r="AP38" i="28"/>
  <c r="AL38" i="28"/>
  <c r="AJ38" i="28"/>
  <c r="AH38" i="28"/>
  <c r="AF38" i="28"/>
  <c r="AD38" i="28"/>
  <c r="Z38" i="28"/>
  <c r="X38" i="28"/>
  <c r="V38" i="28"/>
  <c r="T38" i="28"/>
  <c r="R38" i="28"/>
  <c r="N38" i="28"/>
  <c r="L38" i="28"/>
  <c r="J38" i="28"/>
  <c r="H38" i="28"/>
  <c r="F38" i="28"/>
  <c r="AX37" i="28"/>
  <c r="AV37" i="28"/>
  <c r="AT37" i="28"/>
  <c r="AR37" i="28"/>
  <c r="AP37" i="28"/>
  <c r="AL37" i="28"/>
  <c r="AJ37" i="28"/>
  <c r="AH37" i="28"/>
  <c r="AF37" i="28"/>
  <c r="AD37" i="28"/>
  <c r="Z37" i="28"/>
  <c r="X37" i="28"/>
  <c r="V37" i="28"/>
  <c r="T37" i="28"/>
  <c r="R37" i="28"/>
  <c r="N37" i="28"/>
  <c r="L37" i="28"/>
  <c r="J37" i="28"/>
  <c r="H37" i="28"/>
  <c r="F37" i="28"/>
  <c r="AX36" i="28"/>
  <c r="AV36" i="28"/>
  <c r="AT36" i="28"/>
  <c r="AR36" i="28"/>
  <c r="AP36" i="28"/>
  <c r="AL36" i="28"/>
  <c r="AJ36" i="28"/>
  <c r="AH36" i="28"/>
  <c r="AF36" i="28"/>
  <c r="AD36" i="28"/>
  <c r="Z36" i="28"/>
  <c r="X36" i="28"/>
  <c r="V36" i="28"/>
  <c r="T36" i="28"/>
  <c r="R36" i="28"/>
  <c r="N36" i="28"/>
  <c r="L36" i="28"/>
  <c r="J36" i="28"/>
  <c r="H36" i="28"/>
  <c r="F36" i="28"/>
  <c r="AX35" i="28"/>
  <c r="AV35" i="28"/>
  <c r="AT35" i="28"/>
  <c r="AR35" i="28"/>
  <c r="AP35" i="28"/>
  <c r="AL35" i="28"/>
  <c r="AJ35" i="28"/>
  <c r="AI60" i="28" s="1"/>
  <c r="AH35" i="28"/>
  <c r="AF35" i="28"/>
  <c r="AD35" i="28"/>
  <c r="Z35" i="28"/>
  <c r="X35" i="28"/>
  <c r="V35" i="28"/>
  <c r="T35" i="28"/>
  <c r="R35" i="28"/>
  <c r="N35" i="28"/>
  <c r="L35" i="28"/>
  <c r="J35" i="28"/>
  <c r="H35" i="28"/>
  <c r="H59" i="28" s="1"/>
  <c r="F35" i="28"/>
  <c r="AX34" i="28"/>
  <c r="AV34" i="28"/>
  <c r="AT34" i="28"/>
  <c r="AR34" i="28"/>
  <c r="AR59" i="28" s="1"/>
  <c r="AP34" i="28"/>
  <c r="AO60" i="28" s="1"/>
  <c r="AL34" i="28"/>
  <c r="AJ34" i="28"/>
  <c r="AH34" i="28"/>
  <c r="AF34" i="28"/>
  <c r="AD34" i="28"/>
  <c r="Z34" i="28"/>
  <c r="X34" i="28"/>
  <c r="X59" i="28" s="1"/>
  <c r="V34" i="28"/>
  <c r="T34" i="28"/>
  <c r="R34" i="28"/>
  <c r="N34" i="28"/>
  <c r="L34" i="28"/>
  <c r="J34" i="28"/>
  <c r="J59" i="28" s="1"/>
  <c r="H34" i="28"/>
  <c r="F34" i="28"/>
  <c r="E60" i="28" s="1"/>
  <c r="AV31" i="28"/>
  <c r="AH31" i="28"/>
  <c r="J31" i="28"/>
  <c r="AW31" i="28"/>
  <c r="AU31" i="28"/>
  <c r="AS31" i="28"/>
  <c r="AQ31" i="28"/>
  <c r="AO31" i="28"/>
  <c r="AK31" i="28"/>
  <c r="AI31" i="28"/>
  <c r="AG31" i="28"/>
  <c r="AE31" i="28"/>
  <c r="AC31" i="28"/>
  <c r="Y31" i="28"/>
  <c r="W31" i="28"/>
  <c r="U31" i="28"/>
  <c r="S31" i="28"/>
  <c r="Q31" i="28"/>
  <c r="M31" i="28"/>
  <c r="K31" i="28"/>
  <c r="I31" i="28"/>
  <c r="G30" i="28"/>
  <c r="G31" i="28" s="1"/>
  <c r="E30" i="28"/>
  <c r="E31" i="28" s="1"/>
  <c r="C30" i="28"/>
  <c r="BB93" i="27"/>
  <c r="AZ93" i="27"/>
  <c r="AX93" i="27"/>
  <c r="C93" i="27"/>
  <c r="BB91" i="27"/>
  <c r="AZ91" i="27"/>
  <c r="AX91" i="27"/>
  <c r="C91" i="27"/>
  <c r="BB89" i="27"/>
  <c r="AZ89" i="27"/>
  <c r="AX89" i="27"/>
  <c r="AV89" i="27"/>
  <c r="AT89" i="27"/>
  <c r="AP89" i="27"/>
  <c r="AN89" i="27"/>
  <c r="AL89" i="27"/>
  <c r="AJ89" i="27"/>
  <c r="AH89" i="27"/>
  <c r="AD89" i="27"/>
  <c r="AB89" i="27"/>
  <c r="Z89" i="27"/>
  <c r="X89" i="27"/>
  <c r="V89" i="27"/>
  <c r="R89" i="27"/>
  <c r="P89" i="27"/>
  <c r="L89" i="27"/>
  <c r="J89" i="27"/>
  <c r="F89" i="27"/>
  <c r="D89" i="27"/>
  <c r="C89" i="27"/>
  <c r="BB74" i="27"/>
  <c r="BB75" i="27" s="1"/>
  <c r="AZ74" i="27"/>
  <c r="AZ75" i="27" s="1"/>
  <c r="AX74" i="27"/>
  <c r="AX75" i="27" s="1"/>
  <c r="AV74" i="27"/>
  <c r="AT74" i="27"/>
  <c r="AP74" i="27"/>
  <c r="AN74" i="27"/>
  <c r="AL74" i="27"/>
  <c r="AJ74" i="27"/>
  <c r="AH74" i="27"/>
  <c r="AD74" i="27"/>
  <c r="AB74" i="27"/>
  <c r="Z74" i="27"/>
  <c r="X74" i="27"/>
  <c r="V74" i="27"/>
  <c r="R74" i="27"/>
  <c r="P74" i="27"/>
  <c r="N74" i="27"/>
  <c r="L74" i="27"/>
  <c r="J74" i="27"/>
  <c r="F74" i="27"/>
  <c r="D74" i="27"/>
  <c r="C74" i="27"/>
  <c r="C75" i="27" s="1"/>
  <c r="BB72" i="27"/>
  <c r="AZ72" i="27"/>
  <c r="AX72" i="27"/>
  <c r="N72" i="27"/>
  <c r="C72" i="27"/>
  <c r="BC70" i="27"/>
  <c r="BA70" i="27"/>
  <c r="AY70" i="27"/>
  <c r="AW70" i="27"/>
  <c r="AU70" i="27"/>
  <c r="AQ70" i="27"/>
  <c r="AO70" i="27"/>
  <c r="AM70" i="27"/>
  <c r="AK70" i="27"/>
  <c r="AI70" i="27"/>
  <c r="AE70" i="27"/>
  <c r="AC70" i="27"/>
  <c r="AA70" i="27"/>
  <c r="Y70" i="27"/>
  <c r="W70" i="27"/>
  <c r="S70" i="27"/>
  <c r="Q70" i="27"/>
  <c r="O70" i="27"/>
  <c r="M70" i="27"/>
  <c r="K70" i="27"/>
  <c r="G70" i="27"/>
  <c r="E70" i="27"/>
  <c r="BC69" i="27"/>
  <c r="BA69" i="27"/>
  <c r="AY69" i="27"/>
  <c r="AW69" i="27"/>
  <c r="AU69" i="27"/>
  <c r="AQ69" i="27"/>
  <c r="AO69" i="27"/>
  <c r="AM69" i="27"/>
  <c r="AK69" i="27"/>
  <c r="AI69" i="27"/>
  <c r="AE69" i="27"/>
  <c r="AC69" i="27"/>
  <c r="AA69" i="27"/>
  <c r="Y69" i="27"/>
  <c r="W69" i="27"/>
  <c r="S69" i="27"/>
  <c r="Q69" i="27"/>
  <c r="O69" i="27"/>
  <c r="M69" i="27"/>
  <c r="K69" i="27"/>
  <c r="G69" i="27"/>
  <c r="E69" i="27"/>
  <c r="BC68" i="27"/>
  <c r="BA68" i="27"/>
  <c r="AY68" i="27"/>
  <c r="AW68" i="27"/>
  <c r="AU68" i="27"/>
  <c r="AQ68" i="27"/>
  <c r="AO68" i="27"/>
  <c r="AM68" i="27"/>
  <c r="AK68" i="27"/>
  <c r="AI68" i="27"/>
  <c r="AE68" i="27"/>
  <c r="AC68" i="27"/>
  <c r="AA68" i="27"/>
  <c r="Y68" i="27"/>
  <c r="W68" i="27"/>
  <c r="S68" i="27"/>
  <c r="Q68" i="27"/>
  <c r="O68" i="27"/>
  <c r="M68" i="27"/>
  <c r="K68" i="27"/>
  <c r="G68" i="27"/>
  <c r="E68" i="27"/>
  <c r="BC67" i="27"/>
  <c r="BA67" i="27"/>
  <c r="AY67" i="27"/>
  <c r="AW67" i="27"/>
  <c r="AU67" i="27"/>
  <c r="AQ67" i="27"/>
  <c r="AO67" i="27"/>
  <c r="AM67" i="27"/>
  <c r="AK67" i="27"/>
  <c r="AI67" i="27"/>
  <c r="AE67" i="27"/>
  <c r="AC67" i="27"/>
  <c r="AA67" i="27"/>
  <c r="Y67" i="27"/>
  <c r="W67" i="27"/>
  <c r="S67" i="27"/>
  <c r="Q67" i="27"/>
  <c r="O67" i="27"/>
  <c r="M67" i="27"/>
  <c r="K67" i="27"/>
  <c r="G67" i="27"/>
  <c r="E67" i="27"/>
  <c r="BC66" i="27"/>
  <c r="BA66" i="27"/>
  <c r="AY66" i="27"/>
  <c r="AW66" i="27"/>
  <c r="AU66" i="27"/>
  <c r="AQ66" i="27"/>
  <c r="AO66" i="27"/>
  <c r="AM66" i="27"/>
  <c r="AK66" i="27"/>
  <c r="AI66" i="27"/>
  <c r="AE66" i="27"/>
  <c r="AC66" i="27"/>
  <c r="AA66" i="27"/>
  <c r="Y66" i="27"/>
  <c r="W66" i="27"/>
  <c r="S66" i="27"/>
  <c r="Q66" i="27"/>
  <c r="O66" i="27"/>
  <c r="M66" i="27"/>
  <c r="K66" i="27"/>
  <c r="G66" i="27"/>
  <c r="E66" i="27"/>
  <c r="BC65" i="27"/>
  <c r="BA65" i="27"/>
  <c r="AY65" i="27"/>
  <c r="AW65" i="27"/>
  <c r="AV72" i="27" s="1"/>
  <c r="AU65" i="27"/>
  <c r="AT72" i="27" s="1"/>
  <c r="AQ65" i="27"/>
  <c r="AP72" i="27" s="1"/>
  <c r="AO65" i="27"/>
  <c r="AN72" i="27" s="1"/>
  <c r="AM65" i="27"/>
  <c r="AL72" i="27" s="1"/>
  <c r="AK65" i="27"/>
  <c r="AJ72" i="27" s="1"/>
  <c r="AI65" i="27"/>
  <c r="AH72" i="27" s="1"/>
  <c r="AE65" i="27"/>
  <c r="AD72" i="27" s="1"/>
  <c r="AC65" i="27"/>
  <c r="AB72" i="27" s="1"/>
  <c r="AA65" i="27"/>
  <c r="Z72" i="27" s="1"/>
  <c r="Y65" i="27"/>
  <c r="X72" i="27" s="1"/>
  <c r="W65" i="27"/>
  <c r="V72" i="27" s="1"/>
  <c r="S65" i="27"/>
  <c r="R72" i="27" s="1"/>
  <c r="Q65" i="27"/>
  <c r="P72" i="27" s="1"/>
  <c r="O65" i="27"/>
  <c r="M65" i="27"/>
  <c r="L72" i="27" s="1"/>
  <c r="K65" i="27"/>
  <c r="J72" i="27" s="1"/>
  <c r="G65" i="27"/>
  <c r="F72" i="27" s="1"/>
  <c r="E65" i="27"/>
  <c r="D72" i="27" s="1"/>
  <c r="BB62" i="27"/>
  <c r="AZ62" i="27"/>
  <c r="AX62" i="27"/>
  <c r="AV62" i="27"/>
  <c r="AT62" i="27"/>
  <c r="AP62" i="27"/>
  <c r="AN62" i="27"/>
  <c r="AL62" i="27"/>
  <c r="AJ62" i="27"/>
  <c r="AH62" i="27"/>
  <c r="AD62" i="27"/>
  <c r="AB62" i="27"/>
  <c r="Z62" i="27"/>
  <c r="X62" i="27"/>
  <c r="V62" i="27"/>
  <c r="R62" i="27"/>
  <c r="P62" i="27"/>
  <c r="L62" i="27"/>
  <c r="J62" i="27"/>
  <c r="F62" i="27"/>
  <c r="D62" i="27"/>
  <c r="C62" i="27"/>
  <c r="BB60" i="27"/>
  <c r="AZ60" i="27"/>
  <c r="AX60" i="27"/>
  <c r="C60" i="27"/>
  <c r="BC59" i="27"/>
  <c r="BB59" i="27"/>
  <c r="BA59" i="27"/>
  <c r="AZ59" i="27"/>
  <c r="AY59" i="27"/>
  <c r="AX59" i="27"/>
  <c r="AV59" i="27"/>
  <c r="AT59" i="27"/>
  <c r="AP59" i="27"/>
  <c r="AN59" i="27"/>
  <c r="AL59" i="27"/>
  <c r="AJ59" i="27"/>
  <c r="AH59" i="27"/>
  <c r="AD59" i="27"/>
  <c r="AB59" i="27"/>
  <c r="Z59" i="27"/>
  <c r="X59" i="27"/>
  <c r="V59" i="27"/>
  <c r="R59" i="27"/>
  <c r="P59" i="27"/>
  <c r="L59" i="27"/>
  <c r="J59" i="27"/>
  <c r="F59" i="27"/>
  <c r="D59" i="27"/>
  <c r="C59" i="27"/>
  <c r="BC57" i="27"/>
  <c r="BA57" i="27"/>
  <c r="AY57" i="27"/>
  <c r="AW57" i="27"/>
  <c r="AU57" i="27"/>
  <c r="AQ57" i="27"/>
  <c r="AO57" i="27"/>
  <c r="AM57" i="27"/>
  <c r="AK57" i="27"/>
  <c r="AI57" i="27"/>
  <c r="AE57" i="27"/>
  <c r="AC57" i="27"/>
  <c r="AA57" i="27"/>
  <c r="Y57" i="27"/>
  <c r="W57" i="27"/>
  <c r="S57" i="27"/>
  <c r="Q57" i="27"/>
  <c r="O57" i="27"/>
  <c r="M57" i="27"/>
  <c r="K57" i="27"/>
  <c r="G57" i="27"/>
  <c r="E57" i="27"/>
  <c r="BC56" i="27"/>
  <c r="BA56" i="27"/>
  <c r="AY56" i="27"/>
  <c r="AW56" i="27"/>
  <c r="AU56" i="27"/>
  <c r="AQ56" i="27"/>
  <c r="AO56" i="27"/>
  <c r="AM56" i="27"/>
  <c r="AK56" i="27"/>
  <c r="AI56" i="27"/>
  <c r="AE56" i="27"/>
  <c r="AC56" i="27"/>
  <c r="AA56" i="27"/>
  <c r="Y56" i="27"/>
  <c r="W56" i="27"/>
  <c r="S56" i="27"/>
  <c r="Q56" i="27"/>
  <c r="O56" i="27"/>
  <c r="M56" i="27"/>
  <c r="K56" i="27"/>
  <c r="G56" i="27"/>
  <c r="E56" i="27"/>
  <c r="BC55" i="27"/>
  <c r="BA55" i="27"/>
  <c r="AY55" i="27"/>
  <c r="AW55" i="27"/>
  <c r="AU55" i="27"/>
  <c r="AQ55" i="27"/>
  <c r="AO55" i="27"/>
  <c r="AM55" i="27"/>
  <c r="AK55" i="27"/>
  <c r="AI55" i="27"/>
  <c r="AE55" i="27"/>
  <c r="AC55" i="27"/>
  <c r="AA55" i="27"/>
  <c r="Y55" i="27"/>
  <c r="W55" i="27"/>
  <c r="S55" i="27"/>
  <c r="Q55" i="27"/>
  <c r="O55" i="27"/>
  <c r="M55" i="27"/>
  <c r="K55" i="27"/>
  <c r="G55" i="27"/>
  <c r="E55" i="27"/>
  <c r="BC54" i="27"/>
  <c r="BA54" i="27"/>
  <c r="AY54" i="27"/>
  <c r="AW54" i="27"/>
  <c r="AU54" i="27"/>
  <c r="AQ54" i="27"/>
  <c r="AO54" i="27"/>
  <c r="AM54" i="27"/>
  <c r="AK54" i="27"/>
  <c r="AI54" i="27"/>
  <c r="AE54" i="27"/>
  <c r="AC54" i="27"/>
  <c r="AA54" i="27"/>
  <c r="Y54" i="27"/>
  <c r="W54" i="27"/>
  <c r="S54" i="27"/>
  <c r="Q54" i="27"/>
  <c r="O54" i="27"/>
  <c r="M54" i="27"/>
  <c r="K54" i="27"/>
  <c r="G54" i="27"/>
  <c r="E54" i="27"/>
  <c r="BC53" i="27"/>
  <c r="BA53" i="27"/>
  <c r="AY53" i="27"/>
  <c r="AW53" i="27"/>
  <c r="AU53" i="27"/>
  <c r="AQ53" i="27"/>
  <c r="AO53" i="27"/>
  <c r="AM53" i="27"/>
  <c r="AK53" i="27"/>
  <c r="AI53" i="27"/>
  <c r="AE53" i="27"/>
  <c r="AC53" i="27"/>
  <c r="AA53" i="27"/>
  <c r="Y53" i="27"/>
  <c r="W53" i="27"/>
  <c r="S53" i="27"/>
  <c r="Q53" i="27"/>
  <c r="O53" i="27"/>
  <c r="M53" i="27"/>
  <c r="K53" i="27"/>
  <c r="G53" i="27"/>
  <c r="E53" i="27"/>
  <c r="BC52" i="27"/>
  <c r="BA52" i="27"/>
  <c r="AY52" i="27"/>
  <c r="AW52" i="27"/>
  <c r="AU52" i="27"/>
  <c r="AQ52" i="27"/>
  <c r="AO52" i="27"/>
  <c r="AM52" i="27"/>
  <c r="AK52" i="27"/>
  <c r="AI52" i="27"/>
  <c r="AE52" i="27"/>
  <c r="AC52" i="27"/>
  <c r="AA52" i="27"/>
  <c r="Y52" i="27"/>
  <c r="W52" i="27"/>
  <c r="S52" i="27"/>
  <c r="Q52" i="27"/>
  <c r="O52" i="27"/>
  <c r="M52" i="27"/>
  <c r="K52" i="27"/>
  <c r="G52" i="27"/>
  <c r="E52" i="27"/>
  <c r="BC51" i="27"/>
  <c r="BA51" i="27"/>
  <c r="AY51" i="27"/>
  <c r="AW51" i="27"/>
  <c r="AU51" i="27"/>
  <c r="AQ51" i="27"/>
  <c r="AO51" i="27"/>
  <c r="AM51" i="27"/>
  <c r="AK51" i="27"/>
  <c r="AI51" i="27"/>
  <c r="AE51" i="27"/>
  <c r="AC51" i="27"/>
  <c r="AA51" i="27"/>
  <c r="Y51" i="27"/>
  <c r="W51" i="27"/>
  <c r="S51" i="27"/>
  <c r="Q51" i="27"/>
  <c r="O51" i="27"/>
  <c r="M51" i="27"/>
  <c r="K51" i="27"/>
  <c r="G51" i="27"/>
  <c r="E51" i="27"/>
  <c r="BC50" i="27"/>
  <c r="BA50" i="27"/>
  <c r="AY50" i="27"/>
  <c r="AW50" i="27"/>
  <c r="AU50" i="27"/>
  <c r="AQ50" i="27"/>
  <c r="AO50" i="27"/>
  <c r="AM50" i="27"/>
  <c r="AK50" i="27"/>
  <c r="AI50" i="27"/>
  <c r="AE50" i="27"/>
  <c r="AC50" i="27"/>
  <c r="AA50" i="27"/>
  <c r="Y50" i="27"/>
  <c r="W50" i="27"/>
  <c r="S50" i="27"/>
  <c r="Q50" i="27"/>
  <c r="O50" i="27"/>
  <c r="M50" i="27"/>
  <c r="K50" i="27"/>
  <c r="G50" i="27"/>
  <c r="E50" i="27"/>
  <c r="BC49" i="27"/>
  <c r="BA49" i="27"/>
  <c r="AY49" i="27"/>
  <c r="AW49" i="27"/>
  <c r="AU49" i="27"/>
  <c r="AQ49" i="27"/>
  <c r="AO49" i="27"/>
  <c r="AM49" i="27"/>
  <c r="AK49" i="27"/>
  <c r="AI49" i="27"/>
  <c r="AE49" i="27"/>
  <c r="AC49" i="27"/>
  <c r="AA49" i="27"/>
  <c r="Y49" i="27"/>
  <c r="W49" i="27"/>
  <c r="S49" i="27"/>
  <c r="Q49" i="27"/>
  <c r="O49" i="27"/>
  <c r="M49" i="27"/>
  <c r="K49" i="27"/>
  <c r="G49" i="27"/>
  <c r="E49" i="27"/>
  <c r="BC48" i="27"/>
  <c r="BA48" i="27"/>
  <c r="AY48" i="27"/>
  <c r="AW48" i="27"/>
  <c r="AU48" i="27"/>
  <c r="AQ48" i="27"/>
  <c r="AO48" i="27"/>
  <c r="AM48" i="27"/>
  <c r="AK48" i="27"/>
  <c r="AI48" i="27"/>
  <c r="AE48" i="27"/>
  <c r="AC48" i="27"/>
  <c r="AA48" i="27"/>
  <c r="Y48" i="27"/>
  <c r="W48" i="27"/>
  <c r="S48" i="27"/>
  <c r="Q48" i="27"/>
  <c r="O48" i="27"/>
  <c r="M48" i="27"/>
  <c r="K48" i="27"/>
  <c r="G48" i="27"/>
  <c r="E48" i="27"/>
  <c r="BC47" i="27"/>
  <c r="BA47" i="27"/>
  <c r="AY47" i="27"/>
  <c r="AW47" i="27"/>
  <c r="AU47" i="27"/>
  <c r="AQ47" i="27"/>
  <c r="AO47" i="27"/>
  <c r="AM47" i="27"/>
  <c r="AK47" i="27"/>
  <c r="AI47" i="27"/>
  <c r="AE47" i="27"/>
  <c r="AC47" i="27"/>
  <c r="AA47" i="27"/>
  <c r="Y47" i="27"/>
  <c r="W47" i="27"/>
  <c r="S47" i="27"/>
  <c r="Q47" i="27"/>
  <c r="O47" i="27"/>
  <c r="M47" i="27"/>
  <c r="K47" i="27"/>
  <c r="G47" i="27"/>
  <c r="E47" i="27"/>
  <c r="BC46" i="27"/>
  <c r="BA46" i="27"/>
  <c r="AY46" i="27"/>
  <c r="AW46" i="27"/>
  <c r="AU46" i="27"/>
  <c r="AQ46" i="27"/>
  <c r="AO46" i="27"/>
  <c r="AM46" i="27"/>
  <c r="AK46" i="27"/>
  <c r="AI46" i="27"/>
  <c r="AE46" i="27"/>
  <c r="AC46" i="27"/>
  <c r="AA46" i="27"/>
  <c r="Y46" i="27"/>
  <c r="W46" i="27"/>
  <c r="S46" i="27"/>
  <c r="Q46" i="27"/>
  <c r="O46" i="27"/>
  <c r="M46" i="27"/>
  <c r="K46" i="27"/>
  <c r="G46" i="27"/>
  <c r="E46" i="27"/>
  <c r="BC45" i="27"/>
  <c r="BA45" i="27"/>
  <c r="AY45" i="27"/>
  <c r="AW45" i="27"/>
  <c r="AU45" i="27"/>
  <c r="AQ45" i="27"/>
  <c r="AO45" i="27"/>
  <c r="AM45" i="27"/>
  <c r="AK45" i="27"/>
  <c r="AI45" i="27"/>
  <c r="AE45" i="27"/>
  <c r="AC45" i="27"/>
  <c r="AA45" i="27"/>
  <c r="Y45" i="27"/>
  <c r="W45" i="27"/>
  <c r="S45" i="27"/>
  <c r="Q45" i="27"/>
  <c r="O45" i="27"/>
  <c r="M45" i="27"/>
  <c r="K45" i="27"/>
  <c r="G45" i="27"/>
  <c r="E45" i="27"/>
  <c r="BC44" i="27"/>
  <c r="BA44" i="27"/>
  <c r="AY44" i="27"/>
  <c r="AW44" i="27"/>
  <c r="AU44" i="27"/>
  <c r="AQ44" i="27"/>
  <c r="AO44" i="27"/>
  <c r="AM44" i="27"/>
  <c r="AK44" i="27"/>
  <c r="AI44" i="27"/>
  <c r="AE44" i="27"/>
  <c r="AC44" i="27"/>
  <c r="AA44" i="27"/>
  <c r="Y44" i="27"/>
  <c r="W44" i="27"/>
  <c r="S44" i="27"/>
  <c r="Q44" i="27"/>
  <c r="O44" i="27"/>
  <c r="M44" i="27"/>
  <c r="K44" i="27"/>
  <c r="G44" i="27"/>
  <c r="E44" i="27"/>
  <c r="BC43" i="27"/>
  <c r="BA43" i="27"/>
  <c r="AY43" i="27"/>
  <c r="AW43" i="27"/>
  <c r="AU43" i="27"/>
  <c r="AQ43" i="27"/>
  <c r="AO43" i="27"/>
  <c r="AM43" i="27"/>
  <c r="AK43" i="27"/>
  <c r="AI43" i="27"/>
  <c r="AE43" i="27"/>
  <c r="AC43" i="27"/>
  <c r="AA43" i="27"/>
  <c r="Y43" i="27"/>
  <c r="W43" i="27"/>
  <c r="S43" i="27"/>
  <c r="Q43" i="27"/>
  <c r="O43" i="27"/>
  <c r="M43" i="27"/>
  <c r="K43" i="27"/>
  <c r="G43" i="27"/>
  <c r="E43" i="27"/>
  <c r="BC42" i="27"/>
  <c r="BA42" i="27"/>
  <c r="AY42" i="27"/>
  <c r="AW42" i="27"/>
  <c r="AU42" i="27"/>
  <c r="AQ42" i="27"/>
  <c r="AO42" i="27"/>
  <c r="AM42" i="27"/>
  <c r="AK42" i="27"/>
  <c r="AI42" i="27"/>
  <c r="AE42" i="27"/>
  <c r="AC42" i="27"/>
  <c r="AA42" i="27"/>
  <c r="Y42" i="27"/>
  <c r="W42" i="27"/>
  <c r="S42" i="27"/>
  <c r="Q42" i="27"/>
  <c r="O42" i="27"/>
  <c r="M42" i="27"/>
  <c r="K42" i="27"/>
  <c r="G42" i="27"/>
  <c r="E42" i="27"/>
  <c r="BC41" i="27"/>
  <c r="BA41" i="27"/>
  <c r="AY41" i="27"/>
  <c r="AW41" i="27"/>
  <c r="AU41" i="27"/>
  <c r="AQ41" i="27"/>
  <c r="AO41" i="27"/>
  <c r="AM41" i="27"/>
  <c r="AK41" i="27"/>
  <c r="AI41" i="27"/>
  <c r="AE41" i="27"/>
  <c r="AC41" i="27"/>
  <c r="AA41" i="27"/>
  <c r="Y41" i="27"/>
  <c r="W41" i="27"/>
  <c r="S41" i="27"/>
  <c r="Q41" i="27"/>
  <c r="O41" i="27"/>
  <c r="M41" i="27"/>
  <c r="K41" i="27"/>
  <c r="G41" i="27"/>
  <c r="E41" i="27"/>
  <c r="BC40" i="27"/>
  <c r="BA40" i="27"/>
  <c r="AY40" i="27"/>
  <c r="AW40" i="27"/>
  <c r="AU40" i="27"/>
  <c r="AQ40" i="27"/>
  <c r="AO40" i="27"/>
  <c r="AM40" i="27"/>
  <c r="AK40" i="27"/>
  <c r="AI40" i="27"/>
  <c r="AE40" i="27"/>
  <c r="AC40" i="27"/>
  <c r="AA40" i="27"/>
  <c r="Y40" i="27"/>
  <c r="W40" i="27"/>
  <c r="S40" i="27"/>
  <c r="Q40" i="27"/>
  <c r="O40" i="27"/>
  <c r="M40" i="27"/>
  <c r="K40" i="27"/>
  <c r="G40" i="27"/>
  <c r="E40" i="27"/>
  <c r="BC39" i="27"/>
  <c r="BA39" i="27"/>
  <c r="AY39" i="27"/>
  <c r="AW39" i="27"/>
  <c r="AU39" i="27"/>
  <c r="AQ39" i="27"/>
  <c r="AO39" i="27"/>
  <c r="AM39" i="27"/>
  <c r="AK39" i="27"/>
  <c r="AI39" i="27"/>
  <c r="AE39" i="27"/>
  <c r="AC39" i="27"/>
  <c r="AA39" i="27"/>
  <c r="Y39" i="27"/>
  <c r="W39" i="27"/>
  <c r="S39" i="27"/>
  <c r="Q39" i="27"/>
  <c r="O39" i="27"/>
  <c r="M39" i="27"/>
  <c r="K39" i="27"/>
  <c r="G39" i="27"/>
  <c r="E39" i="27"/>
  <c r="BC38" i="27"/>
  <c r="BA38" i="27"/>
  <c r="AY38" i="27"/>
  <c r="AW38" i="27"/>
  <c r="AU38" i="27"/>
  <c r="AQ38" i="27"/>
  <c r="AO38" i="27"/>
  <c r="AM38" i="27"/>
  <c r="AK38" i="27"/>
  <c r="AI38" i="27"/>
  <c r="AE38" i="27"/>
  <c r="AC38" i="27"/>
  <c r="AA38" i="27"/>
  <c r="Y38" i="27"/>
  <c r="W38" i="27"/>
  <c r="S38" i="27"/>
  <c r="Q38" i="27"/>
  <c r="O38" i="27"/>
  <c r="M38" i="27"/>
  <c r="K38" i="27"/>
  <c r="G38" i="27"/>
  <c r="E38" i="27"/>
  <c r="BC37" i="27"/>
  <c r="BA37" i="27"/>
  <c r="AY37" i="27"/>
  <c r="AW37" i="27"/>
  <c r="AU37" i="27"/>
  <c r="AQ37" i="27"/>
  <c r="AO37" i="27"/>
  <c r="AM37" i="27"/>
  <c r="AK37" i="27"/>
  <c r="AI37" i="27"/>
  <c r="AE37" i="27"/>
  <c r="AC37" i="27"/>
  <c r="AA37" i="27"/>
  <c r="Y37" i="27"/>
  <c r="W37" i="27"/>
  <c r="S37" i="27"/>
  <c r="Q37" i="27"/>
  <c r="O37" i="27"/>
  <c r="M37" i="27"/>
  <c r="K37" i="27"/>
  <c r="G37" i="27"/>
  <c r="E37" i="27"/>
  <c r="BC36" i="27"/>
  <c r="BA36" i="27"/>
  <c r="AY36" i="27"/>
  <c r="AW36" i="27"/>
  <c r="AU36" i="27"/>
  <c r="AQ36" i="27"/>
  <c r="AO36" i="27"/>
  <c r="AM36" i="27"/>
  <c r="AK36" i="27"/>
  <c r="AI36" i="27"/>
  <c r="AE36" i="27"/>
  <c r="AC36" i="27"/>
  <c r="AA36" i="27"/>
  <c r="Y36" i="27"/>
  <c r="W36" i="27"/>
  <c r="S36" i="27"/>
  <c r="Q36" i="27"/>
  <c r="O36" i="27"/>
  <c r="M36" i="27"/>
  <c r="K36" i="27"/>
  <c r="G36" i="27"/>
  <c r="E36" i="27"/>
  <c r="BC35" i="27"/>
  <c r="BA35" i="27"/>
  <c r="AY35" i="27"/>
  <c r="AW35" i="27"/>
  <c r="AU35" i="27"/>
  <c r="AQ35" i="27"/>
  <c r="AO35" i="27"/>
  <c r="AM35" i="27"/>
  <c r="AK35" i="27"/>
  <c r="AI35" i="27"/>
  <c r="AE35" i="27"/>
  <c r="AC35" i="27"/>
  <c r="AA35" i="27"/>
  <c r="Y35" i="27"/>
  <c r="W35" i="27"/>
  <c r="S35" i="27"/>
  <c r="Q35" i="27"/>
  <c r="O35" i="27"/>
  <c r="M35" i="27"/>
  <c r="K35" i="27"/>
  <c r="G35" i="27"/>
  <c r="E35" i="27"/>
  <c r="BC34" i="27"/>
  <c r="AU34" i="27"/>
  <c r="AW34" i="27" s="1"/>
  <c r="AY34" i="27" s="1"/>
  <c r="BA34" i="27" s="1"/>
  <c r="AQ34" i="27"/>
  <c r="AP60" i="27" s="1"/>
  <c r="AO34" i="27"/>
  <c r="AI34" i="27"/>
  <c r="AK34" i="27" s="1"/>
  <c r="AM34" i="27" s="1"/>
  <c r="AL60" i="27" s="1"/>
  <c r="Y34" i="27"/>
  <c r="AA34" i="27" s="1"/>
  <c r="AC34" i="27" s="1"/>
  <c r="AE34" i="27" s="1"/>
  <c r="W34" i="27"/>
  <c r="K34" i="27"/>
  <c r="M34" i="27" s="1"/>
  <c r="O34" i="27" s="1"/>
  <c r="G34" i="27"/>
  <c r="E34" i="27"/>
  <c r="AE31" i="27"/>
  <c r="U31" i="27"/>
  <c r="I31" i="27"/>
  <c r="BB31" i="27"/>
  <c r="AZ31" i="27"/>
  <c r="AX31" i="27"/>
  <c r="AV31" i="27"/>
  <c r="AT31" i="27"/>
  <c r="AP31" i="27"/>
  <c r="AN31" i="27"/>
  <c r="AL31" i="27"/>
  <c r="AJ31" i="27"/>
  <c r="AH31" i="27"/>
  <c r="AD31" i="27"/>
  <c r="AB31" i="27"/>
  <c r="Z31" i="27"/>
  <c r="X31" i="27"/>
  <c r="V31" i="27"/>
  <c r="R31" i="27"/>
  <c r="P31" i="27"/>
  <c r="N31" i="27"/>
  <c r="L31" i="27"/>
  <c r="J31" i="27"/>
  <c r="F31" i="27"/>
  <c r="D31" i="27"/>
  <c r="AI30" i="5"/>
  <c r="AK30" i="5"/>
  <c r="AM30" i="5"/>
  <c r="AQ30" i="5"/>
  <c r="AS30" i="5"/>
  <c r="AU30" i="5"/>
  <c r="AX30" i="5"/>
  <c r="AG30" i="5"/>
  <c r="X12" i="23"/>
  <c r="Y12" i="23" s="1"/>
  <c r="V12" i="23"/>
  <c r="U12" i="23"/>
  <c r="T12" i="23"/>
  <c r="S12" i="23"/>
  <c r="R12" i="23"/>
  <c r="Q12" i="23"/>
  <c r="L12" i="23"/>
  <c r="AB60" i="27" l="1"/>
  <c r="AD60" i="27"/>
  <c r="AN60" i="27"/>
  <c r="AV60" i="27"/>
  <c r="AW59" i="27"/>
  <c r="AV93" i="27"/>
  <c r="AV91" i="27"/>
  <c r="AV75" i="27"/>
  <c r="AT93" i="27"/>
  <c r="AU59" i="27"/>
  <c r="AT60" i="27"/>
  <c r="AT75" i="27"/>
  <c r="AT91" i="27"/>
  <c r="AQ59" i="27"/>
  <c r="AP93" i="27"/>
  <c r="AP91" i="27"/>
  <c r="AP75" i="27"/>
  <c r="AN93" i="27"/>
  <c r="AO59" i="27"/>
  <c r="AN75" i="27"/>
  <c r="AN91" i="27"/>
  <c r="AM59" i="27"/>
  <c r="AL93" i="27"/>
  <c r="AL91" i="27"/>
  <c r="AL75" i="27"/>
  <c r="AJ60" i="27"/>
  <c r="AJ93" i="27"/>
  <c r="AK59" i="27"/>
  <c r="AJ75" i="27"/>
  <c r="AJ91" i="27"/>
  <c r="AI59" i="27"/>
  <c r="AH60" i="27"/>
  <c r="AH93" i="27"/>
  <c r="AH91" i="27"/>
  <c r="AH75" i="27"/>
  <c r="AD93" i="27"/>
  <c r="AE59" i="27"/>
  <c r="AD75" i="27"/>
  <c r="AD91" i="27"/>
  <c r="AC59" i="27"/>
  <c r="AB93" i="27"/>
  <c r="AB91" i="27"/>
  <c r="AB75" i="27"/>
  <c r="Z60" i="27"/>
  <c r="Z93" i="27"/>
  <c r="AA59" i="27"/>
  <c r="Z75" i="27"/>
  <c r="Z91" i="27"/>
  <c r="X60" i="27"/>
  <c r="Y59" i="27"/>
  <c r="X93" i="27"/>
  <c r="X91" i="27"/>
  <c r="X75" i="27"/>
  <c r="AW60" i="28"/>
  <c r="AX59" i="28"/>
  <c r="AW91" i="28"/>
  <c r="AW75" i="28"/>
  <c r="AW93" i="28"/>
  <c r="AV59" i="28"/>
  <c r="AU60" i="28"/>
  <c r="AU93" i="28"/>
  <c r="AU75" i="28"/>
  <c r="AU91" i="28"/>
  <c r="AS60" i="28"/>
  <c r="AT59" i="28"/>
  <c r="AS91" i="28"/>
  <c r="AS75" i="28"/>
  <c r="AS93" i="28"/>
  <c r="AQ60" i="28"/>
  <c r="AQ93" i="28"/>
  <c r="AQ75" i="28"/>
  <c r="AQ91" i="28"/>
  <c r="AP59" i="28"/>
  <c r="AO91" i="28"/>
  <c r="AO75" i="28"/>
  <c r="AO93" i="28"/>
  <c r="AL59" i="28"/>
  <c r="AK60" i="28"/>
  <c r="AK93" i="28"/>
  <c r="AK75" i="28"/>
  <c r="AK91" i="28"/>
  <c r="AJ59" i="28"/>
  <c r="AI91" i="28"/>
  <c r="AI75" i="28"/>
  <c r="AI93" i="28"/>
  <c r="AH59" i="28"/>
  <c r="AG60" i="28"/>
  <c r="AG93" i="28"/>
  <c r="AG75" i="28"/>
  <c r="AG91" i="28"/>
  <c r="AE60" i="28"/>
  <c r="AF59" i="28"/>
  <c r="AE91" i="28"/>
  <c r="AE75" i="28"/>
  <c r="AE93" i="28"/>
  <c r="AD59" i="28"/>
  <c r="AC60" i="28"/>
  <c r="AC93" i="28"/>
  <c r="AC75" i="28"/>
  <c r="AC91" i="28"/>
  <c r="Y60" i="28"/>
  <c r="Z59" i="28"/>
  <c r="Y91" i="28"/>
  <c r="Y75" i="28"/>
  <c r="Y93" i="28"/>
  <c r="W60" i="28"/>
  <c r="W93" i="28"/>
  <c r="W75" i="28"/>
  <c r="W91" i="28"/>
  <c r="U60" i="28"/>
  <c r="V59" i="28"/>
  <c r="U91" i="28"/>
  <c r="U75" i="28"/>
  <c r="U93" i="28"/>
  <c r="T59" i="28"/>
  <c r="S60" i="28"/>
  <c r="S93" i="28"/>
  <c r="S75" i="28"/>
  <c r="S91" i="28"/>
  <c r="Q34" i="27"/>
  <c r="S34" i="27" s="1"/>
  <c r="N60" i="27"/>
  <c r="F60" i="27"/>
  <c r="O59" i="27"/>
  <c r="Q60" i="28"/>
  <c r="R59" i="28"/>
  <c r="Q91" i="28"/>
  <c r="Q75" i="28"/>
  <c r="Q93" i="28"/>
  <c r="N59" i="28"/>
  <c r="M60" i="28"/>
  <c r="M93" i="28"/>
  <c r="M75" i="28"/>
  <c r="M91" i="28"/>
  <c r="K60" i="28"/>
  <c r="L59" i="28"/>
  <c r="K91" i="28"/>
  <c r="K75" i="28"/>
  <c r="K93" i="28"/>
  <c r="I60" i="28"/>
  <c r="I93" i="28"/>
  <c r="AZ72" i="28"/>
  <c r="S10" i="23" s="1"/>
  <c r="I75" i="28"/>
  <c r="I91" i="28"/>
  <c r="V60" i="27"/>
  <c r="W59" i="27"/>
  <c r="V75" i="27"/>
  <c r="V93" i="27"/>
  <c r="V91" i="27"/>
  <c r="AX59" i="30"/>
  <c r="AW60" i="30"/>
  <c r="AW93" i="30"/>
  <c r="AW91" i="30"/>
  <c r="AW75" i="30"/>
  <c r="AU60" i="30"/>
  <c r="AV59" i="30"/>
  <c r="AU93" i="30"/>
  <c r="AU75" i="30"/>
  <c r="AU91" i="30"/>
  <c r="AS60" i="30"/>
  <c r="AS93" i="30"/>
  <c r="AS91" i="30"/>
  <c r="AS75" i="30"/>
  <c r="AQ60" i="30"/>
  <c r="AR59" i="30"/>
  <c r="AQ93" i="30"/>
  <c r="AQ75" i="30"/>
  <c r="AQ91" i="30"/>
  <c r="AP59" i="30"/>
  <c r="AO60" i="30"/>
  <c r="AO93" i="30"/>
  <c r="AO91" i="30"/>
  <c r="AO75" i="30"/>
  <c r="N12" i="23"/>
  <c r="O12" i="23" s="1"/>
  <c r="AK60" i="30"/>
  <c r="AL59" i="30"/>
  <c r="AK93" i="30"/>
  <c r="AK75" i="30"/>
  <c r="AK91" i="30"/>
  <c r="AI60" i="30"/>
  <c r="AI93" i="30"/>
  <c r="AJ59" i="30"/>
  <c r="AI91" i="30"/>
  <c r="AI75" i="30"/>
  <c r="AG60" i="30"/>
  <c r="AH59" i="30"/>
  <c r="AG93" i="30"/>
  <c r="AG75" i="30"/>
  <c r="AG91" i="30"/>
  <c r="AE60" i="30"/>
  <c r="AE93" i="30"/>
  <c r="AE91" i="30"/>
  <c r="AE75" i="30"/>
  <c r="AD59" i="30"/>
  <c r="AC93" i="30"/>
  <c r="AC75" i="30"/>
  <c r="AC91" i="30"/>
  <c r="Y60" i="30"/>
  <c r="Y93" i="30"/>
  <c r="Z59" i="30"/>
  <c r="Y91" i="30"/>
  <c r="Y75" i="30"/>
  <c r="W60" i="30"/>
  <c r="X59" i="30"/>
  <c r="W93" i="30"/>
  <c r="W75" i="30"/>
  <c r="W91" i="30"/>
  <c r="S59" i="27"/>
  <c r="R60" i="27"/>
  <c r="R91" i="27"/>
  <c r="R75" i="27"/>
  <c r="R93" i="27"/>
  <c r="R59" i="30"/>
  <c r="Q60" i="30"/>
  <c r="Q93" i="30"/>
  <c r="S60" i="30"/>
  <c r="S93" i="30"/>
  <c r="V59" i="30"/>
  <c r="U60" i="30"/>
  <c r="U93" i="30"/>
  <c r="U91" i="30"/>
  <c r="U75" i="30"/>
  <c r="S75" i="30"/>
  <c r="S91" i="30"/>
  <c r="Q91" i="30"/>
  <c r="Q75" i="30"/>
  <c r="M60" i="30"/>
  <c r="N59" i="30"/>
  <c r="M93" i="30"/>
  <c r="L59" i="30"/>
  <c r="K60" i="30"/>
  <c r="K93" i="30"/>
  <c r="M75" i="30"/>
  <c r="M91" i="30"/>
  <c r="K91" i="30"/>
  <c r="K75" i="30"/>
  <c r="I60" i="30"/>
  <c r="I93" i="30"/>
  <c r="J59" i="30"/>
  <c r="I72" i="30"/>
  <c r="BD72" i="30" s="1"/>
  <c r="S11" i="23" s="1"/>
  <c r="I75" i="30"/>
  <c r="I91" i="30"/>
  <c r="BD89" i="30"/>
  <c r="U11" i="23" s="1"/>
  <c r="H59" i="30"/>
  <c r="G93" i="30"/>
  <c r="G91" i="30"/>
  <c r="G75" i="30"/>
  <c r="BC89" i="30"/>
  <c r="BD59" i="30"/>
  <c r="L11" i="23" s="1"/>
  <c r="BD62" i="30"/>
  <c r="R11" i="23" s="1"/>
  <c r="AY59" i="28"/>
  <c r="G60" i="28"/>
  <c r="AZ60" i="28" s="1"/>
  <c r="Q10" i="23" s="1"/>
  <c r="AZ62" i="28"/>
  <c r="R10" i="23" s="1"/>
  <c r="G93" i="28"/>
  <c r="G91" i="28"/>
  <c r="G75" i="28"/>
  <c r="BC59" i="30"/>
  <c r="P60" i="27"/>
  <c r="P75" i="27"/>
  <c r="P93" i="27"/>
  <c r="Q59" i="27"/>
  <c r="P91" i="27"/>
  <c r="N75" i="27"/>
  <c r="L60" i="27"/>
  <c r="M59" i="27"/>
  <c r="L93" i="27"/>
  <c r="L91" i="27"/>
  <c r="L75" i="27"/>
  <c r="J60" i="27"/>
  <c r="J91" i="27"/>
  <c r="K59" i="27"/>
  <c r="J93" i="27"/>
  <c r="J75" i="27"/>
  <c r="BD59" i="27"/>
  <c r="M9" i="23" s="1"/>
  <c r="G59" i="27"/>
  <c r="F93" i="27"/>
  <c r="BE62" i="27"/>
  <c r="R9" i="23" s="1"/>
  <c r="F75" i="27"/>
  <c r="F91" i="27"/>
  <c r="BD30" i="30"/>
  <c r="C11" i="23" s="1"/>
  <c r="AZ30" i="28"/>
  <c r="C10" i="23" s="1"/>
  <c r="BE31" i="27"/>
  <c r="D9" i="23" s="1"/>
  <c r="D60" i="27"/>
  <c r="E59" i="27"/>
  <c r="D91" i="27"/>
  <c r="BE30" i="27"/>
  <c r="C9" i="23" s="1"/>
  <c r="E9" i="23" s="1"/>
  <c r="D93" i="27"/>
  <c r="BE72" i="27"/>
  <c r="S9" i="23" s="1"/>
  <c r="D75" i="27"/>
  <c r="BD89" i="27"/>
  <c r="BE59" i="27"/>
  <c r="L9" i="23" s="1"/>
  <c r="E75" i="30"/>
  <c r="E93" i="30"/>
  <c r="E75" i="28"/>
  <c r="E93" i="28"/>
  <c r="C31" i="30"/>
  <c r="BD31" i="30" s="1"/>
  <c r="D11" i="23" s="1"/>
  <c r="F59" i="30"/>
  <c r="E91" i="30"/>
  <c r="C31" i="28"/>
  <c r="AZ31" i="28" s="1"/>
  <c r="D10" i="23" s="1"/>
  <c r="F59" i="28"/>
  <c r="AZ59" i="28"/>
  <c r="L10" i="23" s="1"/>
  <c r="AZ89" i="28"/>
  <c r="U10" i="23" s="1"/>
  <c r="AY89" i="28"/>
  <c r="E91" i="28"/>
  <c r="BE89" i="27"/>
  <c r="U9" i="23" s="1"/>
  <c r="AE84" i="5"/>
  <c r="AE80" i="5"/>
  <c r="AE79" i="5"/>
  <c r="AE56" i="5"/>
  <c r="AE49" i="5"/>
  <c r="AE43" i="5"/>
  <c r="AE42" i="5"/>
  <c r="AE47" i="5"/>
  <c r="AE54" i="5"/>
  <c r="AE55" i="5"/>
  <c r="AE45" i="5"/>
  <c r="AE41" i="5"/>
  <c r="AE50" i="5"/>
  <c r="AE48" i="5"/>
  <c r="AE70" i="5"/>
  <c r="AE57" i="5"/>
  <c r="AE44" i="5"/>
  <c r="AE39" i="5"/>
  <c r="AE35" i="5"/>
  <c r="AE36" i="5"/>
  <c r="AE34" i="5"/>
  <c r="AE65" i="5"/>
  <c r="AC9" i="23" l="1"/>
  <c r="AZ93" i="28"/>
  <c r="V10" i="23" s="1"/>
  <c r="E10" i="23"/>
  <c r="E11" i="23"/>
  <c r="BD91" i="27"/>
  <c r="W9" i="23" s="1"/>
  <c r="BE93" i="27"/>
  <c r="V9" i="23" s="1"/>
  <c r="N11" i="23"/>
  <c r="O11" i="23" s="1"/>
  <c r="N10" i="23"/>
  <c r="O10" i="23" s="1"/>
  <c r="N9" i="23"/>
  <c r="O9" i="23" s="1"/>
  <c r="BE60" i="27"/>
  <c r="Q9" i="23" s="1"/>
  <c r="BD75" i="30"/>
  <c r="T11" i="23" s="1"/>
  <c r="BD60" i="30"/>
  <c r="Q11" i="23" s="1"/>
  <c r="BD93" i="30"/>
  <c r="V11" i="23" s="1"/>
  <c r="BC91" i="30"/>
  <c r="BD91" i="30"/>
  <c r="X11" i="23" s="1"/>
  <c r="Y11" i="23" s="1"/>
  <c r="AZ75" i="28"/>
  <c r="T10" i="23" s="1"/>
  <c r="BE75" i="27"/>
  <c r="T9" i="23" s="1"/>
  <c r="BE91" i="27"/>
  <c r="X9" i="23" s="1"/>
  <c r="Y9" i="23" s="1"/>
  <c r="AY91" i="28"/>
  <c r="AZ91" i="28"/>
  <c r="X10" i="23" s="1"/>
  <c r="Y10" i="23" s="1"/>
  <c r="AA79" i="5"/>
  <c r="AA80" i="5"/>
  <c r="AA84" i="5"/>
  <c r="AA81" i="5"/>
  <c r="AA56" i="5"/>
  <c r="AA67" i="5"/>
  <c r="AA82" i="5"/>
  <c r="AA43" i="5"/>
  <c r="AA52" i="5"/>
  <c r="AA47" i="5"/>
  <c r="AA50" i="5"/>
  <c r="AA39" i="5"/>
  <c r="AA35" i="5"/>
  <c r="AA36" i="5"/>
  <c r="AA34" i="5"/>
  <c r="O21" i="23" l="1"/>
  <c r="N21" i="23"/>
  <c r="Y79" i="5"/>
  <c r="Y81" i="5"/>
  <c r="Y80" i="5"/>
  <c r="Y69" i="5"/>
  <c r="Y47" i="5"/>
  <c r="Y51" i="5"/>
  <c r="Y50" i="5"/>
  <c r="Y57" i="5"/>
  <c r="Y85" i="5"/>
  <c r="Y34" i="5"/>
  <c r="W79" i="5" l="1"/>
  <c r="W81" i="5"/>
  <c r="W82" i="5"/>
  <c r="W68" i="5"/>
  <c r="W67" i="5"/>
  <c r="W52" i="5"/>
  <c r="W47" i="5"/>
  <c r="W45" i="5"/>
  <c r="W55" i="5"/>
  <c r="W54" i="5"/>
  <c r="W51" i="5"/>
  <c r="W50" i="5"/>
  <c r="W43" i="5"/>
  <c r="W57" i="5"/>
  <c r="W44" i="5"/>
  <c r="W35" i="5"/>
  <c r="W39" i="5"/>
  <c r="W36" i="5"/>
  <c r="BD85" i="1" l="1"/>
  <c r="BC79" i="1"/>
  <c r="U79" i="5" l="1"/>
  <c r="U80" i="5"/>
  <c r="U55" i="5"/>
  <c r="S57" i="5" l="1"/>
  <c r="S43" i="5" l="1"/>
  <c r="S56" i="5"/>
  <c r="S55" i="5"/>
  <c r="BC66" i="1" l="1"/>
  <c r="L48" i="5" l="1"/>
  <c r="L81" i="5" l="1"/>
  <c r="L80" i="5"/>
  <c r="L79" i="5"/>
  <c r="L49" i="5"/>
  <c r="J48" i="5" l="1"/>
  <c r="J57" i="5"/>
  <c r="J68" i="5" l="1"/>
  <c r="J80" i="5"/>
  <c r="J79" i="5"/>
  <c r="BA80" i="5"/>
  <c r="BA81" i="5"/>
  <c r="BA82" i="5"/>
  <c r="BA83" i="5"/>
  <c r="BA84" i="5"/>
  <c r="BA85" i="5"/>
  <c r="BA86" i="5"/>
  <c r="BA87" i="5"/>
  <c r="BA79" i="5"/>
  <c r="J44" i="5"/>
  <c r="J36" i="5"/>
  <c r="H81" i="5" l="1"/>
  <c r="H67" i="5"/>
  <c r="H66" i="5"/>
  <c r="H80" i="5"/>
  <c r="H48" i="5"/>
  <c r="H50" i="5"/>
  <c r="H49" i="5"/>
  <c r="D1" i="4"/>
  <c r="D79" i="5" l="1"/>
  <c r="D80" i="5"/>
  <c r="D81" i="5"/>
  <c r="AZ44" i="1" l="1"/>
  <c r="BA44" i="1" s="1"/>
  <c r="BA45" i="1"/>
  <c r="BA46" i="1"/>
  <c r="AZ82" i="1" l="1"/>
  <c r="AZ81" i="1"/>
  <c r="AZ56" i="1"/>
  <c r="AZ79" i="1"/>
  <c r="BA42" i="1"/>
  <c r="BA34" i="1"/>
  <c r="B3" i="4" l="1"/>
  <c r="AX44" i="1"/>
  <c r="AX82" i="1" l="1"/>
  <c r="AX81" i="1"/>
  <c r="AX79" i="1"/>
  <c r="AX68" i="1"/>
  <c r="AX67" i="1"/>
  <c r="AX42" i="1"/>
  <c r="AX47" i="1"/>
  <c r="AX50" i="1"/>
  <c r="AX57" i="1"/>
  <c r="AV79" i="1" l="1"/>
  <c r="AV57" i="1"/>
  <c r="BB83" i="1" l="1"/>
  <c r="BB86" i="1"/>
  <c r="BB87" i="1"/>
  <c r="AU93" i="5" l="1"/>
  <c r="AX93" i="5"/>
  <c r="AU75" i="5"/>
  <c r="AX75" i="5"/>
  <c r="F72" i="5"/>
  <c r="AU72" i="5"/>
  <c r="AX72" i="5"/>
  <c r="H74" i="5"/>
  <c r="J74" i="5"/>
  <c r="L74" i="5"/>
  <c r="O74" i="5"/>
  <c r="S74" i="5"/>
  <c r="U74" i="5"/>
  <c r="W74" i="5"/>
  <c r="Y74" i="5"/>
  <c r="AA74" i="5"/>
  <c r="AE74" i="5"/>
  <c r="AG74" i="5"/>
  <c r="AI74" i="5"/>
  <c r="AK74" i="5"/>
  <c r="AM74" i="5"/>
  <c r="AQ74" i="5"/>
  <c r="AS74" i="5"/>
  <c r="AU74" i="5"/>
  <c r="AX74" i="5"/>
  <c r="D74" i="5"/>
  <c r="AY70" i="5"/>
  <c r="AV70" i="5"/>
  <c r="AT70" i="5"/>
  <c r="AR70" i="5"/>
  <c r="AN70" i="5"/>
  <c r="AL70" i="5"/>
  <c r="AJ70" i="5"/>
  <c r="AH70" i="5"/>
  <c r="AF70" i="5"/>
  <c r="AB70" i="5"/>
  <c r="Z70" i="5"/>
  <c r="X70" i="5"/>
  <c r="V70" i="5"/>
  <c r="T70" i="5"/>
  <c r="P70" i="5"/>
  <c r="M70" i="5"/>
  <c r="K70" i="5"/>
  <c r="I70" i="5"/>
  <c r="E70" i="5"/>
  <c r="AU60" i="5"/>
  <c r="AX60" i="5"/>
  <c r="H59" i="5"/>
  <c r="J59" i="5"/>
  <c r="L59" i="5"/>
  <c r="O59" i="5"/>
  <c r="S59" i="5"/>
  <c r="U59" i="5"/>
  <c r="W59" i="5"/>
  <c r="Y59" i="5"/>
  <c r="AA59" i="5"/>
  <c r="AE59" i="5"/>
  <c r="AG59" i="5"/>
  <c r="AI59" i="5"/>
  <c r="AK59" i="5"/>
  <c r="AM59" i="5"/>
  <c r="AQ59" i="5"/>
  <c r="AS59" i="5"/>
  <c r="AU59" i="5"/>
  <c r="AV59" i="5"/>
  <c r="AX59" i="5"/>
  <c r="AY59" i="5"/>
  <c r="D59" i="5"/>
  <c r="E57" i="5"/>
  <c r="I57" i="5"/>
  <c r="K57" i="5"/>
  <c r="M57" i="5"/>
  <c r="P57" i="5"/>
  <c r="T57" i="5"/>
  <c r="V57" i="5"/>
  <c r="X57" i="5"/>
  <c r="Z57" i="5"/>
  <c r="AB57" i="5"/>
  <c r="AF57" i="5"/>
  <c r="AH57" i="5"/>
  <c r="AJ57" i="5"/>
  <c r="AL57" i="5"/>
  <c r="AN57" i="5"/>
  <c r="AR57" i="5"/>
  <c r="AT57" i="5"/>
  <c r="AV57" i="5"/>
  <c r="AY57" i="5"/>
  <c r="B8" i="4"/>
  <c r="AS75" i="5" l="1"/>
  <c r="AQ75" i="5"/>
  <c r="AM75" i="5"/>
  <c r="AK75" i="5"/>
  <c r="AI75" i="5"/>
  <c r="AG75" i="5"/>
  <c r="AE75" i="5"/>
  <c r="AA75" i="5"/>
  <c r="Y75" i="5"/>
  <c r="W75" i="5"/>
  <c r="U75" i="5"/>
  <c r="S75" i="5"/>
  <c r="O75" i="5"/>
  <c r="L75" i="5"/>
  <c r="J75" i="5"/>
  <c r="H75" i="5"/>
  <c r="D75" i="5"/>
  <c r="C62" i="1"/>
  <c r="AR57" i="1"/>
  <c r="AR44" i="1"/>
  <c r="AP44" i="1"/>
  <c r="AN57" i="1"/>
  <c r="AN44" i="1"/>
  <c r="AL44" i="1"/>
  <c r="AE57" i="1"/>
  <c r="AC57" i="1"/>
  <c r="AA57" i="1"/>
  <c r="Y57" i="1"/>
  <c r="Q57" i="1"/>
  <c r="Q44" i="1"/>
  <c r="O57" i="1"/>
  <c r="M57" i="1"/>
  <c r="G57" i="1"/>
  <c r="E44" i="1"/>
  <c r="E57" i="1"/>
  <c r="C57" i="1"/>
  <c r="C44" i="1"/>
  <c r="BA69" i="1"/>
  <c r="AY69" i="1"/>
  <c r="AW69" i="1"/>
  <c r="AS69" i="1"/>
  <c r="AQ69" i="1"/>
  <c r="AO69" i="1"/>
  <c r="AM69" i="1"/>
  <c r="AH69" i="1"/>
  <c r="AF69" i="1"/>
  <c r="AD69" i="1"/>
  <c r="AB69" i="1"/>
  <c r="Z69" i="1"/>
  <c r="V69" i="1"/>
  <c r="T69" i="1"/>
  <c r="R69" i="1"/>
  <c r="P69" i="1"/>
  <c r="N69" i="1"/>
  <c r="J69" i="1"/>
  <c r="H69" i="1"/>
  <c r="F69" i="1"/>
  <c r="D69" i="1"/>
  <c r="BA56" i="1"/>
  <c r="AY56" i="1"/>
  <c r="AW56" i="1"/>
  <c r="AR56" i="1"/>
  <c r="AS56" i="1" s="1"/>
  <c r="AQ56" i="1"/>
  <c r="AN56" i="1"/>
  <c r="AO56" i="1" s="1"/>
  <c r="AL56" i="1"/>
  <c r="AM56" i="1" s="1"/>
  <c r="AH56" i="1"/>
  <c r="AF56" i="1"/>
  <c r="AD56" i="1"/>
  <c r="AB56" i="1"/>
  <c r="Z56" i="1"/>
  <c r="V56" i="1"/>
  <c r="T56" i="1"/>
  <c r="R56" i="1"/>
  <c r="P56" i="1"/>
  <c r="N56" i="1"/>
  <c r="J56" i="1"/>
  <c r="H56" i="1"/>
  <c r="F56" i="1"/>
  <c r="D56" i="1"/>
  <c r="BA55" i="1"/>
  <c r="AY55" i="1"/>
  <c r="AW55" i="1"/>
  <c r="AS55" i="1"/>
  <c r="AQ55" i="1"/>
  <c r="AO55" i="1"/>
  <c r="AL55" i="1"/>
  <c r="AM55" i="1" s="1"/>
  <c r="AH55" i="1"/>
  <c r="AF55" i="1"/>
  <c r="AD55" i="1"/>
  <c r="AB55" i="1"/>
  <c r="Z55" i="1"/>
  <c r="V55" i="1"/>
  <c r="T55" i="1"/>
  <c r="R55" i="1"/>
  <c r="P55" i="1"/>
  <c r="N55" i="1"/>
  <c r="J55" i="1"/>
  <c r="H55" i="1"/>
  <c r="F55" i="1"/>
  <c r="D55" i="1"/>
  <c r="B15" i="4"/>
  <c r="C59" i="1" l="1"/>
  <c r="AR84" i="1"/>
  <c r="BB84" i="1" s="1"/>
  <c r="AR81" i="1"/>
  <c r="AR82" i="1"/>
  <c r="AR67" i="1"/>
  <c r="AR48" i="1"/>
  <c r="AP79" i="1" l="1"/>
  <c r="AP81" i="1"/>
  <c r="AP47" i="1"/>
  <c r="T66" i="5" l="1"/>
  <c r="T67" i="5"/>
  <c r="T68" i="5"/>
  <c r="T69" i="5"/>
  <c r="M66" i="5"/>
  <c r="M67" i="5"/>
  <c r="M68" i="5"/>
  <c r="M69" i="5"/>
  <c r="K66" i="5"/>
  <c r="K67" i="5"/>
  <c r="K68" i="5"/>
  <c r="K69" i="5"/>
  <c r="I66" i="5"/>
  <c r="I67" i="5"/>
  <c r="I68" i="5"/>
  <c r="I69" i="5"/>
  <c r="AX89" i="5"/>
  <c r="H89" i="5"/>
  <c r="J89" i="5"/>
  <c r="J93" i="5" s="1"/>
  <c r="L89" i="5"/>
  <c r="L93" i="5" s="1"/>
  <c r="O89" i="5"/>
  <c r="O93" i="5" s="1"/>
  <c r="S89" i="5"/>
  <c r="S93" i="5" s="1"/>
  <c r="U89" i="5"/>
  <c r="U93" i="5" s="1"/>
  <c r="W89" i="5"/>
  <c r="W93" i="5" s="1"/>
  <c r="Y89" i="5"/>
  <c r="Y93" i="5" s="1"/>
  <c r="AA89" i="5"/>
  <c r="AA93" i="5" s="1"/>
  <c r="AE89" i="5"/>
  <c r="AE93" i="5" s="1"/>
  <c r="AG89" i="5"/>
  <c r="AG93" i="5" s="1"/>
  <c r="AI89" i="5"/>
  <c r="AI93" i="5" s="1"/>
  <c r="AK89" i="5"/>
  <c r="AK93" i="5" s="1"/>
  <c r="AM89" i="5"/>
  <c r="AM93" i="5" s="1"/>
  <c r="AQ89" i="5"/>
  <c r="AQ93" i="5" s="1"/>
  <c r="AS89" i="5"/>
  <c r="AS93" i="5" s="1"/>
  <c r="AU89" i="5"/>
  <c r="D89" i="5"/>
  <c r="D93" i="5" s="1"/>
  <c r="AN37" i="1"/>
  <c r="AN65" i="1"/>
  <c r="AN82" i="1"/>
  <c r="AN79" i="1"/>
  <c r="B19" i="4"/>
  <c r="B17" i="4"/>
  <c r="AS91" i="5" l="1"/>
  <c r="AQ91" i="5"/>
  <c r="AM91" i="5"/>
  <c r="AK91" i="5"/>
  <c r="AI91" i="5"/>
  <c r="AG91" i="5"/>
  <c r="AE91" i="5"/>
  <c r="AA91" i="5"/>
  <c r="Y91" i="5"/>
  <c r="W91" i="5"/>
  <c r="U91" i="5"/>
  <c r="S91" i="5"/>
  <c r="O91" i="5"/>
  <c r="BB93" i="5"/>
  <c r="V13" i="23" s="1"/>
  <c r="V21" i="23" s="1"/>
  <c r="L91" i="5"/>
  <c r="BB89" i="5"/>
  <c r="U13" i="23" s="1"/>
  <c r="U21" i="23" s="1"/>
  <c r="H93" i="5"/>
  <c r="BA89" i="5"/>
  <c r="AN89" i="1"/>
  <c r="AP89" i="1"/>
  <c r="AR89" i="1"/>
  <c r="AV89" i="1"/>
  <c r="AX89" i="1"/>
  <c r="AZ89" i="1"/>
  <c r="AT66" i="5" l="1"/>
  <c r="AT67" i="5"/>
  <c r="AT68" i="5"/>
  <c r="AT69" i="5"/>
  <c r="AR66" i="5"/>
  <c r="AR67" i="5"/>
  <c r="AR68" i="5"/>
  <c r="AR69" i="5"/>
  <c r="V66" i="5" l="1"/>
  <c r="V67" i="5"/>
  <c r="V68" i="5"/>
  <c r="V69" i="5"/>
  <c r="AX91" i="5" l="1"/>
  <c r="AL82" i="1" l="1"/>
  <c r="AL81" i="1"/>
  <c r="AL80" i="1"/>
  <c r="AL79" i="1"/>
  <c r="AL89" i="1" s="1"/>
  <c r="AL66" i="1"/>
  <c r="AL67" i="1"/>
  <c r="AL43" i="1"/>
  <c r="AL46" i="1"/>
  <c r="AL47" i="1"/>
  <c r="AG59" i="1"/>
  <c r="AL74" i="1" l="1"/>
  <c r="AG79" i="1" l="1"/>
  <c r="AG89" i="1" s="1"/>
  <c r="AG62" i="1"/>
  <c r="AG93" i="1" l="1"/>
  <c r="AG91" i="1"/>
  <c r="AE81" i="1" l="1"/>
  <c r="AE89" i="1" s="1"/>
  <c r="M85" i="1" l="1"/>
  <c r="BB85" i="1" s="1"/>
  <c r="AA82" i="1"/>
  <c r="Y82" i="1"/>
  <c r="U82" i="1"/>
  <c r="Q82" i="1"/>
  <c r="M82" i="1"/>
  <c r="G82" i="1"/>
  <c r="C82" i="1"/>
  <c r="AA81" i="1"/>
  <c r="Y81" i="1"/>
  <c r="S81" i="1"/>
  <c r="Q81" i="1"/>
  <c r="M81" i="1"/>
  <c r="I81" i="1"/>
  <c r="G81" i="1"/>
  <c r="E81" i="1"/>
  <c r="BB81" i="1" s="1"/>
  <c r="AA80" i="1"/>
  <c r="Y80" i="1"/>
  <c r="S80" i="1"/>
  <c r="Q80" i="1"/>
  <c r="O80" i="1"/>
  <c r="M80" i="1"/>
  <c r="G80" i="1"/>
  <c r="E80" i="1"/>
  <c r="C80" i="1"/>
  <c r="AC79" i="1"/>
  <c r="AC89" i="1" s="1"/>
  <c r="AA79" i="1"/>
  <c r="AA89" i="1" s="1"/>
  <c r="Y79" i="1"/>
  <c r="Y89" i="1" s="1"/>
  <c r="U79" i="1"/>
  <c r="U89" i="1" s="1"/>
  <c r="S79" i="1"/>
  <c r="S89" i="1" s="1"/>
  <c r="Q79" i="1"/>
  <c r="Q89" i="1" s="1"/>
  <c r="O79" i="1"/>
  <c r="O89" i="1" s="1"/>
  <c r="M79" i="1"/>
  <c r="M89" i="1" s="1"/>
  <c r="I79" i="1"/>
  <c r="I89" i="1" s="1"/>
  <c r="G79" i="1"/>
  <c r="G89" i="1" s="1"/>
  <c r="E79" i="1"/>
  <c r="E89" i="1" s="1"/>
  <c r="C79" i="1"/>
  <c r="BB82" i="1" l="1"/>
  <c r="BB79" i="1"/>
  <c r="C89" i="1"/>
  <c r="BB80" i="1"/>
  <c r="BC89" i="1"/>
  <c r="BB89" i="1"/>
  <c r="BA35" i="1" l="1"/>
  <c r="BA36" i="1"/>
  <c r="BA37" i="1"/>
  <c r="BA38" i="1"/>
  <c r="BA39" i="1"/>
  <c r="BA40" i="1"/>
  <c r="BA41" i="1"/>
  <c r="BA43" i="1"/>
  <c r="BA47" i="1"/>
  <c r="BA48" i="1"/>
  <c r="BA49" i="1"/>
  <c r="BA50" i="1"/>
  <c r="BA51" i="1"/>
  <c r="BA52" i="1"/>
  <c r="BA53" i="1"/>
  <c r="BA54" i="1"/>
  <c r="BA57" i="1"/>
  <c r="BA65" i="1"/>
  <c r="E43" i="5"/>
  <c r="H30" i="5"/>
  <c r="J30" i="5"/>
  <c r="L30" i="5"/>
  <c r="O30" i="5"/>
  <c r="S30" i="5"/>
  <c r="U30" i="5"/>
  <c r="W30" i="5"/>
  <c r="Y30" i="5"/>
  <c r="AA30" i="5"/>
  <c r="AE30" i="5"/>
  <c r="D30" i="5"/>
  <c r="BB30" i="5" s="1"/>
  <c r="C13" i="23" s="1"/>
  <c r="B5" i="4"/>
  <c r="BA59" i="1" l="1"/>
  <c r="AT65" i="5"/>
  <c r="AQ62" i="5"/>
  <c r="AS72" i="5" l="1"/>
  <c r="AR65" i="5"/>
  <c r="AQ72" i="5" s="1"/>
  <c r="AL65" i="5"/>
  <c r="AH66" i="5"/>
  <c r="AH67" i="5"/>
  <c r="AH68" i="5"/>
  <c r="AH69" i="5"/>
  <c r="AJ66" i="5"/>
  <c r="AJ67" i="5"/>
  <c r="AJ68" i="5"/>
  <c r="AJ69" i="5"/>
  <c r="AJ65" i="5"/>
  <c r="AF66" i="5"/>
  <c r="AF67" i="5"/>
  <c r="AF68" i="5"/>
  <c r="AF69" i="5"/>
  <c r="AH65" i="5"/>
  <c r="V65" i="5"/>
  <c r="K65" i="5"/>
  <c r="J72" i="5" s="1"/>
  <c r="G65" i="5"/>
  <c r="AY36" i="5"/>
  <c r="AY37" i="5"/>
  <c r="AY38" i="5"/>
  <c r="AY39" i="5"/>
  <c r="AY40" i="5"/>
  <c r="AY41" i="5"/>
  <c r="AY42" i="5"/>
  <c r="AY43" i="5"/>
  <c r="AY44" i="5"/>
  <c r="AY45" i="5"/>
  <c r="AY46" i="5"/>
  <c r="AY47" i="5"/>
  <c r="AY48" i="5"/>
  <c r="AY49" i="5"/>
  <c r="AY50" i="5"/>
  <c r="AY51" i="5"/>
  <c r="AY52" i="5"/>
  <c r="AY53" i="5"/>
  <c r="AY54" i="5"/>
  <c r="AY55" i="5"/>
  <c r="AY56" i="5"/>
  <c r="AY34" i="5"/>
  <c r="AW34" i="5"/>
  <c r="AV35" i="5"/>
  <c r="AW35" i="5" s="1"/>
  <c r="AX35" i="5" s="1"/>
  <c r="AY35" i="5" s="1"/>
  <c r="AV36" i="5"/>
  <c r="AV37" i="5"/>
  <c r="AV38" i="5"/>
  <c r="AV39" i="5"/>
  <c r="AV40" i="5"/>
  <c r="AV41" i="5"/>
  <c r="AV42" i="5"/>
  <c r="AV43" i="5"/>
  <c r="AV44" i="5"/>
  <c r="AV45" i="5"/>
  <c r="AV46" i="5"/>
  <c r="AV47" i="5"/>
  <c r="AV48" i="5"/>
  <c r="AV49" i="5"/>
  <c r="AV50" i="5"/>
  <c r="AV51" i="5"/>
  <c r="AV52" i="5"/>
  <c r="AV53" i="5"/>
  <c r="AV54" i="5"/>
  <c r="AV55" i="5"/>
  <c r="AV56" i="5"/>
  <c r="AT35" i="5"/>
  <c r="AT36" i="5"/>
  <c r="AT37" i="5"/>
  <c r="AT38" i="5"/>
  <c r="AT39" i="5"/>
  <c r="AT40" i="5"/>
  <c r="AT41" i="5"/>
  <c r="AT42" i="5"/>
  <c r="AT43" i="5"/>
  <c r="AT44" i="5"/>
  <c r="AT45" i="5"/>
  <c r="AT46" i="5"/>
  <c r="AT47" i="5"/>
  <c r="AT48" i="5"/>
  <c r="AT49" i="5"/>
  <c r="AS60" i="5" s="1"/>
  <c r="AT50" i="5"/>
  <c r="AT51" i="5"/>
  <c r="AT52" i="5"/>
  <c r="AT53" i="5"/>
  <c r="AT54" i="5"/>
  <c r="AT55" i="5"/>
  <c r="AT56" i="5"/>
  <c r="AR35" i="5"/>
  <c r="AR36" i="5"/>
  <c r="AR37" i="5"/>
  <c r="AR38" i="5"/>
  <c r="AR39" i="5"/>
  <c r="AR40" i="5"/>
  <c r="AR41" i="5"/>
  <c r="AR42" i="5"/>
  <c r="AR43" i="5"/>
  <c r="AR44" i="5"/>
  <c r="AR45" i="5"/>
  <c r="AR46" i="5"/>
  <c r="AR47" i="5"/>
  <c r="AR48" i="5"/>
  <c r="AR49" i="5"/>
  <c r="AR50" i="5"/>
  <c r="AR51" i="5"/>
  <c r="AR52" i="5"/>
  <c r="AR53" i="5"/>
  <c r="AR54" i="5"/>
  <c r="AR55" i="5"/>
  <c r="AR56" i="5"/>
  <c r="AT34" i="5"/>
  <c r="AR34" i="5"/>
  <c r="AV34" i="5"/>
  <c r="AN35" i="5"/>
  <c r="AN36" i="5"/>
  <c r="AN37" i="5"/>
  <c r="AN38" i="5"/>
  <c r="AN39" i="5"/>
  <c r="AN40" i="5"/>
  <c r="AN41" i="5"/>
  <c r="AN42" i="5"/>
  <c r="AN43" i="5"/>
  <c r="AN44" i="5"/>
  <c r="AN45" i="5"/>
  <c r="AN46" i="5"/>
  <c r="AN47" i="5"/>
  <c r="AN48" i="5"/>
  <c r="AN49" i="5"/>
  <c r="AN50" i="5"/>
  <c r="AN51" i="5"/>
  <c r="AN52" i="5"/>
  <c r="AN53" i="5"/>
  <c r="AN54" i="5"/>
  <c r="AN55" i="5"/>
  <c r="AN56" i="5"/>
  <c r="AL35" i="5"/>
  <c r="AL36" i="5"/>
  <c r="AL37" i="5"/>
  <c r="AL38" i="5"/>
  <c r="AL39" i="5"/>
  <c r="AL40" i="5"/>
  <c r="AL41" i="5"/>
  <c r="AL42" i="5"/>
  <c r="AL43" i="5"/>
  <c r="AL44" i="5"/>
  <c r="AL45" i="5"/>
  <c r="AL46" i="5"/>
  <c r="AL47" i="5"/>
  <c r="AL48" i="5"/>
  <c r="AL49" i="5"/>
  <c r="AL50" i="5"/>
  <c r="AL51" i="5"/>
  <c r="AL52" i="5"/>
  <c r="AL53" i="5"/>
  <c r="AL54" i="5"/>
  <c r="AL55" i="5"/>
  <c r="AL56" i="5"/>
  <c r="AL34" i="5"/>
  <c r="AG62" i="5"/>
  <c r="AH35" i="5"/>
  <c r="AH36" i="5"/>
  <c r="AH37" i="5"/>
  <c r="AH38" i="5"/>
  <c r="AH39" i="5"/>
  <c r="AH40" i="5"/>
  <c r="AH41" i="5"/>
  <c r="AH42" i="5"/>
  <c r="AH43" i="5"/>
  <c r="AH44" i="5"/>
  <c r="AH45" i="5"/>
  <c r="AH46" i="5"/>
  <c r="AH47" i="5"/>
  <c r="AH48" i="5"/>
  <c r="AH49" i="5"/>
  <c r="AH50" i="5"/>
  <c r="AH51" i="5"/>
  <c r="AH52" i="5"/>
  <c r="AH53" i="5"/>
  <c r="AH54" i="5"/>
  <c r="AH55" i="5"/>
  <c r="AH56" i="5"/>
  <c r="AH34" i="5"/>
  <c r="AF35" i="5"/>
  <c r="AF36" i="5"/>
  <c r="AF37" i="5"/>
  <c r="AF38" i="5"/>
  <c r="AF39" i="5"/>
  <c r="AF40" i="5"/>
  <c r="AF41" i="5"/>
  <c r="AF42" i="5"/>
  <c r="AF43" i="5"/>
  <c r="AF44" i="5"/>
  <c r="AF45" i="5"/>
  <c r="AF46" i="5"/>
  <c r="AF47" i="5"/>
  <c r="AF48" i="5"/>
  <c r="AF49" i="5"/>
  <c r="AF50" i="5"/>
  <c r="AF51" i="5"/>
  <c r="AF52" i="5"/>
  <c r="AF53" i="5"/>
  <c r="AF54" i="5"/>
  <c r="AF55" i="5"/>
  <c r="AF56" i="5"/>
  <c r="AF34" i="5"/>
  <c r="AJ35" i="5"/>
  <c r="AJ36" i="5"/>
  <c r="AJ37" i="5"/>
  <c r="AJ38" i="5"/>
  <c r="AJ39" i="5"/>
  <c r="AJ40" i="5"/>
  <c r="AJ41" i="5"/>
  <c r="AJ42" i="5"/>
  <c r="AJ43" i="5"/>
  <c r="AJ44" i="5"/>
  <c r="AJ45" i="5"/>
  <c r="AJ46" i="5"/>
  <c r="AJ47" i="5"/>
  <c r="AJ48" i="5"/>
  <c r="AJ49" i="5"/>
  <c r="AJ50" i="5"/>
  <c r="AJ51" i="5"/>
  <c r="AJ52" i="5"/>
  <c r="AJ53" i="5"/>
  <c r="AJ54" i="5"/>
  <c r="AJ55" i="5"/>
  <c r="AJ56" i="5"/>
  <c r="AJ34" i="5"/>
  <c r="V35" i="5"/>
  <c r="V36" i="5"/>
  <c r="V37" i="5"/>
  <c r="V38" i="5"/>
  <c r="V39" i="5"/>
  <c r="V40" i="5"/>
  <c r="V41" i="5"/>
  <c r="V42" i="5"/>
  <c r="V43" i="5"/>
  <c r="V44" i="5"/>
  <c r="V45" i="5"/>
  <c r="V46" i="5"/>
  <c r="V47" i="5"/>
  <c r="V48" i="5"/>
  <c r="V49" i="5"/>
  <c r="V50" i="5"/>
  <c r="V51" i="5"/>
  <c r="V52" i="5"/>
  <c r="V53" i="5"/>
  <c r="V54" i="5"/>
  <c r="V55" i="5"/>
  <c r="V56" i="5"/>
  <c r="V34" i="5"/>
  <c r="T47" i="5"/>
  <c r="T48" i="5"/>
  <c r="T49" i="5"/>
  <c r="T50" i="5"/>
  <c r="T51" i="5"/>
  <c r="T52" i="5"/>
  <c r="T53" i="5"/>
  <c r="T54" i="5"/>
  <c r="T55" i="5"/>
  <c r="T56" i="5"/>
  <c r="T35" i="5"/>
  <c r="T36" i="5"/>
  <c r="T37" i="5"/>
  <c r="T38" i="5"/>
  <c r="T39" i="5"/>
  <c r="T40" i="5"/>
  <c r="T41" i="5"/>
  <c r="T42" i="5"/>
  <c r="T43" i="5"/>
  <c r="T44" i="5"/>
  <c r="T45" i="5"/>
  <c r="T46" i="5"/>
  <c r="T34" i="5"/>
  <c r="X41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50" i="5"/>
  <c r="K51" i="5"/>
  <c r="K52" i="5"/>
  <c r="K53" i="5"/>
  <c r="K54" i="5"/>
  <c r="K55" i="5"/>
  <c r="K56" i="5"/>
  <c r="K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34" i="5"/>
  <c r="M34" i="5"/>
  <c r="P34" i="5"/>
  <c r="X34" i="5"/>
  <c r="Z34" i="5"/>
  <c r="AB34" i="5"/>
  <c r="AN34" i="5"/>
  <c r="AM60" i="5" s="1"/>
  <c r="E35" i="5"/>
  <c r="E36" i="5"/>
  <c r="E37" i="5"/>
  <c r="E38" i="5"/>
  <c r="E39" i="5"/>
  <c r="E40" i="5"/>
  <c r="E41" i="5"/>
  <c r="E42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C74" i="5"/>
  <c r="AY69" i="5"/>
  <c r="AV69" i="5"/>
  <c r="AN69" i="5"/>
  <c r="AL69" i="5"/>
  <c r="AB69" i="5"/>
  <c r="Z69" i="5"/>
  <c r="X69" i="5"/>
  <c r="P69" i="5"/>
  <c r="E69" i="5"/>
  <c r="AY68" i="5"/>
  <c r="AV68" i="5"/>
  <c r="AN68" i="5"/>
  <c r="AL68" i="5"/>
  <c r="AB68" i="5"/>
  <c r="Z68" i="5"/>
  <c r="X68" i="5"/>
  <c r="P68" i="5"/>
  <c r="E68" i="5"/>
  <c r="D72" i="5" s="1"/>
  <c r="AY67" i="5"/>
  <c r="AV67" i="5"/>
  <c r="AN67" i="5"/>
  <c r="AL67" i="5"/>
  <c r="AB67" i="5"/>
  <c r="Z67" i="5"/>
  <c r="X67" i="5"/>
  <c r="P67" i="5"/>
  <c r="E67" i="5"/>
  <c r="AY66" i="5"/>
  <c r="AV66" i="5"/>
  <c r="AN66" i="5"/>
  <c r="AL66" i="5"/>
  <c r="AB66" i="5"/>
  <c r="Z66" i="5"/>
  <c r="X66" i="5"/>
  <c r="P66" i="5"/>
  <c r="E66" i="5"/>
  <c r="AY65" i="5"/>
  <c r="AV65" i="5"/>
  <c r="AN65" i="5"/>
  <c r="AB65" i="5"/>
  <c r="Z65" i="5"/>
  <c r="X65" i="5"/>
  <c r="P65" i="5"/>
  <c r="M65" i="5"/>
  <c r="E65" i="5"/>
  <c r="C72" i="5"/>
  <c r="AX62" i="5"/>
  <c r="AW62" i="5"/>
  <c r="AU62" i="5"/>
  <c r="AS62" i="5"/>
  <c r="AM62" i="5"/>
  <c r="AK62" i="5"/>
  <c r="AI62" i="5"/>
  <c r="U62" i="5"/>
  <c r="J62" i="5"/>
  <c r="AB56" i="5"/>
  <c r="Z56" i="5"/>
  <c r="X56" i="5"/>
  <c r="P56" i="5"/>
  <c r="AB55" i="5"/>
  <c r="Z55" i="5"/>
  <c r="X55" i="5"/>
  <c r="P55" i="5"/>
  <c r="AB54" i="5"/>
  <c r="Z54" i="5"/>
  <c r="X54" i="5"/>
  <c r="P54" i="5"/>
  <c r="AB53" i="5"/>
  <c r="Z53" i="5"/>
  <c r="X53" i="5"/>
  <c r="P53" i="5"/>
  <c r="AB52" i="5"/>
  <c r="Z52" i="5"/>
  <c r="X52" i="5"/>
  <c r="P52" i="5"/>
  <c r="AB51" i="5"/>
  <c r="Z51" i="5"/>
  <c r="X51" i="5"/>
  <c r="P51" i="5"/>
  <c r="AB50" i="5"/>
  <c r="Z50" i="5"/>
  <c r="X50" i="5"/>
  <c r="P50" i="5"/>
  <c r="AB49" i="5"/>
  <c r="Z49" i="5"/>
  <c r="X49" i="5"/>
  <c r="P49" i="5"/>
  <c r="AB48" i="5"/>
  <c r="Z48" i="5"/>
  <c r="X48" i="5"/>
  <c r="P48" i="5"/>
  <c r="AB47" i="5"/>
  <c r="Z47" i="5"/>
  <c r="X47" i="5"/>
  <c r="P47" i="5"/>
  <c r="AB46" i="5"/>
  <c r="Z46" i="5"/>
  <c r="X46" i="5"/>
  <c r="P46" i="5"/>
  <c r="AB45" i="5"/>
  <c r="Z45" i="5"/>
  <c r="X45" i="5"/>
  <c r="P45" i="5"/>
  <c r="AB44" i="5"/>
  <c r="Z44" i="5"/>
  <c r="X44" i="5"/>
  <c r="P44" i="5"/>
  <c r="AB43" i="5"/>
  <c r="Z43" i="5"/>
  <c r="X43" i="5"/>
  <c r="P43" i="5"/>
  <c r="AB42" i="5"/>
  <c r="Z42" i="5"/>
  <c r="X42" i="5"/>
  <c r="P42" i="5"/>
  <c r="AB41" i="5"/>
  <c r="Z41" i="5"/>
  <c r="P41" i="5"/>
  <c r="AB40" i="5"/>
  <c r="Z40" i="5"/>
  <c r="X40" i="5"/>
  <c r="P40" i="5"/>
  <c r="AB39" i="5"/>
  <c r="Z39" i="5"/>
  <c r="X39" i="5"/>
  <c r="P39" i="5"/>
  <c r="AB38" i="5"/>
  <c r="Z38" i="5"/>
  <c r="X38" i="5"/>
  <c r="P38" i="5"/>
  <c r="AB37" i="5"/>
  <c r="Z37" i="5"/>
  <c r="X37" i="5"/>
  <c r="P37" i="5"/>
  <c r="AB36" i="5"/>
  <c r="Z36" i="5"/>
  <c r="X36" i="5"/>
  <c r="P36" i="5"/>
  <c r="AB35" i="5"/>
  <c r="Z35" i="5"/>
  <c r="X35" i="5"/>
  <c r="P35" i="5"/>
  <c r="E34" i="5"/>
  <c r="AX31" i="5"/>
  <c r="AU31" i="5"/>
  <c r="AS31" i="5"/>
  <c r="AQ31" i="5"/>
  <c r="AM31" i="5"/>
  <c r="AK31" i="5"/>
  <c r="AI31" i="5"/>
  <c r="AG31" i="5"/>
  <c r="AE31" i="5"/>
  <c r="AA31" i="5"/>
  <c r="Y31" i="5"/>
  <c r="W31" i="5"/>
  <c r="U31" i="5"/>
  <c r="S31" i="5"/>
  <c r="O31" i="5"/>
  <c r="L31" i="5"/>
  <c r="J31" i="5"/>
  <c r="H31" i="5"/>
  <c r="D31" i="5"/>
  <c r="C30" i="5"/>
  <c r="C31" i="5" s="1"/>
  <c r="B6" i="4"/>
  <c r="AT59" i="5" l="1"/>
  <c r="AQ60" i="5"/>
  <c r="AM72" i="5"/>
  <c r="AN59" i="5"/>
  <c r="AK60" i="5"/>
  <c r="AL59" i="5"/>
  <c r="AK72" i="5"/>
  <c r="BB31" i="5"/>
  <c r="D13" i="23" s="1"/>
  <c r="E13" i="23" s="1"/>
  <c r="AI60" i="5"/>
  <c r="AI72" i="5"/>
  <c r="AJ59" i="5"/>
  <c r="AG60" i="5"/>
  <c r="AH59" i="5"/>
  <c r="AG72" i="5"/>
  <c r="AE60" i="5"/>
  <c r="AA60" i="5"/>
  <c r="AB59" i="5"/>
  <c r="AA72" i="5"/>
  <c r="Y60" i="5"/>
  <c r="Y72" i="5"/>
  <c r="Z59" i="5"/>
  <c r="W60" i="5"/>
  <c r="X59" i="5"/>
  <c r="W72" i="5"/>
  <c r="U60" i="5"/>
  <c r="V59" i="5"/>
  <c r="U72" i="5"/>
  <c r="S60" i="5"/>
  <c r="O60" i="5"/>
  <c r="O72" i="5"/>
  <c r="P59" i="5"/>
  <c r="L60" i="5"/>
  <c r="M59" i="5"/>
  <c r="L72" i="5"/>
  <c r="J60" i="5"/>
  <c r="H60" i="5"/>
  <c r="E59" i="5"/>
  <c r="D60" i="5"/>
  <c r="K59" i="5"/>
  <c r="AR59" i="5"/>
  <c r="BB59" i="5"/>
  <c r="L13" i="23" s="1"/>
  <c r="L21" i="23" s="1"/>
  <c r="BA59" i="5"/>
  <c r="M13" i="23" s="1"/>
  <c r="M21" i="23" s="1"/>
  <c r="AU91" i="5"/>
  <c r="J91" i="5"/>
  <c r="D91" i="5"/>
  <c r="AV62" i="5"/>
  <c r="C75" i="5"/>
  <c r="D62" i="5"/>
  <c r="L62" i="5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7" i="1"/>
  <c r="AY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7" i="1"/>
  <c r="AW34" i="1"/>
  <c r="AS35" i="1"/>
  <c r="AS36" i="1"/>
  <c r="AS37" i="1"/>
  <c r="AS38" i="1"/>
  <c r="AS39" i="1"/>
  <c r="AS40" i="1"/>
  <c r="AS41" i="1"/>
  <c r="AS42" i="1"/>
  <c r="AS43" i="1"/>
  <c r="AS44" i="1"/>
  <c r="AS45" i="1"/>
  <c r="AS46" i="1"/>
  <c r="AS47" i="1"/>
  <c r="AS48" i="1"/>
  <c r="AS49" i="1"/>
  <c r="AS50" i="1"/>
  <c r="AS51" i="1"/>
  <c r="AS52" i="1"/>
  <c r="AS53" i="1"/>
  <c r="AS54" i="1"/>
  <c r="AS57" i="1"/>
  <c r="AS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7" i="1"/>
  <c r="AQ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7" i="1"/>
  <c r="AO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7" i="1"/>
  <c r="AM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7" i="1"/>
  <c r="AH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7" i="1"/>
  <c r="AF34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7" i="1"/>
  <c r="AD35" i="1"/>
  <c r="AD36" i="1"/>
  <c r="AD37" i="1"/>
  <c r="AD38" i="1"/>
  <c r="AD39" i="1"/>
  <c r="AD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7" i="1"/>
  <c r="AB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7" i="1"/>
  <c r="Z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7" i="1"/>
  <c r="V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7" i="1"/>
  <c r="T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7" i="1"/>
  <c r="R34" i="1"/>
  <c r="P43" i="1"/>
  <c r="P44" i="1"/>
  <c r="P45" i="1"/>
  <c r="P46" i="1"/>
  <c r="P47" i="1"/>
  <c r="P48" i="1"/>
  <c r="P49" i="1"/>
  <c r="P50" i="1"/>
  <c r="P51" i="1"/>
  <c r="P52" i="1"/>
  <c r="P53" i="1"/>
  <c r="P54" i="1"/>
  <c r="P57" i="1"/>
  <c r="P35" i="1"/>
  <c r="P36" i="1"/>
  <c r="P37" i="1"/>
  <c r="P38" i="1"/>
  <c r="P39" i="1"/>
  <c r="P40" i="1"/>
  <c r="P41" i="1"/>
  <c r="P42" i="1"/>
  <c r="P34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7" i="1"/>
  <c r="N35" i="1"/>
  <c r="N36" i="1"/>
  <c r="N37" i="1"/>
  <c r="N39" i="1"/>
  <c r="N40" i="1"/>
  <c r="N34" i="1"/>
  <c r="J41" i="1"/>
  <c r="J42" i="1"/>
  <c r="J43" i="1"/>
  <c r="J44" i="1"/>
  <c r="J45" i="1"/>
  <c r="J46" i="1"/>
  <c r="J47" i="1"/>
  <c r="J49" i="1"/>
  <c r="J50" i="1"/>
  <c r="J51" i="1"/>
  <c r="J52" i="1"/>
  <c r="J53" i="1"/>
  <c r="J54" i="1"/>
  <c r="J57" i="1"/>
  <c r="J35" i="1"/>
  <c r="J36" i="1"/>
  <c r="J37" i="1"/>
  <c r="J38" i="1"/>
  <c r="J39" i="1"/>
  <c r="J40" i="1"/>
  <c r="J34" i="1"/>
  <c r="H35" i="1"/>
  <c r="H36" i="1"/>
  <c r="H37" i="1"/>
  <c r="H38" i="1"/>
  <c r="H39" i="1"/>
  <c r="H40" i="1"/>
  <c r="H41" i="1"/>
  <c r="H42" i="1"/>
  <c r="H43" i="1"/>
  <c r="H44" i="1"/>
  <c r="H45" i="1"/>
  <c r="H47" i="1"/>
  <c r="H48" i="1"/>
  <c r="H50" i="1"/>
  <c r="H51" i="1"/>
  <c r="H52" i="1"/>
  <c r="H53" i="1"/>
  <c r="H54" i="1"/>
  <c r="H57" i="1"/>
  <c r="H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50" i="1"/>
  <c r="F51" i="1"/>
  <c r="F52" i="1"/>
  <c r="F53" i="1"/>
  <c r="F54" i="1"/>
  <c r="F57" i="1"/>
  <c r="F34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7" i="1"/>
  <c r="D35" i="1"/>
  <c r="D34" i="1"/>
  <c r="B21" i="4"/>
  <c r="B9" i="4"/>
  <c r="L22" i="23" l="1"/>
  <c r="BB91" i="5"/>
  <c r="AH59" i="1"/>
  <c r="AG60" i="1"/>
  <c r="AF65" i="5"/>
  <c r="AE62" i="5"/>
  <c r="S62" i="5"/>
  <c r="T65" i="5"/>
  <c r="I65" i="5"/>
  <c r="H62" i="5"/>
  <c r="O62" i="5"/>
  <c r="AA60" i="1"/>
  <c r="P19" i="23" l="1"/>
  <c r="P15" i="23"/>
  <c r="P18" i="23"/>
  <c r="P14" i="23"/>
  <c r="P17" i="23"/>
  <c r="P13" i="23"/>
  <c r="P20" i="23"/>
  <c r="P16" i="23"/>
  <c r="P12" i="23"/>
  <c r="P9" i="23"/>
  <c r="P11" i="23"/>
  <c r="P10" i="23"/>
  <c r="L23" i="23"/>
  <c r="B23" i="4"/>
  <c r="X13" i="23"/>
  <c r="Y13" i="23" s="1"/>
  <c r="AE72" i="5"/>
  <c r="AF59" i="5"/>
  <c r="T59" i="5"/>
  <c r="S72" i="5"/>
  <c r="I59" i="5"/>
  <c r="H72" i="5"/>
  <c r="H91" i="5"/>
  <c r="AC59" i="1"/>
  <c r="AC30" i="1"/>
  <c r="B13" i="4"/>
  <c r="X21" i="23" l="1"/>
  <c r="Y21" i="23" s="1"/>
  <c r="BB72" i="5"/>
  <c r="S13" i="23" s="1"/>
  <c r="S21" i="23" s="1"/>
  <c r="AC91" i="1"/>
  <c r="AC93" i="1"/>
  <c r="BA91" i="5"/>
  <c r="W13" i="23" s="1"/>
  <c r="W21" i="23" s="1"/>
  <c r="Y59" i="1"/>
  <c r="Y91" i="1" l="1"/>
  <c r="Y93" i="1"/>
  <c r="N30" i="1"/>
  <c r="N31" i="1" s="1"/>
  <c r="O30" i="1"/>
  <c r="O31" i="1" s="1"/>
  <c r="P30" i="1"/>
  <c r="P31" i="1" s="1"/>
  <c r="Q30" i="1"/>
  <c r="Q31" i="1" s="1"/>
  <c r="R30" i="1"/>
  <c r="R31" i="1" s="1"/>
  <c r="S30" i="1"/>
  <c r="S31" i="1" s="1"/>
  <c r="T30" i="1"/>
  <c r="T31" i="1" s="1"/>
  <c r="U30" i="1"/>
  <c r="U31" i="1" s="1"/>
  <c r="V30" i="1"/>
  <c r="V31" i="1" s="1"/>
  <c r="W30" i="1"/>
  <c r="W31" i="1" s="1"/>
  <c r="X30" i="1"/>
  <c r="X31" i="1" s="1"/>
  <c r="Y30" i="1"/>
  <c r="Y31" i="1" s="1"/>
  <c r="Z30" i="1"/>
  <c r="Z31" i="1" s="1"/>
  <c r="AA30" i="1"/>
  <c r="AA31" i="1" s="1"/>
  <c r="AB30" i="1"/>
  <c r="AB31" i="1" s="1"/>
  <c r="AC31" i="1"/>
  <c r="AD30" i="1"/>
  <c r="AD31" i="1" s="1"/>
  <c r="AE30" i="1"/>
  <c r="AE31" i="1" s="1"/>
  <c r="AF30" i="1"/>
  <c r="AF31" i="1" s="1"/>
  <c r="AG30" i="1"/>
  <c r="AG31" i="1" s="1"/>
  <c r="AH30" i="1"/>
  <c r="AH31" i="1" s="1"/>
  <c r="AI30" i="1"/>
  <c r="AI31" i="1" s="1"/>
  <c r="AJ30" i="1"/>
  <c r="AJ31" i="1" s="1"/>
  <c r="AK30" i="1"/>
  <c r="AK31" i="1" s="1"/>
  <c r="AL30" i="1"/>
  <c r="AL31" i="1" s="1"/>
  <c r="AM30" i="1"/>
  <c r="AM31" i="1" s="1"/>
  <c r="AN30" i="1"/>
  <c r="AN31" i="1" s="1"/>
  <c r="AO30" i="1"/>
  <c r="AO31" i="1" s="1"/>
  <c r="AP30" i="1"/>
  <c r="AP31" i="1" s="1"/>
  <c r="AQ30" i="1"/>
  <c r="AQ31" i="1" s="1"/>
  <c r="AR30" i="1"/>
  <c r="AR31" i="1" s="1"/>
  <c r="AS30" i="1"/>
  <c r="AS31" i="1" s="1"/>
  <c r="AT30" i="1"/>
  <c r="AT31" i="1" s="1"/>
  <c r="AU30" i="1"/>
  <c r="AU31" i="1" s="1"/>
  <c r="AV30" i="1"/>
  <c r="AV31" i="1" s="1"/>
  <c r="AW30" i="1"/>
  <c r="AW31" i="1" s="1"/>
  <c r="AX30" i="1"/>
  <c r="AX31" i="1" s="1"/>
  <c r="AY30" i="1"/>
  <c r="AY31" i="1" s="1"/>
  <c r="AZ30" i="1"/>
  <c r="AZ31" i="1" s="1"/>
  <c r="BA30" i="1"/>
  <c r="BA31" i="1" s="1"/>
  <c r="D30" i="1"/>
  <c r="D31" i="1" s="1"/>
  <c r="E30" i="1"/>
  <c r="E31" i="1" s="1"/>
  <c r="F30" i="1"/>
  <c r="F31" i="1" s="1"/>
  <c r="G30" i="1"/>
  <c r="G31" i="1" s="1"/>
  <c r="H30" i="1"/>
  <c r="H31" i="1" s="1"/>
  <c r="I30" i="1"/>
  <c r="I31" i="1" s="1"/>
  <c r="J30" i="1"/>
  <c r="J31" i="1" s="1"/>
  <c r="K30" i="1"/>
  <c r="K31" i="1" s="1"/>
  <c r="L30" i="1"/>
  <c r="L31" i="1" s="1"/>
  <c r="M30" i="1"/>
  <c r="M31" i="1" s="1"/>
  <c r="C30" i="1"/>
  <c r="K62" i="1"/>
  <c r="L62" i="1"/>
  <c r="O62" i="1"/>
  <c r="Q62" i="1"/>
  <c r="S62" i="1"/>
  <c r="U62" i="1"/>
  <c r="W62" i="1"/>
  <c r="X62" i="1"/>
  <c r="Y62" i="1"/>
  <c r="AA62" i="1"/>
  <c r="AC62" i="1"/>
  <c r="AE62" i="1"/>
  <c r="AI62" i="1"/>
  <c r="AJ62" i="1"/>
  <c r="AK62" i="1"/>
  <c r="AL62" i="1"/>
  <c r="AN62" i="1"/>
  <c r="AP62" i="1"/>
  <c r="AR62" i="1"/>
  <c r="AT62" i="1"/>
  <c r="AU62" i="1"/>
  <c r="AV62" i="1"/>
  <c r="AX62" i="1"/>
  <c r="AZ62" i="1"/>
  <c r="K59" i="1"/>
  <c r="L59" i="1"/>
  <c r="O59" i="1"/>
  <c r="Q59" i="1"/>
  <c r="S59" i="1"/>
  <c r="U59" i="1"/>
  <c r="W59" i="1"/>
  <c r="X59" i="1"/>
  <c r="AA59" i="1"/>
  <c r="AE59" i="1"/>
  <c r="AI59" i="1"/>
  <c r="AJ59" i="1"/>
  <c r="AK59" i="1"/>
  <c r="AL59" i="1"/>
  <c r="AN59" i="1"/>
  <c r="AP59" i="1"/>
  <c r="AR59" i="1"/>
  <c r="AT59" i="1"/>
  <c r="AU59" i="1"/>
  <c r="AV59" i="1"/>
  <c r="AX59" i="1"/>
  <c r="AZ59" i="1"/>
  <c r="AZ91" i="1" l="1"/>
  <c r="AZ93" i="1"/>
  <c r="AX91" i="1"/>
  <c r="AX93" i="1"/>
  <c r="AV91" i="1"/>
  <c r="AV93" i="1"/>
  <c r="O91" i="1"/>
  <c r="O93" i="1"/>
  <c r="AE93" i="1"/>
  <c r="AE91" i="1"/>
  <c r="U91" i="1"/>
  <c r="U93" i="1"/>
  <c r="Q91" i="1"/>
  <c r="Q93" i="1"/>
  <c r="AL91" i="1"/>
  <c r="AL93" i="1"/>
  <c r="AA91" i="1"/>
  <c r="AA93" i="1"/>
  <c r="S93" i="1"/>
  <c r="S91" i="1"/>
  <c r="C93" i="1"/>
  <c r="C91" i="1"/>
  <c r="AR91" i="1"/>
  <c r="AR93" i="1"/>
  <c r="AP91" i="1"/>
  <c r="AP93" i="1"/>
  <c r="AN91" i="1"/>
  <c r="AN93" i="1"/>
  <c r="W62" i="5"/>
  <c r="BC30" i="1"/>
  <c r="C12" i="23" s="1"/>
  <c r="C31" i="1"/>
  <c r="BC31" i="1" s="1"/>
  <c r="D12" i="23" s="1"/>
  <c r="D21" i="23" s="1"/>
  <c r="I48" i="1"/>
  <c r="G49" i="1"/>
  <c r="H49" i="1" s="1"/>
  <c r="G46" i="1"/>
  <c r="E49" i="1"/>
  <c r="E12" i="23" l="1"/>
  <c r="E21" i="23" s="1"/>
  <c r="C21" i="23"/>
  <c r="F49" i="1"/>
  <c r="E62" i="1"/>
  <c r="E59" i="1"/>
  <c r="H46" i="1"/>
  <c r="G62" i="1"/>
  <c r="G59" i="1"/>
  <c r="J48" i="1"/>
  <c r="I62" i="1"/>
  <c r="I59" i="1"/>
  <c r="M38" i="1"/>
  <c r="AZ60" i="1"/>
  <c r="AX60" i="1"/>
  <c r="AV60" i="1"/>
  <c r="AU60" i="1"/>
  <c r="AT60" i="1"/>
  <c r="AR60" i="1"/>
  <c r="AP60" i="1"/>
  <c r="AN60" i="1"/>
  <c r="AL60" i="1"/>
  <c r="AK60" i="1"/>
  <c r="AJ60" i="1"/>
  <c r="AI60" i="1"/>
  <c r="AC60" i="1"/>
  <c r="X60" i="1"/>
  <c r="W60" i="1"/>
  <c r="L60" i="1"/>
  <c r="K60" i="1"/>
  <c r="E93" i="1" l="1"/>
  <c r="E91" i="1"/>
  <c r="G91" i="1"/>
  <c r="G93" i="1"/>
  <c r="I91" i="1"/>
  <c r="I93" i="1"/>
  <c r="Y62" i="5"/>
  <c r="N38" i="1"/>
  <c r="M62" i="1"/>
  <c r="BC62" i="1" s="1"/>
  <c r="M59" i="1"/>
  <c r="BC59" i="1" s="1"/>
  <c r="BA70" i="1"/>
  <c r="BA68" i="1"/>
  <c r="BA67" i="1"/>
  <c r="BA66" i="1"/>
  <c r="AY70" i="1"/>
  <c r="AY68" i="1"/>
  <c r="AY67" i="1"/>
  <c r="AY66" i="1"/>
  <c r="AY65" i="1"/>
  <c r="AW70" i="1"/>
  <c r="AW68" i="1"/>
  <c r="AW67" i="1"/>
  <c r="AW66" i="1"/>
  <c r="AW65" i="1"/>
  <c r="AV72" i="1" s="1"/>
  <c r="AS70" i="1"/>
  <c r="AS68" i="1"/>
  <c r="AS67" i="1"/>
  <c r="AS66" i="1"/>
  <c r="AS65" i="1"/>
  <c r="AR72" i="1" s="1"/>
  <c r="AQ70" i="1"/>
  <c r="AQ68" i="1"/>
  <c r="AQ67" i="1"/>
  <c r="AQ66" i="1"/>
  <c r="AQ65" i="1"/>
  <c r="AP72" i="1" s="1"/>
  <c r="AO70" i="1"/>
  <c r="AO68" i="1"/>
  <c r="AO67" i="1"/>
  <c r="AO66" i="1"/>
  <c r="AO65" i="1"/>
  <c r="AM70" i="1"/>
  <c r="AM68" i="1"/>
  <c r="AM67" i="1"/>
  <c r="AM66" i="1"/>
  <c r="AM65" i="1"/>
  <c r="AL72" i="1" s="1"/>
  <c r="AH70" i="1"/>
  <c r="AH68" i="1"/>
  <c r="AH67" i="1"/>
  <c r="AH66" i="1"/>
  <c r="AH65" i="1"/>
  <c r="AF70" i="1"/>
  <c r="AF68" i="1"/>
  <c r="AF67" i="1"/>
  <c r="AF66" i="1"/>
  <c r="AF65" i="1"/>
  <c r="AF59" i="1" s="1"/>
  <c r="AE60" i="1"/>
  <c r="AD70" i="1"/>
  <c r="AD68" i="1"/>
  <c r="AD67" i="1"/>
  <c r="AD66" i="1"/>
  <c r="AD65" i="1"/>
  <c r="AB70" i="1"/>
  <c r="AB68" i="1"/>
  <c r="AB67" i="1"/>
  <c r="AB66" i="1"/>
  <c r="AB65" i="1"/>
  <c r="Z70" i="1"/>
  <c r="Z68" i="1"/>
  <c r="Z67" i="1"/>
  <c r="Z66" i="1"/>
  <c r="Z65" i="1"/>
  <c r="Y60" i="1"/>
  <c r="V70" i="1"/>
  <c r="V68" i="1"/>
  <c r="V67" i="1"/>
  <c r="V66" i="1"/>
  <c r="V65" i="1"/>
  <c r="T70" i="1"/>
  <c r="T68" i="1"/>
  <c r="T67" i="1"/>
  <c r="T66" i="1"/>
  <c r="T65" i="1"/>
  <c r="R70" i="1"/>
  <c r="R68" i="1"/>
  <c r="R67" i="1"/>
  <c r="R66" i="1"/>
  <c r="R65" i="1"/>
  <c r="P70" i="1"/>
  <c r="P68" i="1"/>
  <c r="P67" i="1"/>
  <c r="P66" i="1"/>
  <c r="P65" i="1"/>
  <c r="N70" i="1"/>
  <c r="N68" i="1"/>
  <c r="N67" i="1"/>
  <c r="N66" i="1"/>
  <c r="N65" i="1"/>
  <c r="J70" i="1"/>
  <c r="J68" i="1"/>
  <c r="J67" i="1"/>
  <c r="J66" i="1"/>
  <c r="J65" i="1"/>
  <c r="H70" i="1"/>
  <c r="H68" i="1"/>
  <c r="H67" i="1"/>
  <c r="H66" i="1"/>
  <c r="H65" i="1"/>
  <c r="I74" i="1"/>
  <c r="F70" i="1"/>
  <c r="F68" i="1"/>
  <c r="F67" i="1"/>
  <c r="F66" i="1"/>
  <c r="F65" i="1"/>
  <c r="AZ72" i="1" l="1"/>
  <c r="AG72" i="1"/>
  <c r="AX72" i="1"/>
  <c r="BB59" i="1"/>
  <c r="M91" i="1"/>
  <c r="BC91" i="1" s="1"/>
  <c r="M93" i="1"/>
  <c r="AN72" i="1"/>
  <c r="J59" i="1"/>
  <c r="P59" i="1"/>
  <c r="AO59" i="1"/>
  <c r="AS59" i="1"/>
  <c r="AY59" i="1"/>
  <c r="BC93" i="1" s="1"/>
  <c r="F59" i="1"/>
  <c r="H59" i="1"/>
  <c r="N59" i="1"/>
  <c r="AM59" i="1"/>
  <c r="AQ59" i="1"/>
  <c r="AW59" i="1"/>
  <c r="AE72" i="1"/>
  <c r="AD59" i="1"/>
  <c r="AC72" i="1"/>
  <c r="AB59" i="1"/>
  <c r="AA72" i="1"/>
  <c r="Z59" i="1"/>
  <c r="Y72" i="1"/>
  <c r="U60" i="1"/>
  <c r="V59" i="1"/>
  <c r="U72" i="1"/>
  <c r="S60" i="1"/>
  <c r="T59" i="1"/>
  <c r="S72" i="1"/>
  <c r="Q60" i="1"/>
  <c r="R59" i="1"/>
  <c r="Q72" i="1"/>
  <c r="O72" i="1"/>
  <c r="O60" i="1"/>
  <c r="I75" i="1"/>
  <c r="I72" i="1"/>
  <c r="I60" i="1"/>
  <c r="G72" i="1"/>
  <c r="M72" i="1"/>
  <c r="M60" i="1"/>
  <c r="E72" i="1"/>
  <c r="E60" i="1"/>
  <c r="G60" i="1"/>
  <c r="D70" i="1"/>
  <c r="D68" i="1"/>
  <c r="D67" i="1"/>
  <c r="D66" i="1"/>
  <c r="D65" i="1"/>
  <c r="E74" i="1"/>
  <c r="G74" i="1"/>
  <c r="M74" i="1"/>
  <c r="O74" i="1"/>
  <c r="Q74" i="1"/>
  <c r="Q75" i="1" s="1"/>
  <c r="S74" i="1"/>
  <c r="S75" i="1" s="1"/>
  <c r="U74" i="1"/>
  <c r="U75" i="1" s="1"/>
  <c r="Y74" i="1"/>
  <c r="Y75" i="1" s="1"/>
  <c r="AA74" i="1"/>
  <c r="AA75" i="1" s="1"/>
  <c r="AC74" i="1"/>
  <c r="AC75" i="1" s="1"/>
  <c r="AE74" i="1"/>
  <c r="AE75" i="1" s="1"/>
  <c r="AG74" i="1"/>
  <c r="AG75" i="1" s="1"/>
  <c r="AL75" i="1"/>
  <c r="AN74" i="1"/>
  <c r="AN75" i="1" s="1"/>
  <c r="AP74" i="1"/>
  <c r="AP75" i="1" s="1"/>
  <c r="AR74" i="1"/>
  <c r="AR75" i="1" s="1"/>
  <c r="AV74" i="1"/>
  <c r="AX74" i="1"/>
  <c r="AX75" i="1" s="1"/>
  <c r="AZ74" i="1"/>
  <c r="AZ75" i="1" s="1"/>
  <c r="C74" i="1"/>
  <c r="AV75" i="1" l="1"/>
  <c r="BB74" i="1"/>
  <c r="BB91" i="1"/>
  <c r="AA62" i="5"/>
  <c r="D59" i="1"/>
  <c r="O75" i="1"/>
  <c r="M75" i="1"/>
  <c r="E75" i="1"/>
  <c r="C60" i="1"/>
  <c r="BC60" i="1" s="1"/>
  <c r="G75" i="1"/>
  <c r="C72" i="1"/>
  <c r="BC72" i="1" s="1"/>
  <c r="C75" i="1"/>
  <c r="B11" i="4"/>
  <c r="BB62" i="5" l="1"/>
  <c r="R13" i="23" s="1"/>
  <c r="R21" i="23" s="1"/>
  <c r="BB60" i="5"/>
  <c r="Q13" i="23" s="1"/>
  <c r="Q21" i="23" s="1"/>
  <c r="BC75" i="1"/>
  <c r="BB75" i="5" l="1"/>
  <c r="T13" i="23" s="1"/>
  <c r="T21" i="23" s="1"/>
</calcChain>
</file>

<file path=xl/comments1.xml><?xml version="1.0" encoding="utf-8"?>
<comments xmlns="http://schemas.openxmlformats.org/spreadsheetml/2006/main">
  <authors>
    <author>Morisot, Clement</author>
  </authors>
  <commentList>
    <comment ref="J68" authorId="0">
      <text>
        <r>
          <rPr>
            <b/>
            <sz val="8"/>
            <color indexed="81"/>
            <rFont val="Tahoma"/>
            <family val="2"/>
          </rPr>
          <t>Morisot, Clement:</t>
        </r>
        <r>
          <rPr>
            <sz val="8"/>
            <color indexed="81"/>
            <rFont val="Tahoma"/>
            <family val="2"/>
          </rPr>
          <t xml:space="preserve">
+7Tonnes  rajoutées manuellement</t>
        </r>
      </text>
    </comment>
  </commentList>
</comments>
</file>

<file path=xl/sharedStrings.xml><?xml version="1.0" encoding="utf-8"?>
<sst xmlns="http://schemas.openxmlformats.org/spreadsheetml/2006/main" count="876" uniqueCount="99">
  <si>
    <t>Maladie</t>
  </si>
  <si>
    <t>CP</t>
  </si>
  <si>
    <t>RTT</t>
  </si>
  <si>
    <t>Congé payé</t>
  </si>
  <si>
    <t>RTT / Récup</t>
  </si>
  <si>
    <t>Formation</t>
  </si>
  <si>
    <t>Congé exceptionnel</t>
  </si>
  <si>
    <t>CET</t>
  </si>
  <si>
    <t>FI (Formation interne)</t>
  </si>
  <si>
    <t>Nb Titulaire présent</t>
  </si>
  <si>
    <t>Nb Titulaire absent</t>
  </si>
  <si>
    <t>PTC</t>
  </si>
  <si>
    <t>TON chargé</t>
  </si>
  <si>
    <t>NAVETTE</t>
  </si>
  <si>
    <t>Part TON NAV / TON TE02</t>
  </si>
  <si>
    <t>TOTAL</t>
  </si>
  <si>
    <t>MOYENNE</t>
  </si>
  <si>
    <t>FO</t>
  </si>
  <si>
    <t>Taux remplissage NAV en TON</t>
  </si>
  <si>
    <t>Taux remplissage PARC en TON</t>
  </si>
  <si>
    <t>Taux Utilisation du Parc Propre</t>
  </si>
  <si>
    <t>Tolassy, Grégory ; Mikacic, Fabienne ;Morisot, Clement</t>
  </si>
  <si>
    <t>Date</t>
  </si>
  <si>
    <t>TON Chargé SsT</t>
  </si>
  <si>
    <t>TON Distribué TE02</t>
  </si>
  <si>
    <t>Part TON SsT / TON TE02</t>
  </si>
  <si>
    <t>MA</t>
  </si>
  <si>
    <t>KPI Transport Avril 2014 - TEO2</t>
  </si>
  <si>
    <t>KPI Transport Mai 2014 - TE02</t>
  </si>
  <si>
    <t>Sous-Traitance</t>
  </si>
  <si>
    <t>TON Sous-Traité</t>
  </si>
  <si>
    <t>Part TON Sous Traité / TON TE02</t>
  </si>
  <si>
    <t>Moyenne Mois TON Distribué TE02</t>
  </si>
  <si>
    <t>TON chargé NAV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</si>
  <si>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</si>
  <si>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</si>
  <si>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</si>
  <si>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</si>
  <si>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</si>
  <si>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</si>
  <si>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</si>
  <si>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</si>
  <si>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</si>
  <si>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</si>
  <si>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</si>
  <si>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</si>
  <si>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Taux Remplissage NAV </t>
  </si>
  <si>
    <t>Taux remplissage PARC</t>
  </si>
  <si>
    <t>Taux utilisation PARC</t>
  </si>
  <si>
    <t>TON Sous traité</t>
  </si>
  <si>
    <t>TON Sous traité / TON TE02</t>
  </si>
  <si>
    <t>TON NAV / TON TE02</t>
  </si>
  <si>
    <t>KPI Transport Janvier 2014 - TE02</t>
  </si>
  <si>
    <t>ABS</t>
  </si>
  <si>
    <t>CE</t>
  </si>
  <si>
    <t>AT</t>
  </si>
  <si>
    <t>MOYENNE 2014</t>
  </si>
  <si>
    <t>Réparation Janvier</t>
  </si>
  <si>
    <t>Réparation Février</t>
  </si>
  <si>
    <t>Réparation Mars</t>
  </si>
  <si>
    <t>Réparation Avril</t>
  </si>
  <si>
    <t>Jauge Tonnes Distribuées</t>
  </si>
  <si>
    <t>Jauge Montant réparations</t>
  </si>
  <si>
    <t>Montant entretiens réparations k-eur</t>
  </si>
  <si>
    <t>heures pour livré 1 TON</t>
  </si>
  <si>
    <t>minutes pour livré 1 TON</t>
  </si>
  <si>
    <t>Heures ouvrées / Chauffeurs MOYENNE</t>
  </si>
  <si>
    <t>Productivité Heures / TON</t>
  </si>
  <si>
    <t>Productivité TON / Heures</t>
  </si>
  <si>
    <t>KPI Transport Février 2014 - TE02</t>
  </si>
  <si>
    <t>KPI Transport Mars 2014 - TE02</t>
  </si>
  <si>
    <t>RH</t>
  </si>
  <si>
    <t>Productivité</t>
  </si>
  <si>
    <t>Indice Parc</t>
  </si>
  <si>
    <t>Entretiens et Réparations</t>
  </si>
  <si>
    <t>Titulaires présents</t>
  </si>
  <si>
    <t>Titulaires absents</t>
  </si>
  <si>
    <t xml:space="preserve">Productivité </t>
  </si>
  <si>
    <t xml:space="preserve"> RTT</t>
  </si>
  <si>
    <t xml:space="preserve"> CP</t>
  </si>
  <si>
    <t>Jours ouvrés</t>
  </si>
  <si>
    <t>Taux Absence Chauffeurs</t>
  </si>
  <si>
    <t>Hsupp Cumul 2014 (Hors 2013)</t>
  </si>
  <si>
    <t>Hsupp Cumul 2014 MOYENNE</t>
  </si>
  <si>
    <t>Hthéoriques mensuelles</t>
  </si>
  <si>
    <t>Tab des HS</t>
  </si>
  <si>
    <t>au 01/01/2014</t>
  </si>
  <si>
    <t>Hjournalière</t>
  </si>
  <si>
    <t>Tab des RTT</t>
  </si>
  <si>
    <t>au 31/01/2014</t>
  </si>
  <si>
    <t>Equivalent FTE Hsupp (chauffeurs)</t>
  </si>
  <si>
    <t>Equivalent FTE RTT (chauffeurs)</t>
  </si>
  <si>
    <t>Ratio FTE</t>
  </si>
  <si>
    <t>TON Distribuées TE02 TOTAL</t>
  </si>
  <si>
    <t>TON Distribué TE02 MOYENNE</t>
  </si>
  <si>
    <t>TON chargé TOTAL</t>
  </si>
  <si>
    <t>TON chargé MOYENNE</t>
  </si>
  <si>
    <t>Entretien Reparations / TON en Euros</t>
  </si>
  <si>
    <t>Tableaux de Bord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</si>
</sst>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FA7D00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66FF33"/>
      <name val="Webdings"/>
      <family val="1"/>
      <charset val="2"/>
    </font>
    <font>
      <sz val="11"/>
      <color rgb="FFFF0000"/>
      <name val="Webdings"/>
      <family val="1"/>
      <charset val="2"/>
    </font>
    <font>
      <sz val="11"/>
      <color theme="1"/>
      <name val="Webdings"/>
      <family val="1"/>
      <charset val="2"/>
    </font>
    <font>
      <sz val="11"/>
      <color theme="1"/>
      <name val="Cambria"/>
      <family val="1"/>
      <scheme val="major"/>
    </font>
    <font>
      <sz val="16"/>
      <color theme="1"/>
      <name val="Wingdings"/>
      <charset val="2"/>
    </font>
    <font>
      <sz val="22"/>
      <color theme="1"/>
      <name val="Calibri"/>
      <family val="2"/>
      <scheme val="minor"/>
    </font>
    <font>
      <sz val="11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6" applyNumberFormat="0" applyFill="0" applyAlignment="0" applyProtection="0"/>
    <xf numFmtId="0" fontId="10" fillId="0" borderId="0" applyNumberFormat="0" applyFill="0" applyBorder="0" applyAlignment="0" applyProtection="0"/>
  </cellStyleXfs>
  <cellXfs count="165">
    <xf numFmtId="0" fontId="0" fillId="0" borderId="0" xfId="0"/>
    <xf numFmtId="0" fontId="2" fillId="0" borderId="0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3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4" borderId="1" xfId="1" applyFont="1" applyFill="1" applyBorder="1" applyAlignment="1">
      <alignment horizontal="center"/>
    </xf>
    <xf numFmtId="0" fontId="2" fillId="6" borderId="1" xfId="1" applyFont="1" applyFill="1" applyBorder="1" applyAlignment="1">
      <alignment horizontal="center"/>
    </xf>
    <xf numFmtId="0" fontId="2" fillId="5" borderId="1" xfId="1" applyFont="1" applyFill="1" applyBorder="1" applyAlignment="1">
      <alignment horizontal="center"/>
    </xf>
    <xf numFmtId="0" fontId="2" fillId="7" borderId="1" xfId="1" applyFont="1" applyFill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2" fillId="3" borderId="0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2" fillId="4" borderId="0" xfId="1" applyFont="1" applyFill="1" applyBorder="1" applyAlignment="1">
      <alignment horizontal="center"/>
    </xf>
    <xf numFmtId="0" fontId="2" fillId="5" borderId="0" xfId="1" applyFont="1" applyFill="1" applyBorder="1" applyAlignment="1">
      <alignment horizontal="center"/>
    </xf>
    <xf numFmtId="0" fontId="2" fillId="10" borderId="1" xfId="1" applyFont="1" applyFill="1" applyBorder="1" applyAlignment="1">
      <alignment horizontal="center"/>
    </xf>
    <xf numFmtId="0" fontId="2" fillId="0" borderId="2" xfId="1" applyFont="1" applyBorder="1" applyAlignment="1"/>
    <xf numFmtId="16" fontId="0" fillId="0" borderId="1" xfId="0" applyNumberFormat="1" applyBorder="1"/>
    <xf numFmtId="0" fontId="2" fillId="13" borderId="2" xfId="1" applyFont="1" applyFill="1" applyBorder="1" applyAlignment="1"/>
    <xf numFmtId="16" fontId="0" fillId="9" borderId="1" xfId="0" applyNumberFormat="1" applyFill="1" applyBorder="1"/>
    <xf numFmtId="0" fontId="2" fillId="12" borderId="0" xfId="1" applyFont="1" applyFill="1" applyBorder="1" applyAlignment="1"/>
    <xf numFmtId="0" fontId="0" fillId="0" borderId="0" xfId="0"/>
    <xf numFmtId="0" fontId="3" fillId="8" borderId="1" xfId="0" applyFont="1" applyFill="1" applyBorder="1"/>
    <xf numFmtId="0" fontId="3" fillId="13" borderId="1" xfId="0" applyFont="1" applyFill="1" applyBorder="1"/>
    <xf numFmtId="0" fontId="4" fillId="13" borderId="1" xfId="0" applyFont="1" applyFill="1" applyBorder="1"/>
    <xf numFmtId="0" fontId="2" fillId="6" borderId="0" xfId="1" applyFont="1" applyFill="1" applyBorder="1" applyAlignment="1">
      <alignment horizontal="center"/>
    </xf>
    <xf numFmtId="0" fontId="2" fillId="7" borderId="0" xfId="1" applyFont="1" applyFill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13" borderId="1" xfId="0" applyFill="1" applyBorder="1"/>
    <xf numFmtId="0" fontId="0" fillId="10" borderId="1" xfId="0" applyFill="1" applyBorder="1"/>
    <xf numFmtId="0" fontId="3" fillId="10" borderId="1" xfId="0" applyFont="1" applyFill="1" applyBorder="1"/>
    <xf numFmtId="164" fontId="0" fillId="0" borderId="1" xfId="0" applyNumberFormat="1" applyBorder="1"/>
    <xf numFmtId="164" fontId="0" fillId="0" borderId="0" xfId="0" applyNumberFormat="1"/>
    <xf numFmtId="16" fontId="0" fillId="0" borderId="3" xfId="0" applyNumberFormat="1" applyBorder="1"/>
    <xf numFmtId="16" fontId="0" fillId="9" borderId="3" xfId="0" applyNumberFormat="1" applyFill="1" applyBorder="1"/>
    <xf numFmtId="0" fontId="2" fillId="10" borderId="0" xfId="1" applyFont="1" applyFill="1" applyBorder="1" applyAlignment="1"/>
    <xf numFmtId="0" fontId="0" fillId="13" borderId="1" xfId="0" applyFill="1" applyBorder="1" applyAlignment="1">
      <alignment horizontal="right"/>
    </xf>
    <xf numFmtId="0" fontId="0" fillId="9" borderId="1" xfId="0" applyFill="1" applyBorder="1" applyAlignment="1">
      <alignment horizontal="right"/>
    </xf>
    <xf numFmtId="0" fontId="0" fillId="0" borderId="1" xfId="0" applyBorder="1" applyAlignment="1">
      <alignment horizontal="right"/>
    </xf>
    <xf numFmtId="164" fontId="0" fillId="13" borderId="1" xfId="0" applyNumberFormat="1" applyFill="1" applyBorder="1" applyAlignment="1">
      <alignment horizontal="right"/>
    </xf>
    <xf numFmtId="164" fontId="0" fillId="9" borderId="1" xfId="0" applyNumberFormat="1" applyFill="1" applyBorder="1" applyAlignment="1">
      <alignment horizontal="right"/>
    </xf>
    <xf numFmtId="0" fontId="0" fillId="10" borderId="1" xfId="0" applyFill="1" applyBorder="1" applyAlignment="1">
      <alignment horizontal="right"/>
    </xf>
    <xf numFmtId="0" fontId="2" fillId="10" borderId="0" xfId="1" applyFont="1" applyFill="1" applyBorder="1" applyAlignment="1">
      <alignment horizontal="center"/>
    </xf>
    <xf numFmtId="0" fontId="0" fillId="11" borderId="1" xfId="0" applyFill="1" applyBorder="1" applyAlignment="1">
      <alignment horizontal="right"/>
    </xf>
    <xf numFmtId="164" fontId="0" fillId="8" borderId="1" xfId="0" applyNumberFormat="1" applyFill="1" applyBorder="1" applyAlignment="1">
      <alignment horizontal="right"/>
    </xf>
    <xf numFmtId="164" fontId="0" fillId="10" borderId="1" xfId="0" applyNumberFormat="1" applyFill="1" applyBorder="1"/>
    <xf numFmtId="2" fontId="0" fillId="10" borderId="1" xfId="0" applyNumberFormat="1" applyFill="1" applyBorder="1"/>
    <xf numFmtId="2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14" borderId="1" xfId="0" applyFill="1" applyBorder="1" applyAlignment="1">
      <alignment horizontal="right"/>
    </xf>
    <xf numFmtId="0" fontId="0" fillId="15" borderId="1" xfId="0" applyFill="1" applyBorder="1" applyAlignment="1">
      <alignment horizontal="right"/>
    </xf>
    <xf numFmtId="14" fontId="0" fillId="0" borderId="0" xfId="0" applyNumberFormat="1"/>
    <xf numFmtId="0" fontId="2" fillId="10" borderId="1" xfId="1" applyFont="1" applyFill="1" applyBorder="1" applyAlignment="1"/>
    <xf numFmtId="164" fontId="0" fillId="0" borderId="1" xfId="0" applyNumberFormat="1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16" fontId="0" fillId="0" borderId="1" xfId="0" applyNumberFormat="1" applyFill="1" applyBorder="1"/>
    <xf numFmtId="2" fontId="0" fillId="0" borderId="1" xfId="0" applyNumberFormat="1" applyFill="1" applyBorder="1" applyAlignment="1">
      <alignment horizontal="right"/>
    </xf>
    <xf numFmtId="16" fontId="0" fillId="0" borderId="3" xfId="0" applyNumberFormat="1" applyFill="1" applyBorder="1"/>
    <xf numFmtId="0" fontId="0" fillId="9" borderId="1" xfId="0" applyFill="1" applyBorder="1"/>
    <xf numFmtId="16" fontId="0" fillId="0" borderId="0" xfId="0" applyNumberFormat="1" applyBorder="1"/>
    <xf numFmtId="0" fontId="0" fillId="0" borderId="0" xfId="0" applyBorder="1"/>
    <xf numFmtId="2" fontId="0" fillId="0" borderId="1" xfId="0" applyNumberFormat="1" applyBorder="1"/>
    <xf numFmtId="0" fontId="0" fillId="10" borderId="0" xfId="0" applyFill="1"/>
    <xf numFmtId="0" fontId="0" fillId="0" borderId="5" xfId="0" applyFill="1" applyBorder="1"/>
    <xf numFmtId="2" fontId="0" fillId="9" borderId="1" xfId="0" applyNumberFormat="1" applyFill="1" applyBorder="1"/>
    <xf numFmtId="164" fontId="0" fillId="9" borderId="1" xfId="0" applyNumberFormat="1" applyFill="1" applyBorder="1"/>
    <xf numFmtId="0" fontId="0" fillId="0" borderId="1" xfId="0" applyFill="1" applyBorder="1"/>
    <xf numFmtId="2" fontId="0" fillId="0" borderId="1" xfId="0" applyNumberFormat="1" applyFill="1" applyBorder="1"/>
    <xf numFmtId="164" fontId="0" fillId="0" borderId="1" xfId="0" applyNumberFormat="1" applyFill="1" applyBorder="1"/>
    <xf numFmtId="0" fontId="0" fillId="0" borderId="0" xfId="0" applyFill="1"/>
    <xf numFmtId="2" fontId="0" fillId="0" borderId="0" xfId="0" applyNumberFormat="1" applyFill="1"/>
    <xf numFmtId="0" fontId="0" fillId="0" borderId="0" xfId="0" applyFill="1" applyAlignment="1">
      <alignment horizontal="center"/>
    </xf>
    <xf numFmtId="164" fontId="0" fillId="0" borderId="0" xfId="0" applyNumberFormat="1" applyFill="1" applyAlignment="1">
      <alignment horizontal="center"/>
    </xf>
    <xf numFmtId="164" fontId="0" fillId="0" borderId="0" xfId="0" applyNumberFormat="1" applyFill="1"/>
    <xf numFmtId="16" fontId="0" fillId="0" borderId="0" xfId="0" applyNumberFormat="1" applyFill="1" applyBorder="1"/>
    <xf numFmtId="0" fontId="0" fillId="0" borderId="0" xfId="0" applyFill="1" applyBorder="1"/>
    <xf numFmtId="0" fontId="0" fillId="9" borderId="0" xfId="0" applyFill="1"/>
    <xf numFmtId="164" fontId="0" fillId="0" borderId="0" xfId="0" applyNumberFormat="1" applyFill="1" applyBorder="1"/>
    <xf numFmtId="2" fontId="0" fillId="0" borderId="0" xfId="0" applyNumberFormat="1" applyFill="1" applyBorder="1"/>
    <xf numFmtId="2" fontId="5" fillId="0" borderId="6" xfId="2" applyNumberFormat="1"/>
    <xf numFmtId="2" fontId="0" fillId="13" borderId="1" xfId="0" applyNumberFormat="1" applyFill="1" applyBorder="1" applyAlignment="1">
      <alignment horizontal="right"/>
    </xf>
    <xf numFmtId="2" fontId="0" fillId="0" borderId="1" xfId="0" applyNumberFormat="1" applyBorder="1" applyAlignment="1">
      <alignment horizontal="right"/>
    </xf>
    <xf numFmtId="2" fontId="0" fillId="8" borderId="1" xfId="0" applyNumberFormat="1" applyFill="1" applyBorder="1" applyAlignment="1">
      <alignment horizontal="right"/>
    </xf>
    <xf numFmtId="0" fontId="6" fillId="0" borderId="0" xfId="0" applyFont="1" applyBorder="1" applyAlignment="1">
      <alignment horizontal="center" vertical="center"/>
    </xf>
    <xf numFmtId="165" fontId="0" fillId="0" borderId="0" xfId="0" applyNumberFormat="1" applyFill="1" applyBorder="1"/>
    <xf numFmtId="164" fontId="0" fillId="16" borderId="0" xfId="0" applyNumberFormat="1" applyFill="1" applyAlignment="1">
      <alignment horizontal="center"/>
    </xf>
    <xf numFmtId="0" fontId="0" fillId="16" borderId="0" xfId="0" applyFill="1" applyBorder="1"/>
    <xf numFmtId="164" fontId="0" fillId="10" borderId="1" xfId="0" applyNumberFormat="1" applyFill="1" applyBorder="1" applyAlignment="1">
      <alignment horizontal="center"/>
    </xf>
    <xf numFmtId="2" fontId="0" fillId="10" borderId="1" xfId="0" applyNumberForma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22" fontId="0" fillId="0" borderId="0" xfId="0" applyNumberFormat="1"/>
    <xf numFmtId="0" fontId="0" fillId="10" borderId="1" xfId="0" applyFill="1" applyBorder="1" applyAlignment="1">
      <alignment horizontal="center"/>
    </xf>
    <xf numFmtId="14" fontId="0" fillId="0" borderId="1" xfId="0" applyNumberFormat="1" applyBorder="1"/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5" xfId="0" applyNumberFormat="1" applyFill="1" applyBorder="1"/>
    <xf numFmtId="0" fontId="0" fillId="17" borderId="1" xfId="0" applyFill="1" applyBorder="1" applyAlignment="1">
      <alignment horizontal="right"/>
    </xf>
    <xf numFmtId="0" fontId="3" fillId="10" borderId="1" xfId="0" applyFont="1" applyFill="1" applyBorder="1" applyAlignment="1">
      <alignment horizontal="right"/>
    </xf>
    <xf numFmtId="0" fontId="0" fillId="16" borderId="1" xfId="0" applyFill="1" applyBorder="1" applyAlignment="1">
      <alignment horizontal="right"/>
    </xf>
    <xf numFmtId="2" fontId="0" fillId="0" borderId="5" xfId="0" applyNumberFormat="1" applyFill="1" applyBorder="1"/>
    <xf numFmtId="164" fontId="0" fillId="0" borderId="0" xfId="0" applyNumberFormat="1" applyBorder="1"/>
    <xf numFmtId="0" fontId="10" fillId="0" borderId="0" xfId="3"/>
    <xf numFmtId="0" fontId="3" fillId="0" borderId="1" xfId="3" applyFont="1" applyBorder="1"/>
    <xf numFmtId="0" fontId="0" fillId="0" borderId="3" xfId="0" applyFill="1" applyBorder="1" applyAlignment="1">
      <alignment horizontal="center" vertical="center"/>
    </xf>
    <xf numFmtId="0" fontId="12" fillId="0" borderId="7" xfId="0" applyFont="1" applyBorder="1"/>
    <xf numFmtId="0" fontId="0" fillId="1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0" xfId="0" applyFont="1"/>
    <xf numFmtId="0" fontId="0" fillId="0" borderId="1" xfId="0" applyBorder="1" applyAlignment="1">
      <alignment horizontal="center" vertical="center" wrapText="1"/>
    </xf>
    <xf numFmtId="0" fontId="14" fillId="0" borderId="0" xfId="0" applyFont="1"/>
    <xf numFmtId="0" fontId="0" fillId="18" borderId="1" xfId="0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13" borderId="1" xfId="0" applyFill="1" applyBorder="1" applyAlignment="1">
      <alignment horizontal="center" vertical="center" wrapText="1"/>
    </xf>
    <xf numFmtId="164" fontId="0" fillId="13" borderId="1" xfId="0" applyNumberFormat="1" applyFill="1" applyBorder="1" applyAlignment="1">
      <alignment horizontal="center"/>
    </xf>
    <xf numFmtId="2" fontId="0" fillId="13" borderId="1" xfId="0" applyNumberFormat="1" applyFill="1" applyBorder="1" applyAlignment="1">
      <alignment horizontal="center"/>
    </xf>
    <xf numFmtId="0" fontId="0" fillId="19" borderId="1" xfId="0" applyFill="1" applyBorder="1" applyAlignment="1">
      <alignment horizontal="center" vertical="center" wrapText="1"/>
    </xf>
    <xf numFmtId="2" fontId="0" fillId="0" borderId="0" xfId="0" applyNumberFormat="1" applyAlignment="1">
      <alignment horizontal="right"/>
    </xf>
    <xf numFmtId="2" fontId="0" fillId="18" borderId="1" xfId="0" applyNumberForma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11" fillId="0" borderId="3" xfId="0" applyNumberFormat="1" applyFont="1" applyFill="1" applyBorder="1" applyAlignment="1">
      <alignment horizontal="left"/>
    </xf>
    <xf numFmtId="2" fontId="0" fillId="19" borderId="1" xfId="0" applyNumberFormat="1" applyFill="1" applyBorder="1" applyAlignment="1">
      <alignment horizontal="center"/>
    </xf>
    <xf numFmtId="9" fontId="0" fillId="0" borderId="0" xfId="0" applyNumberFormat="1"/>
    <xf numFmtId="0" fontId="0" fillId="11" borderId="0" xfId="0" applyFill="1"/>
    <xf numFmtId="0" fontId="0" fillId="13" borderId="0" xfId="0" applyFill="1"/>
    <xf numFmtId="164" fontId="0" fillId="0" borderId="1" xfId="0" applyNumberFormat="1" applyFill="1" applyBorder="1" applyAlignment="1">
      <alignment horizontal="center"/>
    </xf>
    <xf numFmtId="0" fontId="0" fillId="0" borderId="1" xfId="0" applyNumberFormat="1" applyBorder="1"/>
    <xf numFmtId="0" fontId="0" fillId="19" borderId="1" xfId="0" applyFill="1" applyBorder="1" applyAlignment="1">
      <alignment horizontal="center"/>
    </xf>
    <xf numFmtId="0" fontId="0" fillId="0" borderId="0" xfId="0" applyNumberFormat="1"/>
    <xf numFmtId="0" fontId="0" fillId="0" borderId="9" xfId="0" applyBorder="1"/>
    <xf numFmtId="0" fontId="0" fillId="0" borderId="10" xfId="0" applyBorder="1"/>
    <xf numFmtId="0" fontId="0" fillId="20" borderId="1" xfId="0" applyFill="1" applyBorder="1" applyAlignment="1">
      <alignment horizontal="center" vertical="center" wrapText="1"/>
    </xf>
    <xf numFmtId="0" fontId="0" fillId="17" borderId="1" xfId="0" applyFill="1" applyBorder="1" applyAlignment="1">
      <alignment horizontal="center" vertical="center" wrapText="1"/>
    </xf>
    <xf numFmtId="2" fontId="0" fillId="17" borderId="1" xfId="0" applyNumberFormat="1" applyFill="1" applyBorder="1" applyAlignment="1">
      <alignment horizontal="center"/>
    </xf>
    <xf numFmtId="164" fontId="0" fillId="17" borderId="1" xfId="0" applyNumberFormat="1" applyFill="1" applyBorder="1" applyAlignment="1">
      <alignment horizontal="center"/>
    </xf>
    <xf numFmtId="0" fontId="0" fillId="22" borderId="1" xfId="0" applyFill="1" applyBorder="1" applyAlignment="1">
      <alignment horizontal="center" vertical="center" wrapText="1"/>
    </xf>
    <xf numFmtId="2" fontId="0" fillId="22" borderId="1" xfId="0" applyNumberFormat="1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2" fontId="0" fillId="20" borderId="1" xfId="0" applyNumberFormat="1" applyFont="1" applyFill="1" applyBorder="1" applyAlignment="1">
      <alignment horizontal="center"/>
    </xf>
    <xf numFmtId="0" fontId="0" fillId="21" borderId="1" xfId="0" applyFill="1" applyBorder="1" applyAlignment="1">
      <alignment horizontal="center" vertical="center" wrapText="1"/>
    </xf>
    <xf numFmtId="164" fontId="0" fillId="21" borderId="1" xfId="0" applyNumberFormat="1" applyFill="1" applyBorder="1" applyAlignment="1">
      <alignment horizontal="center"/>
    </xf>
    <xf numFmtId="0" fontId="0" fillId="23" borderId="1" xfId="0" applyFill="1" applyBorder="1" applyAlignment="1">
      <alignment horizontal="center" vertical="center" wrapText="1"/>
    </xf>
    <xf numFmtId="164" fontId="15" fillId="23" borderId="1" xfId="0" applyNumberFormat="1" applyFont="1" applyFill="1" applyBorder="1" applyAlignment="1">
      <alignment horizontal="center"/>
    </xf>
    <xf numFmtId="164" fontId="0" fillId="13" borderId="3" xfId="0" applyNumberFormat="1" applyFill="1" applyBorder="1" applyAlignment="1">
      <alignment horizontal="center"/>
    </xf>
    <xf numFmtId="0" fontId="0" fillId="0" borderId="0" xfId="0" applyBorder="1" applyAlignment="1"/>
    <xf numFmtId="0" fontId="0" fillId="0" borderId="1" xfId="0" applyBorder="1" applyAlignment="1"/>
    <xf numFmtId="0" fontId="0" fillId="10" borderId="1" xfId="0" applyFill="1" applyBorder="1" applyAlignment="1"/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6" fillId="17" borderId="11" xfId="0" applyFont="1" applyFill="1" applyBorder="1" applyAlignment="1">
      <alignment horizontal="center" vertical="center"/>
    </xf>
    <xf numFmtId="0" fontId="16" fillId="17" borderId="12" xfId="0" applyFont="1" applyFill="1" applyBorder="1" applyAlignment="1">
      <alignment horizontal="center" vertical="center"/>
    </xf>
    <xf numFmtId="0" fontId="16" fillId="17" borderId="13" xfId="0" applyFont="1" applyFill="1" applyBorder="1" applyAlignment="1">
      <alignment horizontal="center" vertical="center"/>
    </xf>
    <xf numFmtId="0" fontId="16" fillId="17" borderId="14" xfId="0" applyFont="1" applyFill="1" applyBorder="1" applyAlignment="1">
      <alignment horizontal="center" vertical="center"/>
    </xf>
    <xf numFmtId="0" fontId="16" fillId="17" borderId="8" xfId="0" applyFont="1" applyFill="1" applyBorder="1" applyAlignment="1">
      <alignment horizontal="center" vertical="center"/>
    </xf>
    <xf numFmtId="0" fontId="16" fillId="17" borderId="15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9" fillId="10" borderId="0" xfId="0" applyFont="1" applyFill="1" applyAlignment="1">
      <alignment horizontal="center" vertical="center"/>
    </xf>
    <xf numFmtId="0" fontId="16" fillId="23" borderId="1" xfId="0" applyFont="1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16" fillId="22" borderId="1" xfId="0" applyFont="1" applyFill="1" applyBorder="1" applyAlignment="1">
      <alignment horizontal="center" vertical="center"/>
    </xf>
  </cellXfs>
  <cellStyles count="4">
    <cellStyle name="Cellule liée" xfId="2" builtinId="24"/>
    <cellStyle name="Lien hypertexte" xfId="3" builtinId="8"/>
    <cellStyle name="Normal" xfId="0" builtinId="0"/>
    <cellStyle name="Normal 2" xfId="1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99CC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Sous-Traitance - Avril 2014</a:t>
            </a:r>
          </a:p>
        </c:rich>
      </c:tx>
      <c:overlay val="1"/>
    </c:title>
    <c:autoTitleDeleted val="0"/>
    <c:plotArea>
      <c:layout>
        <c:manualLayout>
          <c:layoutTarget val="inner"/>
          <c:xMode val="edge"/>
          <c:yMode val="edge"/>
          <c:x val="7.149053303831783E-2"/>
          <c:y val="0.17511368114162215"/>
          <c:w val="0.57573617441903191"/>
          <c:h val="0.72345687369003786"/>
        </c:manualLayout>
      </c:layout>
      <c:pieChart>
        <c:varyColors val="1"/>
        <c:ser>
          <c:idx val="0"/>
          <c:order val="0"/>
          <c:dPt>
            <c:idx val="0"/>
            <c:bubble3D val="0"/>
            <c:explosion val="3"/>
          </c:dPt>
          <c:dLbls>
            <c:numFmt formatCode="#,000%" sourceLinked="0"/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numRef>
              <c:f>Avril!$A$79:$A$87</c:f>
              <c:numCache>
                <c:formatCode>Standard</c:formatCode>
                <c:ptCount val="9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</c:numCache>
            </c:numRef>
          </c:cat>
          <c:val>
            <c:numRef>
              <c:f>Avril!$BB$79:$BB$87</c:f>
              <c:numCache>
                <c:formatCode>0,00</c:formatCode>
                <c:ptCount val="9"/>
                <c:pt idx="0">
                  <c:v>292.03100000000001</c:v>
                </c:pt>
                <c:pt idx="1">
                  <c:v>43.533999999999999</c:v>
                </c:pt>
                <c:pt idx="2">
                  <c:v>38.997</c:v>
                </c:pt>
                <c:pt idx="3">
                  <c:v>51.354999999999997</c:v>
                </c:pt>
                <c:pt idx="4">
                  <c:v>2.0249999999999999</c:v>
                </c:pt>
                <c:pt idx="5">
                  <c:v>4.1210000000000004</c:v>
                </c:pt>
                <c:pt idx="6">
                  <c:v>21.602</c:v>
                </c:pt>
                <c:pt idx="7">
                  <c:v>1.02</c:v>
                </c:pt>
                <c:pt idx="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7743110236220472"/>
          <c:y val="0.12327245552639253"/>
          <c:w val="0.30868000874890639"/>
          <c:h val="0.79829979910892357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numRef>
              <c:f>Mai!$A$79:$A$87</c:f>
              <c:numCache>
                <c:formatCode>Standard</c:formatCode>
                <c:ptCount val="9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4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</c:numCache>
            </c:numRef>
          </c:cat>
          <c:val>
            <c:numRef>
              <c:f>Mai!$BA$79:$BA$87</c:f>
              <c:numCache>
                <c:formatCode>0,0</c:formatCode>
                <c:ptCount val="9"/>
                <c:pt idx="0">
                  <c:v>183.27599999999998</c:v>
                </c:pt>
                <c:pt idx="1">
                  <c:v>49.463999999999999</c:v>
                </c:pt>
                <c:pt idx="2">
                  <c:v>34.610999999999997</c:v>
                </c:pt>
                <c:pt idx="3">
                  <c:v>13.641</c:v>
                </c:pt>
                <c:pt idx="4">
                  <c:v>50.673000000000002</c:v>
                </c:pt>
                <c:pt idx="5">
                  <c:v>7.3739999999999997</c:v>
                </c:pt>
                <c:pt idx="6">
                  <c:v>23.943000000000001</c:v>
                </c:pt>
                <c:pt idx="7">
                  <c:v>2.8180000000000001</c:v>
                </c:pt>
                <c:pt idx="8">
                  <c:v>7.3689999999999998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68020888013998249"/>
          <c:y val="0.12327245552639253"/>
          <c:w val="0.30868000874890639"/>
          <c:h val="0.7534547244094488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276224</xdr:colOff>
      <xdr:row>6</xdr:row>
      <xdr:rowOff>19050</xdr:rowOff>
    </xdr:from>
    <xdr:to>
      <xdr:col>4</xdr:col>
      <xdr:colOff>571499</xdr:colOff>
      <xdr:row>10</xdr:row>
      <xdr:rowOff>152400</xdr:rowOff>
    </xdr:to>
    <xdr:pic macro="[0]!Macro2">
      <xdr:nvPicPr>
        <xdr:cNvPr id="4" name="Picture 6" descr="http://t2.gstatic.com/images?q=tbn:OMk-uwbFsvOzRM:http://s3.amazonaws.com/pixmac-preview/an-illustration-of-an-envelope-open-with-an-emerging-symbol.jp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38624" y="1162050"/>
          <a:ext cx="1343025" cy="89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56</xdr:col>
      <xdr:colOff>9</xdr:colOff>
      <xdr:row>75</xdr:row>
      <xdr:rowOff>108858</xdr:rowOff>
    </xdr:from>
    <xdr:to>
      <xdr:col>63</xdr:col>
      <xdr:colOff>394607</xdr:colOff>
      <xdr:row>97</xdr:row>
      <xdr:rowOff>54428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54</xdr:col>
      <xdr:colOff>595313</xdr:colOff>
      <xdr:row>81</xdr:row>
      <xdr:rowOff>27382</xdr:rowOff>
    </xdr:from>
    <xdr:to>
      <xdr:col>60</xdr:col>
      <xdr:colOff>595313</xdr:colOff>
      <xdr:row>95</xdr:row>
      <xdr:rowOff>103582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1</xdr:row>
          <xdr:rowOff>95250</xdr:rowOff>
        </xdr:from>
        <xdr:to>
          <xdr:col>1</xdr:col>
          <xdr:colOff>419100</xdr:colOff>
          <xdr:row>2</xdr:row>
          <xdr:rowOff>180975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RH Masquer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3</xdr:row>
          <xdr:rowOff>95250</xdr:rowOff>
        </xdr:from>
        <xdr:to>
          <xdr:col>1</xdr:col>
          <xdr:colOff>409575</xdr:colOff>
          <xdr:row>4</xdr:row>
          <xdr:rowOff>152400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RH 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hyperlink" Target="../Local%20Settings/Temp/TE02_Entretien_V&#233;hicule.xlsx" TargetMode="External"/><Relationship Id="rId7" Type="http://schemas.openxmlformats.org/officeDocument/2006/relationships/vmlDrawing" Target="../drawings/vmlDrawing2.vml"/><Relationship Id="rId2" Type="http://schemas.openxmlformats.org/officeDocument/2006/relationships/hyperlink" Target="../Local%20Settings/Temp/TE02_Entretien_V&#233;hicule.xlsx" TargetMode="External"/><Relationship Id="rId1" Type="http://schemas.openxmlformats.org/officeDocument/2006/relationships/hyperlink" Target="../Local%20Settings/Temp/TE02_Entretien_V&#233;hicule.xlsx" TargetMode="External"/><Relationship Id="rId6" Type="http://schemas.openxmlformats.org/officeDocument/2006/relationships/drawing" Target="../drawings/drawing4.xml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../Local%20Settings/Temp/TE02_Entretien_V&#233;hicule.xlsx" TargetMode="External"/><Relationship Id="rId9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3"/>
  <sheetViews>
    <sheetView workbookViewId="0">
      <selection activeCell="B5" sqref="B5"/>
    </sheetView>
  </sheetViews>
  <sheetFormatPr baseColWidth="10" defaultRowHeight="15" x14ac:dyDescent="0.25"/>
  <cols>
    <col min="1" max="1" width="35" customWidth="1"/>
    <col min="2" max="2" width="13" customWidth="1"/>
    <col min="4" max="4" width="15.7109375" bestFit="1" customWidth="1"/>
    <col min="5" max="5" width="19.7109375" customWidth="1"/>
    <col min="6" max="6" width="18.7109375" customWidth="1"/>
  </cols>
  <sheetData>
    <row r="1" spans="1:6" x14ac:dyDescent="0.25">
      <c r="D1" s="93" t="str">
        <f ca="1">TEXT(TODAY(),"mmmm")</f>
        <v>mai</v>
      </c>
    </row>
    <row r="2" spans="1:6" x14ac:dyDescent="0.25">
      <c r="A2" t="s">
        <v>21</v>
      </c>
    </row>
    <row r="3" spans="1:6" x14ac:dyDescent="0.25">
      <c r="A3" t="s">
        <v>22</v>
      </c>
      <c r="B3" s="94">
        <f ca="1">TODAY()</f>
        <v>41786</v>
      </c>
      <c r="D3" s="92"/>
      <c r="E3" s="92"/>
      <c r="F3" s="92"/>
    </row>
    <row r="5" spans="1:6" x14ac:dyDescent="0.25">
      <c r="A5" s="54" t="s">
        <v>9</v>
      </c>
      <c r="B5" t="str">
        <f ca="1">INDEX(INDIRECT($D$1&amp;"!30:30"),1,MATCH($B$3,INDIRECT($D$1&amp;"!10:10"),0))</f>
        <v/>
      </c>
    </row>
    <row r="6" spans="1:6" x14ac:dyDescent="0.25">
      <c r="A6" s="54" t="s">
        <v>10</v>
      </c>
      <c r="B6" s="26" t="str">
        <f ca="1">INDEX(INDIRECT($D$1&amp;"!31:31"),1,MATCH($B$3,INDIRECT($D$1&amp;"!10:10"),0))</f>
        <v/>
      </c>
    </row>
    <row r="7" spans="1:6" x14ac:dyDescent="0.25">
      <c r="B7" s="26"/>
    </row>
    <row r="8" spans="1:6" x14ac:dyDescent="0.25">
      <c r="A8" s="30" t="s">
        <v>12</v>
      </c>
      <c r="B8" s="47">
        <f ca="1">ROUND(INDEX(INDIRECT($D$1&amp;"!59:59"),1,MATCH($B$3,INDIRECT($D$1&amp;"!10:10"),0)),2)</f>
        <v>28</v>
      </c>
    </row>
    <row r="9" spans="1:6" x14ac:dyDescent="0.25">
      <c r="A9" s="30" t="s">
        <v>19</v>
      </c>
      <c r="B9" s="47">
        <f ca="1">ROUND(INDEX(INDIRECT($D$1&amp;"!60:60"),1,MATCH($B$3,INDIRECT($D$1&amp;"!10:10"),0)),2)</f>
        <v>1.17</v>
      </c>
    </row>
    <row r="10" spans="1:6" x14ac:dyDescent="0.25">
      <c r="A10" s="26"/>
      <c r="B10" s="26"/>
    </row>
    <row r="11" spans="1:6" x14ac:dyDescent="0.25">
      <c r="A11" s="30" t="s">
        <v>20</v>
      </c>
      <c r="B11" s="26">
        <f ca="1">ROUND(INDEX(INDIRECT($D$1&amp;"!62:62"),1,MATCH($B$3,INDIRECT($D$1&amp;"!10:10"),0)),2)</f>
        <v>0.05</v>
      </c>
    </row>
    <row r="12" spans="1:6" x14ac:dyDescent="0.25">
      <c r="B12" s="26"/>
    </row>
    <row r="13" spans="1:6" x14ac:dyDescent="0.25">
      <c r="A13" s="30" t="s">
        <v>18</v>
      </c>
      <c r="B13" s="47">
        <f ca="1">ROUND(INDEX(INDIRECT($D$1&amp;"!72:72"),1,MATCH($B$3,INDIRECT($D$1&amp;"!10:10"),0)),2)</f>
        <v>1.04</v>
      </c>
    </row>
    <row r="14" spans="1:6" x14ac:dyDescent="0.25">
      <c r="A14" s="26"/>
      <c r="B14" s="26"/>
    </row>
    <row r="15" spans="1:6" x14ac:dyDescent="0.25">
      <c r="A15" s="29" t="s">
        <v>14</v>
      </c>
      <c r="B15" s="47">
        <f ca="1">ROUND(INDEX(INDIRECT($D$1&amp;"!75:75"),1,MATCH($B$3,INDIRECT($D$1&amp;"!10:10"),0)),2)</f>
        <v>0.47</v>
      </c>
    </row>
    <row r="16" spans="1:6" x14ac:dyDescent="0.25">
      <c r="B16" s="26"/>
    </row>
    <row r="17" spans="1:4" x14ac:dyDescent="0.25">
      <c r="A17" s="29" t="s">
        <v>30</v>
      </c>
      <c r="B17" s="47">
        <f ca="1">ROUND(INDEX(INDIRECT($D$1&amp;"!89:89"),1,MATCH($B$3,INDIRECT($D$1&amp;"!10:10"),0)),2)</f>
        <v>0</v>
      </c>
    </row>
    <row r="18" spans="1:4" x14ac:dyDescent="0.25">
      <c r="A18" s="26"/>
      <c r="B18" s="26"/>
    </row>
    <row r="19" spans="1:4" x14ac:dyDescent="0.25">
      <c r="A19" s="29" t="s">
        <v>31</v>
      </c>
      <c r="B19" s="47">
        <f ca="1">ROUND(INDEX(INDIRECT($D$1&amp;"!93:93"),1,MATCH($B$3,INDIRECT($D$1&amp;"!10:10"),0)),2)</f>
        <v>0</v>
      </c>
    </row>
    <row r="20" spans="1:4" x14ac:dyDescent="0.25">
      <c r="A20" s="26"/>
      <c r="B20" s="26"/>
    </row>
    <row r="21" spans="1:4" x14ac:dyDescent="0.25">
      <c r="A21" s="29" t="s">
        <v>24</v>
      </c>
      <c r="B21" s="47">
        <f ca="1">ROUND(INDEX(INDIRECT($D$1&amp;"!91:91"),1,MATCH($B$3,INDIRECT($D$1&amp;"!10:10"),0)),2)</f>
        <v>28</v>
      </c>
    </row>
    <row r="22" spans="1:4" x14ac:dyDescent="0.25">
      <c r="B22" s="26"/>
    </row>
    <row r="23" spans="1:4" x14ac:dyDescent="0.25">
      <c r="A23" s="29" t="s">
        <v>32</v>
      </c>
      <c r="B23" s="47">
        <f>ROUND((Mai!BB91),2)</f>
        <v>237.2</v>
      </c>
      <c r="D23" s="4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H104"/>
  <sheetViews>
    <sheetView zoomScale="70" zoomScaleNormal="7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B87" sqref="B87"/>
    </sheetView>
  </sheetViews>
  <sheetFormatPr baseColWidth="10" defaultRowHeight="15" x14ac:dyDescent="0.25"/>
  <cols>
    <col min="1" max="1" width="36.7109375" style="26" customWidth="1"/>
    <col min="2" max="2" width="6" style="26" customWidth="1"/>
    <col min="3" max="3" width="8.42578125" style="26" customWidth="1"/>
    <col min="4" max="4" width="9.28515625" style="26" customWidth="1"/>
    <col min="5" max="5" width="9.28515625" style="26" hidden="1" customWidth="1"/>
    <col min="6" max="6" width="9.28515625" style="26" customWidth="1"/>
    <col min="7" max="7" width="9.28515625" style="26" hidden="1" customWidth="1"/>
    <col min="8" max="8" width="9.7109375" style="26" customWidth="1"/>
    <col min="9" max="9" width="9.28515625" style="26" customWidth="1"/>
    <col min="10" max="10" width="9.7109375" style="26" customWidth="1"/>
    <col min="11" max="11" width="9.7109375" style="26" hidden="1" customWidth="1"/>
    <col min="12" max="12" width="9.42578125" style="26" customWidth="1"/>
    <col min="13" max="13" width="9.42578125" style="26" hidden="1" customWidth="1"/>
    <col min="14" max="14" width="9.5703125" style="26" customWidth="1"/>
    <col min="15" max="15" width="7.5703125" style="26" hidden="1" customWidth="1"/>
    <col min="16" max="16" width="9" style="26" customWidth="1"/>
    <col min="17" max="17" width="9" style="26" hidden="1" customWidth="1"/>
    <col min="18" max="18" width="8.28515625" style="26" customWidth="1"/>
    <col min="19" max="19" width="8.28515625" style="26" hidden="1" customWidth="1"/>
    <col min="20" max="20" width="8.5703125" style="26" customWidth="1"/>
    <col min="21" max="21" width="8.28515625" style="26" customWidth="1"/>
    <col min="22" max="22" width="8.85546875" style="26" customWidth="1"/>
    <col min="23" max="23" width="8.85546875" style="26" hidden="1" customWidth="1"/>
    <col min="24" max="24" width="8.85546875" style="26" customWidth="1"/>
    <col min="25" max="25" width="8.85546875" style="26" hidden="1" customWidth="1"/>
    <col min="26" max="26" width="8.42578125" style="26" customWidth="1"/>
    <col min="27" max="27" width="7.42578125" style="26" hidden="1" customWidth="1"/>
    <col min="28" max="28" width="9.140625" style="26" customWidth="1"/>
    <col min="29" max="29" width="9.140625" style="26" hidden="1" customWidth="1"/>
    <col min="30" max="30" width="8.5703125" style="26" customWidth="1"/>
    <col min="31" max="31" width="8.5703125" style="26" hidden="1" customWidth="1"/>
    <col min="32" max="32" width="8.5703125" style="26" customWidth="1"/>
    <col min="33" max="33" width="8.85546875" style="26" customWidth="1"/>
    <col min="34" max="34" width="9.5703125" style="26" customWidth="1"/>
    <col min="35" max="35" width="9.5703125" style="26" hidden="1" customWidth="1"/>
    <col min="36" max="36" width="8.5703125" style="26" customWidth="1"/>
    <col min="37" max="37" width="8.5703125" style="26" hidden="1" customWidth="1"/>
    <col min="38" max="38" width="9.28515625" style="26" customWidth="1"/>
    <col min="39" max="39" width="6.42578125" style="26" hidden="1" customWidth="1"/>
    <col min="40" max="40" width="9.140625" style="26" customWidth="1"/>
    <col min="41" max="41" width="9.140625" style="26" hidden="1" customWidth="1"/>
    <col min="42" max="42" width="8.85546875" style="26" customWidth="1"/>
    <col min="43" max="43" width="8.85546875" style="26" hidden="1" customWidth="1"/>
    <col min="44" max="45" width="9.140625" style="26" customWidth="1"/>
    <col min="46" max="46" width="9.28515625" style="26" customWidth="1"/>
    <col min="47" max="47" width="9.28515625" style="26" hidden="1" customWidth="1"/>
    <col min="48" max="48" width="8.85546875" style="26" customWidth="1"/>
    <col min="49" max="49" width="8.85546875" style="26" hidden="1" customWidth="1"/>
    <col min="50" max="50" width="8.85546875" style="26" customWidth="1"/>
    <col min="51" max="51" width="7.42578125" style="26" customWidth="1"/>
    <col min="52" max="54" width="8.85546875" style="26" customWidth="1"/>
    <col min="55" max="55" width="7.5703125" style="26" customWidth="1"/>
    <col min="56" max="56" width="8.7109375" style="26" customWidth="1"/>
    <col min="57" max="57" width="10" style="26" bestFit="1" customWidth="1"/>
    <col min="58" max="16384" width="11.42578125" style="26"/>
  </cols>
  <sheetData>
    <row r="1" spans="1:57" ht="12" customHeight="1" x14ac:dyDescent="0.25">
      <c r="A1" s="14"/>
      <c r="B1" s="42"/>
      <c r="C1" s="9" t="s">
        <v>3</v>
      </c>
      <c r="J1" s="9"/>
      <c r="K1" s="9"/>
      <c r="L1" s="9"/>
      <c r="M1" s="9"/>
      <c r="N1" s="9"/>
      <c r="O1" s="9"/>
      <c r="P1" s="9"/>
      <c r="Q1" s="9"/>
      <c r="R1" s="2"/>
      <c r="S1" s="9"/>
    </row>
    <row r="2" spans="1:57" ht="11.25" customHeight="1" x14ac:dyDescent="0.25">
      <c r="A2" s="3"/>
      <c r="B2" s="10"/>
      <c r="C2" s="9" t="s">
        <v>4</v>
      </c>
      <c r="J2" s="9"/>
      <c r="K2" s="9"/>
      <c r="L2" s="9"/>
      <c r="M2" s="9"/>
      <c r="N2" s="9"/>
      <c r="O2" s="9"/>
      <c r="P2" s="9"/>
      <c r="Q2" s="9"/>
      <c r="R2" s="2"/>
      <c r="S2" s="9"/>
    </row>
    <row r="3" spans="1:57" ht="12" customHeight="1" x14ac:dyDescent="0.25">
      <c r="A3" s="4"/>
      <c r="B3" s="11"/>
      <c r="C3" s="9" t="s">
        <v>0</v>
      </c>
      <c r="H3" s="151" t="s">
        <v>52</v>
      </c>
      <c r="I3" s="151"/>
      <c r="J3" s="151"/>
      <c r="K3" s="151"/>
      <c r="L3" s="151"/>
      <c r="M3" s="151"/>
      <c r="N3" s="151"/>
      <c r="O3" s="9"/>
      <c r="P3" s="9"/>
      <c r="Q3" s="9"/>
      <c r="R3" s="2"/>
      <c r="S3" s="9"/>
    </row>
    <row r="4" spans="1:57" ht="12" customHeight="1" x14ac:dyDescent="0.25">
      <c r="A4" s="5"/>
      <c r="B4" s="12"/>
      <c r="C4" s="9" t="s">
        <v>5</v>
      </c>
      <c r="H4" s="151"/>
      <c r="I4" s="151"/>
      <c r="J4" s="151"/>
      <c r="K4" s="151"/>
      <c r="L4" s="151"/>
      <c r="M4" s="151"/>
      <c r="N4" s="151"/>
      <c r="O4" s="9"/>
      <c r="P4" s="9"/>
      <c r="Q4" s="9"/>
      <c r="R4" s="2"/>
      <c r="S4" s="9"/>
    </row>
    <row r="5" spans="1:57" ht="11.25" customHeight="1" x14ac:dyDescent="0.25">
      <c r="A5" s="6"/>
      <c r="B5" s="24"/>
      <c r="C5" s="9" t="s">
        <v>6</v>
      </c>
      <c r="H5" s="151"/>
      <c r="I5" s="151"/>
      <c r="J5" s="151"/>
      <c r="K5" s="151"/>
      <c r="L5" s="151"/>
      <c r="M5" s="151"/>
      <c r="N5" s="151"/>
      <c r="O5" s="9"/>
      <c r="P5" s="9"/>
      <c r="Q5" s="9"/>
      <c r="R5" s="9"/>
      <c r="S5" s="9"/>
    </row>
    <row r="6" spans="1:57" ht="13.5" customHeight="1" x14ac:dyDescent="0.25">
      <c r="A6" s="7"/>
      <c r="B6" s="13"/>
      <c r="C6" s="9" t="s">
        <v>7</v>
      </c>
      <c r="H6" s="151"/>
      <c r="I6" s="151"/>
      <c r="J6" s="151"/>
      <c r="K6" s="151"/>
      <c r="L6" s="151"/>
      <c r="M6" s="151"/>
      <c r="N6" s="151"/>
      <c r="O6" s="9"/>
      <c r="P6" s="9"/>
      <c r="Q6" s="9"/>
      <c r="R6" s="9"/>
      <c r="S6" s="9"/>
    </row>
    <row r="7" spans="1:57" x14ac:dyDescent="0.25">
      <c r="A7" s="8"/>
      <c r="B7" s="25"/>
      <c r="C7" s="9" t="s">
        <v>8</v>
      </c>
      <c r="H7" s="151"/>
      <c r="I7" s="151"/>
      <c r="J7" s="151"/>
      <c r="K7" s="151"/>
      <c r="L7" s="151"/>
      <c r="M7" s="151"/>
      <c r="N7" s="151"/>
      <c r="O7" s="9"/>
      <c r="P7" s="9"/>
      <c r="Q7" s="9"/>
      <c r="R7" s="2"/>
      <c r="S7" s="9"/>
    </row>
    <row r="8" spans="1:57" x14ac:dyDescent="0.25">
      <c r="A8" s="53"/>
    </row>
    <row r="10" spans="1:57" x14ac:dyDescent="0.25">
      <c r="C10" s="18">
        <v>41640</v>
      </c>
      <c r="D10" s="57">
        <v>41641</v>
      </c>
      <c r="E10" s="57"/>
      <c r="F10" s="57">
        <v>41642</v>
      </c>
      <c r="G10" s="57"/>
      <c r="H10" s="18">
        <v>41643</v>
      </c>
      <c r="I10" s="18">
        <v>41644</v>
      </c>
      <c r="J10" s="57">
        <v>41645</v>
      </c>
      <c r="K10" s="57"/>
      <c r="L10" s="57">
        <v>41646</v>
      </c>
      <c r="M10" s="57"/>
      <c r="N10" s="57">
        <v>41647</v>
      </c>
      <c r="O10" s="57"/>
      <c r="P10" s="57">
        <v>41648</v>
      </c>
      <c r="Q10" s="57"/>
      <c r="R10" s="57">
        <v>41649</v>
      </c>
      <c r="S10" s="57"/>
      <c r="T10" s="18">
        <v>41650</v>
      </c>
      <c r="U10" s="18">
        <v>41651</v>
      </c>
      <c r="V10" s="57">
        <v>41652</v>
      </c>
      <c r="W10" s="57"/>
      <c r="X10" s="57">
        <v>41653</v>
      </c>
      <c r="Y10" s="57"/>
      <c r="Z10" s="57">
        <v>41654</v>
      </c>
      <c r="AA10" s="57"/>
      <c r="AB10" s="57">
        <v>41655</v>
      </c>
      <c r="AC10" s="57"/>
      <c r="AD10" s="57">
        <v>41656</v>
      </c>
      <c r="AE10" s="57"/>
      <c r="AF10" s="18">
        <v>41657</v>
      </c>
      <c r="AG10" s="18">
        <v>41658</v>
      </c>
      <c r="AH10" s="57">
        <v>41659</v>
      </c>
      <c r="AI10" s="57"/>
      <c r="AJ10" s="57">
        <v>41660</v>
      </c>
      <c r="AK10" s="57"/>
      <c r="AL10" s="57">
        <v>41661</v>
      </c>
      <c r="AM10" s="57"/>
      <c r="AN10" s="57">
        <v>41662</v>
      </c>
      <c r="AO10" s="57"/>
      <c r="AP10" s="57">
        <v>41663</v>
      </c>
      <c r="AQ10" s="57"/>
      <c r="AR10" s="18">
        <v>41664</v>
      </c>
      <c r="AS10" s="18">
        <v>41665</v>
      </c>
      <c r="AT10" s="57">
        <v>41666</v>
      </c>
      <c r="AU10" s="57"/>
      <c r="AV10" s="57">
        <v>41667</v>
      </c>
      <c r="AW10" s="57"/>
      <c r="AX10" s="57">
        <v>41668</v>
      </c>
      <c r="AY10" s="57"/>
      <c r="AZ10" s="57">
        <v>41669</v>
      </c>
      <c r="BA10" s="57"/>
      <c r="BB10" s="57">
        <v>41670</v>
      </c>
      <c r="BC10" s="57"/>
      <c r="BD10" s="48" t="s">
        <v>15</v>
      </c>
      <c r="BE10" s="26" t="s">
        <v>16</v>
      </c>
    </row>
    <row r="11" spans="1:57" x14ac:dyDescent="0.25">
      <c r="A11" s="17">
        <v>1</v>
      </c>
      <c r="B11" s="17"/>
      <c r="C11" s="37"/>
      <c r="D11" s="36">
        <v>1</v>
      </c>
      <c r="E11" s="36"/>
      <c r="F11" s="36">
        <v>1</v>
      </c>
      <c r="G11" s="36"/>
      <c r="H11" s="37"/>
      <c r="I11" s="37"/>
      <c r="J11" s="36">
        <v>1</v>
      </c>
      <c r="K11" s="36"/>
      <c r="L11" s="36">
        <v>1</v>
      </c>
      <c r="M11" s="36"/>
      <c r="N11" s="36">
        <v>1</v>
      </c>
      <c r="O11" s="36"/>
      <c r="P11" s="36">
        <v>1</v>
      </c>
      <c r="Q11" s="36"/>
      <c r="R11" s="36">
        <v>1</v>
      </c>
      <c r="S11" s="36"/>
      <c r="T11" s="37"/>
      <c r="U11" s="37"/>
      <c r="V11" s="36">
        <v>1</v>
      </c>
      <c r="W11" s="36"/>
      <c r="X11" s="36">
        <v>1</v>
      </c>
      <c r="Y11" s="36"/>
      <c r="Z11" s="36">
        <v>1</v>
      </c>
      <c r="AA11" s="36"/>
      <c r="AB11" s="36">
        <v>1</v>
      </c>
      <c r="AC11" s="36"/>
      <c r="AD11" s="43" t="s">
        <v>2</v>
      </c>
      <c r="AE11" s="43" t="s">
        <v>2</v>
      </c>
      <c r="AF11" s="37"/>
      <c r="AG11" s="37"/>
      <c r="AH11" s="36">
        <v>1</v>
      </c>
      <c r="AI11" s="36"/>
      <c r="AJ11" s="36">
        <v>1</v>
      </c>
      <c r="AK11" s="36"/>
      <c r="AL11" s="36">
        <v>1</v>
      </c>
      <c r="AM11" s="36"/>
      <c r="AN11" s="36">
        <v>1</v>
      </c>
      <c r="AO11" s="36"/>
      <c r="AP11" s="36">
        <v>1</v>
      </c>
      <c r="AQ11" s="36"/>
      <c r="AR11" s="37"/>
      <c r="AS11" s="37"/>
      <c r="AT11" s="36">
        <v>1</v>
      </c>
      <c r="AU11" s="36"/>
      <c r="AV11" s="102" t="s">
        <v>54</v>
      </c>
      <c r="AW11" s="102" t="s">
        <v>54</v>
      </c>
      <c r="AX11" s="36"/>
      <c r="AY11" s="36"/>
      <c r="AZ11" s="36"/>
      <c r="BA11" s="36"/>
      <c r="BB11" s="36"/>
      <c r="BC11" s="36"/>
      <c r="BD11" s="71"/>
    </row>
    <row r="12" spans="1:57" x14ac:dyDescent="0.25">
      <c r="A12" s="17">
        <v>1</v>
      </c>
      <c r="B12" s="17"/>
      <c r="C12" s="37"/>
      <c r="D12" s="100" t="s">
        <v>26</v>
      </c>
      <c r="E12" s="100" t="s">
        <v>26</v>
      </c>
      <c r="F12" s="100" t="s">
        <v>26</v>
      </c>
      <c r="G12" s="100" t="s">
        <v>26</v>
      </c>
      <c r="H12" s="37"/>
      <c r="I12" s="37"/>
      <c r="J12" s="100" t="s">
        <v>26</v>
      </c>
      <c r="K12" s="100" t="s">
        <v>26</v>
      </c>
      <c r="L12" s="100" t="s">
        <v>26</v>
      </c>
      <c r="M12" s="100" t="s">
        <v>26</v>
      </c>
      <c r="N12" s="100" t="s">
        <v>26</v>
      </c>
      <c r="O12" s="100" t="s">
        <v>26</v>
      </c>
      <c r="P12" s="100" t="s">
        <v>26</v>
      </c>
      <c r="Q12" s="100" t="s">
        <v>26</v>
      </c>
      <c r="R12" s="100" t="s">
        <v>26</v>
      </c>
      <c r="S12" s="100" t="s">
        <v>26</v>
      </c>
      <c r="T12" s="37"/>
      <c r="U12" s="37"/>
      <c r="V12" s="100" t="s">
        <v>26</v>
      </c>
      <c r="W12" s="100" t="s">
        <v>26</v>
      </c>
      <c r="X12" s="100" t="s">
        <v>26</v>
      </c>
      <c r="Y12" s="100" t="s">
        <v>26</v>
      </c>
      <c r="Z12" s="100" t="s">
        <v>26</v>
      </c>
      <c r="AA12" s="100" t="s">
        <v>26</v>
      </c>
      <c r="AB12" s="100" t="s">
        <v>26</v>
      </c>
      <c r="AC12" s="100" t="s">
        <v>26</v>
      </c>
      <c r="AD12" s="100" t="s">
        <v>26</v>
      </c>
      <c r="AE12" s="100" t="s">
        <v>26</v>
      </c>
      <c r="AF12" s="37"/>
      <c r="AG12" s="37"/>
      <c r="AH12" s="100" t="s">
        <v>26</v>
      </c>
      <c r="AI12" s="100" t="s">
        <v>26</v>
      </c>
      <c r="AJ12" s="100" t="s">
        <v>26</v>
      </c>
      <c r="AK12" s="100" t="s">
        <v>26</v>
      </c>
      <c r="AL12" s="100" t="s">
        <v>26</v>
      </c>
      <c r="AM12" s="100" t="s">
        <v>26</v>
      </c>
      <c r="AN12" s="100" t="s">
        <v>26</v>
      </c>
      <c r="AO12" s="100" t="s">
        <v>26</v>
      </c>
      <c r="AP12" s="100" t="s">
        <v>26</v>
      </c>
      <c r="AQ12" s="100" t="s">
        <v>26</v>
      </c>
      <c r="AR12" s="37"/>
      <c r="AS12" s="37"/>
      <c r="AT12" s="100" t="s">
        <v>26</v>
      </c>
      <c r="AU12" s="100" t="s">
        <v>26</v>
      </c>
      <c r="AV12" s="100" t="s">
        <v>26</v>
      </c>
      <c r="AW12" s="100" t="s">
        <v>26</v>
      </c>
      <c r="AX12" s="100" t="s">
        <v>26</v>
      </c>
      <c r="AY12" s="100" t="s">
        <v>26</v>
      </c>
      <c r="AZ12" s="100" t="s">
        <v>26</v>
      </c>
      <c r="BA12" s="100" t="s">
        <v>26</v>
      </c>
      <c r="BB12" s="100" t="s">
        <v>26</v>
      </c>
      <c r="BC12" s="100" t="s">
        <v>26</v>
      </c>
      <c r="BD12" s="71"/>
    </row>
    <row r="13" spans="1:57" x14ac:dyDescent="0.25">
      <c r="A13" s="17">
        <v>1</v>
      </c>
      <c r="B13" s="17"/>
      <c r="C13" s="37"/>
      <c r="D13" s="36">
        <v>1</v>
      </c>
      <c r="E13" s="36"/>
      <c r="F13" s="36">
        <v>1</v>
      </c>
      <c r="G13" s="36"/>
      <c r="H13" s="37"/>
      <c r="I13" s="37"/>
      <c r="J13" s="36">
        <v>1</v>
      </c>
      <c r="K13" s="36"/>
      <c r="L13" s="36">
        <v>1</v>
      </c>
      <c r="M13" s="36"/>
      <c r="N13" s="36">
        <v>1</v>
      </c>
      <c r="O13" s="36"/>
      <c r="P13" s="36">
        <v>1</v>
      </c>
      <c r="Q13" s="36"/>
      <c r="R13" s="43" t="s">
        <v>2</v>
      </c>
      <c r="S13" s="43" t="s">
        <v>2</v>
      </c>
      <c r="T13" s="37"/>
      <c r="U13" s="37"/>
      <c r="V13" s="36">
        <v>1</v>
      </c>
      <c r="W13" s="36"/>
      <c r="X13" s="36">
        <v>1</v>
      </c>
      <c r="Y13" s="36"/>
      <c r="Z13" s="36">
        <v>1</v>
      </c>
      <c r="AA13" s="36"/>
      <c r="AB13" s="36">
        <v>1</v>
      </c>
      <c r="AC13" s="36"/>
      <c r="AD13" s="36">
        <v>1</v>
      </c>
      <c r="AE13" s="36"/>
      <c r="AF13" s="37"/>
      <c r="AG13" s="37"/>
      <c r="AH13" s="36">
        <v>1</v>
      </c>
      <c r="AI13" s="36"/>
      <c r="AJ13" s="36">
        <v>1</v>
      </c>
      <c r="AK13" s="36"/>
      <c r="AL13" s="36">
        <v>1</v>
      </c>
      <c r="AM13" s="36"/>
      <c r="AN13" s="36">
        <v>1</v>
      </c>
      <c r="AO13" s="36"/>
      <c r="AP13" s="36">
        <v>1</v>
      </c>
      <c r="AQ13" s="36"/>
      <c r="AR13" s="37"/>
      <c r="AS13" s="37"/>
      <c r="AT13" s="36">
        <v>1</v>
      </c>
      <c r="AU13" s="36"/>
      <c r="AV13" s="36">
        <v>1</v>
      </c>
      <c r="AW13" s="36"/>
      <c r="AX13" s="36"/>
      <c r="AY13" s="36"/>
      <c r="AZ13" s="36"/>
      <c r="BA13" s="36"/>
      <c r="BB13" s="36"/>
      <c r="BC13" s="36"/>
      <c r="BD13" s="71"/>
    </row>
    <row r="14" spans="1:57" x14ac:dyDescent="0.25">
      <c r="A14" s="17">
        <v>1</v>
      </c>
      <c r="B14" s="17"/>
      <c r="C14" s="37"/>
      <c r="D14" s="36">
        <v>1</v>
      </c>
      <c r="E14" s="36"/>
      <c r="F14" s="36">
        <v>1</v>
      </c>
      <c r="G14" s="36"/>
      <c r="H14" s="37"/>
      <c r="I14" s="37"/>
      <c r="J14" s="36">
        <v>1</v>
      </c>
      <c r="K14" s="36"/>
      <c r="L14" s="36">
        <v>1</v>
      </c>
      <c r="M14" s="36"/>
      <c r="N14" s="36">
        <v>1</v>
      </c>
      <c r="O14" s="36"/>
      <c r="P14" s="36">
        <v>1</v>
      </c>
      <c r="Q14" s="36"/>
      <c r="R14" s="36">
        <v>1</v>
      </c>
      <c r="S14" s="36"/>
      <c r="T14" s="37"/>
      <c r="U14" s="37"/>
      <c r="V14" s="36">
        <v>1</v>
      </c>
      <c r="W14" s="36"/>
      <c r="X14" s="36">
        <v>1</v>
      </c>
      <c r="Y14" s="36"/>
      <c r="Z14" s="36">
        <v>1</v>
      </c>
      <c r="AA14" s="36"/>
      <c r="AB14" s="36">
        <v>1</v>
      </c>
      <c r="AC14" s="36"/>
      <c r="AD14" s="36">
        <v>1</v>
      </c>
      <c r="AE14" s="36"/>
      <c r="AF14" s="37"/>
      <c r="AG14" s="37"/>
      <c r="AH14" s="36">
        <v>1</v>
      </c>
      <c r="AI14" s="36"/>
      <c r="AJ14" s="36">
        <v>1</v>
      </c>
      <c r="AK14" s="36"/>
      <c r="AL14" s="36">
        <v>1</v>
      </c>
      <c r="AM14" s="36"/>
      <c r="AN14" s="36">
        <v>1</v>
      </c>
      <c r="AO14" s="36"/>
      <c r="AP14" s="36">
        <v>1</v>
      </c>
      <c r="AQ14" s="36"/>
      <c r="AR14" s="37"/>
      <c r="AS14" s="37"/>
      <c r="AT14" s="36">
        <v>1</v>
      </c>
      <c r="AU14" s="36"/>
      <c r="AV14" s="36">
        <v>1</v>
      </c>
      <c r="AW14" s="36"/>
      <c r="AX14" s="36"/>
      <c r="AY14" s="36"/>
      <c r="AZ14" s="36"/>
      <c r="BA14" s="36"/>
      <c r="BB14" s="36"/>
      <c r="BC14" s="36"/>
      <c r="BD14" s="71"/>
    </row>
    <row r="15" spans="1:57" x14ac:dyDescent="0.25">
      <c r="A15" s="17">
        <v>1</v>
      </c>
      <c r="B15" s="17"/>
      <c r="C15" s="37"/>
      <c r="D15" s="41" t="s">
        <v>1</v>
      </c>
      <c r="E15" s="41" t="s">
        <v>1</v>
      </c>
      <c r="F15" s="41" t="s">
        <v>1</v>
      </c>
      <c r="G15" s="41" t="s">
        <v>1</v>
      </c>
      <c r="H15" s="37"/>
      <c r="I15" s="37"/>
      <c r="J15" s="36">
        <v>1</v>
      </c>
      <c r="K15" s="36"/>
      <c r="L15" s="36">
        <v>1</v>
      </c>
      <c r="M15" s="36"/>
      <c r="N15" s="36">
        <v>1</v>
      </c>
      <c r="O15" s="36"/>
      <c r="P15" s="36">
        <v>1</v>
      </c>
      <c r="Q15" s="36"/>
      <c r="R15" s="36">
        <v>1</v>
      </c>
      <c r="S15" s="36"/>
      <c r="T15" s="37"/>
      <c r="U15" s="37"/>
      <c r="V15" s="36">
        <v>1</v>
      </c>
      <c r="W15" s="36"/>
      <c r="X15" s="36">
        <v>1</v>
      </c>
      <c r="Y15" s="36"/>
      <c r="Z15" s="36">
        <v>1</v>
      </c>
      <c r="AA15" s="36"/>
      <c r="AB15" s="36">
        <v>1</v>
      </c>
      <c r="AC15" s="36"/>
      <c r="AD15" s="36">
        <v>1</v>
      </c>
      <c r="AE15" s="36"/>
      <c r="AF15" s="37"/>
      <c r="AG15" s="37"/>
      <c r="AH15" s="36">
        <v>1</v>
      </c>
      <c r="AI15" s="36"/>
      <c r="AJ15" s="36">
        <v>1</v>
      </c>
      <c r="AK15" s="36"/>
      <c r="AL15" s="36">
        <v>1</v>
      </c>
      <c r="AM15" s="36"/>
      <c r="AN15" s="36">
        <v>1</v>
      </c>
      <c r="AO15" s="36"/>
      <c r="AP15" s="36">
        <v>1</v>
      </c>
      <c r="AQ15" s="36"/>
      <c r="AR15" s="37"/>
      <c r="AS15" s="37"/>
      <c r="AT15" s="36">
        <v>1</v>
      </c>
      <c r="AU15" s="36"/>
      <c r="AV15" s="36">
        <v>1</v>
      </c>
      <c r="AW15" s="36"/>
      <c r="AX15" s="36"/>
      <c r="AY15" s="36"/>
      <c r="AZ15" s="36"/>
      <c r="BA15" s="36"/>
      <c r="BB15" s="36"/>
      <c r="BC15" s="36"/>
      <c r="BD15" s="71"/>
    </row>
    <row r="16" spans="1:57" x14ac:dyDescent="0.25">
      <c r="A16" s="17">
        <v>1</v>
      </c>
      <c r="B16" s="17"/>
      <c r="C16" s="37"/>
      <c r="D16" s="36">
        <v>1</v>
      </c>
      <c r="E16" s="36"/>
      <c r="F16" s="36">
        <v>1</v>
      </c>
      <c r="G16" s="36"/>
      <c r="H16" s="37"/>
      <c r="I16" s="37"/>
      <c r="J16" s="36">
        <v>1</v>
      </c>
      <c r="K16" s="36"/>
      <c r="L16" s="36">
        <v>1</v>
      </c>
      <c r="M16" s="36"/>
      <c r="N16" s="36">
        <v>1</v>
      </c>
      <c r="O16" s="36"/>
      <c r="P16" s="36">
        <v>1</v>
      </c>
      <c r="Q16" s="36"/>
      <c r="R16" s="36">
        <v>1</v>
      </c>
      <c r="S16" s="36"/>
      <c r="T16" s="37"/>
      <c r="U16" s="37"/>
      <c r="V16" s="36">
        <v>1</v>
      </c>
      <c r="W16" s="36"/>
      <c r="X16" s="36">
        <v>1</v>
      </c>
      <c r="Y16" s="36"/>
      <c r="Z16" s="36">
        <v>1</v>
      </c>
      <c r="AA16" s="36"/>
      <c r="AB16" s="36">
        <v>1</v>
      </c>
      <c r="AC16" s="36"/>
      <c r="AD16" s="36">
        <v>1</v>
      </c>
      <c r="AE16" s="36"/>
      <c r="AF16" s="37"/>
      <c r="AG16" s="37"/>
      <c r="AH16" s="36">
        <v>1</v>
      </c>
      <c r="AI16" s="36"/>
      <c r="AJ16" s="36">
        <v>1</v>
      </c>
      <c r="AK16" s="36"/>
      <c r="AL16" s="43" t="s">
        <v>53</v>
      </c>
      <c r="AM16" s="43" t="s">
        <v>53</v>
      </c>
      <c r="AN16" s="36">
        <v>1</v>
      </c>
      <c r="AO16" s="36"/>
      <c r="AP16" s="36">
        <v>1</v>
      </c>
      <c r="AQ16" s="36"/>
      <c r="AR16" s="37"/>
      <c r="AS16" s="37"/>
      <c r="AT16" s="36">
        <v>1</v>
      </c>
      <c r="AU16" s="36"/>
      <c r="AV16" s="36">
        <v>1</v>
      </c>
      <c r="AW16" s="36"/>
      <c r="AX16" s="36"/>
      <c r="AY16" s="36"/>
      <c r="AZ16" s="36"/>
      <c r="BA16" s="36"/>
      <c r="BB16" s="52" t="s">
        <v>17</v>
      </c>
      <c r="BC16" s="52" t="s">
        <v>17</v>
      </c>
      <c r="BD16" s="71"/>
    </row>
    <row r="17" spans="1:60" x14ac:dyDescent="0.25">
      <c r="A17" s="17">
        <v>1</v>
      </c>
      <c r="B17" s="17"/>
      <c r="C17" s="37"/>
      <c r="D17" s="36">
        <v>1</v>
      </c>
      <c r="E17" s="36"/>
      <c r="F17" s="36">
        <v>1</v>
      </c>
      <c r="G17" s="36"/>
      <c r="H17" s="37"/>
      <c r="I17" s="37"/>
      <c r="J17" s="36">
        <v>1</v>
      </c>
      <c r="K17" s="36"/>
      <c r="L17" s="36">
        <v>1</v>
      </c>
      <c r="M17" s="36"/>
      <c r="N17" s="36">
        <v>1</v>
      </c>
      <c r="O17" s="36"/>
      <c r="P17" s="36">
        <v>1</v>
      </c>
      <c r="Q17" s="36"/>
      <c r="R17" s="36">
        <v>1</v>
      </c>
      <c r="S17" s="36"/>
      <c r="T17" s="37"/>
      <c r="U17" s="37"/>
      <c r="V17" s="36">
        <v>1</v>
      </c>
      <c r="W17" s="36"/>
      <c r="X17" s="36">
        <v>1</v>
      </c>
      <c r="Y17" s="36"/>
      <c r="Z17" s="36">
        <v>1</v>
      </c>
      <c r="AA17" s="36"/>
      <c r="AB17" s="36">
        <v>1</v>
      </c>
      <c r="AC17" s="36"/>
      <c r="AD17" s="36">
        <v>1</v>
      </c>
      <c r="AE17" s="36"/>
      <c r="AF17" s="37"/>
      <c r="AG17" s="37"/>
      <c r="AH17" s="36">
        <v>1</v>
      </c>
      <c r="AI17" s="36"/>
      <c r="AJ17" s="36">
        <v>1</v>
      </c>
      <c r="AK17" s="36"/>
      <c r="AL17" s="36">
        <v>1</v>
      </c>
      <c r="AM17" s="36"/>
      <c r="AN17" s="36">
        <v>1</v>
      </c>
      <c r="AO17" s="36"/>
      <c r="AP17" s="36">
        <v>1</v>
      </c>
      <c r="AQ17" s="36"/>
      <c r="AR17" s="37"/>
      <c r="AS17" s="37"/>
      <c r="AT17" s="36">
        <v>1</v>
      </c>
      <c r="AU17" s="36"/>
      <c r="AV17" s="36">
        <v>1</v>
      </c>
      <c r="AW17" s="36"/>
      <c r="AX17" s="36"/>
      <c r="AY17" s="36"/>
      <c r="AZ17" s="36"/>
      <c r="BA17" s="36"/>
      <c r="BB17" s="36"/>
      <c r="BC17" s="36"/>
      <c r="BD17" s="71"/>
    </row>
    <row r="18" spans="1:60" x14ac:dyDescent="0.25">
      <c r="A18" s="17">
        <v>1</v>
      </c>
      <c r="B18" s="17"/>
      <c r="C18" s="37"/>
      <c r="D18" s="36">
        <v>1</v>
      </c>
      <c r="E18" s="36"/>
      <c r="F18" s="36">
        <v>1</v>
      </c>
      <c r="G18" s="36"/>
      <c r="H18" s="37"/>
      <c r="I18" s="37"/>
      <c r="J18" s="36">
        <v>1</v>
      </c>
      <c r="K18" s="36"/>
      <c r="L18" s="36">
        <v>1</v>
      </c>
      <c r="M18" s="36"/>
      <c r="N18" s="36">
        <v>1</v>
      </c>
      <c r="O18" s="36"/>
      <c r="P18" s="36">
        <v>1</v>
      </c>
      <c r="Q18" s="36"/>
      <c r="R18" s="36">
        <v>1</v>
      </c>
      <c r="S18" s="36"/>
      <c r="T18" s="37"/>
      <c r="U18" s="37"/>
      <c r="V18" s="36">
        <v>1</v>
      </c>
      <c r="W18" s="36"/>
      <c r="X18" s="36">
        <v>1</v>
      </c>
      <c r="Y18" s="36"/>
      <c r="Z18" s="36">
        <v>1</v>
      </c>
      <c r="AA18" s="36"/>
      <c r="AB18" s="36">
        <v>1</v>
      </c>
      <c r="AC18" s="36"/>
      <c r="AD18" s="36">
        <v>1</v>
      </c>
      <c r="AE18" s="36"/>
      <c r="AF18" s="37"/>
      <c r="AG18" s="37"/>
      <c r="AH18" s="36">
        <v>1</v>
      </c>
      <c r="AI18" s="36"/>
      <c r="AJ18" s="36">
        <v>1</v>
      </c>
      <c r="AK18" s="36"/>
      <c r="AL18" s="36">
        <v>1</v>
      </c>
      <c r="AM18" s="36"/>
      <c r="AN18" s="36">
        <v>1</v>
      </c>
      <c r="AO18" s="36"/>
      <c r="AP18" s="36">
        <v>1</v>
      </c>
      <c r="AQ18" s="36"/>
      <c r="AR18" s="37"/>
      <c r="AS18" s="37"/>
      <c r="AT18" s="36">
        <v>1</v>
      </c>
      <c r="AU18" s="36"/>
      <c r="AV18" s="36">
        <v>1</v>
      </c>
      <c r="AW18" s="36"/>
      <c r="AX18" s="36"/>
      <c r="AY18" s="36"/>
      <c r="AZ18" s="36"/>
      <c r="BA18" s="36"/>
      <c r="BB18" s="36"/>
      <c r="BC18" s="36"/>
      <c r="BD18" s="71"/>
    </row>
    <row r="19" spans="1:60" x14ac:dyDescent="0.25">
      <c r="A19" s="17">
        <v>1</v>
      </c>
      <c r="B19" s="15"/>
      <c r="C19" s="37"/>
      <c r="D19" s="56">
        <v>1</v>
      </c>
      <c r="E19" s="56"/>
      <c r="F19" s="56">
        <v>1</v>
      </c>
      <c r="G19" s="56"/>
      <c r="H19" s="37"/>
      <c r="I19" s="37"/>
      <c r="J19" s="56">
        <v>1</v>
      </c>
      <c r="K19" s="56"/>
      <c r="L19" s="56">
        <v>1</v>
      </c>
      <c r="M19" s="56"/>
      <c r="N19" s="56">
        <v>1</v>
      </c>
      <c r="O19" s="56"/>
      <c r="P19" s="56">
        <v>1</v>
      </c>
      <c r="Q19" s="56"/>
      <c r="R19" s="56">
        <v>1</v>
      </c>
      <c r="S19" s="56"/>
      <c r="T19" s="37"/>
      <c r="U19" s="37"/>
      <c r="V19" s="56">
        <v>1</v>
      </c>
      <c r="W19" s="56"/>
      <c r="X19" s="56">
        <v>1</v>
      </c>
      <c r="Y19" s="56"/>
      <c r="Z19" s="56">
        <v>1</v>
      </c>
      <c r="AA19" s="56"/>
      <c r="AB19" s="56">
        <v>1</v>
      </c>
      <c r="AC19" s="56"/>
      <c r="AD19" s="56">
        <v>1</v>
      </c>
      <c r="AE19" s="56"/>
      <c r="AF19" s="37"/>
      <c r="AG19" s="37"/>
      <c r="AH19" s="56">
        <v>1</v>
      </c>
      <c r="AI19" s="56"/>
      <c r="AJ19" s="56">
        <v>1</v>
      </c>
      <c r="AK19" s="56"/>
      <c r="AL19" s="56">
        <v>1</v>
      </c>
      <c r="AM19" s="56"/>
      <c r="AN19" s="56">
        <v>1</v>
      </c>
      <c r="AO19" s="56"/>
      <c r="AP19" s="56">
        <v>1</v>
      </c>
      <c r="AQ19" s="56"/>
      <c r="AR19" s="37"/>
      <c r="AS19" s="37"/>
      <c r="AT19" s="56">
        <v>1</v>
      </c>
      <c r="AU19" s="56"/>
      <c r="AV19" s="56">
        <v>1</v>
      </c>
      <c r="AW19" s="56"/>
      <c r="AX19" s="56"/>
      <c r="AY19" s="56"/>
      <c r="AZ19" s="56"/>
      <c r="BA19" s="56"/>
      <c r="BB19" s="56"/>
      <c r="BC19" s="56"/>
      <c r="BD19" s="71"/>
    </row>
    <row r="20" spans="1:60" x14ac:dyDescent="0.25">
      <c r="A20" s="17">
        <v>1</v>
      </c>
      <c r="B20" s="15"/>
      <c r="C20" s="37"/>
      <c r="D20" s="56">
        <v>1</v>
      </c>
      <c r="E20" s="56"/>
      <c r="F20" s="56">
        <v>1</v>
      </c>
      <c r="G20" s="56"/>
      <c r="H20" s="37"/>
      <c r="I20" s="37"/>
      <c r="J20" s="56">
        <v>1</v>
      </c>
      <c r="K20" s="56"/>
      <c r="L20" s="41" t="s">
        <v>1</v>
      </c>
      <c r="M20" s="41" t="s">
        <v>1</v>
      </c>
      <c r="N20" s="41" t="s">
        <v>1</v>
      </c>
      <c r="O20" s="41" t="s">
        <v>1</v>
      </c>
      <c r="P20" s="41" t="s">
        <v>1</v>
      </c>
      <c r="Q20" s="41" t="s">
        <v>1</v>
      </c>
      <c r="R20" s="41" t="s">
        <v>1</v>
      </c>
      <c r="S20" s="41" t="s">
        <v>1</v>
      </c>
      <c r="T20" s="37"/>
      <c r="U20" s="37"/>
      <c r="V20" s="56">
        <v>1</v>
      </c>
      <c r="W20" s="56"/>
      <c r="X20" s="56">
        <v>1</v>
      </c>
      <c r="Y20" s="56"/>
      <c r="Z20" s="56">
        <v>1</v>
      </c>
      <c r="AA20" s="56"/>
      <c r="AB20" s="56">
        <v>1</v>
      </c>
      <c r="AC20" s="56"/>
      <c r="AD20" s="56">
        <v>1</v>
      </c>
      <c r="AE20" s="56"/>
      <c r="AF20" s="37"/>
      <c r="AG20" s="37"/>
      <c r="AH20" s="56">
        <v>1</v>
      </c>
      <c r="AI20" s="56"/>
      <c r="AJ20" s="43" t="s">
        <v>2</v>
      </c>
      <c r="AK20" s="43" t="s">
        <v>2</v>
      </c>
      <c r="AL20" s="43" t="s">
        <v>2</v>
      </c>
      <c r="AM20" s="43" t="s">
        <v>2</v>
      </c>
      <c r="AN20" s="56">
        <v>1</v>
      </c>
      <c r="AO20" s="56"/>
      <c r="AP20" s="56">
        <v>1</v>
      </c>
      <c r="AQ20" s="56"/>
      <c r="AR20" s="37"/>
      <c r="AS20" s="37"/>
      <c r="AT20" s="56">
        <v>1</v>
      </c>
      <c r="AU20" s="56"/>
      <c r="AV20" s="52" t="s">
        <v>17</v>
      </c>
      <c r="AW20" s="52" t="s">
        <v>17</v>
      </c>
      <c r="AX20" s="52" t="s">
        <v>17</v>
      </c>
      <c r="AY20" s="52" t="s">
        <v>17</v>
      </c>
      <c r="AZ20" s="52" t="s">
        <v>17</v>
      </c>
      <c r="BA20" s="52" t="s">
        <v>17</v>
      </c>
      <c r="BB20" s="56"/>
      <c r="BC20" s="56"/>
      <c r="BD20" s="71"/>
    </row>
    <row r="21" spans="1:60" x14ac:dyDescent="0.25">
      <c r="A21" s="17">
        <v>1</v>
      </c>
      <c r="B21" s="15"/>
      <c r="C21" s="37"/>
      <c r="D21" s="56">
        <v>1</v>
      </c>
      <c r="E21" s="56"/>
      <c r="F21" s="56">
        <v>1</v>
      </c>
      <c r="G21" s="56"/>
      <c r="H21" s="37"/>
      <c r="I21" s="37"/>
      <c r="J21" s="56">
        <v>1</v>
      </c>
      <c r="K21" s="56"/>
      <c r="L21" s="56">
        <v>1</v>
      </c>
      <c r="M21" s="56"/>
      <c r="N21" s="56">
        <v>1</v>
      </c>
      <c r="O21" s="56"/>
      <c r="P21" s="56">
        <v>1</v>
      </c>
      <c r="Q21" s="56"/>
      <c r="R21" s="56">
        <v>1</v>
      </c>
      <c r="S21" s="56"/>
      <c r="T21" s="37"/>
      <c r="U21" s="37"/>
      <c r="V21" s="56">
        <v>1</v>
      </c>
      <c r="W21" s="56"/>
      <c r="X21" s="56">
        <v>1</v>
      </c>
      <c r="Y21" s="56"/>
      <c r="Z21" s="56">
        <v>1</v>
      </c>
      <c r="AA21" s="56"/>
      <c r="AB21" s="41" t="s">
        <v>1</v>
      </c>
      <c r="AC21" s="41" t="s">
        <v>1</v>
      </c>
      <c r="AD21" s="41" t="s">
        <v>1</v>
      </c>
      <c r="AE21" s="41" t="s">
        <v>1</v>
      </c>
      <c r="AF21" s="37"/>
      <c r="AG21" s="37"/>
      <c r="AH21" s="41" t="s">
        <v>1</v>
      </c>
      <c r="AI21" s="41" t="s">
        <v>1</v>
      </c>
      <c r="AJ21" s="56">
        <v>1</v>
      </c>
      <c r="AK21" s="56"/>
      <c r="AL21" s="56">
        <v>1</v>
      </c>
      <c r="AM21" s="56"/>
      <c r="AN21" s="56">
        <v>1</v>
      </c>
      <c r="AO21" s="56"/>
      <c r="AP21" s="56">
        <v>1</v>
      </c>
      <c r="AQ21" s="56"/>
      <c r="AR21" s="37"/>
      <c r="AS21" s="37"/>
      <c r="AT21" s="43" t="s">
        <v>2</v>
      </c>
      <c r="AU21" s="43" t="s">
        <v>2</v>
      </c>
      <c r="AV21" s="56">
        <v>1</v>
      </c>
      <c r="AW21" s="56"/>
      <c r="AX21" s="56"/>
      <c r="AY21" s="56"/>
      <c r="AZ21" s="56"/>
      <c r="BA21" s="56"/>
      <c r="BB21" s="56"/>
      <c r="BC21" s="56"/>
      <c r="BD21" s="71"/>
    </row>
    <row r="22" spans="1:60" x14ac:dyDescent="0.25">
      <c r="A22" s="17">
        <v>1</v>
      </c>
      <c r="B22" s="15"/>
      <c r="C22" s="37"/>
      <c r="D22" s="51" t="s">
        <v>55</v>
      </c>
      <c r="E22" s="51" t="s">
        <v>55</v>
      </c>
      <c r="F22" s="51" t="s">
        <v>55</v>
      </c>
      <c r="G22" s="51" t="s">
        <v>55</v>
      </c>
      <c r="H22" s="37"/>
      <c r="I22" s="37"/>
      <c r="J22" s="51" t="s">
        <v>55</v>
      </c>
      <c r="K22" s="51" t="s">
        <v>55</v>
      </c>
      <c r="L22" s="56">
        <v>1</v>
      </c>
      <c r="M22" s="56"/>
      <c r="N22" s="56">
        <v>1</v>
      </c>
      <c r="O22" s="56"/>
      <c r="P22" s="43" t="s">
        <v>2</v>
      </c>
      <c r="Q22" s="43" t="s">
        <v>2</v>
      </c>
      <c r="R22" s="56">
        <v>1</v>
      </c>
      <c r="S22" s="56"/>
      <c r="T22" s="37"/>
      <c r="U22" s="37"/>
      <c r="V22" s="56">
        <v>1</v>
      </c>
      <c r="W22" s="56"/>
      <c r="X22" s="56">
        <v>1</v>
      </c>
      <c r="Y22" s="56"/>
      <c r="Z22" s="56">
        <v>1</v>
      </c>
      <c r="AA22" s="56"/>
      <c r="AB22" s="56">
        <v>1</v>
      </c>
      <c r="AC22" s="56"/>
      <c r="AD22" s="43" t="s">
        <v>2</v>
      </c>
      <c r="AE22" s="43" t="s">
        <v>2</v>
      </c>
      <c r="AF22" s="37"/>
      <c r="AG22" s="37"/>
      <c r="AH22" s="56">
        <v>1</v>
      </c>
      <c r="AI22" s="56"/>
      <c r="AJ22" s="56">
        <v>1</v>
      </c>
      <c r="AK22" s="56"/>
      <c r="AL22" s="56">
        <v>1</v>
      </c>
      <c r="AM22" s="56"/>
      <c r="AN22" s="56">
        <v>1</v>
      </c>
      <c r="AO22" s="56"/>
      <c r="AP22" s="43" t="s">
        <v>2</v>
      </c>
      <c r="AQ22" s="43" t="s">
        <v>2</v>
      </c>
      <c r="AR22" s="37"/>
      <c r="AS22" s="37"/>
      <c r="AT22" s="56">
        <v>1</v>
      </c>
      <c r="AU22" s="56"/>
      <c r="AV22" s="56">
        <v>1</v>
      </c>
      <c r="AW22" s="56"/>
      <c r="AX22" s="56"/>
      <c r="AY22" s="56"/>
      <c r="AZ22" s="56"/>
      <c r="BA22" s="56"/>
      <c r="BB22" s="43" t="s">
        <v>2</v>
      </c>
      <c r="BC22" s="43" t="s">
        <v>2</v>
      </c>
      <c r="BD22" s="71"/>
    </row>
    <row r="23" spans="1:60" x14ac:dyDescent="0.25">
      <c r="A23" s="17">
        <v>1</v>
      </c>
      <c r="B23" s="17"/>
      <c r="C23" s="37"/>
      <c r="D23" s="36">
        <v>1</v>
      </c>
      <c r="E23" s="36"/>
      <c r="F23" s="36">
        <v>1</v>
      </c>
      <c r="G23" s="36"/>
      <c r="H23" s="37"/>
      <c r="I23" s="37"/>
      <c r="J23" s="36">
        <v>1</v>
      </c>
      <c r="K23" s="36"/>
      <c r="L23" s="36">
        <v>1</v>
      </c>
      <c r="M23" s="36"/>
      <c r="N23" s="36">
        <v>1</v>
      </c>
      <c r="O23" s="36"/>
      <c r="P23" s="36">
        <v>1</v>
      </c>
      <c r="Q23" s="36"/>
      <c r="R23" s="36">
        <v>1</v>
      </c>
      <c r="S23" s="36"/>
      <c r="T23" s="37"/>
      <c r="U23" s="37"/>
      <c r="V23" s="36">
        <v>1</v>
      </c>
      <c r="W23" s="36"/>
      <c r="X23" s="36">
        <v>1</v>
      </c>
      <c r="Y23" s="36"/>
      <c r="Z23" s="36">
        <v>1</v>
      </c>
      <c r="AA23" s="36"/>
      <c r="AB23" s="36">
        <v>1</v>
      </c>
      <c r="AC23" s="36"/>
      <c r="AD23" s="36">
        <v>1</v>
      </c>
      <c r="AE23" s="36"/>
      <c r="AF23" s="37"/>
      <c r="AG23" s="37"/>
      <c r="AH23" s="36">
        <v>1</v>
      </c>
      <c r="AI23" s="36"/>
      <c r="AJ23" s="36">
        <v>1</v>
      </c>
      <c r="AK23" s="36"/>
      <c r="AL23" s="36">
        <v>1</v>
      </c>
      <c r="AM23" s="36"/>
      <c r="AN23" s="36">
        <v>1</v>
      </c>
      <c r="AO23" s="36"/>
      <c r="AP23" s="36">
        <v>1</v>
      </c>
      <c r="AQ23" s="36"/>
      <c r="AR23" s="37"/>
      <c r="AS23" s="37"/>
      <c r="AT23" s="36">
        <v>1</v>
      </c>
      <c r="AU23" s="36"/>
      <c r="AV23" s="36">
        <v>1</v>
      </c>
      <c r="AW23" s="36"/>
      <c r="AX23" s="36"/>
      <c r="AY23" s="36"/>
      <c r="AZ23" s="36"/>
      <c r="BA23" s="36"/>
      <c r="BB23" s="36"/>
      <c r="BC23" s="36"/>
      <c r="BD23" s="71"/>
    </row>
    <row r="24" spans="1:60" x14ac:dyDescent="0.25">
      <c r="A24" s="17">
        <v>1</v>
      </c>
      <c r="B24" s="17"/>
      <c r="C24" s="37"/>
      <c r="D24" s="36">
        <v>1</v>
      </c>
      <c r="E24" s="36"/>
      <c r="F24" s="36">
        <v>1</v>
      </c>
      <c r="G24" s="36"/>
      <c r="H24" s="37"/>
      <c r="I24" s="37"/>
      <c r="J24" s="36">
        <v>1</v>
      </c>
      <c r="K24" s="36"/>
      <c r="L24" s="36">
        <v>1</v>
      </c>
      <c r="M24" s="36"/>
      <c r="N24" s="36">
        <v>1</v>
      </c>
      <c r="O24" s="36"/>
      <c r="P24" s="36">
        <v>1</v>
      </c>
      <c r="Q24" s="36"/>
      <c r="R24" s="36">
        <v>1</v>
      </c>
      <c r="S24" s="36"/>
      <c r="T24" s="37"/>
      <c r="U24" s="37"/>
      <c r="V24" s="36">
        <v>1</v>
      </c>
      <c r="W24" s="36"/>
      <c r="X24" s="36">
        <v>1</v>
      </c>
      <c r="Y24" s="36"/>
      <c r="Z24" s="36">
        <v>1</v>
      </c>
      <c r="AA24" s="36"/>
      <c r="AB24" s="36">
        <v>1</v>
      </c>
      <c r="AC24" s="36"/>
      <c r="AD24" s="41" t="s">
        <v>1</v>
      </c>
      <c r="AE24" s="41" t="s">
        <v>1</v>
      </c>
      <c r="AF24" s="37"/>
      <c r="AG24" s="37"/>
      <c r="AH24" s="36">
        <v>1</v>
      </c>
      <c r="AI24" s="36"/>
      <c r="AJ24" s="36">
        <v>1</v>
      </c>
      <c r="AK24" s="36"/>
      <c r="AL24" s="36">
        <v>1</v>
      </c>
      <c r="AM24" s="36"/>
      <c r="AN24" s="36">
        <v>1</v>
      </c>
      <c r="AO24" s="36"/>
      <c r="AP24" s="36">
        <v>1</v>
      </c>
      <c r="AQ24" s="36"/>
      <c r="AR24" s="37"/>
      <c r="AS24" s="37"/>
      <c r="AT24" s="36">
        <v>1</v>
      </c>
      <c r="AU24" s="36"/>
      <c r="AV24" s="43" t="s">
        <v>2</v>
      </c>
      <c r="AW24" s="43" t="s">
        <v>2</v>
      </c>
      <c r="AX24" s="36"/>
      <c r="AY24" s="36"/>
      <c r="AZ24" s="36"/>
      <c r="BA24" s="36"/>
      <c r="BB24" s="36"/>
      <c r="BC24" s="36"/>
      <c r="BD24" s="71"/>
    </row>
    <row r="25" spans="1:60" x14ac:dyDescent="0.25">
      <c r="A25" s="17">
        <v>1</v>
      </c>
      <c r="B25" s="17"/>
      <c r="C25" s="37"/>
      <c r="D25" s="36">
        <v>1</v>
      </c>
      <c r="E25" s="36"/>
      <c r="F25" s="36">
        <v>1</v>
      </c>
      <c r="G25" s="36"/>
      <c r="H25" s="37"/>
      <c r="I25" s="37"/>
      <c r="J25" s="36">
        <v>1</v>
      </c>
      <c r="K25" s="36"/>
      <c r="L25" s="36">
        <v>1</v>
      </c>
      <c r="M25" s="36"/>
      <c r="N25" s="36">
        <v>1</v>
      </c>
      <c r="O25" s="36"/>
      <c r="P25" s="36">
        <v>1</v>
      </c>
      <c r="Q25" s="36"/>
      <c r="R25" s="36">
        <v>1</v>
      </c>
      <c r="S25" s="36"/>
      <c r="T25" s="37"/>
      <c r="U25" s="37"/>
      <c r="V25" s="36">
        <v>1</v>
      </c>
      <c r="W25" s="36"/>
      <c r="X25" s="36">
        <v>1</v>
      </c>
      <c r="Y25" s="36"/>
      <c r="Z25" s="43" t="s">
        <v>2</v>
      </c>
      <c r="AA25" s="43" t="s">
        <v>2</v>
      </c>
      <c r="AB25" s="36">
        <v>1</v>
      </c>
      <c r="AC25" s="36"/>
      <c r="AD25" s="36">
        <v>1</v>
      </c>
      <c r="AE25" s="36"/>
      <c r="AF25" s="37"/>
      <c r="AG25" s="37"/>
      <c r="AH25" s="36">
        <v>1</v>
      </c>
      <c r="AI25" s="36"/>
      <c r="AJ25" s="36">
        <v>1</v>
      </c>
      <c r="AK25" s="36"/>
      <c r="AL25" s="36">
        <v>1</v>
      </c>
      <c r="AM25" s="36"/>
      <c r="AN25" s="36">
        <v>1</v>
      </c>
      <c r="AO25" s="36"/>
      <c r="AP25" s="36">
        <v>1</v>
      </c>
      <c r="AQ25" s="36"/>
      <c r="AR25" s="37"/>
      <c r="AS25" s="37"/>
      <c r="AT25" s="36">
        <v>1</v>
      </c>
      <c r="AU25" s="36"/>
      <c r="AV25" s="36">
        <v>1</v>
      </c>
      <c r="AW25" s="36"/>
      <c r="AX25" s="36"/>
      <c r="AY25" s="36"/>
      <c r="AZ25" s="36"/>
      <c r="BA25" s="36"/>
      <c r="BB25" s="36"/>
      <c r="BC25" s="36"/>
      <c r="BD25" s="71"/>
    </row>
    <row r="26" spans="1:60" x14ac:dyDescent="0.25">
      <c r="A26" s="17">
        <v>1</v>
      </c>
      <c r="B26" s="17"/>
      <c r="C26" s="37"/>
      <c r="D26" s="36">
        <v>1</v>
      </c>
      <c r="E26" s="36"/>
      <c r="F26" s="36">
        <v>1</v>
      </c>
      <c r="G26" s="36"/>
      <c r="H26" s="37"/>
      <c r="I26" s="37"/>
      <c r="J26" s="36">
        <v>1</v>
      </c>
      <c r="K26" s="36"/>
      <c r="L26" s="36">
        <v>1</v>
      </c>
      <c r="M26" s="36"/>
      <c r="N26" s="36">
        <v>1</v>
      </c>
      <c r="O26" s="36"/>
      <c r="P26" s="36">
        <v>1</v>
      </c>
      <c r="Q26" s="36"/>
      <c r="R26" s="36">
        <v>1</v>
      </c>
      <c r="S26" s="36"/>
      <c r="T26" s="37"/>
      <c r="U26" s="37"/>
      <c r="V26" s="36">
        <v>1</v>
      </c>
      <c r="W26" s="36"/>
      <c r="X26" s="36">
        <v>1</v>
      </c>
      <c r="Y26" s="36"/>
      <c r="Z26" s="36">
        <v>1</v>
      </c>
      <c r="AA26" s="36"/>
      <c r="AB26" s="36">
        <v>1</v>
      </c>
      <c r="AC26" s="36"/>
      <c r="AD26" s="36">
        <v>1</v>
      </c>
      <c r="AE26" s="36"/>
      <c r="AF26" s="37"/>
      <c r="AG26" s="37"/>
      <c r="AH26" s="36">
        <v>1</v>
      </c>
      <c r="AI26" s="36"/>
      <c r="AJ26" s="36">
        <v>1</v>
      </c>
      <c r="AK26" s="36"/>
      <c r="AL26" s="36">
        <v>1</v>
      </c>
      <c r="AM26" s="36"/>
      <c r="AN26" s="36">
        <v>1</v>
      </c>
      <c r="AO26" s="36"/>
      <c r="AP26" s="36">
        <v>1</v>
      </c>
      <c r="AQ26" s="36"/>
      <c r="AR26" s="37"/>
      <c r="AS26" s="37"/>
      <c r="AT26" s="36">
        <v>1</v>
      </c>
      <c r="AU26" s="36"/>
      <c r="AV26" s="36">
        <v>1</v>
      </c>
      <c r="AW26" s="36"/>
      <c r="AX26" s="36"/>
      <c r="AY26" s="36"/>
      <c r="AZ26" s="36"/>
      <c r="BA26" s="36"/>
      <c r="BB26" s="36"/>
      <c r="BC26" s="36"/>
      <c r="BD26" s="71"/>
    </row>
    <row r="27" spans="1:60" x14ac:dyDescent="0.25">
      <c r="A27" s="17">
        <v>1</v>
      </c>
      <c r="B27" s="17"/>
      <c r="C27" s="37"/>
      <c r="D27" s="36">
        <v>1</v>
      </c>
      <c r="E27" s="36"/>
      <c r="F27" s="36">
        <v>1</v>
      </c>
      <c r="G27" s="36"/>
      <c r="H27" s="37"/>
      <c r="I27" s="37"/>
      <c r="J27" s="36">
        <v>1</v>
      </c>
      <c r="K27" s="36"/>
      <c r="L27" s="36">
        <v>1</v>
      </c>
      <c r="M27" s="36"/>
      <c r="N27" s="36">
        <v>1</v>
      </c>
      <c r="O27" s="36"/>
      <c r="P27" s="36">
        <v>1</v>
      </c>
      <c r="Q27" s="36"/>
      <c r="R27" s="36">
        <v>1</v>
      </c>
      <c r="S27" s="36"/>
      <c r="T27" s="37"/>
      <c r="U27" s="37"/>
      <c r="V27" s="36">
        <v>1</v>
      </c>
      <c r="W27" s="36"/>
      <c r="X27" s="36">
        <v>1</v>
      </c>
      <c r="Y27" s="36"/>
      <c r="Z27" s="36">
        <v>1</v>
      </c>
      <c r="AA27" s="36"/>
      <c r="AB27" s="36">
        <v>1</v>
      </c>
      <c r="AC27" s="36"/>
      <c r="AD27" s="36">
        <v>1</v>
      </c>
      <c r="AE27" s="36"/>
      <c r="AF27" s="37"/>
      <c r="AG27" s="37"/>
      <c r="AH27" s="36">
        <v>1</v>
      </c>
      <c r="AI27" s="36"/>
      <c r="AJ27" s="36">
        <v>1</v>
      </c>
      <c r="AK27" s="36"/>
      <c r="AL27" s="36">
        <v>1</v>
      </c>
      <c r="AM27" s="36"/>
      <c r="AN27" s="36">
        <v>1</v>
      </c>
      <c r="AO27" s="36"/>
      <c r="AP27" s="36">
        <v>1</v>
      </c>
      <c r="AQ27" s="36"/>
      <c r="AR27" s="37"/>
      <c r="AS27" s="37"/>
      <c r="AT27" s="36">
        <v>1</v>
      </c>
      <c r="AU27" s="36"/>
      <c r="AV27" s="36">
        <v>1</v>
      </c>
      <c r="AW27" s="36"/>
      <c r="AX27" s="36"/>
      <c r="AY27" s="36"/>
      <c r="AZ27" s="36"/>
      <c r="BA27" s="36"/>
      <c r="BB27" s="36"/>
      <c r="BC27" s="36"/>
      <c r="BD27" s="71"/>
    </row>
    <row r="28" spans="1:60" x14ac:dyDescent="0.25">
      <c r="A28" s="17">
        <v>1</v>
      </c>
      <c r="B28" s="17"/>
      <c r="C28" s="37"/>
      <c r="D28" s="36">
        <v>1</v>
      </c>
      <c r="E28" s="36"/>
      <c r="F28" s="36">
        <v>1</v>
      </c>
      <c r="G28" s="36"/>
      <c r="H28" s="37"/>
      <c r="I28" s="37"/>
      <c r="J28" s="36">
        <v>1</v>
      </c>
      <c r="K28" s="36"/>
      <c r="L28" s="36">
        <v>1</v>
      </c>
      <c r="M28" s="36"/>
      <c r="N28" s="36">
        <v>1</v>
      </c>
      <c r="O28" s="36"/>
      <c r="P28" s="36">
        <v>1</v>
      </c>
      <c r="Q28" s="36"/>
      <c r="R28" s="36">
        <v>1</v>
      </c>
      <c r="S28" s="36"/>
      <c r="T28" s="37"/>
      <c r="U28" s="37"/>
      <c r="V28" s="36">
        <v>1</v>
      </c>
      <c r="W28" s="36"/>
      <c r="X28" s="36">
        <v>1</v>
      </c>
      <c r="Y28" s="36"/>
      <c r="Z28" s="36">
        <v>1</v>
      </c>
      <c r="AA28" s="36"/>
      <c r="AB28" s="36">
        <v>1</v>
      </c>
      <c r="AC28" s="36"/>
      <c r="AD28" s="36">
        <v>1</v>
      </c>
      <c r="AE28" s="36"/>
      <c r="AF28" s="37"/>
      <c r="AG28" s="37"/>
      <c r="AH28" s="36">
        <v>1</v>
      </c>
      <c r="AI28" s="36"/>
      <c r="AJ28" s="36">
        <v>1</v>
      </c>
      <c r="AK28" s="36"/>
      <c r="AL28" s="36">
        <v>1</v>
      </c>
      <c r="AM28" s="36"/>
      <c r="AN28" s="36">
        <v>1</v>
      </c>
      <c r="AO28" s="36"/>
      <c r="AP28" s="36">
        <v>1</v>
      </c>
      <c r="AQ28" s="36"/>
      <c r="AR28" s="37"/>
      <c r="AS28" s="37"/>
      <c r="AT28" s="36">
        <v>1</v>
      </c>
      <c r="AU28" s="36"/>
      <c r="AV28" s="36">
        <v>1</v>
      </c>
      <c r="AW28" s="36"/>
      <c r="AX28" s="36"/>
      <c r="AY28" s="36"/>
      <c r="AZ28" s="36"/>
      <c r="BA28" s="36"/>
      <c r="BB28" s="43" t="s">
        <v>2</v>
      </c>
      <c r="BC28" s="43" t="s">
        <v>2</v>
      </c>
      <c r="BD28" s="71"/>
    </row>
    <row r="29" spans="1:60" x14ac:dyDescent="0.25"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F29" s="26" t="s">
        <v>2</v>
      </c>
      <c r="BG29" s="26" t="s">
        <v>1</v>
      </c>
      <c r="BH29" s="26" t="s">
        <v>80</v>
      </c>
    </row>
    <row r="30" spans="1:60" x14ac:dyDescent="0.25">
      <c r="A30" s="35" t="s">
        <v>9</v>
      </c>
      <c r="B30" s="19"/>
      <c r="C30" s="29"/>
      <c r="D30" s="29">
        <f>IF(D28="","",SUM(D11:D28))</f>
        <v>15</v>
      </c>
      <c r="E30" s="29"/>
      <c r="F30" s="29">
        <f t="shared" ref="F30:AZ30" si="0">IF(F28="","",SUM(F11:F28))</f>
        <v>15</v>
      </c>
      <c r="G30" s="29"/>
      <c r="H30" s="29"/>
      <c r="I30" s="29"/>
      <c r="J30" s="29">
        <f t="shared" si="0"/>
        <v>16</v>
      </c>
      <c r="K30" s="29"/>
      <c r="L30" s="29">
        <f t="shared" si="0"/>
        <v>16</v>
      </c>
      <c r="M30" s="29"/>
      <c r="N30" s="29">
        <f t="shared" si="0"/>
        <v>16</v>
      </c>
      <c r="O30" s="29"/>
      <c r="P30" s="29">
        <f t="shared" si="0"/>
        <v>15</v>
      </c>
      <c r="Q30" s="29"/>
      <c r="R30" s="29">
        <f t="shared" si="0"/>
        <v>15</v>
      </c>
      <c r="S30" s="29"/>
      <c r="T30" s="29"/>
      <c r="U30" s="29"/>
      <c r="V30" s="29">
        <f t="shared" si="0"/>
        <v>17</v>
      </c>
      <c r="W30" s="29"/>
      <c r="X30" s="29">
        <f t="shared" si="0"/>
        <v>17</v>
      </c>
      <c r="Y30" s="29"/>
      <c r="Z30" s="29">
        <f t="shared" si="0"/>
        <v>16</v>
      </c>
      <c r="AA30" s="29"/>
      <c r="AB30" s="29">
        <f t="shared" si="0"/>
        <v>16</v>
      </c>
      <c r="AC30" s="29"/>
      <c r="AD30" s="29">
        <f t="shared" si="0"/>
        <v>13</v>
      </c>
      <c r="AE30" s="29"/>
      <c r="AF30" s="29"/>
      <c r="AG30" s="29"/>
      <c r="AH30" s="29">
        <f t="shared" si="0"/>
        <v>16</v>
      </c>
      <c r="AI30" s="29"/>
      <c r="AJ30" s="29">
        <f t="shared" si="0"/>
        <v>16</v>
      </c>
      <c r="AK30" s="29"/>
      <c r="AL30" s="29">
        <f t="shared" si="0"/>
        <v>15</v>
      </c>
      <c r="AM30" s="29"/>
      <c r="AN30" s="29">
        <f t="shared" si="0"/>
        <v>17</v>
      </c>
      <c r="AO30" s="29"/>
      <c r="AP30" s="29">
        <f t="shared" si="0"/>
        <v>16</v>
      </c>
      <c r="AQ30" s="29"/>
      <c r="AR30" s="29"/>
      <c r="AS30" s="29"/>
      <c r="AT30" s="29">
        <f t="shared" si="0"/>
        <v>16</v>
      </c>
      <c r="AU30" s="29"/>
      <c r="AV30" s="29">
        <f t="shared" si="0"/>
        <v>14</v>
      </c>
      <c r="AW30" s="29"/>
      <c r="AX30" s="29" t="str">
        <f t="shared" si="0"/>
        <v/>
      </c>
      <c r="AY30" s="29"/>
      <c r="AZ30" s="29" t="str">
        <f t="shared" si="0"/>
        <v/>
      </c>
      <c r="BA30" s="29"/>
      <c r="BB30" s="29" t="str">
        <f>IF(BB27="","",SUM(BB11:BB28))</f>
        <v/>
      </c>
      <c r="BC30" s="29"/>
      <c r="BD30" s="71"/>
      <c r="BE30" s="50">
        <f>AVERAGE(C30:BB30)</f>
        <v>15.631578947368421</v>
      </c>
      <c r="BF30" s="127">
        <f>COUNTIF((C10:BC28),"RTT")/2</f>
        <v>12</v>
      </c>
      <c r="BG30" s="64">
        <f>COUNTIF((C10:BC28),"CP")/2</f>
        <v>10</v>
      </c>
      <c r="BH30" s="128">
        <f>COUNTIF((C10:BC28),"1")</f>
        <v>297</v>
      </c>
    </row>
    <row r="31" spans="1:60" x14ac:dyDescent="0.25">
      <c r="A31" s="35" t="s">
        <v>10</v>
      </c>
      <c r="B31" s="19"/>
      <c r="C31" s="29"/>
      <c r="D31" s="29">
        <f t="shared" ref="D31:BB31" si="1">IF(D30="","",(18-D30))</f>
        <v>3</v>
      </c>
      <c r="E31" s="29"/>
      <c r="F31" s="29">
        <f t="shared" si="1"/>
        <v>3</v>
      </c>
      <c r="G31" s="29"/>
      <c r="H31" s="29"/>
      <c r="I31" s="29" t="str">
        <f t="shared" si="1"/>
        <v/>
      </c>
      <c r="J31" s="29">
        <f t="shared" si="1"/>
        <v>2</v>
      </c>
      <c r="K31" s="29"/>
      <c r="L31" s="29">
        <f t="shared" si="1"/>
        <v>2</v>
      </c>
      <c r="M31" s="29"/>
      <c r="N31" s="29">
        <f t="shared" si="1"/>
        <v>2</v>
      </c>
      <c r="O31" s="29"/>
      <c r="P31" s="29">
        <f t="shared" si="1"/>
        <v>3</v>
      </c>
      <c r="Q31" s="29"/>
      <c r="R31" s="29">
        <f t="shared" si="1"/>
        <v>3</v>
      </c>
      <c r="S31" s="29"/>
      <c r="T31" s="29"/>
      <c r="U31" s="29" t="str">
        <f t="shared" si="1"/>
        <v/>
      </c>
      <c r="V31" s="29">
        <f t="shared" si="1"/>
        <v>1</v>
      </c>
      <c r="W31" s="29"/>
      <c r="X31" s="29">
        <f t="shared" si="1"/>
        <v>1</v>
      </c>
      <c r="Y31" s="29"/>
      <c r="Z31" s="29">
        <f t="shared" si="1"/>
        <v>2</v>
      </c>
      <c r="AA31" s="29"/>
      <c r="AB31" s="29">
        <f t="shared" si="1"/>
        <v>2</v>
      </c>
      <c r="AC31" s="29"/>
      <c r="AD31" s="29">
        <f t="shared" si="1"/>
        <v>5</v>
      </c>
      <c r="AE31" s="29" t="str">
        <f t="shared" si="1"/>
        <v/>
      </c>
      <c r="AF31" s="29"/>
      <c r="AG31" s="29"/>
      <c r="AH31" s="29">
        <f t="shared" si="1"/>
        <v>2</v>
      </c>
      <c r="AI31" s="29"/>
      <c r="AJ31" s="29">
        <f t="shared" si="1"/>
        <v>2</v>
      </c>
      <c r="AK31" s="29"/>
      <c r="AL31" s="29">
        <f t="shared" si="1"/>
        <v>3</v>
      </c>
      <c r="AM31" s="29"/>
      <c r="AN31" s="29">
        <f t="shared" si="1"/>
        <v>1</v>
      </c>
      <c r="AO31" s="29"/>
      <c r="AP31" s="29">
        <f t="shared" si="1"/>
        <v>2</v>
      </c>
      <c r="AQ31" s="29"/>
      <c r="AR31" s="29"/>
      <c r="AS31" s="29"/>
      <c r="AT31" s="29">
        <f t="shared" si="1"/>
        <v>2</v>
      </c>
      <c r="AU31" s="29"/>
      <c r="AV31" s="29">
        <f t="shared" si="1"/>
        <v>4</v>
      </c>
      <c r="AW31" s="29"/>
      <c r="AX31" s="29" t="str">
        <f t="shared" si="1"/>
        <v/>
      </c>
      <c r="AY31" s="29"/>
      <c r="AZ31" s="29" t="str">
        <f t="shared" si="1"/>
        <v/>
      </c>
      <c r="BA31" s="29"/>
      <c r="BB31" s="29" t="str">
        <f t="shared" si="1"/>
        <v/>
      </c>
      <c r="BC31" s="29"/>
      <c r="BD31" s="71"/>
      <c r="BE31" s="50">
        <f>AVERAGE(C31:BB31)</f>
        <v>2.3684210526315788</v>
      </c>
    </row>
    <row r="32" spans="1:60" x14ac:dyDescent="0.25"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</row>
    <row r="33" spans="1:56" x14ac:dyDescent="0.25">
      <c r="B33" s="26" t="s">
        <v>11</v>
      </c>
      <c r="C33" s="18">
        <v>41640</v>
      </c>
      <c r="D33" s="57">
        <v>41641</v>
      </c>
      <c r="E33" s="57"/>
      <c r="F33" s="57">
        <v>41642</v>
      </c>
      <c r="G33" s="57"/>
      <c r="H33" s="18">
        <v>41916</v>
      </c>
      <c r="I33" s="18">
        <v>41644</v>
      </c>
      <c r="J33" s="57">
        <v>41645</v>
      </c>
      <c r="K33" s="57"/>
      <c r="L33" s="57">
        <v>41646</v>
      </c>
      <c r="M33" s="57"/>
      <c r="N33" s="57">
        <v>41647</v>
      </c>
      <c r="O33" s="57"/>
      <c r="P33" s="57">
        <v>41648</v>
      </c>
      <c r="Q33" s="57"/>
      <c r="R33" s="57">
        <v>41649</v>
      </c>
      <c r="S33" s="57"/>
      <c r="T33" s="18">
        <v>41650</v>
      </c>
      <c r="U33" s="18">
        <v>41651</v>
      </c>
      <c r="V33" s="57">
        <v>41652</v>
      </c>
      <c r="W33" s="57"/>
      <c r="X33" s="57">
        <v>41653</v>
      </c>
      <c r="Y33" s="57"/>
      <c r="Z33" s="57">
        <v>41654</v>
      </c>
      <c r="AA33" s="57"/>
      <c r="AB33" s="57">
        <v>41655</v>
      </c>
      <c r="AC33" s="57"/>
      <c r="AD33" s="57">
        <v>41656</v>
      </c>
      <c r="AE33" s="57"/>
      <c r="AF33" s="18">
        <v>41657</v>
      </c>
      <c r="AG33" s="18">
        <v>41658</v>
      </c>
      <c r="AH33" s="57">
        <v>41659</v>
      </c>
      <c r="AI33" s="57"/>
      <c r="AJ33" s="57">
        <v>41660</v>
      </c>
      <c r="AK33" s="57"/>
      <c r="AL33" s="57">
        <v>41661</v>
      </c>
      <c r="AM33" s="57"/>
      <c r="AN33" s="57">
        <v>41662</v>
      </c>
      <c r="AO33" s="57"/>
      <c r="AP33" s="57">
        <v>41663</v>
      </c>
      <c r="AQ33" s="57"/>
      <c r="AR33" s="18">
        <v>41664</v>
      </c>
      <c r="AS33" s="18">
        <v>41665</v>
      </c>
      <c r="AT33" s="57">
        <v>41666</v>
      </c>
      <c r="AU33" s="57"/>
      <c r="AV33" s="57">
        <v>41667</v>
      </c>
      <c r="AW33" s="57"/>
      <c r="AX33" s="57">
        <v>41668</v>
      </c>
      <c r="AY33" s="57"/>
      <c r="AZ33" s="57">
        <v>41669</v>
      </c>
      <c r="BA33" s="57"/>
      <c r="BB33" s="57">
        <v>41670</v>
      </c>
      <c r="BC33" s="57"/>
      <c r="BD33" s="71"/>
    </row>
    <row r="34" spans="1:56" x14ac:dyDescent="0.25">
      <c r="A34" s="22">
        <v>2</v>
      </c>
      <c r="B34" s="22">
        <v>24</v>
      </c>
      <c r="C34" s="40"/>
      <c r="D34" s="39">
        <v>9.52</v>
      </c>
      <c r="E34" s="39">
        <f t="shared" ref="E34:E57" si="2">IF(D34="","",D34/B34)</f>
        <v>0.39666666666666667</v>
      </c>
      <c r="F34" s="39"/>
      <c r="G34" s="39" t="str">
        <f t="shared" ref="G34:G57" si="3">IF(F34="","",F34/B34)</f>
        <v/>
      </c>
      <c r="H34" s="40"/>
      <c r="I34" s="40"/>
      <c r="J34" s="39">
        <v>7.2190000000000003</v>
      </c>
      <c r="K34" s="39">
        <f t="shared" ref="K34:K57" si="4">IF(J34="","",J34/B34)</f>
        <v>0.30079166666666668</v>
      </c>
      <c r="L34" s="39">
        <v>22.306000000000001</v>
      </c>
      <c r="M34" s="39">
        <f t="shared" ref="M34:M57" si="5">IF(L34="","",L34/B34)</f>
        <v>0.92941666666666667</v>
      </c>
      <c r="N34" s="39">
        <v>11.44</v>
      </c>
      <c r="O34" s="39">
        <f t="shared" ref="O34:O57" si="6">IF(N34="","",N34/B34)</f>
        <v>0.47666666666666663</v>
      </c>
      <c r="P34" s="39">
        <v>24.574999999999999</v>
      </c>
      <c r="Q34" s="39">
        <f t="shared" ref="Q34:Q57" si="7">IF(P34="","",P34/B34)</f>
        <v>1.0239583333333333</v>
      </c>
      <c r="R34" s="39">
        <v>14.726000000000001</v>
      </c>
      <c r="S34" s="39">
        <f>IF(R34="","",R34/B34)</f>
        <v>0.61358333333333337</v>
      </c>
      <c r="T34" s="40"/>
      <c r="U34" s="40"/>
      <c r="V34" s="39">
        <v>8.6259999999999994</v>
      </c>
      <c r="W34" s="39">
        <f t="shared" ref="W34:W57" si="8">IF(V34="","",V34/B34)</f>
        <v>0.35941666666666666</v>
      </c>
      <c r="X34" s="39">
        <v>23.597000000000001</v>
      </c>
      <c r="Y34" s="39">
        <f t="shared" ref="Y34:Y57" si="9">IF(X34="","",X34/B34)</f>
        <v>0.98320833333333335</v>
      </c>
      <c r="Z34" s="39">
        <v>19.106000000000002</v>
      </c>
      <c r="AA34" s="39">
        <f t="shared" ref="AA34:AA57" si="10">IF(Z34="","",Z34/B34)</f>
        <v>0.79608333333333337</v>
      </c>
      <c r="AB34" s="39">
        <f>7.362</f>
        <v>7.3620000000000001</v>
      </c>
      <c r="AC34" s="39">
        <f t="shared" ref="AC34:AC57" si="11">IF(AB34="","",AB34/B34)</f>
        <v>0.30675000000000002</v>
      </c>
      <c r="AD34" s="39"/>
      <c r="AE34" s="39" t="str">
        <f t="shared" ref="AE34:AE57" si="12">IF(AD34="","",AD34/B34)</f>
        <v/>
      </c>
      <c r="AF34" s="40"/>
      <c r="AG34" s="40"/>
      <c r="AH34" s="39">
        <f>11.814</f>
        <v>11.814</v>
      </c>
      <c r="AI34" s="39">
        <f t="shared" ref="AI34:AI57" si="13">IF(AH34="","",AH34/B34)</f>
        <v>0.49225000000000002</v>
      </c>
      <c r="AJ34" s="39">
        <f>20.826</f>
        <v>20.826000000000001</v>
      </c>
      <c r="AK34" s="39">
        <f t="shared" ref="AK34:AK57" si="14">IF(AJ34="","",AJ34/B34)</f>
        <v>0.86775000000000002</v>
      </c>
      <c r="AL34" s="39">
        <v>11.75</v>
      </c>
      <c r="AM34" s="39">
        <f t="shared" ref="AM34:AM57" si="15">IF(AL34="","",AL34/B34)</f>
        <v>0.48958333333333331</v>
      </c>
      <c r="AN34" s="39">
        <v>13.654999999999999</v>
      </c>
      <c r="AO34" s="39">
        <f t="shared" ref="AO34:AO57" si="16">IF(AN34="","",AN34/B34)</f>
        <v>0.56895833333333334</v>
      </c>
      <c r="AP34" s="39">
        <v>16.773</v>
      </c>
      <c r="AQ34" s="39">
        <f t="shared" ref="AQ34:AQ57" si="17">IF(AP34="","",AP34/B34)</f>
        <v>0.69887500000000002</v>
      </c>
      <c r="AR34" s="40"/>
      <c r="AS34" s="40"/>
      <c r="AT34" s="39">
        <f>12.561</f>
        <v>12.561</v>
      </c>
      <c r="AU34" s="39">
        <f t="shared" ref="AU34:AU57" si="18">IF(AT34="","",AT34/B34)</f>
        <v>0.52337500000000003</v>
      </c>
      <c r="AV34" s="39"/>
      <c r="AW34" s="39" t="str">
        <f t="shared" ref="AW34:AW57" si="19">IF(AV34="","",AV34/B34)</f>
        <v/>
      </c>
      <c r="AX34" s="39"/>
      <c r="AY34" s="39" t="str">
        <f t="shared" ref="AY34:AY57" si="20">IF(AX34="","",AX34/B34)</f>
        <v/>
      </c>
      <c r="AZ34" s="39"/>
      <c r="BA34" s="39" t="str">
        <f t="shared" ref="BA34:BA57" si="21">IF(AZ34="","",AZ34/B34)</f>
        <v/>
      </c>
      <c r="BB34" s="39"/>
      <c r="BC34" s="39" t="str">
        <f t="shared" ref="BC34:BC57" si="22">IF(BB34="","",BB34/B34)</f>
        <v/>
      </c>
      <c r="BD34" s="71"/>
    </row>
    <row r="35" spans="1:56" x14ac:dyDescent="0.25">
      <c r="A35" s="22">
        <v>2</v>
      </c>
      <c r="B35" s="22">
        <v>15</v>
      </c>
      <c r="C35" s="40"/>
      <c r="D35" s="39">
        <v>9.8010000000000002</v>
      </c>
      <c r="E35" s="39">
        <f t="shared" si="2"/>
        <v>0.65339999999999998</v>
      </c>
      <c r="F35" s="39"/>
      <c r="G35" s="39" t="str">
        <f t="shared" si="3"/>
        <v/>
      </c>
      <c r="H35" s="40"/>
      <c r="I35" s="40"/>
      <c r="J35" s="39"/>
      <c r="K35" s="39" t="str">
        <f t="shared" si="4"/>
        <v/>
      </c>
      <c r="L35" s="39">
        <v>12.413</v>
      </c>
      <c r="M35" s="39">
        <f t="shared" si="5"/>
        <v>0.82753333333333334</v>
      </c>
      <c r="N35" s="39">
        <v>5.5359999999999996</v>
      </c>
      <c r="O35" s="39">
        <f t="shared" si="6"/>
        <v>0.36906666666666665</v>
      </c>
      <c r="P35" s="39">
        <f>9.236</f>
        <v>9.2360000000000007</v>
      </c>
      <c r="Q35" s="39">
        <f t="shared" si="7"/>
        <v>0.61573333333333335</v>
      </c>
      <c r="R35" s="39">
        <f>5.19</f>
        <v>5.19</v>
      </c>
      <c r="S35" s="39">
        <f t="shared" ref="S35:S57" si="23">IF(R35="","",R35/B35)</f>
        <v>0.34600000000000003</v>
      </c>
      <c r="T35" s="40"/>
      <c r="U35" s="40"/>
      <c r="V35" s="39">
        <v>7.7190000000000003</v>
      </c>
      <c r="W35" s="39">
        <f t="shared" si="8"/>
        <v>0.51460000000000006</v>
      </c>
      <c r="X35" s="39">
        <f>11.281+1.686</f>
        <v>12.967000000000001</v>
      </c>
      <c r="Y35" s="39">
        <f t="shared" si="9"/>
        <v>0.86446666666666672</v>
      </c>
      <c r="Z35" s="39">
        <v>1.617</v>
      </c>
      <c r="AA35" s="39">
        <f t="shared" si="10"/>
        <v>0.10779999999999999</v>
      </c>
      <c r="AB35" s="39">
        <v>5.4089999999999998</v>
      </c>
      <c r="AC35" s="39">
        <f t="shared" si="11"/>
        <v>0.36059999999999998</v>
      </c>
      <c r="AD35" s="39">
        <v>10.704000000000001</v>
      </c>
      <c r="AE35" s="39">
        <f t="shared" si="12"/>
        <v>0.71360000000000001</v>
      </c>
      <c r="AF35" s="40"/>
      <c r="AG35" s="40"/>
      <c r="AH35" s="39">
        <v>5.407</v>
      </c>
      <c r="AI35" s="39">
        <f t="shared" si="13"/>
        <v>0.36046666666666666</v>
      </c>
      <c r="AJ35" s="39">
        <v>7.0640000000000001</v>
      </c>
      <c r="AK35" s="39">
        <f t="shared" si="14"/>
        <v>0.47093333333333331</v>
      </c>
      <c r="AL35" s="39">
        <v>5.0190000000000001</v>
      </c>
      <c r="AM35" s="39">
        <f t="shared" si="15"/>
        <v>0.33460000000000001</v>
      </c>
      <c r="AN35" s="39">
        <v>5.7539999999999996</v>
      </c>
      <c r="AO35" s="39">
        <f t="shared" si="16"/>
        <v>0.3836</v>
      </c>
      <c r="AP35" s="39">
        <f>10.78</f>
        <v>10.78</v>
      </c>
      <c r="AQ35" s="39">
        <f t="shared" si="17"/>
        <v>0.71866666666666668</v>
      </c>
      <c r="AR35" s="40"/>
      <c r="AS35" s="40"/>
      <c r="AT35" s="39">
        <f>10.776</f>
        <v>10.776</v>
      </c>
      <c r="AU35" s="39">
        <f t="shared" si="18"/>
        <v>0.71840000000000004</v>
      </c>
      <c r="AV35" s="39">
        <f>8.313</f>
        <v>8.3130000000000006</v>
      </c>
      <c r="AW35" s="39">
        <f t="shared" si="19"/>
        <v>0.55420000000000003</v>
      </c>
      <c r="AX35" s="39"/>
      <c r="AY35" s="39" t="str">
        <f t="shared" si="20"/>
        <v/>
      </c>
      <c r="AZ35" s="39"/>
      <c r="BA35" s="39" t="str">
        <f t="shared" si="21"/>
        <v/>
      </c>
      <c r="BB35" s="39"/>
      <c r="BC35" s="39" t="str">
        <f t="shared" si="22"/>
        <v/>
      </c>
      <c r="BD35" s="71"/>
    </row>
    <row r="36" spans="1:56" x14ac:dyDescent="0.25">
      <c r="A36" s="22">
        <v>2</v>
      </c>
      <c r="B36" s="22">
        <v>15</v>
      </c>
      <c r="C36" s="40"/>
      <c r="D36" s="39">
        <v>12.186</v>
      </c>
      <c r="E36" s="39">
        <f t="shared" si="2"/>
        <v>0.81240000000000001</v>
      </c>
      <c r="F36" s="39">
        <v>11.077</v>
      </c>
      <c r="G36" s="39">
        <f t="shared" si="3"/>
        <v>0.73846666666666672</v>
      </c>
      <c r="H36" s="78"/>
      <c r="I36" s="40"/>
      <c r="J36" s="39">
        <v>10.224</v>
      </c>
      <c r="K36" s="39">
        <f t="shared" si="4"/>
        <v>0.68159999999999998</v>
      </c>
      <c r="L36" s="39">
        <v>5.8319999999999999</v>
      </c>
      <c r="M36" s="39">
        <f t="shared" si="5"/>
        <v>0.38879999999999998</v>
      </c>
      <c r="N36" s="39">
        <v>11.1</v>
      </c>
      <c r="O36" s="39">
        <f t="shared" si="6"/>
        <v>0.74</v>
      </c>
      <c r="P36" s="39">
        <f>12.549+7.676</f>
        <v>20.225000000000001</v>
      </c>
      <c r="Q36" s="39">
        <f t="shared" si="7"/>
        <v>1.3483333333333334</v>
      </c>
      <c r="R36" s="39">
        <f>11.973</f>
        <v>11.973000000000001</v>
      </c>
      <c r="S36" s="39">
        <f t="shared" si="23"/>
        <v>0.79820000000000002</v>
      </c>
      <c r="T36" s="40"/>
      <c r="U36" s="40"/>
      <c r="V36" s="39">
        <f>8.533</f>
        <v>8.5329999999999995</v>
      </c>
      <c r="W36" s="39">
        <f t="shared" si="8"/>
        <v>0.56886666666666663</v>
      </c>
      <c r="X36" s="39">
        <f>14.289</f>
        <v>14.289</v>
      </c>
      <c r="Y36" s="39">
        <f t="shared" si="9"/>
        <v>0.9526</v>
      </c>
      <c r="Z36" s="39"/>
      <c r="AA36" s="39" t="str">
        <f t="shared" si="10"/>
        <v/>
      </c>
      <c r="AB36" s="39">
        <f>14.703</f>
        <v>14.702999999999999</v>
      </c>
      <c r="AC36" s="39">
        <f t="shared" si="11"/>
        <v>0.98019999999999996</v>
      </c>
      <c r="AD36" s="39">
        <v>5.0750000000000002</v>
      </c>
      <c r="AE36" s="39">
        <f t="shared" si="12"/>
        <v>0.33833333333333332</v>
      </c>
      <c r="AF36" s="40"/>
      <c r="AG36" s="40"/>
      <c r="AH36" s="39">
        <v>8.7010000000000005</v>
      </c>
      <c r="AI36" s="39">
        <f t="shared" si="13"/>
        <v>0.58006666666666673</v>
      </c>
      <c r="AJ36" s="39">
        <v>12.693</v>
      </c>
      <c r="AK36" s="39">
        <f t="shared" si="14"/>
        <v>0.84619999999999995</v>
      </c>
      <c r="AL36" s="39">
        <f>8.826</f>
        <v>8.8260000000000005</v>
      </c>
      <c r="AM36" s="39">
        <f t="shared" si="15"/>
        <v>0.58840000000000003</v>
      </c>
      <c r="AN36" s="39">
        <f>11.407</f>
        <v>11.407</v>
      </c>
      <c r="AO36" s="39">
        <f t="shared" si="16"/>
        <v>0.76046666666666662</v>
      </c>
      <c r="AP36" s="39">
        <v>14.785</v>
      </c>
      <c r="AQ36" s="39">
        <f t="shared" si="17"/>
        <v>0.98566666666666669</v>
      </c>
      <c r="AR36" s="40"/>
      <c r="AS36" s="40"/>
      <c r="AT36" s="39">
        <f>7.3</f>
        <v>7.3</v>
      </c>
      <c r="AU36" s="39">
        <f t="shared" si="18"/>
        <v>0.48666666666666664</v>
      </c>
      <c r="AV36" s="39">
        <f>5.671</f>
        <v>5.6710000000000003</v>
      </c>
      <c r="AW36" s="39">
        <f t="shared" si="19"/>
        <v>0.37806666666666666</v>
      </c>
      <c r="AX36" s="39"/>
      <c r="AY36" s="39" t="str">
        <f t="shared" si="20"/>
        <v/>
      </c>
      <c r="AZ36" s="39"/>
      <c r="BA36" s="39" t="str">
        <f t="shared" si="21"/>
        <v/>
      </c>
      <c r="BB36" s="39"/>
      <c r="BC36" s="39" t="str">
        <f t="shared" si="22"/>
        <v/>
      </c>
      <c r="BD36" s="71"/>
    </row>
    <row r="37" spans="1:56" x14ac:dyDescent="0.25">
      <c r="A37" s="22">
        <v>2</v>
      </c>
      <c r="B37" s="22">
        <v>15</v>
      </c>
      <c r="C37" s="40"/>
      <c r="D37" s="39">
        <v>9.3339999999999996</v>
      </c>
      <c r="E37" s="39">
        <f t="shared" si="2"/>
        <v>0.62226666666666663</v>
      </c>
      <c r="F37" s="39">
        <v>5.0439999999999996</v>
      </c>
      <c r="G37" s="39">
        <f t="shared" si="3"/>
        <v>0.33626666666666666</v>
      </c>
      <c r="H37" s="40"/>
      <c r="I37" s="40"/>
      <c r="J37" s="39">
        <v>5.8460000000000001</v>
      </c>
      <c r="K37" s="39">
        <f t="shared" si="4"/>
        <v>0.38973333333333332</v>
      </c>
      <c r="L37" s="39">
        <f>9.653</f>
        <v>9.6530000000000005</v>
      </c>
      <c r="M37" s="39">
        <f t="shared" si="5"/>
        <v>0.6435333333333334</v>
      </c>
      <c r="N37" s="39">
        <f>7.355+10.633</f>
        <v>17.988</v>
      </c>
      <c r="O37" s="39">
        <f t="shared" si="6"/>
        <v>1.1992</v>
      </c>
      <c r="P37" s="39">
        <v>6.1020000000000003</v>
      </c>
      <c r="Q37" s="39">
        <f t="shared" si="7"/>
        <v>0.40679999999999999</v>
      </c>
      <c r="R37" s="39">
        <f>9.199</f>
        <v>9.1989999999999998</v>
      </c>
      <c r="S37" s="39">
        <f t="shared" si="23"/>
        <v>0.61326666666666663</v>
      </c>
      <c r="T37" s="40"/>
      <c r="U37" s="40"/>
      <c r="V37" s="39">
        <f>11.975</f>
        <v>11.975</v>
      </c>
      <c r="W37" s="39">
        <f t="shared" si="8"/>
        <v>0.79833333333333334</v>
      </c>
      <c r="X37" s="39">
        <f>7.243</f>
        <v>7.2430000000000003</v>
      </c>
      <c r="Y37" s="39">
        <f t="shared" si="9"/>
        <v>0.48286666666666667</v>
      </c>
      <c r="Z37" s="39">
        <f>5.09</f>
        <v>5.09</v>
      </c>
      <c r="AA37" s="39">
        <f t="shared" si="10"/>
        <v>0.33933333333333332</v>
      </c>
      <c r="AB37" s="39">
        <f>9.832</f>
        <v>9.8320000000000007</v>
      </c>
      <c r="AC37" s="39">
        <f t="shared" si="11"/>
        <v>0.65546666666666675</v>
      </c>
      <c r="AD37" s="39">
        <v>11.215999999999999</v>
      </c>
      <c r="AE37" s="39">
        <f t="shared" si="12"/>
        <v>0.74773333333333325</v>
      </c>
      <c r="AF37" s="40"/>
      <c r="AG37" s="40"/>
      <c r="AH37" s="39">
        <v>8.0060000000000002</v>
      </c>
      <c r="AI37" s="39">
        <f t="shared" si="13"/>
        <v>0.53373333333333339</v>
      </c>
      <c r="AJ37" s="39">
        <v>14.205</v>
      </c>
      <c r="AK37" s="39">
        <f t="shared" si="14"/>
        <v>0.94699999999999995</v>
      </c>
      <c r="AL37" s="39">
        <v>11.032999999999999</v>
      </c>
      <c r="AM37" s="39">
        <f t="shared" si="15"/>
        <v>0.73553333333333326</v>
      </c>
      <c r="AN37" s="39">
        <f>7.219</f>
        <v>7.2190000000000003</v>
      </c>
      <c r="AO37" s="39">
        <f t="shared" si="16"/>
        <v>0.48126666666666668</v>
      </c>
      <c r="AP37" s="39">
        <f>13.255+12.047</f>
        <v>25.302</v>
      </c>
      <c r="AQ37" s="39">
        <f t="shared" si="17"/>
        <v>1.6868000000000001</v>
      </c>
      <c r="AR37" s="40"/>
      <c r="AS37" s="40"/>
      <c r="AT37" s="39">
        <f>5.72</f>
        <v>5.72</v>
      </c>
      <c r="AU37" s="39">
        <f t="shared" si="18"/>
        <v>0.3813333333333333</v>
      </c>
      <c r="AV37" s="39">
        <v>2.827</v>
      </c>
      <c r="AW37" s="39">
        <f t="shared" si="19"/>
        <v>0.18846666666666667</v>
      </c>
      <c r="AX37" s="39"/>
      <c r="AY37" s="39" t="str">
        <f t="shared" si="20"/>
        <v/>
      </c>
      <c r="AZ37" s="39"/>
      <c r="BA37" s="39" t="str">
        <f t="shared" si="21"/>
        <v/>
      </c>
      <c r="BB37" s="39"/>
      <c r="BC37" s="39" t="str">
        <f t="shared" si="22"/>
        <v/>
      </c>
      <c r="BD37" s="71"/>
    </row>
    <row r="38" spans="1:56" x14ac:dyDescent="0.25">
      <c r="A38" s="22">
        <v>2</v>
      </c>
      <c r="B38" s="22">
        <v>15</v>
      </c>
      <c r="C38" s="40"/>
      <c r="D38" s="39">
        <v>11.371</v>
      </c>
      <c r="E38" s="39">
        <f t="shared" si="2"/>
        <v>0.75806666666666667</v>
      </c>
      <c r="F38" s="39">
        <v>7.6059999999999999</v>
      </c>
      <c r="G38" s="39">
        <f t="shared" si="3"/>
        <v>0.50706666666666667</v>
      </c>
      <c r="H38" s="40"/>
      <c r="I38" s="40"/>
      <c r="J38" s="39">
        <f>8.884</f>
        <v>8.8840000000000003</v>
      </c>
      <c r="K38" s="39">
        <f t="shared" si="4"/>
        <v>0.59226666666666672</v>
      </c>
      <c r="L38" s="39">
        <f>12.85</f>
        <v>12.85</v>
      </c>
      <c r="M38" s="39">
        <f t="shared" si="5"/>
        <v>0.85666666666666669</v>
      </c>
      <c r="N38" s="39">
        <v>5.1550000000000002</v>
      </c>
      <c r="O38" s="39">
        <f t="shared" si="6"/>
        <v>0.34366666666666668</v>
      </c>
      <c r="P38" s="39">
        <f>14.189</f>
        <v>14.189</v>
      </c>
      <c r="Q38" s="39">
        <f t="shared" si="7"/>
        <v>0.94593333333333329</v>
      </c>
      <c r="R38" s="39">
        <f>10.507</f>
        <v>10.507</v>
      </c>
      <c r="S38" s="39">
        <f t="shared" si="23"/>
        <v>0.70046666666666668</v>
      </c>
      <c r="T38" s="40"/>
      <c r="U38" s="40"/>
      <c r="V38" s="39">
        <f>8.258</f>
        <v>8.2579999999999991</v>
      </c>
      <c r="W38" s="39">
        <f t="shared" si="8"/>
        <v>0.55053333333333332</v>
      </c>
      <c r="X38" s="39">
        <f>10.312</f>
        <v>10.311999999999999</v>
      </c>
      <c r="Y38" s="39">
        <f t="shared" si="9"/>
        <v>0.68746666666666667</v>
      </c>
      <c r="Z38" s="39">
        <f>9.891</f>
        <v>9.891</v>
      </c>
      <c r="AA38" s="39">
        <f t="shared" si="10"/>
        <v>0.65939999999999999</v>
      </c>
      <c r="AB38" s="39">
        <v>5.5640000000000001</v>
      </c>
      <c r="AC38" s="39">
        <f t="shared" si="11"/>
        <v>0.37093333333333334</v>
      </c>
      <c r="AD38" s="39">
        <v>11.82</v>
      </c>
      <c r="AE38" s="39">
        <f t="shared" si="12"/>
        <v>0.78800000000000003</v>
      </c>
      <c r="AF38" s="40"/>
      <c r="AG38" s="40"/>
      <c r="AH38" s="39">
        <v>7.4829999999999997</v>
      </c>
      <c r="AI38" s="39">
        <f t="shared" si="13"/>
        <v>0.49886666666666662</v>
      </c>
      <c r="AJ38" s="39">
        <f>9.211</f>
        <v>9.2110000000000003</v>
      </c>
      <c r="AK38" s="39">
        <f t="shared" si="14"/>
        <v>0.61406666666666665</v>
      </c>
      <c r="AL38" s="39">
        <v>0.18</v>
      </c>
      <c r="AM38" s="39">
        <f t="shared" si="15"/>
        <v>1.2E-2</v>
      </c>
      <c r="AN38" s="39">
        <f>14.004</f>
        <v>14.004</v>
      </c>
      <c r="AO38" s="39">
        <f t="shared" si="16"/>
        <v>0.93359999999999999</v>
      </c>
      <c r="AP38" s="39">
        <f>4.986</f>
        <v>4.9859999999999998</v>
      </c>
      <c r="AQ38" s="39">
        <f t="shared" si="17"/>
        <v>0.33239999999999997</v>
      </c>
      <c r="AR38" s="40"/>
      <c r="AS38" s="40"/>
      <c r="AT38" s="39">
        <f>10.99</f>
        <v>10.99</v>
      </c>
      <c r="AU38" s="39">
        <f t="shared" si="18"/>
        <v>0.73266666666666669</v>
      </c>
      <c r="AV38" s="39">
        <f>11.829</f>
        <v>11.829000000000001</v>
      </c>
      <c r="AW38" s="39">
        <f t="shared" si="19"/>
        <v>0.78860000000000008</v>
      </c>
      <c r="AX38" s="39"/>
      <c r="AY38" s="39" t="str">
        <f t="shared" si="20"/>
        <v/>
      </c>
      <c r="AZ38" s="39"/>
      <c r="BA38" s="39" t="str">
        <f t="shared" si="21"/>
        <v/>
      </c>
      <c r="BB38" s="39"/>
      <c r="BC38" s="39" t="str">
        <f t="shared" si="22"/>
        <v/>
      </c>
      <c r="BD38" s="71"/>
    </row>
    <row r="39" spans="1:56" x14ac:dyDescent="0.25">
      <c r="A39" s="22">
        <v>2</v>
      </c>
      <c r="B39" s="22">
        <v>15</v>
      </c>
      <c r="C39" s="40"/>
      <c r="D39" s="39">
        <v>9.7010000000000005</v>
      </c>
      <c r="E39" s="39">
        <f t="shared" si="2"/>
        <v>0.64673333333333338</v>
      </c>
      <c r="F39" s="39">
        <v>6.54</v>
      </c>
      <c r="G39" s="39">
        <f t="shared" si="3"/>
        <v>0.436</v>
      </c>
      <c r="H39" s="40"/>
      <c r="I39" s="40"/>
      <c r="J39" s="39">
        <f>6.54</f>
        <v>6.54</v>
      </c>
      <c r="K39" s="39">
        <f t="shared" si="4"/>
        <v>0.436</v>
      </c>
      <c r="L39" s="39">
        <f>9.81</f>
        <v>9.81</v>
      </c>
      <c r="M39" s="39">
        <f t="shared" si="5"/>
        <v>0.65400000000000003</v>
      </c>
      <c r="N39" s="39">
        <v>7.63</v>
      </c>
      <c r="O39" s="39">
        <f t="shared" si="6"/>
        <v>0.50866666666666671</v>
      </c>
      <c r="P39" s="39">
        <v>6.54</v>
      </c>
      <c r="Q39" s="39">
        <f t="shared" si="7"/>
        <v>0.436</v>
      </c>
      <c r="R39" s="39"/>
      <c r="S39" s="39" t="str">
        <f t="shared" si="23"/>
        <v/>
      </c>
      <c r="T39" s="40"/>
      <c r="U39" s="40"/>
      <c r="V39" s="39">
        <f>5.45</f>
        <v>5.45</v>
      </c>
      <c r="W39" s="39">
        <f t="shared" si="8"/>
        <v>0.36333333333333334</v>
      </c>
      <c r="X39" s="39">
        <f>4.905</f>
        <v>4.9050000000000002</v>
      </c>
      <c r="Y39" s="39">
        <f t="shared" si="9"/>
        <v>0.32700000000000001</v>
      </c>
      <c r="Z39" s="39">
        <v>3.27</v>
      </c>
      <c r="AA39" s="39">
        <f t="shared" si="10"/>
        <v>0.218</v>
      </c>
      <c r="AB39" s="39">
        <f>9.81</f>
        <v>9.81</v>
      </c>
      <c r="AC39" s="39">
        <f t="shared" si="11"/>
        <v>0.65400000000000003</v>
      </c>
      <c r="AD39" s="39">
        <v>13.670999999999999</v>
      </c>
      <c r="AE39" s="39">
        <f t="shared" si="12"/>
        <v>0.91139999999999999</v>
      </c>
      <c r="AF39" s="40"/>
      <c r="AG39" s="40"/>
      <c r="AH39" s="39">
        <v>13.08</v>
      </c>
      <c r="AI39" s="39">
        <f t="shared" si="13"/>
        <v>0.872</v>
      </c>
      <c r="AJ39" s="39">
        <f>10.9</f>
        <v>10.9</v>
      </c>
      <c r="AK39" s="39">
        <f t="shared" si="14"/>
        <v>0.72666666666666668</v>
      </c>
      <c r="AL39" s="39">
        <v>13.08</v>
      </c>
      <c r="AM39" s="39">
        <f t="shared" si="15"/>
        <v>0.872</v>
      </c>
      <c r="AN39" s="39">
        <f>10.9</f>
        <v>10.9</v>
      </c>
      <c r="AO39" s="39">
        <f t="shared" si="16"/>
        <v>0.72666666666666668</v>
      </c>
      <c r="AP39" s="39">
        <f>4.36</f>
        <v>4.3600000000000003</v>
      </c>
      <c r="AQ39" s="39">
        <f t="shared" si="17"/>
        <v>0.29066666666666668</v>
      </c>
      <c r="AR39" s="40"/>
      <c r="AS39" s="40"/>
      <c r="AT39" s="39">
        <f>9.81</f>
        <v>9.81</v>
      </c>
      <c r="AU39" s="39">
        <f t="shared" si="18"/>
        <v>0.65400000000000003</v>
      </c>
      <c r="AV39" s="39">
        <f>13.08</f>
        <v>13.08</v>
      </c>
      <c r="AW39" s="39">
        <f t="shared" si="19"/>
        <v>0.872</v>
      </c>
      <c r="AX39" s="39"/>
      <c r="AY39" s="39" t="str">
        <f t="shared" si="20"/>
        <v/>
      </c>
      <c r="AZ39" s="39"/>
      <c r="BA39" s="39" t="str">
        <f t="shared" si="21"/>
        <v/>
      </c>
      <c r="BB39" s="39"/>
      <c r="BC39" s="39" t="str">
        <f t="shared" si="22"/>
        <v/>
      </c>
      <c r="BD39" s="71"/>
    </row>
    <row r="40" spans="1:56" x14ac:dyDescent="0.25">
      <c r="A40" s="22">
        <v>2</v>
      </c>
      <c r="B40" s="21">
        <v>24</v>
      </c>
      <c r="C40" s="40"/>
      <c r="D40" s="55"/>
      <c r="E40" s="55" t="str">
        <f t="shared" si="2"/>
        <v/>
      </c>
      <c r="F40" s="55"/>
      <c r="G40" s="55" t="str">
        <f t="shared" si="3"/>
        <v/>
      </c>
      <c r="H40" s="40"/>
      <c r="I40" s="40"/>
      <c r="J40" s="55"/>
      <c r="K40" s="55" t="str">
        <f t="shared" si="4"/>
        <v/>
      </c>
      <c r="L40" s="55"/>
      <c r="M40" s="55" t="str">
        <f t="shared" si="5"/>
        <v/>
      </c>
      <c r="N40" s="55"/>
      <c r="O40" s="55" t="str">
        <f t="shared" si="6"/>
        <v/>
      </c>
      <c r="P40" s="55">
        <v>20.122</v>
      </c>
      <c r="Q40" s="55">
        <f t="shared" si="7"/>
        <v>0.8384166666666667</v>
      </c>
      <c r="R40" s="55"/>
      <c r="S40" s="55" t="str">
        <f t="shared" si="23"/>
        <v/>
      </c>
      <c r="T40" s="40"/>
      <c r="U40" s="40"/>
      <c r="V40" s="55">
        <f>18.45</f>
        <v>18.45</v>
      </c>
      <c r="W40" s="55">
        <f t="shared" si="8"/>
        <v>0.76874999999999993</v>
      </c>
      <c r="X40" s="55">
        <f>18.462</f>
        <v>18.462</v>
      </c>
      <c r="Y40" s="55">
        <f t="shared" si="9"/>
        <v>0.76924999999999999</v>
      </c>
      <c r="Z40" s="55"/>
      <c r="AA40" s="55" t="str">
        <f t="shared" si="10"/>
        <v/>
      </c>
      <c r="AB40" s="55">
        <f>22.266</f>
        <v>22.265999999999998</v>
      </c>
      <c r="AC40" s="55">
        <f t="shared" si="11"/>
        <v>0.92774999999999996</v>
      </c>
      <c r="AD40" s="55">
        <f>12.562</f>
        <v>12.561999999999999</v>
      </c>
      <c r="AE40" s="55">
        <f t="shared" si="12"/>
        <v>0.52341666666666664</v>
      </c>
      <c r="AF40" s="40"/>
      <c r="AG40" s="40"/>
      <c r="AH40" s="55">
        <v>12.561999999999999</v>
      </c>
      <c r="AI40" s="55">
        <f t="shared" si="13"/>
        <v>0.52341666666666664</v>
      </c>
      <c r="AJ40" s="55"/>
      <c r="AK40" s="55" t="str">
        <f t="shared" si="14"/>
        <v/>
      </c>
      <c r="AL40" s="55">
        <v>14.429</v>
      </c>
      <c r="AM40" s="55">
        <f t="shared" si="15"/>
        <v>0.60120833333333334</v>
      </c>
      <c r="AN40" s="55"/>
      <c r="AO40" s="55" t="str">
        <f t="shared" si="16"/>
        <v/>
      </c>
      <c r="AP40" s="55">
        <f>13.357</f>
        <v>13.356999999999999</v>
      </c>
      <c r="AQ40" s="55">
        <f t="shared" si="17"/>
        <v>0.5565416666666666</v>
      </c>
      <c r="AR40" s="40"/>
      <c r="AS40" s="40"/>
      <c r="AT40" s="55">
        <f>11.849</f>
        <v>11.849</v>
      </c>
      <c r="AU40" s="55">
        <f t="shared" si="18"/>
        <v>0.49370833333333336</v>
      </c>
      <c r="AV40" s="55"/>
      <c r="AW40" s="55" t="str">
        <f t="shared" si="19"/>
        <v/>
      </c>
      <c r="AX40" s="55"/>
      <c r="AY40" s="55" t="str">
        <f t="shared" si="20"/>
        <v/>
      </c>
      <c r="AZ40" s="55"/>
      <c r="BA40" s="55" t="str">
        <f t="shared" si="21"/>
        <v/>
      </c>
      <c r="BB40" s="55"/>
      <c r="BC40" s="55" t="str">
        <f t="shared" si="22"/>
        <v/>
      </c>
      <c r="BD40" s="71"/>
    </row>
    <row r="41" spans="1:56" x14ac:dyDescent="0.25">
      <c r="A41" s="22">
        <v>2</v>
      </c>
      <c r="B41" s="21">
        <v>13</v>
      </c>
      <c r="C41" s="40"/>
      <c r="D41" s="55"/>
      <c r="E41" s="55" t="str">
        <f t="shared" si="2"/>
        <v/>
      </c>
      <c r="F41" s="55"/>
      <c r="G41" s="55" t="str">
        <f t="shared" si="3"/>
        <v/>
      </c>
      <c r="H41" s="40"/>
      <c r="I41" s="40"/>
      <c r="J41" s="55">
        <v>11.196</v>
      </c>
      <c r="K41" s="55">
        <f t="shared" si="4"/>
        <v>0.86123076923076924</v>
      </c>
      <c r="L41" s="55"/>
      <c r="M41" s="55" t="str">
        <f t="shared" si="5"/>
        <v/>
      </c>
      <c r="N41" s="55">
        <f>3.682</f>
        <v>3.6819999999999999</v>
      </c>
      <c r="O41" s="55">
        <f t="shared" si="6"/>
        <v>0.28323076923076923</v>
      </c>
      <c r="P41" s="55"/>
      <c r="Q41" s="55" t="str">
        <f t="shared" si="7"/>
        <v/>
      </c>
      <c r="R41" s="55"/>
      <c r="S41" s="55" t="str">
        <f t="shared" si="23"/>
        <v/>
      </c>
      <c r="T41" s="40"/>
      <c r="U41" s="40"/>
      <c r="V41" s="55"/>
      <c r="W41" s="55" t="str">
        <f t="shared" si="8"/>
        <v/>
      </c>
      <c r="X41" s="55"/>
      <c r="Y41" s="55" t="str">
        <f t="shared" si="9"/>
        <v/>
      </c>
      <c r="Z41" s="55"/>
      <c r="AA41" s="55" t="str">
        <f t="shared" si="10"/>
        <v/>
      </c>
      <c r="AB41" s="55"/>
      <c r="AC41" s="55" t="str">
        <f t="shared" si="11"/>
        <v/>
      </c>
      <c r="AD41" s="55"/>
      <c r="AE41" s="55" t="str">
        <f t="shared" si="12"/>
        <v/>
      </c>
      <c r="AF41" s="40"/>
      <c r="AG41" s="40"/>
      <c r="AH41" s="55"/>
      <c r="AI41" s="55" t="str">
        <f t="shared" si="13"/>
        <v/>
      </c>
      <c r="AJ41" s="55"/>
      <c r="AK41" s="55" t="str">
        <f t="shared" si="14"/>
        <v/>
      </c>
      <c r="AL41" s="55"/>
      <c r="AM41" s="55" t="str">
        <f t="shared" si="15"/>
        <v/>
      </c>
      <c r="AN41" s="55"/>
      <c r="AO41" s="55" t="str">
        <f t="shared" si="16"/>
        <v/>
      </c>
      <c r="AP41" s="55"/>
      <c r="AQ41" s="55" t="str">
        <f t="shared" si="17"/>
        <v/>
      </c>
      <c r="AR41" s="40"/>
      <c r="AS41" s="40"/>
      <c r="AT41" s="55"/>
      <c r="AU41" s="55" t="str">
        <f t="shared" si="18"/>
        <v/>
      </c>
      <c r="AV41" s="55"/>
      <c r="AW41" s="55" t="str">
        <f t="shared" si="19"/>
        <v/>
      </c>
      <c r="AX41" s="55"/>
      <c r="AY41" s="55" t="str">
        <f t="shared" si="20"/>
        <v/>
      </c>
      <c r="AZ41" s="55"/>
      <c r="BA41" s="55" t="str">
        <f t="shared" si="21"/>
        <v/>
      </c>
      <c r="BB41" s="55"/>
      <c r="BC41" s="55" t="str">
        <f t="shared" si="22"/>
        <v/>
      </c>
      <c r="BD41" s="71"/>
    </row>
    <row r="42" spans="1:56" x14ac:dyDescent="0.25">
      <c r="A42" s="22">
        <v>2</v>
      </c>
      <c r="B42" s="21">
        <v>15</v>
      </c>
      <c r="C42" s="40"/>
      <c r="D42" s="55">
        <v>4.2320000000000002</v>
      </c>
      <c r="E42" s="55">
        <f t="shared" si="2"/>
        <v>0.28213333333333335</v>
      </c>
      <c r="F42" s="55">
        <f>12.729</f>
        <v>12.728999999999999</v>
      </c>
      <c r="G42" s="55">
        <f t="shared" si="3"/>
        <v>0.84859999999999991</v>
      </c>
      <c r="H42" s="40"/>
      <c r="I42" s="40"/>
      <c r="J42" s="55">
        <f>12.866</f>
        <v>12.866</v>
      </c>
      <c r="K42" s="55">
        <f t="shared" si="4"/>
        <v>0.85773333333333335</v>
      </c>
      <c r="L42" s="55">
        <f>12.958+4.085</f>
        <v>17.042999999999999</v>
      </c>
      <c r="M42" s="55">
        <f t="shared" si="5"/>
        <v>1.1361999999999999</v>
      </c>
      <c r="N42" s="55">
        <f>14.311</f>
        <v>14.311</v>
      </c>
      <c r="O42" s="55">
        <f t="shared" si="6"/>
        <v>0.95406666666666662</v>
      </c>
      <c r="P42" s="55">
        <f>8.363</f>
        <v>8.3629999999999995</v>
      </c>
      <c r="Q42" s="55">
        <f t="shared" si="7"/>
        <v>0.55753333333333333</v>
      </c>
      <c r="R42" s="55">
        <f>8.908</f>
        <v>8.9079999999999995</v>
      </c>
      <c r="S42" s="55">
        <f t="shared" si="23"/>
        <v>0.59386666666666665</v>
      </c>
      <c r="T42" s="40"/>
      <c r="U42" s="40"/>
      <c r="V42" s="55">
        <f>11.265</f>
        <v>11.265000000000001</v>
      </c>
      <c r="W42" s="55">
        <f t="shared" si="8"/>
        <v>0.751</v>
      </c>
      <c r="X42" s="55">
        <v>7.9269999999999996</v>
      </c>
      <c r="Y42" s="55">
        <f t="shared" si="9"/>
        <v>0.52846666666666664</v>
      </c>
      <c r="Z42" s="55">
        <f>14.977</f>
        <v>14.977</v>
      </c>
      <c r="AA42" s="55">
        <f t="shared" si="10"/>
        <v>0.99846666666666672</v>
      </c>
      <c r="AB42" s="55">
        <f>8.448</f>
        <v>8.4480000000000004</v>
      </c>
      <c r="AC42" s="55">
        <f t="shared" si="11"/>
        <v>0.56320000000000003</v>
      </c>
      <c r="AD42" s="55">
        <f>4.745</f>
        <v>4.7450000000000001</v>
      </c>
      <c r="AE42" s="55">
        <f t="shared" si="12"/>
        <v>0.31633333333333336</v>
      </c>
      <c r="AF42" s="40"/>
      <c r="AG42" s="40"/>
      <c r="AH42" s="55">
        <v>9.2720000000000002</v>
      </c>
      <c r="AI42" s="55">
        <f t="shared" si="13"/>
        <v>0.61813333333333331</v>
      </c>
      <c r="AJ42" s="55">
        <v>9.0619999999999994</v>
      </c>
      <c r="AK42" s="55">
        <f t="shared" si="14"/>
        <v>0.6041333333333333</v>
      </c>
      <c r="AL42" s="55">
        <v>10.779</v>
      </c>
      <c r="AM42" s="55">
        <f t="shared" si="15"/>
        <v>0.71860000000000002</v>
      </c>
      <c r="AN42" s="55">
        <f>9.119</f>
        <v>9.1189999999999998</v>
      </c>
      <c r="AO42" s="55">
        <f t="shared" si="16"/>
        <v>0.60793333333333333</v>
      </c>
      <c r="AP42" s="55">
        <f>6.328</f>
        <v>6.3280000000000003</v>
      </c>
      <c r="AQ42" s="55">
        <f t="shared" si="17"/>
        <v>0.42186666666666667</v>
      </c>
      <c r="AR42" s="40"/>
      <c r="AS42" s="40"/>
      <c r="AT42" s="55">
        <f>11.912</f>
        <v>11.912000000000001</v>
      </c>
      <c r="AU42" s="55">
        <f t="shared" si="18"/>
        <v>0.79413333333333336</v>
      </c>
      <c r="AV42" s="55">
        <f>8.558</f>
        <v>8.5579999999999998</v>
      </c>
      <c r="AW42" s="55">
        <f t="shared" si="19"/>
        <v>0.57053333333333334</v>
      </c>
      <c r="AX42" s="55"/>
      <c r="AY42" s="55" t="str">
        <f t="shared" si="20"/>
        <v/>
      </c>
      <c r="AZ42" s="55"/>
      <c r="BA42" s="55" t="str">
        <f t="shared" si="21"/>
        <v/>
      </c>
      <c r="BB42" s="55"/>
      <c r="BC42" s="55" t="str">
        <f t="shared" si="22"/>
        <v/>
      </c>
      <c r="BD42" s="71"/>
    </row>
    <row r="43" spans="1:56" x14ac:dyDescent="0.25">
      <c r="A43" s="22">
        <v>2</v>
      </c>
      <c r="B43" s="21">
        <v>24</v>
      </c>
      <c r="C43" s="40"/>
      <c r="D43" s="55"/>
      <c r="E43" s="55" t="str">
        <f t="shared" si="2"/>
        <v/>
      </c>
      <c r="F43" s="55"/>
      <c r="G43" s="55" t="str">
        <f t="shared" si="3"/>
        <v/>
      </c>
      <c r="H43" s="40"/>
      <c r="I43" s="40"/>
      <c r="J43" s="55"/>
      <c r="K43" s="55" t="str">
        <f t="shared" si="4"/>
        <v/>
      </c>
      <c r="L43" s="55">
        <f>24</f>
        <v>24</v>
      </c>
      <c r="M43" s="55">
        <f t="shared" si="5"/>
        <v>1</v>
      </c>
      <c r="N43" s="55">
        <f>12.87</f>
        <v>12.87</v>
      </c>
      <c r="O43" s="55">
        <f t="shared" si="6"/>
        <v>0.53625</v>
      </c>
      <c r="P43" s="55">
        <f>13.67</f>
        <v>13.67</v>
      </c>
      <c r="Q43" s="55">
        <f t="shared" si="7"/>
        <v>0.56958333333333333</v>
      </c>
      <c r="R43" s="55"/>
      <c r="S43" s="55" t="str">
        <f t="shared" si="23"/>
        <v/>
      </c>
      <c r="T43" s="40"/>
      <c r="U43" s="40"/>
      <c r="V43" s="55"/>
      <c r="W43" s="55" t="str">
        <f t="shared" si="8"/>
        <v/>
      </c>
      <c r="X43" s="55"/>
      <c r="Y43" s="55" t="str">
        <f t="shared" si="9"/>
        <v/>
      </c>
      <c r="Z43" s="55">
        <v>9.8000000000000007</v>
      </c>
      <c r="AA43" s="55">
        <f t="shared" si="10"/>
        <v>0.40833333333333338</v>
      </c>
      <c r="AB43" s="55">
        <v>12.87</v>
      </c>
      <c r="AC43" s="55">
        <f t="shared" si="11"/>
        <v>0.53625</v>
      </c>
      <c r="AD43" s="55">
        <f>11.02</f>
        <v>11.02</v>
      </c>
      <c r="AE43" s="55">
        <f t="shared" si="12"/>
        <v>0.45916666666666667</v>
      </c>
      <c r="AF43" s="40"/>
      <c r="AG43" s="40"/>
      <c r="AH43" s="55"/>
      <c r="AI43" s="55" t="str">
        <f t="shared" si="13"/>
        <v/>
      </c>
      <c r="AJ43" s="55">
        <v>4.29</v>
      </c>
      <c r="AK43" s="55">
        <f t="shared" si="14"/>
        <v>0.17874999999999999</v>
      </c>
      <c r="AL43" s="55">
        <v>11.44</v>
      </c>
      <c r="AM43" s="55">
        <f t="shared" si="15"/>
        <v>0.47666666666666663</v>
      </c>
      <c r="AN43" s="55">
        <v>11.44</v>
      </c>
      <c r="AO43" s="55">
        <f t="shared" si="16"/>
        <v>0.47666666666666663</v>
      </c>
      <c r="AP43" s="55"/>
      <c r="AQ43" s="55" t="str">
        <f t="shared" si="17"/>
        <v/>
      </c>
      <c r="AR43" s="40"/>
      <c r="AS43" s="40"/>
      <c r="AT43" s="55"/>
      <c r="AU43" s="55" t="str">
        <f t="shared" si="18"/>
        <v/>
      </c>
      <c r="AV43" s="55">
        <f>8.409</f>
        <v>8.4090000000000007</v>
      </c>
      <c r="AW43" s="55">
        <f t="shared" si="19"/>
        <v>0.35037500000000005</v>
      </c>
      <c r="AX43" s="55"/>
      <c r="AY43" s="55" t="str">
        <f t="shared" si="20"/>
        <v/>
      </c>
      <c r="AZ43" s="55"/>
      <c r="BA43" s="55" t="str">
        <f t="shared" si="21"/>
        <v/>
      </c>
      <c r="BB43" s="55"/>
      <c r="BC43" s="55" t="str">
        <f t="shared" si="22"/>
        <v/>
      </c>
      <c r="BD43" s="71"/>
    </row>
    <row r="44" spans="1:56" x14ac:dyDescent="0.25">
      <c r="A44" s="22">
        <v>2</v>
      </c>
      <c r="B44" s="21">
        <v>15</v>
      </c>
      <c r="C44" s="40"/>
      <c r="D44" s="55"/>
      <c r="E44" s="55" t="str">
        <f t="shared" si="2"/>
        <v/>
      </c>
      <c r="F44" s="55"/>
      <c r="G44" s="55" t="str">
        <f t="shared" si="3"/>
        <v/>
      </c>
      <c r="H44" s="40"/>
      <c r="I44" s="40"/>
      <c r="J44" s="55">
        <f>8.772+1.464</f>
        <v>10.236000000000001</v>
      </c>
      <c r="K44" s="55">
        <f t="shared" si="4"/>
        <v>0.68240000000000001</v>
      </c>
      <c r="L44" s="55"/>
      <c r="M44" s="55" t="str">
        <f t="shared" si="5"/>
        <v/>
      </c>
      <c r="N44" s="55">
        <f>15.414</f>
        <v>15.414</v>
      </c>
      <c r="O44" s="55">
        <f t="shared" si="6"/>
        <v>1.0276000000000001</v>
      </c>
      <c r="P44" s="55">
        <v>13.42</v>
      </c>
      <c r="Q44" s="55">
        <f t="shared" si="7"/>
        <v>0.89466666666666661</v>
      </c>
      <c r="R44" s="55">
        <f>7.12</f>
        <v>7.12</v>
      </c>
      <c r="S44" s="55">
        <f t="shared" si="23"/>
        <v>0.47466666666666668</v>
      </c>
      <c r="T44" s="40"/>
      <c r="U44" s="40"/>
      <c r="V44" s="55">
        <f>2.44+8.726</f>
        <v>11.166</v>
      </c>
      <c r="W44" s="55">
        <f t="shared" si="8"/>
        <v>0.74440000000000006</v>
      </c>
      <c r="X44" s="55">
        <f>6.148+5.32</f>
        <v>11.468</v>
      </c>
      <c r="Y44" s="55">
        <f t="shared" si="9"/>
        <v>0.76453333333333329</v>
      </c>
      <c r="Z44" s="55">
        <v>10.176</v>
      </c>
      <c r="AA44" s="55">
        <f t="shared" si="10"/>
        <v>0.6784</v>
      </c>
      <c r="AB44" s="55">
        <v>12.151</v>
      </c>
      <c r="AC44" s="55">
        <f t="shared" si="11"/>
        <v>0.8100666666666666</v>
      </c>
      <c r="AD44" s="55">
        <v>14.877000000000001</v>
      </c>
      <c r="AE44" s="55">
        <f t="shared" si="12"/>
        <v>0.99180000000000001</v>
      </c>
      <c r="AF44" s="40"/>
      <c r="AG44" s="40"/>
      <c r="AH44" s="55"/>
      <c r="AI44" s="55" t="str">
        <f t="shared" si="13"/>
        <v/>
      </c>
      <c r="AJ44" s="55">
        <v>1.83</v>
      </c>
      <c r="AK44" s="55">
        <f t="shared" si="14"/>
        <v>0.12200000000000001</v>
      </c>
      <c r="AL44" s="55">
        <f>2.44+3.366</f>
        <v>5.806</v>
      </c>
      <c r="AM44" s="55">
        <f t="shared" si="15"/>
        <v>0.38706666666666667</v>
      </c>
      <c r="AN44" s="55">
        <v>7.15</v>
      </c>
      <c r="AO44" s="55">
        <f t="shared" si="16"/>
        <v>0.47666666666666668</v>
      </c>
      <c r="AP44" s="55">
        <v>4.3760000000000003</v>
      </c>
      <c r="AQ44" s="55">
        <f t="shared" si="17"/>
        <v>0.29173333333333334</v>
      </c>
      <c r="AR44" s="40"/>
      <c r="AS44" s="40"/>
      <c r="AT44" s="55">
        <f>7.32+16.307</f>
        <v>23.626999999999999</v>
      </c>
      <c r="AU44" s="55">
        <f t="shared" si="18"/>
        <v>1.5751333333333333</v>
      </c>
      <c r="AV44" s="55">
        <f>15.414</f>
        <v>15.414</v>
      </c>
      <c r="AW44" s="55">
        <f t="shared" si="19"/>
        <v>1.0276000000000001</v>
      </c>
      <c r="AX44" s="55"/>
      <c r="AY44" s="55" t="str">
        <f t="shared" si="20"/>
        <v/>
      </c>
      <c r="AZ44" s="55"/>
      <c r="BA44" s="55" t="str">
        <f t="shared" si="21"/>
        <v/>
      </c>
      <c r="BB44" s="55"/>
      <c r="BC44" s="55" t="str">
        <f t="shared" si="22"/>
        <v/>
      </c>
      <c r="BD44" s="71"/>
    </row>
    <row r="45" spans="1:56" x14ac:dyDescent="0.25">
      <c r="A45" s="22">
        <v>2</v>
      </c>
      <c r="B45" s="22">
        <v>24</v>
      </c>
      <c r="C45" s="40"/>
      <c r="D45" s="39"/>
      <c r="E45" s="39" t="str">
        <f t="shared" si="2"/>
        <v/>
      </c>
      <c r="F45" s="39"/>
      <c r="G45" s="39" t="str">
        <f t="shared" si="3"/>
        <v/>
      </c>
      <c r="H45" s="40"/>
      <c r="I45" s="40"/>
      <c r="J45" s="39">
        <f>23.03+23.815</f>
        <v>46.844999999999999</v>
      </c>
      <c r="K45" s="39">
        <f t="shared" si="4"/>
        <v>1.951875</v>
      </c>
      <c r="L45" s="39"/>
      <c r="M45" s="39" t="str">
        <f t="shared" si="5"/>
        <v/>
      </c>
      <c r="N45" s="39"/>
      <c r="O45" s="39" t="str">
        <f t="shared" si="6"/>
        <v/>
      </c>
      <c r="P45" s="39">
        <f>24+24</f>
        <v>48</v>
      </c>
      <c r="Q45" s="39">
        <f t="shared" si="7"/>
        <v>2</v>
      </c>
      <c r="R45" s="39">
        <f>8.334</f>
        <v>8.3339999999999996</v>
      </c>
      <c r="S45" s="39">
        <f t="shared" si="23"/>
        <v>0.34725</v>
      </c>
      <c r="T45" s="40"/>
      <c r="U45" s="40"/>
      <c r="V45" s="39"/>
      <c r="W45" s="39" t="str">
        <f t="shared" si="8"/>
        <v/>
      </c>
      <c r="X45" s="39"/>
      <c r="Y45" s="39" t="str">
        <f t="shared" si="9"/>
        <v/>
      </c>
      <c r="Z45" s="39">
        <f>12.511</f>
        <v>12.510999999999999</v>
      </c>
      <c r="AA45" s="39">
        <f t="shared" si="10"/>
        <v>0.5212916666666666</v>
      </c>
      <c r="AB45" s="39"/>
      <c r="AC45" s="39" t="str">
        <f t="shared" si="11"/>
        <v/>
      </c>
      <c r="AD45" s="39"/>
      <c r="AE45" s="39" t="str">
        <f t="shared" si="12"/>
        <v/>
      </c>
      <c r="AF45" s="40"/>
      <c r="AG45" s="40"/>
      <c r="AH45" s="39">
        <v>22.553000000000001</v>
      </c>
      <c r="AI45" s="39">
        <f t="shared" si="13"/>
        <v>0.93970833333333337</v>
      </c>
      <c r="AJ45" s="39"/>
      <c r="AK45" s="39" t="str">
        <f t="shared" si="14"/>
        <v/>
      </c>
      <c r="AL45" s="39">
        <f>18.491</f>
        <v>18.491</v>
      </c>
      <c r="AM45" s="39">
        <f t="shared" si="15"/>
        <v>0.77045833333333336</v>
      </c>
      <c r="AN45" s="39"/>
      <c r="AO45" s="39" t="str">
        <f t="shared" si="16"/>
        <v/>
      </c>
      <c r="AP45" s="39">
        <f>17.619</f>
        <v>17.619</v>
      </c>
      <c r="AQ45" s="39">
        <f t="shared" si="17"/>
        <v>0.73412500000000003</v>
      </c>
      <c r="AR45" s="40"/>
      <c r="AS45" s="40"/>
      <c r="AT45" s="39">
        <f>20.854</f>
        <v>20.853999999999999</v>
      </c>
      <c r="AU45" s="39">
        <f t="shared" si="18"/>
        <v>0.86891666666666667</v>
      </c>
      <c r="AV45" s="39"/>
      <c r="AW45" s="39" t="str">
        <f t="shared" si="19"/>
        <v/>
      </c>
      <c r="AX45" s="39"/>
      <c r="AY45" s="39" t="str">
        <f t="shared" si="20"/>
        <v/>
      </c>
      <c r="AZ45" s="39"/>
      <c r="BA45" s="39" t="str">
        <f t="shared" si="21"/>
        <v/>
      </c>
      <c r="BB45" s="39"/>
      <c r="BC45" s="39" t="str">
        <f t="shared" si="22"/>
        <v/>
      </c>
      <c r="BD45" s="71"/>
    </row>
    <row r="46" spans="1:56" x14ac:dyDescent="0.25">
      <c r="A46" s="22">
        <v>2</v>
      </c>
      <c r="B46" s="22">
        <v>24</v>
      </c>
      <c r="C46" s="40"/>
      <c r="D46" s="39"/>
      <c r="E46" s="39" t="str">
        <f t="shared" si="2"/>
        <v/>
      </c>
      <c r="F46" s="39">
        <f>22.496</f>
        <v>22.495999999999999</v>
      </c>
      <c r="G46" s="39">
        <f t="shared" si="3"/>
        <v>0.93733333333333324</v>
      </c>
      <c r="H46" s="40"/>
      <c r="I46" s="40"/>
      <c r="J46" s="39"/>
      <c r="K46" s="39" t="str">
        <f t="shared" si="4"/>
        <v/>
      </c>
      <c r="L46" s="39">
        <v>22.956</v>
      </c>
      <c r="M46" s="39">
        <f t="shared" si="5"/>
        <v>0.95650000000000002</v>
      </c>
      <c r="N46" s="39">
        <f>17.253</f>
        <v>17.253</v>
      </c>
      <c r="O46" s="39">
        <f t="shared" si="6"/>
        <v>0.71887500000000004</v>
      </c>
      <c r="P46" s="39">
        <f>12.092</f>
        <v>12.092000000000001</v>
      </c>
      <c r="Q46" s="39">
        <f t="shared" si="7"/>
        <v>0.50383333333333336</v>
      </c>
      <c r="R46" s="39">
        <f>8.482</f>
        <v>8.4819999999999993</v>
      </c>
      <c r="S46" s="39">
        <f t="shared" si="23"/>
        <v>0.35341666666666666</v>
      </c>
      <c r="T46" s="40"/>
      <c r="U46" s="40"/>
      <c r="V46" s="39">
        <f>13.576</f>
        <v>13.576000000000001</v>
      </c>
      <c r="W46" s="39">
        <f t="shared" si="8"/>
        <v>0.56566666666666665</v>
      </c>
      <c r="X46" s="39">
        <f>17.112</f>
        <v>17.111999999999998</v>
      </c>
      <c r="Y46" s="39">
        <f t="shared" si="9"/>
        <v>0.71299999999999997</v>
      </c>
      <c r="Z46" s="39">
        <f>24.003+9.662</f>
        <v>33.664999999999999</v>
      </c>
      <c r="AA46" s="39">
        <f t="shared" si="10"/>
        <v>1.4027083333333332</v>
      </c>
      <c r="AB46" s="39"/>
      <c r="AC46" s="39" t="str">
        <f t="shared" si="11"/>
        <v/>
      </c>
      <c r="AD46" s="39"/>
      <c r="AE46" s="39" t="str">
        <f t="shared" si="12"/>
        <v/>
      </c>
      <c r="AF46" s="40"/>
      <c r="AG46" s="40"/>
      <c r="AH46" s="39"/>
      <c r="AI46" s="39" t="str">
        <f t="shared" si="13"/>
        <v/>
      </c>
      <c r="AJ46" s="39">
        <f>21.2</f>
        <v>21.2</v>
      </c>
      <c r="AK46" s="39">
        <f t="shared" si="14"/>
        <v>0.8833333333333333</v>
      </c>
      <c r="AL46" s="39"/>
      <c r="AM46" s="39" t="str">
        <f t="shared" si="15"/>
        <v/>
      </c>
      <c r="AN46" s="39"/>
      <c r="AO46" s="39" t="str">
        <f t="shared" si="16"/>
        <v/>
      </c>
      <c r="AP46" s="39"/>
      <c r="AQ46" s="39" t="str">
        <f t="shared" si="17"/>
        <v/>
      </c>
      <c r="AR46" s="40"/>
      <c r="AS46" s="40"/>
      <c r="AT46" s="39"/>
      <c r="AU46" s="39" t="str">
        <f t="shared" si="18"/>
        <v/>
      </c>
      <c r="AV46" s="39">
        <f>5.575</f>
        <v>5.5750000000000002</v>
      </c>
      <c r="AW46" s="39">
        <f t="shared" si="19"/>
        <v>0.23229166666666667</v>
      </c>
      <c r="AX46" s="39"/>
      <c r="AY46" s="39" t="str">
        <f t="shared" si="20"/>
        <v/>
      </c>
      <c r="AZ46" s="39"/>
      <c r="BA46" s="39" t="str">
        <f t="shared" si="21"/>
        <v/>
      </c>
      <c r="BB46" s="39"/>
      <c r="BC46" s="39" t="str">
        <f t="shared" si="22"/>
        <v/>
      </c>
      <c r="BD46" s="71"/>
    </row>
    <row r="47" spans="1:56" x14ac:dyDescent="0.25">
      <c r="A47" s="22">
        <v>2</v>
      </c>
      <c r="B47" s="22">
        <v>15</v>
      </c>
      <c r="C47" s="40"/>
      <c r="D47" s="39">
        <v>2.4289999999999998</v>
      </c>
      <c r="E47" s="39">
        <f t="shared" si="2"/>
        <v>0.16193333333333332</v>
      </c>
      <c r="F47" s="39">
        <v>13.375</v>
      </c>
      <c r="G47" s="39">
        <f t="shared" si="3"/>
        <v>0.89166666666666672</v>
      </c>
      <c r="H47" s="40"/>
      <c r="I47" s="40"/>
      <c r="J47" s="39">
        <f>8.439+4.876</f>
        <v>13.315000000000001</v>
      </c>
      <c r="K47" s="39">
        <f t="shared" si="4"/>
        <v>0.88766666666666671</v>
      </c>
      <c r="L47" s="39">
        <f>10.33</f>
        <v>10.33</v>
      </c>
      <c r="M47" s="39">
        <f t="shared" si="5"/>
        <v>0.68866666666666665</v>
      </c>
      <c r="N47" s="39">
        <f>13.927</f>
        <v>13.927</v>
      </c>
      <c r="O47" s="39">
        <f t="shared" si="6"/>
        <v>0.92846666666666666</v>
      </c>
      <c r="P47" s="39">
        <f>7.538</f>
        <v>7.5380000000000003</v>
      </c>
      <c r="Q47" s="39">
        <f t="shared" si="7"/>
        <v>0.50253333333333339</v>
      </c>
      <c r="R47" s="39"/>
      <c r="S47" s="39" t="str">
        <f t="shared" si="23"/>
        <v/>
      </c>
      <c r="T47" s="40"/>
      <c r="U47" s="40"/>
      <c r="V47" s="39">
        <f>6.103+12.267</f>
        <v>18.369999999999997</v>
      </c>
      <c r="W47" s="39">
        <f t="shared" si="8"/>
        <v>1.2246666666666666</v>
      </c>
      <c r="X47" s="39">
        <f>9.845+2.421</f>
        <v>12.266</v>
      </c>
      <c r="Y47" s="39">
        <f t="shared" si="9"/>
        <v>0.81773333333333331</v>
      </c>
      <c r="Z47" s="39">
        <f>10.2+7.829</f>
        <v>18.029</v>
      </c>
      <c r="AA47" s="39">
        <f t="shared" si="10"/>
        <v>1.2019333333333333</v>
      </c>
      <c r="AB47" s="39">
        <f>10.895</f>
        <v>10.895</v>
      </c>
      <c r="AC47" s="39">
        <f t="shared" si="11"/>
        <v>0.72633333333333328</v>
      </c>
      <c r="AD47" s="39">
        <f>6.9</f>
        <v>6.9</v>
      </c>
      <c r="AE47" s="39">
        <f t="shared" si="12"/>
        <v>0.46</v>
      </c>
      <c r="AF47" s="40"/>
      <c r="AG47" s="40"/>
      <c r="AH47" s="39">
        <v>10.962</v>
      </c>
      <c r="AI47" s="39">
        <f t="shared" si="13"/>
        <v>0.73080000000000001</v>
      </c>
      <c r="AJ47" s="39">
        <v>8.6140000000000008</v>
      </c>
      <c r="AK47" s="39">
        <f t="shared" si="14"/>
        <v>0.5742666666666667</v>
      </c>
      <c r="AL47" s="39">
        <f>12.632</f>
        <v>12.632</v>
      </c>
      <c r="AM47" s="39">
        <f t="shared" si="15"/>
        <v>0.84213333333333329</v>
      </c>
      <c r="AN47" s="39">
        <f>5.223</f>
        <v>5.2229999999999999</v>
      </c>
      <c r="AO47" s="39">
        <f t="shared" si="16"/>
        <v>0.34820000000000001</v>
      </c>
      <c r="AP47" s="39">
        <f>8.597</f>
        <v>8.5969999999999995</v>
      </c>
      <c r="AQ47" s="39">
        <f t="shared" si="17"/>
        <v>0.57313333333333327</v>
      </c>
      <c r="AR47" s="40"/>
      <c r="AS47" s="40"/>
      <c r="AT47" s="39">
        <f>8.057</f>
        <v>8.0570000000000004</v>
      </c>
      <c r="AU47" s="39">
        <f t="shared" si="18"/>
        <v>0.53713333333333335</v>
      </c>
      <c r="AV47" s="39">
        <f>5.645</f>
        <v>5.6449999999999996</v>
      </c>
      <c r="AW47" s="39">
        <f t="shared" si="19"/>
        <v>0.3763333333333333</v>
      </c>
      <c r="AX47" s="39"/>
      <c r="AY47" s="39" t="str">
        <f t="shared" si="20"/>
        <v/>
      </c>
      <c r="AZ47" s="39"/>
      <c r="BA47" s="39" t="str">
        <f t="shared" si="21"/>
        <v/>
      </c>
      <c r="BB47" s="39"/>
      <c r="BC47" s="39" t="str">
        <f t="shared" si="22"/>
        <v/>
      </c>
      <c r="BD47" s="71"/>
    </row>
    <row r="48" spans="1:56" x14ac:dyDescent="0.25">
      <c r="A48" s="22">
        <v>2</v>
      </c>
      <c r="B48" s="22">
        <v>24</v>
      </c>
      <c r="C48" s="40"/>
      <c r="D48" s="39">
        <v>15.503</v>
      </c>
      <c r="E48" s="39">
        <f t="shared" si="2"/>
        <v>0.6459583333333333</v>
      </c>
      <c r="F48" s="39">
        <f>9.68+10</f>
        <v>19.68</v>
      </c>
      <c r="G48" s="39">
        <f t="shared" si="3"/>
        <v>0.82</v>
      </c>
      <c r="H48" s="40"/>
      <c r="I48" s="40"/>
      <c r="J48" s="39">
        <v>15.3</v>
      </c>
      <c r="K48" s="39">
        <f t="shared" si="4"/>
        <v>0.63750000000000007</v>
      </c>
      <c r="L48" s="39">
        <f>13.65</f>
        <v>13.65</v>
      </c>
      <c r="M48" s="39">
        <f t="shared" si="5"/>
        <v>0.56874999999999998</v>
      </c>
      <c r="N48" s="39">
        <v>2.5289999999999999</v>
      </c>
      <c r="O48" s="39">
        <f t="shared" si="6"/>
        <v>0.105375</v>
      </c>
      <c r="P48" s="39">
        <f>15.97</f>
        <v>15.97</v>
      </c>
      <c r="Q48" s="39">
        <f t="shared" si="7"/>
        <v>0.66541666666666666</v>
      </c>
      <c r="R48" s="39"/>
      <c r="S48" s="39" t="str">
        <f t="shared" si="23"/>
        <v/>
      </c>
      <c r="T48" s="40"/>
      <c r="U48" s="40"/>
      <c r="V48" s="39">
        <f>13.209</f>
        <v>13.209</v>
      </c>
      <c r="W48" s="39">
        <f t="shared" si="8"/>
        <v>0.55037499999999995</v>
      </c>
      <c r="X48" s="39">
        <f>24.88+8.136+24</f>
        <v>57.015999999999998</v>
      </c>
      <c r="Y48" s="39">
        <f t="shared" si="9"/>
        <v>2.3756666666666666</v>
      </c>
      <c r="Z48" s="39">
        <v>14.234999999999999</v>
      </c>
      <c r="AA48" s="39">
        <f t="shared" si="10"/>
        <v>0.59312500000000001</v>
      </c>
      <c r="AB48" s="39">
        <v>11.81</v>
      </c>
      <c r="AC48" s="39">
        <f t="shared" si="11"/>
        <v>0.49208333333333337</v>
      </c>
      <c r="AD48" s="39">
        <f>20.36</f>
        <v>20.36</v>
      </c>
      <c r="AE48" s="39">
        <f t="shared" si="12"/>
        <v>0.84833333333333327</v>
      </c>
      <c r="AF48" s="40"/>
      <c r="AG48" s="40"/>
      <c r="AH48" s="39">
        <v>9.4</v>
      </c>
      <c r="AI48" s="39">
        <f t="shared" si="13"/>
        <v>0.39166666666666666</v>
      </c>
      <c r="AJ48" s="39">
        <f>13.88+24</f>
        <v>37.880000000000003</v>
      </c>
      <c r="AK48" s="39">
        <f t="shared" si="14"/>
        <v>1.5783333333333334</v>
      </c>
      <c r="AL48" s="39">
        <f>14.109</f>
        <v>14.109</v>
      </c>
      <c r="AM48" s="39">
        <f t="shared" si="15"/>
        <v>0.58787500000000004</v>
      </c>
      <c r="AN48" s="39">
        <f>5.85</f>
        <v>5.85</v>
      </c>
      <c r="AO48" s="39">
        <f t="shared" si="16"/>
        <v>0.24374999999999999</v>
      </c>
      <c r="AP48" s="39">
        <f>9.88+24</f>
        <v>33.880000000000003</v>
      </c>
      <c r="AQ48" s="39">
        <f t="shared" si="17"/>
        <v>1.4116666666666668</v>
      </c>
      <c r="AR48" s="40"/>
      <c r="AS48" s="40"/>
      <c r="AT48" s="39">
        <f>11.671</f>
        <v>11.670999999999999</v>
      </c>
      <c r="AU48" s="39">
        <f t="shared" si="18"/>
        <v>0.48629166666666662</v>
      </c>
      <c r="AV48" s="39">
        <f>9.079</f>
        <v>9.0790000000000006</v>
      </c>
      <c r="AW48" s="39">
        <f t="shared" si="19"/>
        <v>0.37829166666666669</v>
      </c>
      <c r="AX48" s="39"/>
      <c r="AY48" s="39" t="str">
        <f t="shared" si="20"/>
        <v/>
      </c>
      <c r="AZ48" s="39"/>
      <c r="BA48" s="39" t="str">
        <f t="shared" si="21"/>
        <v/>
      </c>
      <c r="BB48" s="39"/>
      <c r="BC48" s="39" t="str">
        <f t="shared" si="22"/>
        <v/>
      </c>
      <c r="BD48" s="71"/>
    </row>
    <row r="49" spans="1:57" x14ac:dyDescent="0.25">
      <c r="A49" s="22">
        <v>2</v>
      </c>
      <c r="B49" s="22">
        <v>24</v>
      </c>
      <c r="C49" s="40"/>
      <c r="D49" s="39">
        <v>20.36</v>
      </c>
      <c r="E49" s="39">
        <f t="shared" si="2"/>
        <v>0.84833333333333327</v>
      </c>
      <c r="F49" s="39">
        <f>21.48</f>
        <v>21.48</v>
      </c>
      <c r="G49" s="39">
        <f t="shared" si="3"/>
        <v>0.89500000000000002</v>
      </c>
      <c r="H49" s="40"/>
      <c r="I49" s="40"/>
      <c r="J49" s="39">
        <v>10.887</v>
      </c>
      <c r="K49" s="39">
        <f t="shared" si="4"/>
        <v>0.453625</v>
      </c>
      <c r="L49" s="39">
        <v>14.08</v>
      </c>
      <c r="M49" s="39">
        <f t="shared" si="5"/>
        <v>0.58666666666666667</v>
      </c>
      <c r="N49" s="39">
        <f>7.92+24</f>
        <v>31.92</v>
      </c>
      <c r="O49" s="39">
        <f t="shared" si="6"/>
        <v>1.33</v>
      </c>
      <c r="P49" s="39">
        <v>21</v>
      </c>
      <c r="Q49" s="39">
        <f t="shared" si="7"/>
        <v>0.875</v>
      </c>
      <c r="R49" s="39">
        <f>8.05</f>
        <v>8.0500000000000007</v>
      </c>
      <c r="S49" s="39">
        <f t="shared" si="23"/>
        <v>0.3354166666666667</v>
      </c>
      <c r="T49" s="40"/>
      <c r="U49" s="40"/>
      <c r="V49" s="39">
        <f>13.485</f>
        <v>13.484999999999999</v>
      </c>
      <c r="W49" s="39">
        <f t="shared" si="8"/>
        <v>0.56187500000000001</v>
      </c>
      <c r="X49" s="39">
        <f>13.656</f>
        <v>13.656000000000001</v>
      </c>
      <c r="Y49" s="39">
        <f t="shared" si="9"/>
        <v>0.56900000000000006</v>
      </c>
      <c r="Z49" s="39">
        <f>6.095</f>
        <v>6.0949999999999998</v>
      </c>
      <c r="AA49" s="39">
        <f t="shared" si="10"/>
        <v>0.25395833333333334</v>
      </c>
      <c r="AB49" s="39">
        <f>3.644</f>
        <v>3.6440000000000001</v>
      </c>
      <c r="AC49" s="39">
        <f t="shared" si="11"/>
        <v>0.15183333333333335</v>
      </c>
      <c r="AD49" s="39"/>
      <c r="AE49" s="39" t="str">
        <f t="shared" si="12"/>
        <v/>
      </c>
      <c r="AF49" s="40"/>
      <c r="AG49" s="40"/>
      <c r="AH49" s="39">
        <v>19.512</v>
      </c>
      <c r="AI49" s="39">
        <f t="shared" si="13"/>
        <v>0.81300000000000006</v>
      </c>
      <c r="AJ49" s="39">
        <f>15.473</f>
        <v>15.473000000000001</v>
      </c>
      <c r="AK49" s="39">
        <f t="shared" si="14"/>
        <v>0.64470833333333333</v>
      </c>
      <c r="AL49" s="39">
        <f>24*2</f>
        <v>48</v>
      </c>
      <c r="AM49" s="39">
        <f t="shared" si="15"/>
        <v>2</v>
      </c>
      <c r="AN49" s="39">
        <f>1.608+24</f>
        <v>25.608000000000001</v>
      </c>
      <c r="AO49" s="39">
        <f t="shared" si="16"/>
        <v>1.0669999999999999</v>
      </c>
      <c r="AP49" s="39">
        <f>5.355</f>
        <v>5.3550000000000004</v>
      </c>
      <c r="AQ49" s="39">
        <f t="shared" si="17"/>
        <v>0.22312500000000002</v>
      </c>
      <c r="AR49" s="40"/>
      <c r="AS49" s="40"/>
      <c r="AT49" s="39">
        <f>14.86</f>
        <v>14.86</v>
      </c>
      <c r="AU49" s="39">
        <f t="shared" si="18"/>
        <v>0.61916666666666664</v>
      </c>
      <c r="AV49" s="39">
        <f>16.932</f>
        <v>16.931999999999999</v>
      </c>
      <c r="AW49" s="39">
        <f t="shared" si="19"/>
        <v>0.7054999999999999</v>
      </c>
      <c r="AX49" s="39"/>
      <c r="AY49" s="39" t="str">
        <f t="shared" si="20"/>
        <v/>
      </c>
      <c r="AZ49" s="39"/>
      <c r="BA49" s="39" t="str">
        <f t="shared" si="21"/>
        <v/>
      </c>
      <c r="BB49" s="39"/>
      <c r="BC49" s="39" t="str">
        <f t="shared" si="22"/>
        <v/>
      </c>
      <c r="BD49" s="71"/>
    </row>
    <row r="50" spans="1:57" x14ac:dyDescent="0.25">
      <c r="A50" s="22">
        <v>2</v>
      </c>
      <c r="B50" s="22">
        <v>15</v>
      </c>
      <c r="C50" s="40"/>
      <c r="D50" s="39">
        <f>16.08</f>
        <v>16.079999999999998</v>
      </c>
      <c r="E50" s="39">
        <f t="shared" si="2"/>
        <v>1.0719999999999998</v>
      </c>
      <c r="F50" s="39">
        <f>6.21</f>
        <v>6.21</v>
      </c>
      <c r="G50" s="39">
        <f t="shared" si="3"/>
        <v>0.41399999999999998</v>
      </c>
      <c r="H50" s="40"/>
      <c r="I50" s="40"/>
      <c r="J50" s="39">
        <f>10.749</f>
        <v>10.749000000000001</v>
      </c>
      <c r="K50" s="39">
        <f t="shared" si="4"/>
        <v>0.71660000000000001</v>
      </c>
      <c r="L50" s="39">
        <f>11.066</f>
        <v>11.066000000000001</v>
      </c>
      <c r="M50" s="39">
        <f t="shared" si="5"/>
        <v>0.73773333333333335</v>
      </c>
      <c r="N50" s="39">
        <f>7.801</f>
        <v>7.8010000000000002</v>
      </c>
      <c r="O50" s="39">
        <f t="shared" si="6"/>
        <v>0.52006666666666668</v>
      </c>
      <c r="P50" s="39">
        <f>5.022</f>
        <v>5.0220000000000002</v>
      </c>
      <c r="Q50" s="39">
        <f t="shared" si="7"/>
        <v>0.33480000000000004</v>
      </c>
      <c r="R50" s="39">
        <f>1.83</f>
        <v>1.83</v>
      </c>
      <c r="S50" s="39">
        <f t="shared" si="23"/>
        <v>0.12200000000000001</v>
      </c>
      <c r="T50" s="40"/>
      <c r="U50" s="40"/>
      <c r="V50" s="39">
        <f>14.42</f>
        <v>14.42</v>
      </c>
      <c r="W50" s="39">
        <f t="shared" si="8"/>
        <v>0.96133333333333337</v>
      </c>
      <c r="X50" s="39">
        <f>12.53</f>
        <v>12.53</v>
      </c>
      <c r="Y50" s="39">
        <f t="shared" si="9"/>
        <v>0.83533333333333326</v>
      </c>
      <c r="Z50" s="39">
        <f>10.312</f>
        <v>10.311999999999999</v>
      </c>
      <c r="AA50" s="39">
        <f t="shared" si="10"/>
        <v>0.68746666666666667</v>
      </c>
      <c r="AB50" s="39">
        <f>10.64</f>
        <v>10.64</v>
      </c>
      <c r="AC50" s="39">
        <f t="shared" si="11"/>
        <v>0.70933333333333337</v>
      </c>
      <c r="AD50" s="39">
        <f>9.56</f>
        <v>9.56</v>
      </c>
      <c r="AE50" s="39">
        <f t="shared" si="12"/>
        <v>0.63733333333333342</v>
      </c>
      <c r="AF50" s="40"/>
      <c r="AG50" s="40"/>
      <c r="AH50" s="39">
        <v>9.1790000000000003</v>
      </c>
      <c r="AI50" s="39">
        <f t="shared" si="13"/>
        <v>0.61193333333333333</v>
      </c>
      <c r="AJ50" s="39">
        <v>7.6379999999999999</v>
      </c>
      <c r="AK50" s="39">
        <f t="shared" si="14"/>
        <v>0.50919999999999999</v>
      </c>
      <c r="AL50" s="39"/>
      <c r="AM50" s="39" t="str">
        <f t="shared" si="15"/>
        <v/>
      </c>
      <c r="AN50" s="39">
        <f>7.78</f>
        <v>7.78</v>
      </c>
      <c r="AO50" s="39">
        <f t="shared" si="16"/>
        <v>0.51866666666666672</v>
      </c>
      <c r="AP50" s="39">
        <f>13.703</f>
        <v>13.702999999999999</v>
      </c>
      <c r="AQ50" s="39">
        <f t="shared" si="17"/>
        <v>0.91353333333333331</v>
      </c>
      <c r="AR50" s="40"/>
      <c r="AS50" s="40"/>
      <c r="AT50" s="39">
        <f>1.33+17.38</f>
        <v>18.71</v>
      </c>
      <c r="AU50" s="39">
        <f t="shared" si="18"/>
        <v>1.2473333333333334</v>
      </c>
      <c r="AV50" s="39">
        <f>10.85</f>
        <v>10.85</v>
      </c>
      <c r="AW50" s="39">
        <f t="shared" si="19"/>
        <v>0.72333333333333327</v>
      </c>
      <c r="AX50" s="39"/>
      <c r="AY50" s="39" t="str">
        <f t="shared" si="20"/>
        <v/>
      </c>
      <c r="AZ50" s="39"/>
      <c r="BA50" s="39" t="str">
        <f t="shared" si="21"/>
        <v/>
      </c>
      <c r="BB50" s="39"/>
      <c r="BC50" s="39" t="str">
        <f t="shared" si="22"/>
        <v/>
      </c>
      <c r="BD50" s="71"/>
    </row>
    <row r="51" spans="1:57" x14ac:dyDescent="0.25">
      <c r="A51" s="22">
        <v>2</v>
      </c>
      <c r="B51" s="22">
        <v>15</v>
      </c>
      <c r="C51" s="40"/>
      <c r="D51" s="39">
        <v>8.83</v>
      </c>
      <c r="E51" s="39">
        <f t="shared" si="2"/>
        <v>0.58866666666666667</v>
      </c>
      <c r="F51" s="39">
        <f>10.88</f>
        <v>10.88</v>
      </c>
      <c r="G51" s="39">
        <f t="shared" si="3"/>
        <v>0.72533333333333339</v>
      </c>
      <c r="H51" s="40"/>
      <c r="I51" s="40"/>
      <c r="J51" s="39">
        <v>7.9729999999999999</v>
      </c>
      <c r="K51" s="39">
        <f t="shared" si="4"/>
        <v>0.5315333333333333</v>
      </c>
      <c r="L51" s="39">
        <v>9.8330000000000002</v>
      </c>
      <c r="M51" s="39">
        <f t="shared" si="5"/>
        <v>0.6555333333333333</v>
      </c>
      <c r="N51" s="39">
        <f>2.43</f>
        <v>2.4300000000000002</v>
      </c>
      <c r="O51" s="39">
        <f t="shared" si="6"/>
        <v>0.16200000000000001</v>
      </c>
      <c r="P51" s="39">
        <f>4.107</f>
        <v>4.1070000000000002</v>
      </c>
      <c r="Q51" s="39">
        <f t="shared" si="7"/>
        <v>0.27379999999999999</v>
      </c>
      <c r="R51" s="39">
        <f>4.65</f>
        <v>4.6500000000000004</v>
      </c>
      <c r="S51" s="39">
        <f t="shared" si="23"/>
        <v>0.31</v>
      </c>
      <c r="T51" s="40"/>
      <c r="U51" s="40"/>
      <c r="V51" s="39">
        <v>10.292</v>
      </c>
      <c r="W51" s="39">
        <f t="shared" si="8"/>
        <v>0.68613333333333337</v>
      </c>
      <c r="X51" s="39">
        <f>9.696</f>
        <v>9.6959999999999997</v>
      </c>
      <c r="Y51" s="39">
        <f t="shared" si="9"/>
        <v>0.64639999999999997</v>
      </c>
      <c r="Z51" s="39">
        <v>8.18</v>
      </c>
      <c r="AA51" s="39">
        <f t="shared" si="10"/>
        <v>0.54533333333333334</v>
      </c>
      <c r="AB51" s="39">
        <f>5.138</f>
        <v>5.1379999999999999</v>
      </c>
      <c r="AC51" s="39">
        <f t="shared" si="11"/>
        <v>0.3425333333333333</v>
      </c>
      <c r="AD51" s="39">
        <f>2.43</f>
        <v>2.4300000000000002</v>
      </c>
      <c r="AE51" s="39">
        <f t="shared" si="12"/>
        <v>0.16200000000000001</v>
      </c>
      <c r="AF51" s="40"/>
      <c r="AG51" s="40"/>
      <c r="AH51" s="39">
        <v>11.002000000000001</v>
      </c>
      <c r="AI51" s="39">
        <f t="shared" si="13"/>
        <v>0.73346666666666671</v>
      </c>
      <c r="AJ51" s="39">
        <f>7.558</f>
        <v>7.5579999999999998</v>
      </c>
      <c r="AK51" s="39">
        <f t="shared" si="14"/>
        <v>0.50386666666666668</v>
      </c>
      <c r="AL51" s="39">
        <v>6.0030000000000001</v>
      </c>
      <c r="AM51" s="39">
        <f t="shared" si="15"/>
        <v>0.4002</v>
      </c>
      <c r="AN51" s="39">
        <f>7.9</f>
        <v>7.9</v>
      </c>
      <c r="AO51" s="39">
        <f t="shared" si="16"/>
        <v>0.52666666666666673</v>
      </c>
      <c r="AP51" s="39">
        <v>6.32</v>
      </c>
      <c r="AQ51" s="39">
        <f t="shared" si="17"/>
        <v>0.42133333333333334</v>
      </c>
      <c r="AR51" s="40"/>
      <c r="AS51" s="40"/>
      <c r="AT51" s="39">
        <f>5.69</f>
        <v>5.69</v>
      </c>
      <c r="AU51" s="39">
        <f t="shared" si="18"/>
        <v>0.37933333333333336</v>
      </c>
      <c r="AV51" s="39">
        <f>6.32</f>
        <v>6.32</v>
      </c>
      <c r="AW51" s="39">
        <f t="shared" si="19"/>
        <v>0.42133333333333334</v>
      </c>
      <c r="AX51" s="39"/>
      <c r="AY51" s="39" t="str">
        <f t="shared" si="20"/>
        <v/>
      </c>
      <c r="AZ51" s="39"/>
      <c r="BA51" s="39" t="str">
        <f t="shared" si="21"/>
        <v/>
      </c>
      <c r="BB51" s="39"/>
      <c r="BC51" s="39" t="str">
        <f t="shared" si="22"/>
        <v/>
      </c>
      <c r="BD51" s="71"/>
    </row>
    <row r="52" spans="1:57" x14ac:dyDescent="0.25">
      <c r="A52" s="22">
        <v>2</v>
      </c>
      <c r="B52" s="22">
        <v>15</v>
      </c>
      <c r="C52" s="40"/>
      <c r="D52" s="39">
        <v>4.59</v>
      </c>
      <c r="E52" s="39">
        <f t="shared" si="2"/>
        <v>0.30599999999999999</v>
      </c>
      <c r="F52" s="39">
        <v>13.285</v>
      </c>
      <c r="G52" s="39">
        <f t="shared" si="3"/>
        <v>0.88566666666666671</v>
      </c>
      <c r="H52" s="40"/>
      <c r="I52" s="40"/>
      <c r="J52" s="39">
        <f>7.766+8.366</f>
        <v>16.131999999999998</v>
      </c>
      <c r="K52" s="39">
        <f t="shared" si="4"/>
        <v>1.0754666666666666</v>
      </c>
      <c r="L52" s="39">
        <f>4.439</f>
        <v>4.4390000000000001</v>
      </c>
      <c r="M52" s="39">
        <f t="shared" si="5"/>
        <v>0.29593333333333333</v>
      </c>
      <c r="N52" s="39">
        <v>13.179</v>
      </c>
      <c r="O52" s="39">
        <f t="shared" si="6"/>
        <v>0.87860000000000005</v>
      </c>
      <c r="P52" s="39">
        <v>3.21</v>
      </c>
      <c r="Q52" s="39">
        <f t="shared" si="7"/>
        <v>0.214</v>
      </c>
      <c r="R52" s="39"/>
      <c r="S52" s="39" t="str">
        <f t="shared" si="23"/>
        <v/>
      </c>
      <c r="T52" s="40"/>
      <c r="U52" s="40"/>
      <c r="V52" s="39">
        <v>8.2110000000000003</v>
      </c>
      <c r="W52" s="39">
        <f t="shared" si="8"/>
        <v>0.5474</v>
      </c>
      <c r="X52" s="39">
        <f>9.691</f>
        <v>9.6910000000000007</v>
      </c>
      <c r="Y52" s="39">
        <f t="shared" si="9"/>
        <v>0.64606666666666668</v>
      </c>
      <c r="Z52" s="39">
        <f>9.446</f>
        <v>9.4459999999999997</v>
      </c>
      <c r="AA52" s="39">
        <f t="shared" si="10"/>
        <v>0.62973333333333337</v>
      </c>
      <c r="AB52" s="39">
        <v>13.848000000000001</v>
      </c>
      <c r="AC52" s="39">
        <f t="shared" si="11"/>
        <v>0.92320000000000002</v>
      </c>
      <c r="AD52" s="39">
        <f>6.626</f>
        <v>6.6260000000000003</v>
      </c>
      <c r="AE52" s="39">
        <f t="shared" si="12"/>
        <v>0.44173333333333337</v>
      </c>
      <c r="AF52" s="40"/>
      <c r="AG52" s="40"/>
      <c r="AH52" s="39">
        <v>14.095000000000001</v>
      </c>
      <c r="AI52" s="39">
        <f t="shared" si="13"/>
        <v>0.93966666666666676</v>
      </c>
      <c r="AJ52" s="39">
        <v>11.106</v>
      </c>
      <c r="AK52" s="39">
        <f t="shared" si="14"/>
        <v>0.74039999999999995</v>
      </c>
      <c r="AL52" s="39">
        <v>3.95</v>
      </c>
      <c r="AM52" s="39">
        <f t="shared" si="15"/>
        <v>0.26333333333333336</v>
      </c>
      <c r="AN52" s="39">
        <f>5.771</f>
        <v>5.7709999999999999</v>
      </c>
      <c r="AO52" s="39">
        <f t="shared" si="16"/>
        <v>0.38473333333333332</v>
      </c>
      <c r="AP52" s="39">
        <f>13.799</f>
        <v>13.798999999999999</v>
      </c>
      <c r="AQ52" s="39">
        <f t="shared" si="17"/>
        <v>0.91993333333333327</v>
      </c>
      <c r="AR52" s="40"/>
      <c r="AS52" s="40"/>
      <c r="AT52" s="39">
        <f>10.093</f>
        <v>10.093</v>
      </c>
      <c r="AU52" s="39">
        <f t="shared" si="18"/>
        <v>0.67286666666666661</v>
      </c>
      <c r="AV52" s="39">
        <f>7.444</f>
        <v>7.444</v>
      </c>
      <c r="AW52" s="39">
        <f t="shared" si="19"/>
        <v>0.49626666666666669</v>
      </c>
      <c r="AX52" s="39"/>
      <c r="AY52" s="39" t="str">
        <f t="shared" si="20"/>
        <v/>
      </c>
      <c r="AZ52" s="39"/>
      <c r="BA52" s="39" t="str">
        <f t="shared" si="21"/>
        <v/>
      </c>
      <c r="BB52" s="39"/>
      <c r="BC52" s="39" t="str">
        <f t="shared" si="22"/>
        <v/>
      </c>
      <c r="BD52" s="71"/>
    </row>
    <row r="53" spans="1:57" x14ac:dyDescent="0.25">
      <c r="A53" s="22">
        <v>2</v>
      </c>
      <c r="B53" s="23">
        <v>15</v>
      </c>
      <c r="C53" s="40"/>
      <c r="D53" s="39"/>
      <c r="E53" s="39" t="str">
        <f t="shared" si="2"/>
        <v/>
      </c>
      <c r="F53" s="39"/>
      <c r="G53" s="39" t="str">
        <f t="shared" si="3"/>
        <v/>
      </c>
      <c r="H53" s="40"/>
      <c r="I53" s="40"/>
      <c r="J53" s="39"/>
      <c r="K53" s="39" t="str">
        <f t="shared" si="4"/>
        <v/>
      </c>
      <c r="L53" s="39"/>
      <c r="M53" s="39" t="str">
        <f t="shared" si="5"/>
        <v/>
      </c>
      <c r="N53" s="39"/>
      <c r="O53" s="39" t="str">
        <f t="shared" si="6"/>
        <v/>
      </c>
      <c r="P53" s="39"/>
      <c r="Q53" s="39" t="str">
        <f t="shared" si="7"/>
        <v/>
      </c>
      <c r="R53" s="39"/>
      <c r="S53" s="39" t="str">
        <f t="shared" si="23"/>
        <v/>
      </c>
      <c r="T53" s="40"/>
      <c r="U53" s="40"/>
      <c r="V53" s="39"/>
      <c r="W53" s="39" t="str">
        <f t="shared" si="8"/>
        <v/>
      </c>
      <c r="X53" s="39"/>
      <c r="Y53" s="39" t="str">
        <f t="shared" si="9"/>
        <v/>
      </c>
      <c r="Z53" s="39"/>
      <c r="AA53" s="39" t="str">
        <f t="shared" si="10"/>
        <v/>
      </c>
      <c r="AB53" s="39"/>
      <c r="AC53" s="39" t="str">
        <f t="shared" si="11"/>
        <v/>
      </c>
      <c r="AD53" s="39"/>
      <c r="AE53" s="39" t="str">
        <f t="shared" si="12"/>
        <v/>
      </c>
      <c r="AF53" s="40"/>
      <c r="AG53" s="40"/>
      <c r="AH53" s="39"/>
      <c r="AI53" s="39" t="str">
        <f t="shared" si="13"/>
        <v/>
      </c>
      <c r="AJ53" s="39"/>
      <c r="AK53" s="39" t="str">
        <f t="shared" si="14"/>
        <v/>
      </c>
      <c r="AL53" s="39"/>
      <c r="AM53" s="39" t="str">
        <f t="shared" si="15"/>
        <v/>
      </c>
      <c r="AN53" s="39"/>
      <c r="AO53" s="39" t="str">
        <f t="shared" si="16"/>
        <v/>
      </c>
      <c r="AP53" s="39"/>
      <c r="AQ53" s="39" t="str">
        <f t="shared" si="17"/>
        <v/>
      </c>
      <c r="AR53" s="40"/>
      <c r="AS53" s="40"/>
      <c r="AT53" s="39"/>
      <c r="AU53" s="39" t="str">
        <f t="shared" si="18"/>
        <v/>
      </c>
      <c r="AV53" s="39"/>
      <c r="AW53" s="39" t="str">
        <f t="shared" si="19"/>
        <v/>
      </c>
      <c r="AX53" s="39"/>
      <c r="AY53" s="39" t="str">
        <f t="shared" si="20"/>
        <v/>
      </c>
      <c r="AZ53" s="39"/>
      <c r="BA53" s="39" t="str">
        <f t="shared" si="21"/>
        <v/>
      </c>
      <c r="BB53" s="39"/>
      <c r="BC53" s="39" t="str">
        <f t="shared" si="22"/>
        <v/>
      </c>
      <c r="BD53" s="71"/>
    </row>
    <row r="54" spans="1:57" x14ac:dyDescent="0.25">
      <c r="A54" s="22">
        <v>2</v>
      </c>
      <c r="B54" s="22">
        <v>24</v>
      </c>
      <c r="C54" s="40"/>
      <c r="D54" s="39">
        <v>5.5259999999999998</v>
      </c>
      <c r="E54" s="39">
        <f t="shared" si="2"/>
        <v>0.23024999999999998</v>
      </c>
      <c r="F54" s="39"/>
      <c r="G54" s="39" t="str">
        <f t="shared" si="3"/>
        <v/>
      </c>
      <c r="H54" s="40"/>
      <c r="I54" s="40"/>
      <c r="J54" s="39">
        <f>23.22</f>
        <v>23.22</v>
      </c>
      <c r="K54" s="39">
        <f t="shared" si="4"/>
        <v>0.96749999999999992</v>
      </c>
      <c r="L54" s="39"/>
      <c r="M54" s="39" t="str">
        <f t="shared" si="5"/>
        <v/>
      </c>
      <c r="N54" s="39">
        <v>22.751000000000001</v>
      </c>
      <c r="O54" s="39">
        <f t="shared" si="6"/>
        <v>0.94795833333333335</v>
      </c>
      <c r="P54" s="39"/>
      <c r="Q54" s="39" t="str">
        <f t="shared" si="7"/>
        <v/>
      </c>
      <c r="R54" s="39">
        <f>7.973</f>
        <v>7.9729999999999999</v>
      </c>
      <c r="S54" s="39">
        <f t="shared" si="23"/>
        <v>0.33220833333333333</v>
      </c>
      <c r="T54" s="40"/>
      <c r="U54" s="40"/>
      <c r="V54" s="39">
        <f>21.682</f>
        <v>21.681999999999999</v>
      </c>
      <c r="W54" s="39">
        <f t="shared" si="8"/>
        <v>0.90341666666666665</v>
      </c>
      <c r="X54" s="39"/>
      <c r="Y54" s="39" t="str">
        <f t="shared" si="9"/>
        <v/>
      </c>
      <c r="Z54" s="39">
        <v>19.006</v>
      </c>
      <c r="AA54" s="39">
        <f t="shared" si="10"/>
        <v>0.79191666666666671</v>
      </c>
      <c r="AB54" s="39">
        <f>10.042</f>
        <v>10.042</v>
      </c>
      <c r="AC54" s="39">
        <f t="shared" si="11"/>
        <v>0.41841666666666666</v>
      </c>
      <c r="AD54" s="39">
        <f>19.114</f>
        <v>19.114000000000001</v>
      </c>
      <c r="AE54" s="39">
        <f t="shared" si="12"/>
        <v>0.79641666666666666</v>
      </c>
      <c r="AF54" s="40"/>
      <c r="AG54" s="40"/>
      <c r="AH54" s="39">
        <v>17.751999999999999</v>
      </c>
      <c r="AI54" s="39">
        <f t="shared" si="13"/>
        <v>0.73966666666666658</v>
      </c>
      <c r="AJ54" s="39">
        <v>8.2650000000000006</v>
      </c>
      <c r="AK54" s="39">
        <f t="shared" si="14"/>
        <v>0.34437500000000004</v>
      </c>
      <c r="AL54" s="39">
        <f>20.078</f>
        <v>20.077999999999999</v>
      </c>
      <c r="AM54" s="39">
        <f t="shared" si="15"/>
        <v>0.83658333333333335</v>
      </c>
      <c r="AN54" s="39">
        <f>5.757</f>
        <v>5.7569999999999997</v>
      </c>
      <c r="AO54" s="39">
        <f t="shared" si="16"/>
        <v>0.23987499999999998</v>
      </c>
      <c r="AP54" s="39">
        <f>23.571</f>
        <v>23.571000000000002</v>
      </c>
      <c r="AQ54" s="39">
        <f t="shared" si="17"/>
        <v>0.98212500000000003</v>
      </c>
      <c r="AR54" s="40"/>
      <c r="AS54" s="40"/>
      <c r="AT54" s="39">
        <f>18.539+7.88</f>
        <v>26.419</v>
      </c>
      <c r="AU54" s="39">
        <f t="shared" si="18"/>
        <v>1.1007916666666666</v>
      </c>
      <c r="AV54" s="39">
        <f>23.521</f>
        <v>23.521000000000001</v>
      </c>
      <c r="AW54" s="39">
        <f t="shared" si="19"/>
        <v>0.9800416666666667</v>
      </c>
      <c r="AX54" s="39"/>
      <c r="AY54" s="39" t="str">
        <f t="shared" si="20"/>
        <v/>
      </c>
      <c r="AZ54" s="39"/>
      <c r="BA54" s="39" t="str">
        <f t="shared" si="21"/>
        <v/>
      </c>
      <c r="BB54" s="39"/>
      <c r="BC54" s="39" t="str">
        <f t="shared" si="22"/>
        <v/>
      </c>
      <c r="BD54" s="71"/>
    </row>
    <row r="55" spans="1:57" x14ac:dyDescent="0.25">
      <c r="A55" s="22">
        <v>2</v>
      </c>
      <c r="B55" s="22">
        <v>24</v>
      </c>
      <c r="C55" s="40"/>
      <c r="D55" s="39">
        <v>10.153</v>
      </c>
      <c r="E55" s="39">
        <f t="shared" si="2"/>
        <v>0.4230416666666667</v>
      </c>
      <c r="F55" s="39">
        <f>12.307</f>
        <v>12.307</v>
      </c>
      <c r="G55" s="39">
        <f t="shared" si="3"/>
        <v>0.51279166666666665</v>
      </c>
      <c r="H55" s="40"/>
      <c r="I55" s="40"/>
      <c r="J55" s="39">
        <f>13.743+16.129</f>
        <v>29.872</v>
      </c>
      <c r="K55" s="39">
        <f t="shared" si="4"/>
        <v>1.2446666666666666</v>
      </c>
      <c r="L55" s="39">
        <f>9.78+16.314</f>
        <v>26.094000000000001</v>
      </c>
      <c r="M55" s="39">
        <f t="shared" si="5"/>
        <v>1.08725</v>
      </c>
      <c r="N55" s="39">
        <f>14.516</f>
        <v>14.516</v>
      </c>
      <c r="O55" s="39">
        <f t="shared" si="6"/>
        <v>0.60483333333333333</v>
      </c>
      <c r="P55" s="39"/>
      <c r="Q55" s="39" t="str">
        <f t="shared" si="7"/>
        <v/>
      </c>
      <c r="R55" s="39">
        <f>25.802</f>
        <v>25.802</v>
      </c>
      <c r="S55" s="39">
        <f t="shared" si="23"/>
        <v>1.0750833333333334</v>
      </c>
      <c r="T55" s="40"/>
      <c r="U55" s="40"/>
      <c r="V55" s="39">
        <f>18.819</f>
        <v>18.818999999999999</v>
      </c>
      <c r="W55" s="39">
        <f t="shared" si="8"/>
        <v>0.78412499999999996</v>
      </c>
      <c r="X55" s="39">
        <f>8.047</f>
        <v>8.0470000000000006</v>
      </c>
      <c r="Y55" s="39">
        <f t="shared" si="9"/>
        <v>0.33529166666666671</v>
      </c>
      <c r="Z55" s="39">
        <f>18.539+6.715</f>
        <v>25.254000000000001</v>
      </c>
      <c r="AA55" s="39">
        <f t="shared" si="10"/>
        <v>1.0522500000000001</v>
      </c>
      <c r="AB55" s="39">
        <f>9.517</f>
        <v>9.5169999999999995</v>
      </c>
      <c r="AC55" s="39">
        <f t="shared" si="11"/>
        <v>0.39654166666666663</v>
      </c>
      <c r="AD55" s="39">
        <v>10.685</v>
      </c>
      <c r="AE55" s="39">
        <f t="shared" si="12"/>
        <v>0.44520833333333337</v>
      </c>
      <c r="AF55" s="40"/>
      <c r="AG55" s="40"/>
      <c r="AH55" s="39">
        <f>24.36+12.83</f>
        <v>37.19</v>
      </c>
      <c r="AI55" s="39">
        <f t="shared" si="13"/>
        <v>1.5495833333333333</v>
      </c>
      <c r="AJ55" s="39">
        <v>25.416</v>
      </c>
      <c r="AK55" s="39">
        <f t="shared" si="14"/>
        <v>1.0589999999999999</v>
      </c>
      <c r="AL55" s="39">
        <f>17.865</f>
        <v>17.864999999999998</v>
      </c>
      <c r="AM55" s="39">
        <f t="shared" si="15"/>
        <v>0.7443749999999999</v>
      </c>
      <c r="AN55" s="39">
        <f>10.879</f>
        <v>10.879</v>
      </c>
      <c r="AO55" s="39">
        <f t="shared" si="16"/>
        <v>0.45329166666666665</v>
      </c>
      <c r="AP55" s="39">
        <f>15.165</f>
        <v>15.164999999999999</v>
      </c>
      <c r="AQ55" s="39">
        <f t="shared" si="17"/>
        <v>0.63187499999999996</v>
      </c>
      <c r="AR55" s="40"/>
      <c r="AS55" s="40"/>
      <c r="AT55" s="39">
        <f>9.538</f>
        <v>9.5380000000000003</v>
      </c>
      <c r="AU55" s="39">
        <f t="shared" si="18"/>
        <v>0.3974166666666667</v>
      </c>
      <c r="AV55" s="39">
        <v>10.371</v>
      </c>
      <c r="AW55" s="39">
        <f t="shared" si="19"/>
        <v>0.43212500000000004</v>
      </c>
      <c r="AX55" s="39"/>
      <c r="AY55" s="39" t="str">
        <f t="shared" si="20"/>
        <v/>
      </c>
      <c r="AZ55" s="39"/>
      <c r="BA55" s="39" t="str">
        <f t="shared" si="21"/>
        <v/>
      </c>
      <c r="BB55" s="39"/>
      <c r="BC55" s="39" t="str">
        <f t="shared" si="22"/>
        <v/>
      </c>
      <c r="BD55" s="71"/>
    </row>
    <row r="56" spans="1:57" x14ac:dyDescent="0.25">
      <c r="A56" s="22">
        <v>2</v>
      </c>
      <c r="B56" s="22">
        <v>24</v>
      </c>
      <c r="C56" s="40"/>
      <c r="D56" s="39">
        <f>10.107+20.117</f>
        <v>30.224</v>
      </c>
      <c r="E56" s="39">
        <f t="shared" si="2"/>
        <v>1.2593333333333334</v>
      </c>
      <c r="F56" s="39">
        <f>23.62+24</f>
        <v>47.620000000000005</v>
      </c>
      <c r="G56" s="39">
        <f t="shared" si="3"/>
        <v>1.9841666666666669</v>
      </c>
      <c r="H56" s="40"/>
      <c r="I56" s="40"/>
      <c r="J56" s="39">
        <f>10.94+3.541+21.255</f>
        <v>35.735999999999997</v>
      </c>
      <c r="K56" s="39">
        <f t="shared" si="4"/>
        <v>1.4889999999999999</v>
      </c>
      <c r="L56" s="39">
        <f>10.48</f>
        <v>10.48</v>
      </c>
      <c r="M56" s="39">
        <f t="shared" si="5"/>
        <v>0.4366666666666667</v>
      </c>
      <c r="N56" s="39">
        <f>10.56</f>
        <v>10.56</v>
      </c>
      <c r="O56" s="39">
        <f t="shared" si="6"/>
        <v>0.44</v>
      </c>
      <c r="P56" s="39">
        <f>24.18+4.74</f>
        <v>28.92</v>
      </c>
      <c r="Q56" s="39">
        <f t="shared" si="7"/>
        <v>1.2050000000000001</v>
      </c>
      <c r="R56" s="39">
        <f>16.13</f>
        <v>16.13</v>
      </c>
      <c r="S56" s="39">
        <f t="shared" si="23"/>
        <v>0.67208333333333325</v>
      </c>
      <c r="T56" s="40"/>
      <c r="U56" s="40"/>
      <c r="V56" s="39">
        <f>17.53+24</f>
        <v>41.53</v>
      </c>
      <c r="W56" s="39">
        <f t="shared" si="8"/>
        <v>1.7304166666666667</v>
      </c>
      <c r="X56" s="39">
        <f>23.114+4.27</f>
        <v>27.384</v>
      </c>
      <c r="Y56" s="39">
        <f t="shared" si="9"/>
        <v>1.141</v>
      </c>
      <c r="Z56" s="39">
        <f>17.62</f>
        <v>17.62</v>
      </c>
      <c r="AA56" s="39">
        <f t="shared" si="10"/>
        <v>0.73416666666666675</v>
      </c>
      <c r="AB56" s="39">
        <v>19.920999999999999</v>
      </c>
      <c r="AC56" s="39">
        <f t="shared" si="11"/>
        <v>0.83004166666666668</v>
      </c>
      <c r="AD56" s="39">
        <f>17.054</f>
        <v>17.053999999999998</v>
      </c>
      <c r="AE56" s="39">
        <f t="shared" si="12"/>
        <v>0.71058333333333323</v>
      </c>
      <c r="AF56" s="40"/>
      <c r="AG56" s="40"/>
      <c r="AH56" s="39">
        <f>4.164+24+24</f>
        <v>52.164000000000001</v>
      </c>
      <c r="AI56" s="39">
        <f t="shared" si="13"/>
        <v>2.1735000000000002</v>
      </c>
      <c r="AJ56" s="39">
        <f>15.02</f>
        <v>15.02</v>
      </c>
      <c r="AK56" s="39">
        <f t="shared" si="14"/>
        <v>0.62583333333333335</v>
      </c>
      <c r="AL56" s="39">
        <f>11.707</f>
        <v>11.707000000000001</v>
      </c>
      <c r="AM56" s="39">
        <f t="shared" si="15"/>
        <v>0.48779166666666668</v>
      </c>
      <c r="AN56" s="39">
        <f>15.611</f>
        <v>15.611000000000001</v>
      </c>
      <c r="AO56" s="39">
        <f t="shared" si="16"/>
        <v>0.65045833333333336</v>
      </c>
      <c r="AP56" s="39">
        <f>14.442</f>
        <v>14.442</v>
      </c>
      <c r="AQ56" s="39">
        <f t="shared" si="17"/>
        <v>0.60175000000000001</v>
      </c>
      <c r="AR56" s="40"/>
      <c r="AS56" s="40"/>
      <c r="AT56" s="39">
        <f>23.225</f>
        <v>23.225000000000001</v>
      </c>
      <c r="AU56" s="39">
        <f t="shared" si="18"/>
        <v>0.96770833333333339</v>
      </c>
      <c r="AV56" s="39">
        <f>8.915+24</f>
        <v>32.914999999999999</v>
      </c>
      <c r="AW56" s="39">
        <f t="shared" si="19"/>
        <v>1.3714583333333332</v>
      </c>
      <c r="AX56" s="39"/>
      <c r="AY56" s="39" t="str">
        <f t="shared" si="20"/>
        <v/>
      </c>
      <c r="AZ56" s="39"/>
      <c r="BA56" s="39" t="str">
        <f t="shared" si="21"/>
        <v/>
      </c>
      <c r="BB56" s="39"/>
      <c r="BC56" s="39" t="str">
        <f t="shared" si="22"/>
        <v/>
      </c>
      <c r="BD56" s="71"/>
    </row>
    <row r="57" spans="1:57" x14ac:dyDescent="0.25">
      <c r="A57" s="22">
        <v>2</v>
      </c>
      <c r="B57" s="22">
        <v>15</v>
      </c>
      <c r="C57" s="40"/>
      <c r="D57" s="39">
        <f>4.591+1.09+10</f>
        <v>15.681000000000001</v>
      </c>
      <c r="E57" s="39">
        <f t="shared" si="2"/>
        <v>1.0454000000000001</v>
      </c>
      <c r="F57" s="39">
        <v>10.95</v>
      </c>
      <c r="G57" s="39">
        <f t="shared" si="3"/>
        <v>0.73</v>
      </c>
      <c r="H57" s="40"/>
      <c r="I57" s="40"/>
      <c r="J57" s="39"/>
      <c r="K57" s="39" t="str">
        <f t="shared" si="4"/>
        <v/>
      </c>
      <c r="L57" s="39">
        <f>4.504+5.174</f>
        <v>9.6780000000000008</v>
      </c>
      <c r="M57" s="39">
        <f t="shared" si="5"/>
        <v>0.64520000000000011</v>
      </c>
      <c r="N57" s="39">
        <f>5.401+8.653</f>
        <v>14.054</v>
      </c>
      <c r="O57" s="39">
        <f t="shared" si="6"/>
        <v>0.9369333333333334</v>
      </c>
      <c r="P57" s="39">
        <f>5.201+9.191</f>
        <v>14.391999999999999</v>
      </c>
      <c r="Q57" s="39">
        <f t="shared" si="7"/>
        <v>0.95946666666666658</v>
      </c>
      <c r="R57" s="39">
        <f>4.893</f>
        <v>4.8929999999999998</v>
      </c>
      <c r="S57" s="39">
        <f t="shared" si="23"/>
        <v>0.32619999999999999</v>
      </c>
      <c r="T57" s="40"/>
      <c r="U57" s="40"/>
      <c r="V57" s="39">
        <f>12.501+5.831</f>
        <v>18.332000000000001</v>
      </c>
      <c r="W57" s="39">
        <f t="shared" si="8"/>
        <v>1.2221333333333333</v>
      </c>
      <c r="X57" s="39">
        <f>7.272+4.927+5.725</f>
        <v>17.923999999999999</v>
      </c>
      <c r="Y57" s="39">
        <f t="shared" si="9"/>
        <v>1.1949333333333334</v>
      </c>
      <c r="Z57" s="39">
        <v>12.643000000000001</v>
      </c>
      <c r="AA57" s="39">
        <f t="shared" si="10"/>
        <v>0.84286666666666676</v>
      </c>
      <c r="AB57" s="39">
        <v>11.757999999999999</v>
      </c>
      <c r="AC57" s="39">
        <f t="shared" si="11"/>
        <v>0.7838666666666666</v>
      </c>
      <c r="AD57" s="39">
        <v>9.7829999999999995</v>
      </c>
      <c r="AE57" s="39">
        <f t="shared" si="12"/>
        <v>0.6522</v>
      </c>
      <c r="AF57" s="40"/>
      <c r="AG57" s="40"/>
      <c r="AH57" s="39">
        <f>10.479+4.157</f>
        <v>14.635999999999999</v>
      </c>
      <c r="AI57" s="39">
        <f t="shared" si="13"/>
        <v>0.97573333333333323</v>
      </c>
      <c r="AJ57" s="39">
        <v>15.545999999999999</v>
      </c>
      <c r="AK57" s="39">
        <f t="shared" si="14"/>
        <v>1.0364</v>
      </c>
      <c r="AL57" s="39">
        <f>6.289+1.072</f>
        <v>7.3609999999999998</v>
      </c>
      <c r="AM57" s="39">
        <f t="shared" si="15"/>
        <v>0.4907333333333333</v>
      </c>
      <c r="AN57" s="39">
        <v>1.996</v>
      </c>
      <c r="AO57" s="39">
        <f t="shared" si="16"/>
        <v>0.13306666666666667</v>
      </c>
      <c r="AP57" s="39">
        <v>6.5890000000000004</v>
      </c>
      <c r="AQ57" s="39">
        <f t="shared" si="17"/>
        <v>0.43926666666666669</v>
      </c>
      <c r="AR57" s="40"/>
      <c r="AS57" s="40"/>
      <c r="AT57" s="39">
        <f>5.012+3.53</f>
        <v>8.5419999999999998</v>
      </c>
      <c r="AU57" s="39">
        <f t="shared" si="18"/>
        <v>0.56946666666666668</v>
      </c>
      <c r="AV57" s="39">
        <f>11.262+6.558</f>
        <v>17.82</v>
      </c>
      <c r="AW57" s="39">
        <f t="shared" si="19"/>
        <v>1.1879999999999999</v>
      </c>
      <c r="AX57" s="39"/>
      <c r="AY57" s="39" t="str">
        <f t="shared" si="20"/>
        <v/>
      </c>
      <c r="AZ57" s="39"/>
      <c r="BA57" s="39" t="str">
        <f t="shared" si="21"/>
        <v/>
      </c>
      <c r="BB57" s="39"/>
      <c r="BC57" s="39" t="str">
        <f t="shared" si="22"/>
        <v/>
      </c>
      <c r="BD57" s="71"/>
    </row>
    <row r="58" spans="1:57" x14ac:dyDescent="0.25"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</row>
    <row r="59" spans="1:57" x14ac:dyDescent="0.25">
      <c r="A59" s="30" t="s">
        <v>12</v>
      </c>
      <c r="C59" s="45" t="str">
        <f>IF(C65="","",SUM(C34:C57))</f>
        <v/>
      </c>
      <c r="D59" s="45">
        <f t="shared" ref="D59:BC59" si="24">IF(D65="","",SUM(D34:D57))</f>
        <v>195.52100000000002</v>
      </c>
      <c r="E59" s="45">
        <f t="shared" si="24"/>
        <v>10.752583333333336</v>
      </c>
      <c r="F59" s="45">
        <f t="shared" si="24"/>
        <v>221.27899999999997</v>
      </c>
      <c r="G59" s="45">
        <f t="shared" si="24"/>
        <v>11.662358333333334</v>
      </c>
      <c r="H59" s="45"/>
      <c r="I59" s="45"/>
      <c r="J59" s="45">
        <f t="shared" si="24"/>
        <v>283.04000000000002</v>
      </c>
      <c r="K59" s="45">
        <f t="shared" si="24"/>
        <v>14.757189102564105</v>
      </c>
      <c r="L59" s="45">
        <f t="shared" si="24"/>
        <v>246.51300000000001</v>
      </c>
      <c r="M59" s="45">
        <f t="shared" si="24"/>
        <v>13.095049999999999</v>
      </c>
      <c r="N59" s="45">
        <f>IF(N66="","",SUM(N34:N57))</f>
        <v>256.04599999999999</v>
      </c>
      <c r="O59" s="45">
        <f>IF(O66="","",SUM(O34:O57))</f>
        <v>14.011522435897438</v>
      </c>
      <c r="P59" s="45">
        <f t="shared" si="24"/>
        <v>296.69300000000004</v>
      </c>
      <c r="Q59" s="45">
        <f t="shared" si="24"/>
        <v>15.170808333333332</v>
      </c>
      <c r="R59" s="45">
        <f t="shared" si="24"/>
        <v>153.767</v>
      </c>
      <c r="S59" s="45">
        <f t="shared" si="24"/>
        <v>8.0137083333333337</v>
      </c>
      <c r="T59" s="45"/>
      <c r="U59" s="45"/>
      <c r="V59" s="45">
        <f t="shared" si="24"/>
        <v>283.36799999999994</v>
      </c>
      <c r="W59" s="45">
        <f t="shared" si="24"/>
        <v>15.156775000000001</v>
      </c>
      <c r="X59" s="45">
        <f t="shared" si="24"/>
        <v>296.49199999999996</v>
      </c>
      <c r="Y59" s="45">
        <f t="shared" si="24"/>
        <v>15.634283333333332</v>
      </c>
      <c r="Z59" s="45">
        <f t="shared" si="24"/>
        <v>260.923</v>
      </c>
      <c r="AA59" s="45">
        <f t="shared" si="24"/>
        <v>13.462566666666671</v>
      </c>
      <c r="AB59" s="45">
        <f t="shared" si="24"/>
        <v>215.62800000000001</v>
      </c>
      <c r="AC59" s="45">
        <f t="shared" si="24"/>
        <v>11.939400000000001</v>
      </c>
      <c r="AD59" s="45">
        <f t="shared" si="24"/>
        <v>198.202</v>
      </c>
      <c r="AE59" s="45">
        <f t="shared" si="24"/>
        <v>10.943591666666668</v>
      </c>
      <c r="AF59" s="45"/>
      <c r="AG59" s="45"/>
      <c r="AH59" s="45">
        <f t="shared" si="24"/>
        <v>294.77000000000004</v>
      </c>
      <c r="AI59" s="45">
        <f t="shared" si="24"/>
        <v>15.077658333333334</v>
      </c>
      <c r="AJ59" s="45">
        <f t="shared" si="24"/>
        <v>263.79700000000003</v>
      </c>
      <c r="AK59" s="45">
        <f t="shared" si="24"/>
        <v>13.877216666666666</v>
      </c>
      <c r="AL59" s="45">
        <f t="shared" si="24"/>
        <v>252.53799999999998</v>
      </c>
      <c r="AM59" s="45">
        <f t="shared" si="24"/>
        <v>12.639141666666667</v>
      </c>
      <c r="AN59" s="45">
        <f t="shared" si="24"/>
        <v>183.02299999999997</v>
      </c>
      <c r="AO59" s="45">
        <f t="shared" si="24"/>
        <v>9.9815333333333331</v>
      </c>
      <c r="AP59" s="45">
        <f t="shared" si="24"/>
        <v>260.08699999999999</v>
      </c>
      <c r="AQ59" s="45">
        <f t="shared" si="24"/>
        <v>13.835083333333332</v>
      </c>
      <c r="AR59" s="45"/>
      <c r="AS59" s="45"/>
      <c r="AT59" s="45">
        <f t="shared" si="24"/>
        <v>262.20399999999995</v>
      </c>
      <c r="AU59" s="45">
        <f t="shared" si="24"/>
        <v>14.205841666666664</v>
      </c>
      <c r="AV59" s="45">
        <f t="shared" si="24"/>
        <v>220.57299999999998</v>
      </c>
      <c r="AW59" s="45">
        <f t="shared" si="24"/>
        <v>12.034816666666666</v>
      </c>
      <c r="AX59" s="45" t="str">
        <f t="shared" si="24"/>
        <v/>
      </c>
      <c r="AY59" s="45" t="str">
        <f t="shared" si="24"/>
        <v/>
      </c>
      <c r="AZ59" s="45" t="str">
        <f t="shared" si="24"/>
        <v/>
      </c>
      <c r="BA59" s="45" t="str">
        <f t="shared" si="24"/>
        <v/>
      </c>
      <c r="BB59" s="45" t="str">
        <f t="shared" si="24"/>
        <v/>
      </c>
      <c r="BC59" s="45" t="str">
        <f t="shared" si="24"/>
        <v/>
      </c>
      <c r="BD59" s="87">
        <f>SUM(D59,F59,J59,L59,N59,P59,R59,V59,X59,Z59,AB59,AD59,AH59,AJ59,AL59,AN59,AP59,AT59,AV59,AX59,AZ59,BB59)</f>
        <v>4644.4639999999999</v>
      </c>
      <c r="BE59" s="49">
        <f>AVERAGE(D59,F59,J59,L59,N59,P59,R59,V59,X59,Z59,AB59,AD59,AH59,AJ59,AL59,AN59,AP59,AT59,AV59,AX59,AZ59,BB59)</f>
        <v>244.44547368421053</v>
      </c>
    </row>
    <row r="60" spans="1:57" x14ac:dyDescent="0.25">
      <c r="A60" s="30" t="s">
        <v>19</v>
      </c>
      <c r="C60" s="46" t="str">
        <f>IF(C65="","",AVERAGE(#REF!))</f>
        <v/>
      </c>
      <c r="D60" s="46">
        <f t="shared" ref="D60:BB60" si="25">IF(D65="","",AVERAGE(E34:E57))</f>
        <v>0.63250490196078446</v>
      </c>
      <c r="E60" s="46"/>
      <c r="F60" s="46">
        <f t="shared" si="25"/>
        <v>0.77749055555555557</v>
      </c>
      <c r="G60" s="46"/>
      <c r="H60" s="46"/>
      <c r="I60" s="46"/>
      <c r="J60" s="46">
        <f t="shared" si="25"/>
        <v>0.81984383903133917</v>
      </c>
      <c r="K60" s="46"/>
      <c r="L60" s="46">
        <f t="shared" si="25"/>
        <v>0.72750277777777772</v>
      </c>
      <c r="M60" s="46"/>
      <c r="N60" s="46">
        <f>IF(N66="","",AVERAGE(O34:O57))</f>
        <v>0.66721535409035426</v>
      </c>
      <c r="O60" s="46"/>
      <c r="P60" s="46">
        <f t="shared" si="25"/>
        <v>0.75854041666666661</v>
      </c>
      <c r="Q60" s="46"/>
      <c r="R60" s="46">
        <f t="shared" si="25"/>
        <v>0.50085677083333335</v>
      </c>
      <c r="S60" s="46"/>
      <c r="T60" s="46"/>
      <c r="U60" s="46"/>
      <c r="V60" s="46">
        <f t="shared" si="25"/>
        <v>0.75783875000000012</v>
      </c>
      <c r="W60" s="46"/>
      <c r="X60" s="46">
        <f t="shared" si="25"/>
        <v>0.82285701754385965</v>
      </c>
      <c r="Y60" s="46"/>
      <c r="Z60" s="46">
        <f t="shared" si="25"/>
        <v>0.67312833333333355</v>
      </c>
      <c r="AA60" s="46"/>
      <c r="AB60" s="46">
        <f t="shared" si="25"/>
        <v>0.59697</v>
      </c>
      <c r="AC60" s="46"/>
      <c r="AD60" s="46">
        <f t="shared" si="25"/>
        <v>0.60797731481481487</v>
      </c>
      <c r="AE60" s="46"/>
      <c r="AF60" s="46"/>
      <c r="AG60" s="46"/>
      <c r="AH60" s="46">
        <f t="shared" si="25"/>
        <v>0.79356096491228068</v>
      </c>
      <c r="AI60" s="46"/>
      <c r="AJ60" s="46">
        <f t="shared" si="25"/>
        <v>0.69386083333333326</v>
      </c>
      <c r="AK60" s="46"/>
      <c r="AL60" s="46">
        <f t="shared" si="25"/>
        <v>0.63195708333333334</v>
      </c>
      <c r="AM60" s="46"/>
      <c r="AN60" s="46">
        <f t="shared" si="25"/>
        <v>0.52534385964912278</v>
      </c>
      <c r="AO60" s="46"/>
      <c r="AP60" s="46">
        <f t="shared" si="25"/>
        <v>0.69175416666666656</v>
      </c>
      <c r="AQ60" s="46"/>
      <c r="AR60" s="46"/>
      <c r="AS60" s="46"/>
      <c r="AT60" s="46">
        <f t="shared" si="25"/>
        <v>0.71029208333333327</v>
      </c>
      <c r="AU60" s="46"/>
      <c r="AV60" s="46">
        <f t="shared" si="25"/>
        <v>0.6334114035087719</v>
      </c>
      <c r="AW60" s="46"/>
      <c r="AX60" s="46" t="str">
        <f t="shared" si="25"/>
        <v/>
      </c>
      <c r="AY60" s="46"/>
      <c r="AZ60" s="46" t="str">
        <f t="shared" si="25"/>
        <v/>
      </c>
      <c r="BA60" s="46"/>
      <c r="BB60" s="46" t="str">
        <f t="shared" si="25"/>
        <v/>
      </c>
      <c r="BC60" s="46"/>
      <c r="BD60" s="73"/>
      <c r="BE60" s="50">
        <f>AVERAGE(C60:BB60)</f>
        <v>0.6854161277023505</v>
      </c>
    </row>
    <row r="61" spans="1:57" x14ac:dyDescent="0.25"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5"/>
      <c r="BD61" s="73"/>
      <c r="BE61" s="48"/>
    </row>
    <row r="62" spans="1:57" x14ac:dyDescent="0.25">
      <c r="A62" s="30" t="s">
        <v>20</v>
      </c>
      <c r="C62" s="46" t="str">
        <f>IF(C65="","",(20-COUNTBLANK(C34:C53))/20)</f>
        <v/>
      </c>
      <c r="D62" s="46">
        <f t="shared" ref="D62:BB62" si="26">IF(D65="","",(20-COUNTBLANK(D34:D53))/20)</f>
        <v>0.65</v>
      </c>
      <c r="E62" s="46"/>
      <c r="F62" s="46">
        <f t="shared" si="26"/>
        <v>0.6</v>
      </c>
      <c r="G62" s="46"/>
      <c r="H62" s="46"/>
      <c r="I62" s="46"/>
      <c r="J62" s="46">
        <f t="shared" si="26"/>
        <v>0.75</v>
      </c>
      <c r="K62" s="46"/>
      <c r="L62" s="46">
        <f t="shared" si="26"/>
        <v>0.75</v>
      </c>
      <c r="M62" s="46"/>
      <c r="N62" s="46">
        <f>IF(N66="","",(20-COUNTBLANK(N34:N53))/20)</f>
        <v>0.85</v>
      </c>
      <c r="O62" s="46"/>
      <c r="P62" s="46">
        <f t="shared" si="26"/>
        <v>0.9</v>
      </c>
      <c r="Q62" s="46"/>
      <c r="R62" s="46">
        <f t="shared" si="26"/>
        <v>0.6</v>
      </c>
      <c r="S62" s="46"/>
      <c r="T62" s="46"/>
      <c r="U62" s="46"/>
      <c r="V62" s="46">
        <f t="shared" si="26"/>
        <v>0.8</v>
      </c>
      <c r="W62" s="46"/>
      <c r="X62" s="46">
        <f t="shared" si="26"/>
        <v>0.8</v>
      </c>
      <c r="Y62" s="46"/>
      <c r="Z62" s="46">
        <f t="shared" si="26"/>
        <v>0.8</v>
      </c>
      <c r="AA62" s="46"/>
      <c r="AB62" s="46">
        <f t="shared" si="26"/>
        <v>0.8</v>
      </c>
      <c r="AC62" s="46"/>
      <c r="AD62" s="46">
        <f t="shared" si="26"/>
        <v>0.7</v>
      </c>
      <c r="AE62" s="46"/>
      <c r="AF62" s="46"/>
      <c r="AG62" s="46"/>
      <c r="AH62" s="46">
        <f t="shared" si="26"/>
        <v>0.75</v>
      </c>
      <c r="AI62" s="46"/>
      <c r="AJ62" s="46">
        <f t="shared" si="26"/>
        <v>0.8</v>
      </c>
      <c r="AK62" s="46"/>
      <c r="AL62" s="46">
        <f t="shared" si="26"/>
        <v>0.8</v>
      </c>
      <c r="AM62" s="46"/>
      <c r="AN62" s="46">
        <f t="shared" si="26"/>
        <v>0.75</v>
      </c>
      <c r="AO62" s="46"/>
      <c r="AP62" s="46">
        <f t="shared" si="26"/>
        <v>0.8</v>
      </c>
      <c r="AQ62" s="46"/>
      <c r="AR62" s="46"/>
      <c r="AS62" s="46"/>
      <c r="AT62" s="46">
        <f t="shared" si="26"/>
        <v>0.8</v>
      </c>
      <c r="AU62" s="46"/>
      <c r="AV62" s="46">
        <f t="shared" si="26"/>
        <v>0.75</v>
      </c>
      <c r="AW62" s="46"/>
      <c r="AX62" s="46" t="str">
        <f t="shared" si="26"/>
        <v/>
      </c>
      <c r="AY62" s="46"/>
      <c r="AZ62" s="46" t="str">
        <f t="shared" si="26"/>
        <v/>
      </c>
      <c r="BA62" s="46"/>
      <c r="BB62" s="46" t="str">
        <f t="shared" si="26"/>
        <v/>
      </c>
      <c r="BC62" s="46"/>
      <c r="BD62" s="73"/>
      <c r="BE62" s="50">
        <f>AVERAGE(C62:BB62)</f>
        <v>0.76052631578947372</v>
      </c>
    </row>
    <row r="63" spans="1:57" x14ac:dyDescent="0.25"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3"/>
      <c r="BE63" s="48"/>
    </row>
    <row r="64" spans="1:57" x14ac:dyDescent="0.25">
      <c r="A64" s="27" t="s">
        <v>13</v>
      </c>
      <c r="B64" s="27"/>
      <c r="C64" s="34">
        <v>41640</v>
      </c>
      <c r="D64" s="59">
        <v>41641</v>
      </c>
      <c r="E64" s="59"/>
      <c r="F64" s="59">
        <v>41642</v>
      </c>
      <c r="G64" s="59"/>
      <c r="H64" s="34">
        <v>41643</v>
      </c>
      <c r="I64" s="34">
        <v>41644</v>
      </c>
      <c r="J64" s="59">
        <v>41645</v>
      </c>
      <c r="K64" s="59"/>
      <c r="L64" s="59">
        <v>41646</v>
      </c>
      <c r="M64" s="59"/>
      <c r="N64" s="59">
        <v>41647</v>
      </c>
      <c r="O64" s="59"/>
      <c r="P64" s="59">
        <v>41648</v>
      </c>
      <c r="Q64" s="59"/>
      <c r="R64" s="59">
        <v>41649</v>
      </c>
      <c r="S64" s="59"/>
      <c r="T64" s="34">
        <v>41650</v>
      </c>
      <c r="U64" s="34">
        <v>41651</v>
      </c>
      <c r="V64" s="59">
        <v>41652</v>
      </c>
      <c r="W64" s="59"/>
      <c r="X64" s="59">
        <v>41653</v>
      </c>
      <c r="Y64" s="59"/>
      <c r="Z64" s="59">
        <v>41897</v>
      </c>
      <c r="AA64" s="59"/>
      <c r="AB64" s="59">
        <v>41655</v>
      </c>
      <c r="AC64" s="59"/>
      <c r="AD64" s="59">
        <v>41656</v>
      </c>
      <c r="AE64" s="59"/>
      <c r="AF64" s="34">
        <v>41657</v>
      </c>
      <c r="AG64" s="34">
        <v>41658</v>
      </c>
      <c r="AH64" s="59">
        <v>41659</v>
      </c>
      <c r="AI64" s="59"/>
      <c r="AJ64" s="59">
        <v>41660</v>
      </c>
      <c r="AK64" s="59"/>
      <c r="AL64" s="59">
        <v>41661</v>
      </c>
      <c r="AM64" s="59"/>
      <c r="AN64" s="59">
        <v>41662</v>
      </c>
      <c r="AO64" s="59"/>
      <c r="AP64" s="59">
        <v>41663</v>
      </c>
      <c r="AQ64" s="59"/>
      <c r="AR64" s="34">
        <v>41664</v>
      </c>
      <c r="AS64" s="34">
        <v>41665</v>
      </c>
      <c r="AT64" s="59">
        <v>41666</v>
      </c>
      <c r="AU64" s="59"/>
      <c r="AV64" s="59">
        <v>41667</v>
      </c>
      <c r="AW64" s="59"/>
      <c r="AX64" s="59">
        <v>41941</v>
      </c>
      <c r="AY64" s="59"/>
      <c r="AZ64" s="59">
        <v>41669</v>
      </c>
      <c r="BA64" s="59"/>
      <c r="BB64" s="59">
        <v>41670</v>
      </c>
      <c r="BC64" s="57"/>
      <c r="BD64" s="73"/>
      <c r="BE64" s="48"/>
    </row>
    <row r="65" spans="1:57" x14ac:dyDescent="0.25">
      <c r="A65" s="28">
        <v>3</v>
      </c>
      <c r="B65" s="28">
        <v>24</v>
      </c>
      <c r="C65" s="37"/>
      <c r="D65" s="39">
        <v>24.788</v>
      </c>
      <c r="E65" s="39">
        <f t="shared" ref="E65:G70" si="27">IF(D65="","",D65/$B$34)</f>
        <v>1.0328333333333333</v>
      </c>
      <c r="F65" s="39">
        <v>19.771999999999998</v>
      </c>
      <c r="G65" s="39">
        <f t="shared" si="27"/>
        <v>0.82383333333333331</v>
      </c>
      <c r="H65" s="40"/>
      <c r="I65" s="40"/>
      <c r="J65" s="39">
        <v>4.53</v>
      </c>
      <c r="K65" s="39">
        <f t="shared" ref="K65:K70" si="28">IF(J65="","",J65/$B$34)</f>
        <v>0.18875</v>
      </c>
      <c r="L65" s="82">
        <v>18.056999999999999</v>
      </c>
      <c r="M65" s="39">
        <f t="shared" ref="M65:M70" si="29">IF(L65="","",L65/$B$34)</f>
        <v>0.7523749999999999</v>
      </c>
      <c r="N65" s="39"/>
      <c r="O65" s="39" t="str">
        <f t="shared" ref="O65:O70" si="30">IF(N65="","",N65/$B$34)</f>
        <v/>
      </c>
      <c r="P65" s="39">
        <v>14.737</v>
      </c>
      <c r="Q65" s="39">
        <f t="shared" ref="Q65:Q70" si="31">IF(P65="","",P65/$B$34)</f>
        <v>0.61404166666666671</v>
      </c>
      <c r="R65" s="39">
        <v>20.645</v>
      </c>
      <c r="S65" s="39">
        <f t="shared" ref="S65:S70" si="32">IF(R65="","",R65/$B$34)</f>
        <v>0.86020833333333335</v>
      </c>
      <c r="T65" s="40"/>
      <c r="U65" s="40"/>
      <c r="V65" s="39">
        <v>22.718</v>
      </c>
      <c r="W65" s="39">
        <f t="shared" ref="W65:W70" si="33">IF(V65="","",V65/$B$34)</f>
        <v>0.94658333333333333</v>
      </c>
      <c r="X65" s="39">
        <v>15.04</v>
      </c>
      <c r="Y65" s="39">
        <f t="shared" ref="Y65:Y70" si="34">IF(X65="","",X65/$B$34)</f>
        <v>0.62666666666666659</v>
      </c>
      <c r="Z65" s="39">
        <v>17.786000000000001</v>
      </c>
      <c r="AA65" s="39">
        <f t="shared" ref="AA65:AA70" si="35">IF(Z65="","",Z65/$B$34)</f>
        <v>0.74108333333333343</v>
      </c>
      <c r="AB65" s="39">
        <v>13.298</v>
      </c>
      <c r="AC65" s="39">
        <f t="shared" ref="AC65:AC70" si="36">IF(AB65="","",AB65/$B$34)</f>
        <v>0.55408333333333337</v>
      </c>
      <c r="AD65" s="39">
        <v>14.38</v>
      </c>
      <c r="AE65" s="39">
        <f t="shared" ref="AE65:AE70" si="37">IF(AD65="","",AD65/$B$34)</f>
        <v>0.59916666666666674</v>
      </c>
      <c r="AF65" s="40"/>
      <c r="AG65" s="40"/>
      <c r="AH65" s="39">
        <v>11.414</v>
      </c>
      <c r="AI65" s="39">
        <f t="shared" ref="AI65:AI70" si="38">IF(AH65="","",AH65/$B$34)</f>
        <v>0.4755833333333333</v>
      </c>
      <c r="AJ65" s="39">
        <v>16.745999999999999</v>
      </c>
      <c r="AK65" s="39">
        <f t="shared" ref="AK65:AK70" si="39">IF(AJ65="","",AJ65/$B$34)</f>
        <v>0.69774999999999998</v>
      </c>
      <c r="AL65" s="39">
        <v>3.246</v>
      </c>
      <c r="AM65" s="39">
        <f t="shared" ref="AM65:AM70" si="40">IF(AL65="","",AL65/$B$34)</f>
        <v>0.13525000000000001</v>
      </c>
      <c r="AN65" s="39">
        <v>8.9030000000000005</v>
      </c>
      <c r="AO65" s="39">
        <f t="shared" ref="AO65:AO70" si="41">IF(AN65="","",AN65/$B$34)</f>
        <v>0.37095833333333333</v>
      </c>
      <c r="AP65" s="39">
        <v>20.209</v>
      </c>
      <c r="AQ65" s="39">
        <f t="shared" ref="AQ65:AQ70" si="42">IF(AP65="","",AP65/$B$34)</f>
        <v>0.84204166666666669</v>
      </c>
      <c r="AR65" s="40"/>
      <c r="AS65" s="40"/>
      <c r="AT65" s="39">
        <v>7.35</v>
      </c>
      <c r="AU65" s="39">
        <f t="shared" ref="AU65:AU70" si="43">IF(AT65="","",AT65/$B$34)</f>
        <v>0.30624999999999997</v>
      </c>
      <c r="AV65" s="39">
        <v>7.8310000000000004</v>
      </c>
      <c r="AW65" s="39">
        <f t="shared" ref="AW65:AW70" si="44">IF(AV65="","",AV65/$B$34)</f>
        <v>0.3262916666666667</v>
      </c>
      <c r="AX65" s="39"/>
      <c r="AY65" s="39" t="str">
        <f t="shared" ref="AY65:AY70" si="45">IF(AX65="","",AX65/$B$34)</f>
        <v/>
      </c>
      <c r="AZ65" s="39"/>
      <c r="BA65" s="39" t="str">
        <f t="shared" ref="BA65:BA70" si="46">IF(AZ65="","",AZ65/$B$34)</f>
        <v/>
      </c>
      <c r="BB65" s="39"/>
      <c r="BC65" s="39" t="str">
        <f t="shared" ref="BC65:BC70" si="47">IF(BB65="","",BB65/$B$34)</f>
        <v/>
      </c>
      <c r="BD65" s="73"/>
      <c r="BE65" s="48"/>
    </row>
    <row r="66" spans="1:57" x14ac:dyDescent="0.25">
      <c r="A66" s="28">
        <v>3</v>
      </c>
      <c r="B66" s="27">
        <v>24</v>
      </c>
      <c r="C66" s="37"/>
      <c r="D66" s="55">
        <v>6.6219999999999999</v>
      </c>
      <c r="E66" s="55">
        <f t="shared" si="27"/>
        <v>0.27591666666666664</v>
      </c>
      <c r="F66" s="55">
        <f>21.371</f>
        <v>21.370999999999999</v>
      </c>
      <c r="G66" s="55">
        <f t="shared" si="27"/>
        <v>0.89045833333333324</v>
      </c>
      <c r="H66" s="37"/>
      <c r="I66" s="37"/>
      <c r="J66" s="55">
        <f>2.842</f>
        <v>2.8420000000000001</v>
      </c>
      <c r="K66" s="55">
        <f t="shared" si="28"/>
        <v>0.11841666666666667</v>
      </c>
      <c r="L66" s="58">
        <v>6.4649999999999999</v>
      </c>
      <c r="M66" s="55">
        <f t="shared" si="29"/>
        <v>0.26937499999999998</v>
      </c>
      <c r="N66" s="55">
        <v>14.603</v>
      </c>
      <c r="O66" s="55">
        <f t="shared" si="30"/>
        <v>0.60845833333333332</v>
      </c>
      <c r="P66" s="55">
        <f>11.352</f>
        <v>11.352</v>
      </c>
      <c r="Q66" s="55">
        <f t="shared" si="31"/>
        <v>0.47300000000000003</v>
      </c>
      <c r="R66" s="55">
        <f>13.16</f>
        <v>13.16</v>
      </c>
      <c r="S66" s="55">
        <f t="shared" si="32"/>
        <v>0.54833333333333334</v>
      </c>
      <c r="T66" s="37"/>
      <c r="U66" s="37"/>
      <c r="V66" s="55">
        <f>12.038</f>
        <v>12.038</v>
      </c>
      <c r="W66" s="55">
        <f t="shared" si="33"/>
        <v>0.50158333333333338</v>
      </c>
      <c r="X66" s="55">
        <f>21.617</f>
        <v>21.617000000000001</v>
      </c>
      <c r="Y66" s="55">
        <f t="shared" si="34"/>
        <v>0.90070833333333333</v>
      </c>
      <c r="Z66" s="55">
        <f>6.751</f>
        <v>6.7510000000000003</v>
      </c>
      <c r="AA66" s="55">
        <f t="shared" si="35"/>
        <v>0.28129166666666666</v>
      </c>
      <c r="AB66" s="55">
        <f>8.726</f>
        <v>8.7260000000000009</v>
      </c>
      <c r="AC66" s="55">
        <f t="shared" si="36"/>
        <v>0.36358333333333337</v>
      </c>
      <c r="AD66" s="55">
        <f>6.628</f>
        <v>6.6280000000000001</v>
      </c>
      <c r="AE66" s="55">
        <f t="shared" si="37"/>
        <v>0.27616666666666667</v>
      </c>
      <c r="AF66" s="37"/>
      <c r="AG66" s="37"/>
      <c r="AH66" s="55">
        <v>14.436</v>
      </c>
      <c r="AI66" s="55">
        <f t="shared" si="38"/>
        <v>0.60150000000000003</v>
      </c>
      <c r="AJ66" s="55">
        <f>11.684</f>
        <v>11.683999999999999</v>
      </c>
      <c r="AK66" s="55">
        <f t="shared" si="39"/>
        <v>0.48683333333333328</v>
      </c>
      <c r="AL66" s="55">
        <f>2.09</f>
        <v>2.09</v>
      </c>
      <c r="AM66" s="55">
        <f t="shared" si="40"/>
        <v>8.7083333333333332E-2</v>
      </c>
      <c r="AN66" s="55">
        <f>11.082</f>
        <v>11.082000000000001</v>
      </c>
      <c r="AO66" s="55">
        <f t="shared" si="41"/>
        <v>0.46175000000000005</v>
      </c>
      <c r="AP66" s="55">
        <f>1.627</f>
        <v>1.627</v>
      </c>
      <c r="AQ66" s="55">
        <f t="shared" si="42"/>
        <v>6.7791666666666667E-2</v>
      </c>
      <c r="AR66" s="37"/>
      <c r="AS66" s="37"/>
      <c r="AT66" s="55">
        <f>7.64</f>
        <v>7.64</v>
      </c>
      <c r="AU66" s="55">
        <f t="shared" si="43"/>
        <v>0.3183333333333333</v>
      </c>
      <c r="AV66" s="55">
        <f>22.179</f>
        <v>22.178999999999998</v>
      </c>
      <c r="AW66" s="55">
        <f t="shared" si="44"/>
        <v>0.92412499999999997</v>
      </c>
      <c r="AX66" s="56"/>
      <c r="AY66" s="55" t="str">
        <f t="shared" si="45"/>
        <v/>
      </c>
      <c r="AZ66" s="56"/>
      <c r="BA66" s="55" t="str">
        <f t="shared" si="46"/>
        <v/>
      </c>
      <c r="BB66" s="56"/>
      <c r="BC66" s="55" t="str">
        <f t="shared" si="47"/>
        <v/>
      </c>
      <c r="BD66" s="73"/>
      <c r="BE66" s="48"/>
    </row>
    <row r="67" spans="1:57" x14ac:dyDescent="0.25">
      <c r="A67" s="28">
        <v>3</v>
      </c>
      <c r="B67" s="27">
        <v>24</v>
      </c>
      <c r="C67" s="37"/>
      <c r="D67" s="55">
        <v>18.396999999999998</v>
      </c>
      <c r="E67" s="55">
        <f t="shared" si="27"/>
        <v>0.76654166666666657</v>
      </c>
      <c r="F67" s="55">
        <v>21.530999999999999</v>
      </c>
      <c r="G67" s="55">
        <f t="shared" si="27"/>
        <v>0.89712499999999995</v>
      </c>
      <c r="H67" s="37"/>
      <c r="I67" s="37"/>
      <c r="J67" s="55">
        <v>17.937000000000001</v>
      </c>
      <c r="K67" s="55">
        <f t="shared" si="28"/>
        <v>0.74737500000000001</v>
      </c>
      <c r="L67" s="58">
        <v>4.577</v>
      </c>
      <c r="M67" s="55">
        <f t="shared" si="29"/>
        <v>0.19070833333333334</v>
      </c>
      <c r="N67" s="55">
        <v>21.437000000000001</v>
      </c>
      <c r="O67" s="55">
        <f t="shared" si="30"/>
        <v>0.89320833333333338</v>
      </c>
      <c r="P67" s="55">
        <f>11.323</f>
        <v>11.323</v>
      </c>
      <c r="Q67" s="55">
        <f t="shared" si="31"/>
        <v>0.47179166666666666</v>
      </c>
      <c r="R67" s="55">
        <f>17.958</f>
        <v>17.957999999999998</v>
      </c>
      <c r="S67" s="55">
        <f t="shared" si="32"/>
        <v>0.74824999999999997</v>
      </c>
      <c r="T67" s="37"/>
      <c r="U67" s="37"/>
      <c r="V67" s="55">
        <f>22.185</f>
        <v>22.184999999999999</v>
      </c>
      <c r="W67" s="55">
        <f t="shared" si="33"/>
        <v>0.92437499999999995</v>
      </c>
      <c r="X67" s="55">
        <f>24.137</f>
        <v>24.137</v>
      </c>
      <c r="Y67" s="55">
        <f t="shared" si="34"/>
        <v>1.0057083333333334</v>
      </c>
      <c r="Z67" s="55">
        <f>23.778</f>
        <v>23.777999999999999</v>
      </c>
      <c r="AA67" s="55">
        <f t="shared" si="35"/>
        <v>0.99074999999999991</v>
      </c>
      <c r="AB67" s="55">
        <f>21.818</f>
        <v>21.818000000000001</v>
      </c>
      <c r="AC67" s="55">
        <f t="shared" si="36"/>
        <v>0.90908333333333335</v>
      </c>
      <c r="AD67" s="55">
        <f>8.584</f>
        <v>8.5839999999999996</v>
      </c>
      <c r="AE67" s="55">
        <f t="shared" si="37"/>
        <v>0.35766666666666663</v>
      </c>
      <c r="AF67" s="37"/>
      <c r="AG67" s="37"/>
      <c r="AH67" s="55">
        <f>6.998</f>
        <v>6.9980000000000002</v>
      </c>
      <c r="AI67" s="55">
        <f t="shared" si="38"/>
        <v>0.29158333333333336</v>
      </c>
      <c r="AJ67" s="55">
        <f>11.163</f>
        <v>11.163</v>
      </c>
      <c r="AK67" s="55">
        <f t="shared" si="39"/>
        <v>0.46512500000000001</v>
      </c>
      <c r="AL67" s="55">
        <f>15.829</f>
        <v>15.829000000000001</v>
      </c>
      <c r="AM67" s="55">
        <f t="shared" si="40"/>
        <v>0.65954166666666669</v>
      </c>
      <c r="AN67" s="55">
        <f>14.098</f>
        <v>14.098000000000001</v>
      </c>
      <c r="AO67" s="55">
        <f t="shared" si="41"/>
        <v>0.5874166666666667</v>
      </c>
      <c r="AP67" s="55">
        <f>6.566</f>
        <v>6.5659999999999998</v>
      </c>
      <c r="AQ67" s="55">
        <f t="shared" si="42"/>
        <v>0.27358333333333335</v>
      </c>
      <c r="AR67" s="37"/>
      <c r="AS67" s="37"/>
      <c r="AT67" s="55">
        <f>12.099</f>
        <v>12.099</v>
      </c>
      <c r="AU67" s="55">
        <f t="shared" si="43"/>
        <v>0.50412500000000005</v>
      </c>
      <c r="AV67" s="55">
        <f>13.495</f>
        <v>13.494999999999999</v>
      </c>
      <c r="AW67" s="55">
        <f t="shared" si="44"/>
        <v>0.56229166666666663</v>
      </c>
      <c r="AX67" s="56"/>
      <c r="AY67" s="55" t="str">
        <f t="shared" si="45"/>
        <v/>
      </c>
      <c r="AZ67" s="56"/>
      <c r="BA67" s="55" t="str">
        <f t="shared" si="46"/>
        <v/>
      </c>
      <c r="BB67" s="56"/>
      <c r="BC67" s="55" t="str">
        <f t="shared" si="47"/>
        <v/>
      </c>
      <c r="BD67" s="73"/>
      <c r="BE67" s="48"/>
    </row>
    <row r="68" spans="1:57" x14ac:dyDescent="0.25">
      <c r="A68" s="28">
        <v>3</v>
      </c>
      <c r="B68" s="28">
        <v>24</v>
      </c>
      <c r="C68" s="37"/>
      <c r="D68" s="39">
        <v>16.027000000000001</v>
      </c>
      <c r="E68" s="39">
        <f t="shared" si="27"/>
        <v>0.66779166666666667</v>
      </c>
      <c r="F68" s="39">
        <f>18.842</f>
        <v>18.841999999999999</v>
      </c>
      <c r="G68" s="39">
        <f t="shared" si="27"/>
        <v>0.78508333333333324</v>
      </c>
      <c r="H68" s="37"/>
      <c r="I68" s="37"/>
      <c r="J68" s="39">
        <v>27.404</v>
      </c>
      <c r="K68" s="39">
        <f t="shared" si="28"/>
        <v>1.1418333333333333</v>
      </c>
      <c r="L68" s="82">
        <f>0.019</f>
        <v>1.9E-2</v>
      </c>
      <c r="M68" s="39">
        <f t="shared" si="29"/>
        <v>7.9166666666666665E-4</v>
      </c>
      <c r="N68" s="39">
        <f>13.724</f>
        <v>13.724</v>
      </c>
      <c r="O68" s="39">
        <f t="shared" si="30"/>
        <v>0.5718333333333333</v>
      </c>
      <c r="P68" s="39">
        <f>23.659</f>
        <v>23.658999999999999</v>
      </c>
      <c r="Q68" s="39">
        <f t="shared" si="31"/>
        <v>0.98579166666666662</v>
      </c>
      <c r="R68" s="39">
        <f>12.443</f>
        <v>12.443</v>
      </c>
      <c r="S68" s="39">
        <f t="shared" si="32"/>
        <v>0.51845833333333335</v>
      </c>
      <c r="T68" s="37"/>
      <c r="U68" s="37"/>
      <c r="V68" s="39">
        <v>10.018000000000001</v>
      </c>
      <c r="W68" s="39">
        <f t="shared" si="33"/>
        <v>0.41741666666666671</v>
      </c>
      <c r="X68" s="39">
        <f>15.154</f>
        <v>15.154</v>
      </c>
      <c r="Y68" s="39">
        <f t="shared" si="34"/>
        <v>0.63141666666666663</v>
      </c>
      <c r="Z68" s="39">
        <f>20.904</f>
        <v>20.904</v>
      </c>
      <c r="AA68" s="39">
        <f t="shared" si="35"/>
        <v>0.871</v>
      </c>
      <c r="AB68" s="39">
        <f>5.028</f>
        <v>5.0279999999999996</v>
      </c>
      <c r="AC68" s="39">
        <f t="shared" si="36"/>
        <v>0.20949999999999999</v>
      </c>
      <c r="AD68" s="39">
        <f>13.465</f>
        <v>13.465</v>
      </c>
      <c r="AE68" s="39">
        <f t="shared" si="37"/>
        <v>0.56104166666666666</v>
      </c>
      <c r="AF68" s="37"/>
      <c r="AG68" s="37"/>
      <c r="AH68" s="39">
        <f>8.673</f>
        <v>8.673</v>
      </c>
      <c r="AI68" s="39">
        <f t="shared" si="38"/>
        <v>0.361375</v>
      </c>
      <c r="AJ68" s="39">
        <f>23.836</f>
        <v>23.835999999999999</v>
      </c>
      <c r="AK68" s="39">
        <f t="shared" si="39"/>
        <v>0.99316666666666664</v>
      </c>
      <c r="AL68" s="39">
        <f>6.701</f>
        <v>6.7009999999999996</v>
      </c>
      <c r="AM68" s="39">
        <f t="shared" si="40"/>
        <v>0.27920833333333334</v>
      </c>
      <c r="AN68" s="39">
        <f>15.013</f>
        <v>15.013</v>
      </c>
      <c r="AO68" s="39">
        <f t="shared" si="41"/>
        <v>0.62554166666666666</v>
      </c>
      <c r="AP68" s="39">
        <f>12.48</f>
        <v>12.48</v>
      </c>
      <c r="AQ68" s="39">
        <f t="shared" si="42"/>
        <v>0.52</v>
      </c>
      <c r="AR68" s="37"/>
      <c r="AS68" s="37"/>
      <c r="AT68" s="39">
        <f>15.676</f>
        <v>15.676</v>
      </c>
      <c r="AU68" s="39">
        <f t="shared" si="43"/>
        <v>0.65316666666666667</v>
      </c>
      <c r="AV68" s="39">
        <f>22.813</f>
        <v>22.812999999999999</v>
      </c>
      <c r="AW68" s="39">
        <f t="shared" si="44"/>
        <v>0.95054166666666662</v>
      </c>
      <c r="AX68" s="36"/>
      <c r="AY68" s="39" t="str">
        <f t="shared" si="45"/>
        <v/>
      </c>
      <c r="AZ68" s="36"/>
      <c r="BA68" s="39" t="str">
        <f t="shared" si="46"/>
        <v/>
      </c>
      <c r="BB68" s="36"/>
      <c r="BC68" s="39" t="str">
        <f t="shared" si="47"/>
        <v/>
      </c>
      <c r="BD68" s="73"/>
      <c r="BE68" s="48"/>
    </row>
    <row r="69" spans="1:57" x14ac:dyDescent="0.25">
      <c r="A69" s="28">
        <v>3</v>
      </c>
      <c r="B69" s="27">
        <v>24</v>
      </c>
      <c r="C69" s="37"/>
      <c r="D69" s="56"/>
      <c r="E69" s="55" t="str">
        <f t="shared" si="27"/>
        <v/>
      </c>
      <c r="F69" s="56"/>
      <c r="G69" s="55" t="str">
        <f t="shared" si="27"/>
        <v/>
      </c>
      <c r="H69" s="37"/>
      <c r="I69" s="37"/>
      <c r="J69" s="55">
        <v>18.527000000000001</v>
      </c>
      <c r="K69" s="55">
        <f t="shared" si="28"/>
        <v>0.77195833333333341</v>
      </c>
      <c r="L69" s="56"/>
      <c r="M69" s="55" t="str">
        <f t="shared" si="29"/>
        <v/>
      </c>
      <c r="N69" s="56"/>
      <c r="O69" s="55" t="str">
        <f t="shared" si="30"/>
        <v/>
      </c>
      <c r="P69" s="55">
        <f>17.947</f>
        <v>17.946999999999999</v>
      </c>
      <c r="Q69" s="55">
        <f t="shared" si="31"/>
        <v>0.74779166666666663</v>
      </c>
      <c r="R69" s="55"/>
      <c r="S69" s="55" t="str">
        <f t="shared" si="32"/>
        <v/>
      </c>
      <c r="T69" s="37"/>
      <c r="U69" s="37"/>
      <c r="V69" s="55"/>
      <c r="W69" s="55" t="str">
        <f t="shared" si="33"/>
        <v/>
      </c>
      <c r="X69" s="56"/>
      <c r="Y69" s="55" t="str">
        <f t="shared" si="34"/>
        <v/>
      </c>
      <c r="Z69" s="55"/>
      <c r="AA69" s="55" t="str">
        <f t="shared" si="35"/>
        <v/>
      </c>
      <c r="AB69" s="55">
        <f>19.782</f>
        <v>19.782</v>
      </c>
      <c r="AC69" s="55">
        <f t="shared" si="36"/>
        <v>0.82425000000000004</v>
      </c>
      <c r="AD69" s="55"/>
      <c r="AE69" s="55" t="str">
        <f t="shared" si="37"/>
        <v/>
      </c>
      <c r="AF69" s="37"/>
      <c r="AG69" s="37"/>
      <c r="AH69" s="55"/>
      <c r="AI69" s="55" t="str">
        <f t="shared" si="38"/>
        <v/>
      </c>
      <c r="AJ69" s="55"/>
      <c r="AK69" s="55" t="str">
        <f t="shared" si="39"/>
        <v/>
      </c>
      <c r="AL69" s="55">
        <f>9.274</f>
        <v>9.2739999999999991</v>
      </c>
      <c r="AM69" s="55">
        <f t="shared" si="40"/>
        <v>0.38641666666666663</v>
      </c>
      <c r="AN69" s="55"/>
      <c r="AO69" s="55" t="str">
        <f t="shared" si="41"/>
        <v/>
      </c>
      <c r="AP69" s="56"/>
      <c r="AQ69" s="55" t="str">
        <f t="shared" si="42"/>
        <v/>
      </c>
      <c r="AR69" s="37"/>
      <c r="AS69" s="37"/>
      <c r="AT69" s="55"/>
      <c r="AU69" s="55" t="str">
        <f t="shared" si="43"/>
        <v/>
      </c>
      <c r="AV69" s="55"/>
      <c r="AW69" s="55" t="str">
        <f t="shared" si="44"/>
        <v/>
      </c>
      <c r="AX69" s="56"/>
      <c r="AY69" s="55" t="str">
        <f t="shared" si="45"/>
        <v/>
      </c>
      <c r="AZ69" s="56"/>
      <c r="BA69" s="55" t="str">
        <f t="shared" si="46"/>
        <v/>
      </c>
      <c r="BB69" s="56"/>
      <c r="BC69" s="55" t="str">
        <f t="shared" si="47"/>
        <v/>
      </c>
      <c r="BD69" s="73"/>
      <c r="BE69" s="48"/>
    </row>
    <row r="70" spans="1:57" x14ac:dyDescent="0.25">
      <c r="A70" s="28">
        <v>3</v>
      </c>
      <c r="B70" s="27">
        <v>24</v>
      </c>
      <c r="C70" s="37"/>
      <c r="D70" s="56"/>
      <c r="E70" s="55" t="str">
        <f t="shared" si="27"/>
        <v/>
      </c>
      <c r="F70" s="56"/>
      <c r="G70" s="55" t="str">
        <f t="shared" si="27"/>
        <v/>
      </c>
      <c r="H70" s="37"/>
      <c r="I70" s="37"/>
      <c r="J70" s="55">
        <f>3.137</f>
        <v>3.137</v>
      </c>
      <c r="K70" s="55">
        <f t="shared" si="28"/>
        <v>0.13070833333333334</v>
      </c>
      <c r="L70" s="56"/>
      <c r="M70" s="55" t="str">
        <f t="shared" si="29"/>
        <v/>
      </c>
      <c r="N70" s="56"/>
      <c r="O70" s="55" t="str">
        <f t="shared" si="30"/>
        <v/>
      </c>
      <c r="P70" s="55">
        <v>11.096</v>
      </c>
      <c r="Q70" s="55">
        <f t="shared" si="31"/>
        <v>0.46233333333333332</v>
      </c>
      <c r="R70" s="55"/>
      <c r="S70" s="55" t="str">
        <f t="shared" si="32"/>
        <v/>
      </c>
      <c r="T70" s="37"/>
      <c r="U70" s="37"/>
      <c r="V70" s="55">
        <v>11.768000000000001</v>
      </c>
      <c r="W70" s="55">
        <f t="shared" si="33"/>
        <v>0.49033333333333334</v>
      </c>
      <c r="X70" s="56"/>
      <c r="Y70" s="55" t="str">
        <f t="shared" si="34"/>
        <v/>
      </c>
      <c r="Z70" s="55"/>
      <c r="AA70" s="55" t="str">
        <f t="shared" si="35"/>
        <v/>
      </c>
      <c r="AB70" s="55">
        <v>20.558</v>
      </c>
      <c r="AC70" s="55">
        <f t="shared" si="36"/>
        <v>0.85658333333333336</v>
      </c>
      <c r="AD70" s="55"/>
      <c r="AE70" s="55" t="str">
        <f t="shared" si="37"/>
        <v/>
      </c>
      <c r="AF70" s="37"/>
      <c r="AG70" s="37"/>
      <c r="AH70" s="55">
        <v>16.609000000000002</v>
      </c>
      <c r="AI70" s="55">
        <f t="shared" si="38"/>
        <v>0.69204166666666678</v>
      </c>
      <c r="AJ70" s="56"/>
      <c r="AK70" s="55" t="str">
        <f t="shared" si="39"/>
        <v/>
      </c>
      <c r="AL70" s="55">
        <v>18.934000000000001</v>
      </c>
      <c r="AM70" s="55">
        <f t="shared" si="40"/>
        <v>0.78891666666666671</v>
      </c>
      <c r="AN70" s="56"/>
      <c r="AO70" s="55" t="str">
        <f t="shared" si="41"/>
        <v/>
      </c>
      <c r="AP70" s="56"/>
      <c r="AQ70" s="55" t="str">
        <f t="shared" si="42"/>
        <v/>
      </c>
      <c r="AR70" s="37"/>
      <c r="AS70" s="37"/>
      <c r="AT70" s="55">
        <f>6.956</f>
        <v>6.9560000000000004</v>
      </c>
      <c r="AU70" s="55">
        <f t="shared" si="43"/>
        <v>0.28983333333333333</v>
      </c>
      <c r="AV70" s="56"/>
      <c r="AW70" s="55" t="str">
        <f t="shared" si="44"/>
        <v/>
      </c>
      <c r="AX70" s="56"/>
      <c r="AY70" s="55" t="str">
        <f t="shared" si="45"/>
        <v/>
      </c>
      <c r="AZ70" s="56"/>
      <c r="BA70" s="55" t="str">
        <f t="shared" si="46"/>
        <v/>
      </c>
      <c r="BB70" s="56"/>
      <c r="BC70" s="55" t="str">
        <f t="shared" si="47"/>
        <v/>
      </c>
      <c r="BD70" s="73"/>
      <c r="BE70" s="48"/>
    </row>
    <row r="71" spans="1:57" x14ac:dyDescent="0.25"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3"/>
      <c r="BE71" s="48"/>
    </row>
    <row r="72" spans="1:57" x14ac:dyDescent="0.25">
      <c r="A72" s="30" t="s">
        <v>18</v>
      </c>
      <c r="C72" s="46" t="str">
        <f>IF(C65="","",AVERAGE(#REF!))</f>
        <v/>
      </c>
      <c r="D72" s="46">
        <f t="shared" ref="D72:BB72" si="48">IF(D65="","",AVERAGE(E65:E70))</f>
        <v>0.68577083333333322</v>
      </c>
      <c r="E72" s="46"/>
      <c r="F72" s="46">
        <f t="shared" si="48"/>
        <v>0.84912499999999991</v>
      </c>
      <c r="G72" s="46"/>
      <c r="H72" s="46"/>
      <c r="I72" s="46"/>
      <c r="J72" s="46">
        <f t="shared" si="48"/>
        <v>0.51650694444444445</v>
      </c>
      <c r="K72" s="46"/>
      <c r="L72" s="46">
        <f t="shared" si="48"/>
        <v>0.30331249999999998</v>
      </c>
      <c r="M72" s="46"/>
      <c r="N72" s="46" t="str">
        <f t="shared" si="48"/>
        <v/>
      </c>
      <c r="O72" s="46"/>
      <c r="P72" s="46">
        <f t="shared" si="48"/>
        <v>0.62579166666666663</v>
      </c>
      <c r="Q72" s="46"/>
      <c r="R72" s="46">
        <f t="shared" si="48"/>
        <v>0.66881250000000003</v>
      </c>
      <c r="S72" s="46"/>
      <c r="T72" s="46"/>
      <c r="U72" s="46"/>
      <c r="V72" s="46">
        <f t="shared" si="48"/>
        <v>0.65605833333333341</v>
      </c>
      <c r="W72" s="46"/>
      <c r="X72" s="46">
        <f t="shared" si="48"/>
        <v>0.79112499999999997</v>
      </c>
      <c r="Y72" s="46"/>
      <c r="Z72" s="46">
        <f t="shared" si="48"/>
        <v>0.72103125000000001</v>
      </c>
      <c r="AA72" s="46"/>
      <c r="AB72" s="46">
        <f t="shared" si="48"/>
        <v>0.61951388888888892</v>
      </c>
      <c r="AC72" s="46"/>
      <c r="AD72" s="46">
        <f t="shared" si="48"/>
        <v>0.44851041666666669</v>
      </c>
      <c r="AE72" s="46"/>
      <c r="AF72" s="46"/>
      <c r="AG72" s="46"/>
      <c r="AH72" s="46">
        <f t="shared" si="48"/>
        <v>0.48441666666666672</v>
      </c>
      <c r="AI72" s="46"/>
      <c r="AJ72" s="46">
        <f t="shared" si="48"/>
        <v>0.66071875000000002</v>
      </c>
      <c r="AK72" s="46"/>
      <c r="AL72" s="46">
        <f t="shared" si="48"/>
        <v>0.38940277777777776</v>
      </c>
      <c r="AM72" s="46"/>
      <c r="AN72" s="46">
        <f t="shared" si="48"/>
        <v>0.51141666666666663</v>
      </c>
      <c r="AO72" s="46"/>
      <c r="AP72" s="46">
        <f t="shared" si="48"/>
        <v>0.4258541666666667</v>
      </c>
      <c r="AQ72" s="46"/>
      <c r="AR72" s="46"/>
      <c r="AS72" s="46"/>
      <c r="AT72" s="46">
        <f t="shared" si="48"/>
        <v>0.41434166666666672</v>
      </c>
      <c r="AU72" s="46"/>
      <c r="AV72" s="46">
        <f t="shared" si="48"/>
        <v>0.69081250000000005</v>
      </c>
      <c r="AW72" s="46"/>
      <c r="AX72" s="46" t="str">
        <f t="shared" si="48"/>
        <v/>
      </c>
      <c r="AY72" s="46"/>
      <c r="AZ72" s="46" t="str">
        <f t="shared" si="48"/>
        <v/>
      </c>
      <c r="BA72" s="46"/>
      <c r="BB72" s="46" t="str">
        <f t="shared" si="48"/>
        <v/>
      </c>
      <c r="BC72" s="46"/>
      <c r="BD72" s="73"/>
      <c r="BE72" s="50">
        <f>AVERAGE(C72:AZ72)</f>
        <v>0.58125119598765451</v>
      </c>
    </row>
    <row r="73" spans="1:57" x14ac:dyDescent="0.25"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  <c r="AV73" s="72"/>
      <c r="AW73" s="72"/>
      <c r="AX73" s="72"/>
      <c r="AY73" s="72"/>
      <c r="AZ73" s="72"/>
      <c r="BA73" s="72"/>
      <c r="BB73" s="72"/>
      <c r="BC73" s="71"/>
      <c r="BD73" s="73"/>
      <c r="BE73" s="48"/>
    </row>
    <row r="74" spans="1:57" x14ac:dyDescent="0.25">
      <c r="A74" s="30" t="s">
        <v>12</v>
      </c>
      <c r="C74" s="72">
        <f>SUM(C65:C70)</f>
        <v>0</v>
      </c>
      <c r="D74" s="72">
        <f t="shared" ref="D74:BB74" si="49">SUM(D65:D70)</f>
        <v>65.834000000000003</v>
      </c>
      <c r="E74" s="72"/>
      <c r="F74" s="72">
        <f t="shared" si="49"/>
        <v>81.515999999999991</v>
      </c>
      <c r="G74" s="72"/>
      <c r="H74" s="72"/>
      <c r="I74" s="72"/>
      <c r="J74" s="72">
        <f t="shared" si="49"/>
        <v>74.37700000000001</v>
      </c>
      <c r="K74" s="72"/>
      <c r="L74" s="72">
        <f t="shared" si="49"/>
        <v>29.117999999999995</v>
      </c>
      <c r="M74" s="72"/>
      <c r="N74" s="72">
        <f t="shared" si="49"/>
        <v>49.763999999999996</v>
      </c>
      <c r="O74" s="72"/>
      <c r="P74" s="72">
        <f t="shared" si="49"/>
        <v>90.114000000000004</v>
      </c>
      <c r="Q74" s="72"/>
      <c r="R74" s="72">
        <f t="shared" si="49"/>
        <v>64.206000000000003</v>
      </c>
      <c r="S74" s="72"/>
      <c r="T74" s="72"/>
      <c r="U74" s="72"/>
      <c r="V74" s="72">
        <f t="shared" si="49"/>
        <v>78.727000000000004</v>
      </c>
      <c r="W74" s="72"/>
      <c r="X74" s="72">
        <f t="shared" si="49"/>
        <v>75.947999999999993</v>
      </c>
      <c r="Y74" s="72"/>
      <c r="Z74" s="72">
        <f t="shared" si="49"/>
        <v>69.218999999999994</v>
      </c>
      <c r="AA74" s="72"/>
      <c r="AB74" s="72">
        <f t="shared" si="49"/>
        <v>89.210000000000008</v>
      </c>
      <c r="AC74" s="72"/>
      <c r="AD74" s="72">
        <f t="shared" si="49"/>
        <v>43.057000000000002</v>
      </c>
      <c r="AE74" s="72"/>
      <c r="AF74" s="72"/>
      <c r="AG74" s="72"/>
      <c r="AH74" s="72">
        <f t="shared" si="49"/>
        <v>58.13</v>
      </c>
      <c r="AI74" s="72"/>
      <c r="AJ74" s="72">
        <f t="shared" si="49"/>
        <v>63.429000000000002</v>
      </c>
      <c r="AK74" s="72"/>
      <c r="AL74" s="72">
        <f t="shared" si="49"/>
        <v>56.073999999999998</v>
      </c>
      <c r="AM74" s="72"/>
      <c r="AN74" s="72">
        <f t="shared" si="49"/>
        <v>49.095999999999997</v>
      </c>
      <c r="AO74" s="72"/>
      <c r="AP74" s="72">
        <f t="shared" si="49"/>
        <v>40.881999999999998</v>
      </c>
      <c r="AQ74" s="72"/>
      <c r="AR74" s="72"/>
      <c r="AS74" s="72"/>
      <c r="AT74" s="72">
        <f t="shared" si="49"/>
        <v>49.721000000000004</v>
      </c>
      <c r="AU74" s="72"/>
      <c r="AV74" s="72">
        <f t="shared" si="49"/>
        <v>66.317999999999998</v>
      </c>
      <c r="AW74" s="72"/>
      <c r="AX74" s="72">
        <f t="shared" si="49"/>
        <v>0</v>
      </c>
      <c r="AY74" s="72"/>
      <c r="AZ74" s="72">
        <f t="shared" si="49"/>
        <v>0</v>
      </c>
      <c r="BA74" s="72"/>
      <c r="BB74" s="72">
        <f t="shared" si="49"/>
        <v>0</v>
      </c>
      <c r="BC74" s="72"/>
      <c r="BD74" s="73"/>
      <c r="BE74" s="48"/>
    </row>
    <row r="75" spans="1:57" x14ac:dyDescent="0.25">
      <c r="A75" s="29" t="s">
        <v>14</v>
      </c>
      <c r="C75" s="46" t="str">
        <f>IF(C74=0,"",(SUM(C65:C70)/(C59+C74)))</f>
        <v/>
      </c>
      <c r="D75" s="46">
        <f t="shared" ref="D75:BB75" si="50">IF(D74=0,"",(SUM(D65:D70)/(D59+D74)))</f>
        <v>0.25189493218036768</v>
      </c>
      <c r="E75" s="46"/>
      <c r="F75" s="46">
        <f t="shared" si="50"/>
        <v>0.26921184299608647</v>
      </c>
      <c r="G75" s="46"/>
      <c r="H75" s="46"/>
      <c r="I75" s="46"/>
      <c r="J75" s="46">
        <f t="shared" si="50"/>
        <v>0.20809586561355503</v>
      </c>
      <c r="K75" s="46"/>
      <c r="L75" s="46">
        <f t="shared" si="50"/>
        <v>0.10564123774176344</v>
      </c>
      <c r="M75" s="46"/>
      <c r="N75" s="46">
        <f t="shared" si="50"/>
        <v>0.162728491547039</v>
      </c>
      <c r="O75" s="46"/>
      <c r="P75" s="46">
        <f t="shared" si="50"/>
        <v>0.23296889663320466</v>
      </c>
      <c r="Q75" s="46"/>
      <c r="R75" s="46">
        <f t="shared" si="50"/>
        <v>0.29455941790955759</v>
      </c>
      <c r="S75" s="46"/>
      <c r="T75" s="46"/>
      <c r="U75" s="46"/>
      <c r="V75" s="46">
        <f t="shared" si="50"/>
        <v>0.21742084259655622</v>
      </c>
      <c r="W75" s="46"/>
      <c r="X75" s="46">
        <f t="shared" si="50"/>
        <v>0.20392009451186771</v>
      </c>
      <c r="Y75" s="46"/>
      <c r="Z75" s="46">
        <f t="shared" si="50"/>
        <v>0.20966432625960948</v>
      </c>
      <c r="AA75" s="46"/>
      <c r="AB75" s="46">
        <f t="shared" si="50"/>
        <v>0.29264724214172771</v>
      </c>
      <c r="AC75" s="46"/>
      <c r="AD75" s="46">
        <f t="shared" si="50"/>
        <v>0.1784679535271223</v>
      </c>
      <c r="AE75" s="46"/>
      <c r="AF75" s="46"/>
      <c r="AG75" s="46"/>
      <c r="AH75" s="46">
        <f t="shared" si="50"/>
        <v>0.16472088410314537</v>
      </c>
      <c r="AI75" s="46"/>
      <c r="AJ75" s="46">
        <f t="shared" si="50"/>
        <v>0.19383850916491965</v>
      </c>
      <c r="AK75" s="46"/>
      <c r="AL75" s="46">
        <f t="shared" si="50"/>
        <v>0.18169740645211463</v>
      </c>
      <c r="AM75" s="46"/>
      <c r="AN75" s="46">
        <f t="shared" si="50"/>
        <v>0.21151219848439809</v>
      </c>
      <c r="AO75" s="46"/>
      <c r="AP75" s="46">
        <f t="shared" si="50"/>
        <v>0.13583458761533579</v>
      </c>
      <c r="AQ75" s="46"/>
      <c r="AR75" s="46"/>
      <c r="AS75" s="46"/>
      <c r="AT75" s="46">
        <f t="shared" si="50"/>
        <v>0.1594004969143224</v>
      </c>
      <c r="AU75" s="46"/>
      <c r="AV75" s="46">
        <f t="shared" si="50"/>
        <v>0.23116096357153068</v>
      </c>
      <c r="AW75" s="46"/>
      <c r="AX75" s="46" t="str">
        <f t="shared" si="50"/>
        <v/>
      </c>
      <c r="AY75" s="46"/>
      <c r="AZ75" s="46" t="str">
        <f t="shared" si="50"/>
        <v/>
      </c>
      <c r="BA75" s="46"/>
      <c r="BB75" s="46" t="str">
        <f t="shared" si="50"/>
        <v/>
      </c>
      <c r="BC75" s="46"/>
      <c r="BD75" s="73"/>
      <c r="BE75" s="50">
        <f>AVERAGE(C75:AZ75)</f>
        <v>0.2055466415770644</v>
      </c>
    </row>
    <row r="76" spans="1:57" x14ac:dyDescent="0.25"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</row>
    <row r="77" spans="1:57" x14ac:dyDescent="0.25"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</row>
    <row r="78" spans="1:57" x14ac:dyDescent="0.25">
      <c r="A78" s="27" t="s">
        <v>29</v>
      </c>
      <c r="C78" s="18">
        <v>41640</v>
      </c>
      <c r="D78" s="57">
        <v>41641</v>
      </c>
      <c r="E78" s="57"/>
      <c r="F78" s="57">
        <v>41642</v>
      </c>
      <c r="G78" s="57"/>
      <c r="H78" s="18">
        <v>41643</v>
      </c>
      <c r="I78" s="18">
        <v>41644</v>
      </c>
      <c r="J78" s="57">
        <v>41645</v>
      </c>
      <c r="K78" s="57"/>
      <c r="L78" s="57">
        <v>41646</v>
      </c>
      <c r="M78" s="57"/>
      <c r="N78" s="57">
        <v>41647</v>
      </c>
      <c r="O78" s="57"/>
      <c r="P78" s="57">
        <v>41648</v>
      </c>
      <c r="Q78" s="57"/>
      <c r="R78" s="57">
        <v>41649</v>
      </c>
      <c r="S78" s="57"/>
      <c r="T78" s="18">
        <v>41650</v>
      </c>
      <c r="U78" s="18">
        <v>41651</v>
      </c>
      <c r="V78" s="57">
        <v>41652</v>
      </c>
      <c r="W78" s="57"/>
      <c r="X78" s="57">
        <v>41653</v>
      </c>
      <c r="Y78" s="57"/>
      <c r="Z78" s="57">
        <v>41654</v>
      </c>
      <c r="AA78" s="57"/>
      <c r="AB78" s="57">
        <v>41655</v>
      </c>
      <c r="AC78" s="57"/>
      <c r="AD78" s="57">
        <v>41656</v>
      </c>
      <c r="AE78" s="57"/>
      <c r="AF78" s="18">
        <v>41657</v>
      </c>
      <c r="AG78" s="18">
        <v>41658</v>
      </c>
      <c r="AH78" s="57">
        <v>41659</v>
      </c>
      <c r="AI78" s="57"/>
      <c r="AJ78" s="57">
        <v>41660</v>
      </c>
      <c r="AK78" s="57"/>
      <c r="AL78" s="57">
        <v>41661</v>
      </c>
      <c r="AM78" s="57"/>
      <c r="AN78" s="57">
        <v>41662</v>
      </c>
      <c r="AO78" s="57"/>
      <c r="AP78" s="57">
        <v>41663</v>
      </c>
      <c r="AQ78" s="57"/>
      <c r="AR78" s="18">
        <v>41664</v>
      </c>
      <c r="AS78" s="18">
        <v>41665</v>
      </c>
      <c r="AT78" s="57">
        <v>41666</v>
      </c>
      <c r="AU78" s="57"/>
      <c r="AV78" s="57">
        <v>41667</v>
      </c>
      <c r="AW78" s="57"/>
      <c r="AX78" s="57">
        <v>41668</v>
      </c>
      <c r="AY78" s="57"/>
      <c r="AZ78" s="57">
        <v>41669</v>
      </c>
      <c r="BA78" s="57"/>
      <c r="BB78" s="57">
        <v>41670</v>
      </c>
      <c r="BC78" s="57"/>
      <c r="BD78" s="71"/>
    </row>
    <row r="79" spans="1:57" x14ac:dyDescent="0.25">
      <c r="A79" s="26">
        <v>4</v>
      </c>
      <c r="C79" s="66"/>
      <c r="D79" s="70">
        <f>2.349+0.251+0.502</f>
        <v>3.1020000000000003</v>
      </c>
      <c r="E79" s="68"/>
      <c r="F79" s="70">
        <f>0.257+1.283</f>
        <v>1.54</v>
      </c>
      <c r="G79" s="68"/>
      <c r="H79" s="66"/>
      <c r="I79" s="60"/>
      <c r="J79" s="70">
        <f>0.251+0.251+1.4+2.674+3.651+3.849+0.247</f>
        <v>12.323</v>
      </c>
      <c r="K79" s="70"/>
      <c r="L79" s="70">
        <f>17.443+1.189+2.434</f>
        <v>21.066000000000003</v>
      </c>
      <c r="M79" s="70"/>
      <c r="N79" s="70"/>
      <c r="O79" s="70"/>
      <c r="P79" s="70"/>
      <c r="Q79" s="70"/>
      <c r="R79" s="70">
        <f>1.227+4.699+5.459+1.337</f>
        <v>12.722</v>
      </c>
      <c r="S79" s="70"/>
      <c r="T79" s="67"/>
      <c r="U79" s="60"/>
      <c r="V79" s="70">
        <f>0.526+1.229+2.404+12.135</f>
        <v>16.294</v>
      </c>
      <c r="W79" s="68"/>
      <c r="X79" s="69"/>
      <c r="Y79" s="69"/>
      <c r="Z79" s="70">
        <f>1.409+1.229+1.255</f>
        <v>3.8929999999999998</v>
      </c>
      <c r="AA79" s="69"/>
      <c r="AB79" s="70">
        <f>1.418+0.458+4.011+1.4+6.578+1.238</f>
        <v>15.103000000000002</v>
      </c>
      <c r="AC79" s="68"/>
      <c r="AD79" s="70">
        <f>1.229+1.256+0.438+0.249</f>
        <v>3.1720000000000006</v>
      </c>
      <c r="AE79" s="68"/>
      <c r="AF79" s="60"/>
      <c r="AG79" s="60"/>
      <c r="AH79" s="70">
        <f>2.458+0.771+6.584</f>
        <v>9.8129999999999988</v>
      </c>
      <c r="AI79" s="68"/>
      <c r="AJ79" s="68"/>
      <c r="AK79" s="68"/>
      <c r="AL79" s="70">
        <f>10+18.355</f>
        <v>28.355</v>
      </c>
      <c r="AM79" s="68"/>
      <c r="AN79" s="70">
        <f>1.177+1.217</f>
        <v>2.3940000000000001</v>
      </c>
      <c r="AO79" s="68"/>
      <c r="AP79" s="70">
        <f>1.202+3.849+1.58+1.177</f>
        <v>7.8079999999999998</v>
      </c>
      <c r="AQ79" s="68"/>
      <c r="AR79" s="60"/>
      <c r="AS79" s="60"/>
      <c r="AT79" s="70">
        <f>1.283+4.227+0.502+2.554</f>
        <v>8.5659999999999989</v>
      </c>
      <c r="AU79" s="68"/>
      <c r="AV79" s="70">
        <f>2.512+2.727</f>
        <v>5.2389999999999999</v>
      </c>
      <c r="AW79" s="68"/>
      <c r="AX79" s="68"/>
      <c r="AY79" s="68"/>
      <c r="AZ79" s="68"/>
      <c r="BA79" s="68"/>
      <c r="BB79" s="68"/>
      <c r="BC79" s="68"/>
      <c r="BD79" s="75">
        <f>SUM(D79:BC79)</f>
        <v>151.39000000000001</v>
      </c>
    </row>
    <row r="80" spans="1:57" x14ac:dyDescent="0.25">
      <c r="A80" s="26">
        <v>4</v>
      </c>
      <c r="C80" s="60"/>
      <c r="D80" s="70"/>
      <c r="E80" s="69"/>
      <c r="F80" s="70">
        <f>0.438</f>
        <v>0.438</v>
      </c>
      <c r="G80" s="69"/>
      <c r="H80" s="60"/>
      <c r="I80" s="60"/>
      <c r="J80" s="70"/>
      <c r="K80" s="70"/>
      <c r="L80" s="70">
        <f>0.218+5.258+2.86</f>
        <v>8.3360000000000003</v>
      </c>
      <c r="M80" s="70"/>
      <c r="N80" s="70">
        <f>0.3</f>
        <v>0.3</v>
      </c>
      <c r="O80" s="70"/>
      <c r="P80" s="70"/>
      <c r="Q80" s="70"/>
      <c r="R80" s="70">
        <f>1.151</f>
        <v>1.151</v>
      </c>
      <c r="S80" s="70"/>
      <c r="T80" s="60"/>
      <c r="U80" s="60"/>
      <c r="V80" s="70"/>
      <c r="W80" s="68"/>
      <c r="X80" s="70">
        <f>1.245</f>
        <v>1.2450000000000001</v>
      </c>
      <c r="Y80" s="69"/>
      <c r="Z80" s="70">
        <f>0.696</f>
        <v>0.69599999999999995</v>
      </c>
      <c r="AA80" s="69"/>
      <c r="AB80" s="70">
        <f>5.962+5.61</f>
        <v>11.571999999999999</v>
      </c>
      <c r="AC80" s="68"/>
      <c r="AD80" s="70">
        <f>4.364</f>
        <v>4.3639999999999999</v>
      </c>
      <c r="AE80" s="68"/>
      <c r="AF80" s="60"/>
      <c r="AG80" s="60"/>
      <c r="AH80" s="70">
        <v>1</v>
      </c>
      <c r="AI80" s="68"/>
      <c r="AJ80" s="70">
        <f>0.227</f>
        <v>0.22700000000000001</v>
      </c>
      <c r="AK80" s="68"/>
      <c r="AL80" s="70">
        <f>0.22+4.067</f>
        <v>4.2869999999999999</v>
      </c>
      <c r="AM80" s="68"/>
      <c r="AN80" s="70">
        <v>1.004</v>
      </c>
      <c r="AO80" s="68"/>
      <c r="AP80" s="70">
        <f>0.075+0.785</f>
        <v>0.86</v>
      </c>
      <c r="AQ80" s="68"/>
      <c r="AR80" s="60"/>
      <c r="AS80" s="60"/>
      <c r="AT80" s="70">
        <f>2.108</f>
        <v>2.1080000000000001</v>
      </c>
      <c r="AU80" s="68"/>
      <c r="AV80" s="70">
        <f>1.497</f>
        <v>1.4970000000000001</v>
      </c>
      <c r="AW80" s="68"/>
      <c r="AX80" s="68"/>
      <c r="AY80" s="68"/>
      <c r="AZ80" s="68"/>
      <c r="BA80" s="68"/>
      <c r="BB80" s="68"/>
      <c r="BC80" s="68"/>
      <c r="BD80" s="75">
        <f t="shared" ref="BD80:BD87" si="51">SUM(D80:BC80)</f>
        <v>39.084999999999994</v>
      </c>
    </row>
    <row r="81" spans="1:58" x14ac:dyDescent="0.25">
      <c r="A81" s="26">
        <v>4</v>
      </c>
      <c r="C81" s="60"/>
      <c r="D81" s="70">
        <f>1.79+1+1</f>
        <v>3.79</v>
      </c>
      <c r="E81" s="69"/>
      <c r="F81" s="70">
        <f>0.09+1.124</f>
        <v>1.2140000000000002</v>
      </c>
      <c r="G81" s="68"/>
      <c r="H81" s="66"/>
      <c r="I81" s="60"/>
      <c r="J81" s="70">
        <f>2.313+0.105+7.566+1.365</f>
        <v>11.349</v>
      </c>
      <c r="K81" s="70"/>
      <c r="L81" s="70">
        <f>1.225+0.636</f>
        <v>1.8610000000000002</v>
      </c>
      <c r="M81" s="70"/>
      <c r="N81" s="70">
        <f>0.358</f>
        <v>0.35799999999999998</v>
      </c>
      <c r="O81" s="70"/>
      <c r="P81" s="70"/>
      <c r="Q81" s="70"/>
      <c r="R81" s="70">
        <f>1.231+0.36</f>
        <v>1.5910000000000002</v>
      </c>
      <c r="S81" s="70"/>
      <c r="T81" s="60"/>
      <c r="U81" s="60"/>
      <c r="V81" s="70">
        <f>0.306+0.784</f>
        <v>1.0900000000000001</v>
      </c>
      <c r="W81" s="68"/>
      <c r="X81" s="70">
        <f>0.697+0.539</f>
        <v>1.236</v>
      </c>
      <c r="Y81" s="68"/>
      <c r="Z81" s="70">
        <f>3.766+1.733</f>
        <v>5.4990000000000006</v>
      </c>
      <c r="AA81" s="69"/>
      <c r="AB81" s="70">
        <f>0.072+1.33</f>
        <v>1.4020000000000001</v>
      </c>
      <c r="AC81" s="68"/>
      <c r="AD81" s="70"/>
      <c r="AE81" s="68"/>
      <c r="AF81" s="60"/>
      <c r="AG81" s="60"/>
      <c r="AH81" s="70">
        <v>0.92900000000000005</v>
      </c>
      <c r="AI81" s="68"/>
      <c r="AJ81" s="70">
        <f>1.861</f>
        <v>1.861</v>
      </c>
      <c r="AK81" s="68"/>
      <c r="AL81" s="70">
        <f>1.006</f>
        <v>1.006</v>
      </c>
      <c r="AM81" s="68"/>
      <c r="AN81" s="70"/>
      <c r="AO81" s="68"/>
      <c r="AP81" s="70">
        <f>0.121+0.047</f>
        <v>0.16799999999999998</v>
      </c>
      <c r="AQ81" s="68"/>
      <c r="AR81" s="60"/>
      <c r="AS81" s="60"/>
      <c r="AT81" s="70"/>
      <c r="AU81" s="68"/>
      <c r="AV81" s="70"/>
      <c r="AW81" s="68"/>
      <c r="AX81" s="68"/>
      <c r="AY81" s="68"/>
      <c r="AZ81" s="68"/>
      <c r="BA81" s="68"/>
      <c r="BB81" s="68"/>
      <c r="BC81" s="68"/>
      <c r="BD81" s="75">
        <f t="shared" si="51"/>
        <v>33.354000000000006</v>
      </c>
    </row>
    <row r="82" spans="1:58" x14ac:dyDescent="0.25">
      <c r="A82" s="26">
        <v>4</v>
      </c>
      <c r="C82" s="60"/>
      <c r="D82" s="70"/>
      <c r="E82" s="68"/>
      <c r="F82" s="70">
        <f>0.86</f>
        <v>0.86</v>
      </c>
      <c r="G82" s="69"/>
      <c r="H82" s="60"/>
      <c r="I82" s="60"/>
      <c r="J82" s="70">
        <v>3.9279999999999999</v>
      </c>
      <c r="K82" s="70"/>
      <c r="L82" s="70">
        <f>2.357</f>
        <v>2.3570000000000002</v>
      </c>
      <c r="M82" s="70"/>
      <c r="N82" s="70">
        <v>1.5</v>
      </c>
      <c r="O82" s="70"/>
      <c r="P82" s="70">
        <v>0.875</v>
      </c>
      <c r="Q82" s="70"/>
      <c r="R82" s="70"/>
      <c r="S82" s="70"/>
      <c r="T82" s="66"/>
      <c r="U82" s="60"/>
      <c r="V82" s="70">
        <v>2.9119999999999999</v>
      </c>
      <c r="W82" s="68"/>
      <c r="X82" s="68"/>
      <c r="Y82" s="68"/>
      <c r="Z82" s="70">
        <f>8.049</f>
        <v>8.0489999999999995</v>
      </c>
      <c r="AA82" s="69"/>
      <c r="AB82" s="70">
        <f>2.95</f>
        <v>2.95</v>
      </c>
      <c r="AC82" s="68"/>
      <c r="AD82" s="70">
        <f>2.206</f>
        <v>2.206</v>
      </c>
      <c r="AE82" s="68"/>
      <c r="AF82" s="60"/>
      <c r="AG82" s="60"/>
      <c r="AH82" s="70"/>
      <c r="AI82" s="68"/>
      <c r="AJ82" s="70"/>
      <c r="AK82" s="68"/>
      <c r="AL82" s="70">
        <f>3.028</f>
        <v>3.028</v>
      </c>
      <c r="AM82" s="68"/>
      <c r="AN82" s="70">
        <f>2.399</f>
        <v>2.399</v>
      </c>
      <c r="AO82" s="68"/>
      <c r="AP82" s="70"/>
      <c r="AQ82" s="68"/>
      <c r="AR82" s="60"/>
      <c r="AS82" s="60"/>
      <c r="AT82" s="70">
        <f>3.114</f>
        <v>3.1139999999999999</v>
      </c>
      <c r="AU82" s="68"/>
      <c r="AV82" s="70">
        <f>5.417</f>
        <v>5.4169999999999998</v>
      </c>
      <c r="AW82" s="68"/>
      <c r="AX82" s="68"/>
      <c r="AY82" s="68"/>
      <c r="AZ82" s="68"/>
      <c r="BA82" s="68"/>
      <c r="BB82" s="68"/>
      <c r="BC82" s="68"/>
      <c r="BD82" s="75">
        <f t="shared" si="51"/>
        <v>39.594999999999999</v>
      </c>
    </row>
    <row r="83" spans="1:58" x14ac:dyDescent="0.25">
      <c r="A83" s="26">
        <v>4</v>
      </c>
      <c r="C83" s="60"/>
      <c r="D83" s="70"/>
      <c r="E83" s="68"/>
      <c r="F83" s="70">
        <f>4.842+9.74</f>
        <v>14.582000000000001</v>
      </c>
      <c r="G83" s="68"/>
      <c r="H83" s="60"/>
      <c r="I83" s="60"/>
      <c r="J83" s="70">
        <v>5</v>
      </c>
      <c r="K83" s="70"/>
      <c r="L83" s="70">
        <f>11.15+13</f>
        <v>24.15</v>
      </c>
      <c r="M83" s="70"/>
      <c r="N83" s="70">
        <f>24</f>
        <v>24</v>
      </c>
      <c r="O83" s="70"/>
      <c r="P83" s="70"/>
      <c r="Q83" s="70"/>
      <c r="R83" s="70">
        <f>8.245+14.014</f>
        <v>22.259</v>
      </c>
      <c r="S83" s="70"/>
      <c r="T83" s="60"/>
      <c r="U83" s="60"/>
      <c r="V83" s="70"/>
      <c r="W83" s="68"/>
      <c r="X83" s="68">
        <v>11</v>
      </c>
      <c r="Y83" s="68"/>
      <c r="Z83" s="70">
        <v>22.128</v>
      </c>
      <c r="AA83" s="68"/>
      <c r="AB83" s="70"/>
      <c r="AC83" s="68"/>
      <c r="AD83" s="70">
        <f>20+24.04+20.093</f>
        <v>64.132999999999996</v>
      </c>
      <c r="AE83" s="68"/>
      <c r="AF83" s="60"/>
      <c r="AG83" s="60"/>
      <c r="AH83" s="70"/>
      <c r="AI83" s="68"/>
      <c r="AJ83" s="70">
        <f>15+1.416</f>
        <v>16.416</v>
      </c>
      <c r="AK83" s="68"/>
      <c r="AL83" s="70"/>
      <c r="AM83" s="68"/>
      <c r="AN83" s="70"/>
      <c r="AO83" s="68"/>
      <c r="AP83" s="70">
        <f>15.472</f>
        <v>15.472</v>
      </c>
      <c r="AQ83" s="68"/>
      <c r="AR83" s="60"/>
      <c r="AS83" s="60"/>
      <c r="AT83" s="70"/>
      <c r="AU83" s="68"/>
      <c r="AV83" s="70"/>
      <c r="AW83" s="68"/>
      <c r="AX83" s="68"/>
      <c r="AY83" s="68"/>
      <c r="AZ83" s="68"/>
      <c r="BA83" s="68"/>
      <c r="BB83" s="68"/>
      <c r="BC83" s="68"/>
      <c r="BD83" s="75">
        <f t="shared" si="51"/>
        <v>219.14000000000001</v>
      </c>
    </row>
    <row r="84" spans="1:58" x14ac:dyDescent="0.25">
      <c r="A84" s="26">
        <v>4</v>
      </c>
      <c r="C84" s="60"/>
      <c r="D84" s="70"/>
      <c r="E84" s="68"/>
      <c r="F84" s="70"/>
      <c r="G84" s="68"/>
      <c r="H84" s="60"/>
      <c r="I84" s="6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60"/>
      <c r="U84" s="60"/>
      <c r="V84" s="70"/>
      <c r="W84" s="68"/>
      <c r="X84" s="68"/>
      <c r="Y84" s="68"/>
      <c r="Z84" s="70"/>
      <c r="AA84" s="68"/>
      <c r="AB84" s="70"/>
      <c r="AC84" s="68"/>
      <c r="AD84" s="70"/>
      <c r="AE84" s="68"/>
      <c r="AF84" s="60"/>
      <c r="AG84" s="60"/>
      <c r="AH84" s="70"/>
      <c r="AI84" s="68"/>
      <c r="AJ84" s="70"/>
      <c r="AK84" s="68"/>
      <c r="AL84" s="70"/>
      <c r="AM84" s="68"/>
      <c r="AN84" s="70"/>
      <c r="AO84" s="68"/>
      <c r="AP84" s="70"/>
      <c r="AQ84" s="68"/>
      <c r="AR84" s="60"/>
      <c r="AS84" s="60"/>
      <c r="AT84" s="70"/>
      <c r="AU84" s="68"/>
      <c r="AV84" s="70"/>
      <c r="AW84" s="68"/>
      <c r="AX84" s="68"/>
      <c r="AY84" s="68"/>
      <c r="AZ84" s="68"/>
      <c r="BA84" s="68"/>
      <c r="BB84" s="68"/>
      <c r="BC84" s="68"/>
      <c r="BD84" s="75">
        <f t="shared" si="51"/>
        <v>0</v>
      </c>
    </row>
    <row r="85" spans="1:58" x14ac:dyDescent="0.25">
      <c r="A85" s="26">
        <v>4</v>
      </c>
      <c r="C85" s="60"/>
      <c r="D85" s="70">
        <v>2.746</v>
      </c>
      <c r="E85" s="69"/>
      <c r="F85" s="70">
        <v>0.94199999999999995</v>
      </c>
      <c r="G85" s="68"/>
      <c r="H85" s="66"/>
      <c r="I85" s="60"/>
      <c r="J85" s="70">
        <v>1.115</v>
      </c>
      <c r="K85" s="70"/>
      <c r="L85" s="70">
        <v>1.2749999999999999</v>
      </c>
      <c r="M85" s="70"/>
      <c r="N85" s="70">
        <v>1.4419999999999999</v>
      </c>
      <c r="O85" s="70"/>
      <c r="P85" s="70">
        <v>0.83599999999999997</v>
      </c>
      <c r="Q85" s="70"/>
      <c r="R85" s="70"/>
      <c r="S85" s="70"/>
      <c r="T85" s="60"/>
      <c r="U85" s="60"/>
      <c r="V85" s="70">
        <v>0.91500000000000004</v>
      </c>
      <c r="W85" s="68"/>
      <c r="X85" s="69"/>
      <c r="Y85" s="69"/>
      <c r="Z85" s="70">
        <v>2.5</v>
      </c>
      <c r="AA85" s="68"/>
      <c r="AB85" s="70">
        <v>1.6240000000000001</v>
      </c>
      <c r="AC85" s="68"/>
      <c r="AD85" s="70">
        <v>1.167</v>
      </c>
      <c r="AE85" s="68"/>
      <c r="AF85" s="60"/>
      <c r="AG85" s="60"/>
      <c r="AH85" s="70">
        <v>1.9350000000000001</v>
      </c>
      <c r="AI85" s="68"/>
      <c r="AJ85" s="70">
        <v>3.2269999999999999</v>
      </c>
      <c r="AK85" s="68"/>
      <c r="AL85" s="70">
        <v>0.33</v>
      </c>
      <c r="AM85" s="68"/>
      <c r="AN85" s="70"/>
      <c r="AO85" s="68"/>
      <c r="AP85" s="70">
        <v>2.0710000000000002</v>
      </c>
      <c r="AQ85" s="68"/>
      <c r="AR85" s="60"/>
      <c r="AS85" s="60"/>
      <c r="AT85" s="70">
        <v>4.3460000000000001</v>
      </c>
      <c r="AU85" s="68"/>
      <c r="AV85" s="70">
        <v>0.187</v>
      </c>
      <c r="AW85" s="68"/>
      <c r="AX85" s="68"/>
      <c r="AY85" s="68"/>
      <c r="AZ85" s="68"/>
      <c r="BA85" s="68"/>
      <c r="BB85" s="68"/>
      <c r="BC85" s="68"/>
      <c r="BD85" s="75">
        <f t="shared" si="51"/>
        <v>26.658000000000001</v>
      </c>
    </row>
    <row r="86" spans="1:58" x14ac:dyDescent="0.25">
      <c r="A86" s="26">
        <v>4</v>
      </c>
      <c r="C86" s="60"/>
      <c r="D86" s="68"/>
      <c r="E86" s="68"/>
      <c r="F86" s="68"/>
      <c r="G86" s="68"/>
      <c r="H86" s="60"/>
      <c r="I86" s="6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60"/>
      <c r="U86" s="60"/>
      <c r="V86" s="70"/>
      <c r="W86" s="68"/>
      <c r="X86" s="68"/>
      <c r="Y86" s="68"/>
      <c r="Z86" s="70">
        <f>2.454</f>
        <v>2.4540000000000002</v>
      </c>
      <c r="AA86" s="68"/>
      <c r="AB86" s="70"/>
      <c r="AC86" s="68"/>
      <c r="AD86" s="70"/>
      <c r="AE86" s="68"/>
      <c r="AF86" s="60"/>
      <c r="AG86" s="60"/>
      <c r="AH86" s="70"/>
      <c r="AI86" s="68"/>
      <c r="AJ86" s="68"/>
      <c r="AK86" s="68"/>
      <c r="AL86" s="70"/>
      <c r="AM86" s="68"/>
      <c r="AN86" s="70"/>
      <c r="AO86" s="68"/>
      <c r="AP86" s="70"/>
      <c r="AQ86" s="68"/>
      <c r="AR86" s="60"/>
      <c r="AS86" s="60"/>
      <c r="AT86" s="70">
        <f>0.657</f>
        <v>0.65700000000000003</v>
      </c>
      <c r="AU86" s="68"/>
      <c r="AV86" s="70"/>
      <c r="AW86" s="68"/>
      <c r="AX86" s="68"/>
      <c r="AY86" s="68"/>
      <c r="AZ86" s="68"/>
      <c r="BA86" s="68"/>
      <c r="BB86" s="68"/>
      <c r="BC86" s="68"/>
      <c r="BD86" s="75">
        <f t="shared" si="51"/>
        <v>3.1110000000000002</v>
      </c>
    </row>
    <row r="87" spans="1:58" x14ac:dyDescent="0.25">
      <c r="A87" s="26">
        <v>4</v>
      </c>
      <c r="C87" s="60"/>
      <c r="D87" s="68"/>
      <c r="E87" s="68"/>
      <c r="F87" s="68"/>
      <c r="G87" s="68"/>
      <c r="H87" s="60"/>
      <c r="I87" s="6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60"/>
      <c r="U87" s="60"/>
      <c r="V87" s="68"/>
      <c r="W87" s="68"/>
      <c r="X87" s="68"/>
      <c r="Y87" s="68"/>
      <c r="Z87" s="70"/>
      <c r="AA87" s="68"/>
      <c r="AB87" s="70"/>
      <c r="AC87" s="68"/>
      <c r="AD87" s="70"/>
      <c r="AE87" s="68"/>
      <c r="AF87" s="60"/>
      <c r="AG87" s="60"/>
      <c r="AH87" s="70"/>
      <c r="AI87" s="68"/>
      <c r="AJ87" s="68"/>
      <c r="AK87" s="68"/>
      <c r="AL87" s="68"/>
      <c r="AM87" s="68"/>
      <c r="AN87" s="68"/>
      <c r="AO87" s="68"/>
      <c r="AP87" s="70">
        <f>1.369</f>
        <v>1.369</v>
      </c>
      <c r="AQ87" s="68"/>
      <c r="AR87" s="60"/>
      <c r="AS87" s="60"/>
      <c r="AT87" s="70"/>
      <c r="AU87" s="68"/>
      <c r="AV87" s="68"/>
      <c r="AW87" s="68"/>
      <c r="AX87" s="68"/>
      <c r="AY87" s="68"/>
      <c r="AZ87" s="68"/>
      <c r="BA87" s="68"/>
      <c r="BB87" s="68"/>
      <c r="BC87" s="68"/>
      <c r="BD87" s="75">
        <f t="shared" si="51"/>
        <v>1.369</v>
      </c>
    </row>
    <row r="88" spans="1:58" x14ac:dyDescent="0.25"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5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</row>
    <row r="89" spans="1:58" x14ac:dyDescent="0.25">
      <c r="A89" s="64" t="s">
        <v>23</v>
      </c>
      <c r="B89" s="64"/>
      <c r="C89" s="29" t="str">
        <f>IF(C65="","",SUM(C79:C87))</f>
        <v/>
      </c>
      <c r="D89" s="45">
        <f t="shared" ref="D89:BB89" si="52">IF(D65="","",SUM(D79:D87))</f>
        <v>9.6379999999999999</v>
      </c>
      <c r="E89" s="45"/>
      <c r="F89" s="45">
        <f t="shared" si="52"/>
        <v>19.576000000000001</v>
      </c>
      <c r="G89" s="29"/>
      <c r="H89" s="29"/>
      <c r="I89" s="29"/>
      <c r="J89" s="46">
        <f t="shared" si="52"/>
        <v>33.715000000000003</v>
      </c>
      <c r="K89" s="29"/>
      <c r="L89" s="46">
        <f t="shared" si="52"/>
        <v>59.045000000000002</v>
      </c>
      <c r="M89" s="29"/>
      <c r="N89" s="29">
        <f>IF(N66="","",SUM(N79:N87))</f>
        <v>27.6</v>
      </c>
      <c r="O89" s="29"/>
      <c r="P89" s="45">
        <f t="shared" si="52"/>
        <v>1.7109999999999999</v>
      </c>
      <c r="Q89" s="29"/>
      <c r="R89" s="45">
        <f t="shared" si="52"/>
        <v>37.722999999999999</v>
      </c>
      <c r="S89" s="29"/>
      <c r="T89" s="29"/>
      <c r="U89" s="29"/>
      <c r="V89" s="45">
        <f t="shared" si="52"/>
        <v>21.210999999999999</v>
      </c>
      <c r="W89" s="29"/>
      <c r="X89" s="45">
        <f t="shared" si="52"/>
        <v>13.481</v>
      </c>
      <c r="Y89" s="29"/>
      <c r="Z89" s="45">
        <f t="shared" si="52"/>
        <v>45.219000000000001</v>
      </c>
      <c r="AA89" s="29"/>
      <c r="AB89" s="45">
        <f t="shared" si="52"/>
        <v>32.651000000000003</v>
      </c>
      <c r="AC89" s="29"/>
      <c r="AD89" s="45">
        <f t="shared" si="52"/>
        <v>75.042000000000002</v>
      </c>
      <c r="AE89" s="29"/>
      <c r="AF89" s="29"/>
      <c r="AG89" s="29"/>
      <c r="AH89" s="45">
        <f t="shared" si="52"/>
        <v>13.677</v>
      </c>
      <c r="AI89" s="29"/>
      <c r="AJ89" s="45">
        <f t="shared" si="52"/>
        <v>21.731000000000002</v>
      </c>
      <c r="AK89" s="29"/>
      <c r="AL89" s="45">
        <f t="shared" si="52"/>
        <v>37.006</v>
      </c>
      <c r="AM89" s="29"/>
      <c r="AN89" s="45">
        <f t="shared" si="52"/>
        <v>5.7970000000000006</v>
      </c>
      <c r="AO89" s="29"/>
      <c r="AP89" s="45">
        <f t="shared" si="52"/>
        <v>27.748000000000001</v>
      </c>
      <c r="AQ89" s="29"/>
      <c r="AR89" s="29"/>
      <c r="AS89" s="29"/>
      <c r="AT89" s="45">
        <f t="shared" si="52"/>
        <v>18.791</v>
      </c>
      <c r="AU89" s="29"/>
      <c r="AV89" s="45">
        <f t="shared" si="52"/>
        <v>12.339999999999998</v>
      </c>
      <c r="AW89" s="29"/>
      <c r="AX89" s="29" t="str">
        <f t="shared" si="52"/>
        <v/>
      </c>
      <c r="AY89" s="29"/>
      <c r="AZ89" s="29" t="str">
        <f t="shared" si="52"/>
        <v/>
      </c>
      <c r="BA89" s="29"/>
      <c r="BB89" s="29" t="str">
        <f t="shared" si="52"/>
        <v/>
      </c>
      <c r="BC89" s="29"/>
      <c r="BD89" s="75">
        <f>SUM(C89:BC89)</f>
        <v>513.70200000000011</v>
      </c>
      <c r="BE89" s="99">
        <f>AVERAGE(C89:BC89)</f>
        <v>27.036947368421057</v>
      </c>
    </row>
    <row r="90" spans="1:58" x14ac:dyDescent="0.25"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5"/>
      <c r="BE90" s="99"/>
    </row>
    <row r="91" spans="1:58" x14ac:dyDescent="0.25">
      <c r="A91" s="64" t="s">
        <v>24</v>
      </c>
      <c r="B91" s="64"/>
      <c r="C91" s="45" t="str">
        <f>IF(C65="","",C89+C59)</f>
        <v/>
      </c>
      <c r="D91" s="45">
        <f t="shared" ref="D91:BB91" si="53">IF(D65="","",D89+D59)</f>
        <v>205.15900000000002</v>
      </c>
      <c r="E91" s="45"/>
      <c r="F91" s="45">
        <f t="shared" si="53"/>
        <v>240.85499999999996</v>
      </c>
      <c r="G91" s="45"/>
      <c r="H91" s="45"/>
      <c r="I91" s="45"/>
      <c r="J91" s="45">
        <f t="shared" si="53"/>
        <v>316.755</v>
      </c>
      <c r="K91" s="45"/>
      <c r="L91" s="45">
        <f t="shared" si="53"/>
        <v>305.55799999999999</v>
      </c>
      <c r="M91" s="45"/>
      <c r="N91" s="45">
        <f>IF(N66="","",N89+N59)</f>
        <v>283.64600000000002</v>
      </c>
      <c r="O91" s="45"/>
      <c r="P91" s="45">
        <f t="shared" si="53"/>
        <v>298.40400000000005</v>
      </c>
      <c r="Q91" s="45"/>
      <c r="R91" s="45">
        <f t="shared" si="53"/>
        <v>191.49</v>
      </c>
      <c r="S91" s="45"/>
      <c r="T91" s="45"/>
      <c r="U91" s="45"/>
      <c r="V91" s="45">
        <f t="shared" si="53"/>
        <v>304.57899999999995</v>
      </c>
      <c r="W91" s="45"/>
      <c r="X91" s="45">
        <f t="shared" si="53"/>
        <v>309.97299999999996</v>
      </c>
      <c r="Y91" s="45"/>
      <c r="Z91" s="45">
        <f t="shared" si="53"/>
        <v>306.142</v>
      </c>
      <c r="AA91" s="45"/>
      <c r="AB91" s="45">
        <f t="shared" si="53"/>
        <v>248.27900000000002</v>
      </c>
      <c r="AC91" s="45"/>
      <c r="AD91" s="45">
        <f t="shared" si="53"/>
        <v>273.24400000000003</v>
      </c>
      <c r="AE91" s="45"/>
      <c r="AF91" s="45"/>
      <c r="AG91" s="45"/>
      <c r="AH91" s="45">
        <f t="shared" si="53"/>
        <v>308.44700000000006</v>
      </c>
      <c r="AI91" s="45"/>
      <c r="AJ91" s="45">
        <f t="shared" si="53"/>
        <v>285.52800000000002</v>
      </c>
      <c r="AK91" s="45"/>
      <c r="AL91" s="45">
        <f t="shared" si="53"/>
        <v>289.54399999999998</v>
      </c>
      <c r="AM91" s="45"/>
      <c r="AN91" s="45">
        <f t="shared" si="53"/>
        <v>188.81999999999996</v>
      </c>
      <c r="AO91" s="45"/>
      <c r="AP91" s="45">
        <f t="shared" si="53"/>
        <v>287.83499999999998</v>
      </c>
      <c r="AQ91" s="45"/>
      <c r="AR91" s="45"/>
      <c r="AS91" s="45"/>
      <c r="AT91" s="45">
        <f t="shared" si="53"/>
        <v>280.99499999999995</v>
      </c>
      <c r="AU91" s="45"/>
      <c r="AV91" s="45">
        <f t="shared" si="53"/>
        <v>232.91299999999998</v>
      </c>
      <c r="AW91" s="45"/>
      <c r="AX91" s="45" t="str">
        <f t="shared" si="53"/>
        <v/>
      </c>
      <c r="AY91" s="45"/>
      <c r="AZ91" s="45" t="str">
        <f t="shared" si="53"/>
        <v/>
      </c>
      <c r="BA91" s="45"/>
      <c r="BB91" s="45" t="str">
        <f t="shared" si="53"/>
        <v/>
      </c>
      <c r="BC91" s="45"/>
      <c r="BD91" s="75">
        <f>SUM(C91:BC91)</f>
        <v>5158.1659999999993</v>
      </c>
      <c r="BE91" s="99">
        <f>AVERAGE(C91:BC91)</f>
        <v>271.48242105263154</v>
      </c>
    </row>
    <row r="92" spans="1:58" x14ac:dyDescent="0.25"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1"/>
      <c r="BD92" s="71"/>
      <c r="BE92" s="103"/>
    </row>
    <row r="93" spans="1:58" x14ac:dyDescent="0.25">
      <c r="A93" s="64" t="s">
        <v>25</v>
      </c>
      <c r="B93" s="64"/>
      <c r="C93" s="46" t="str">
        <f>IF(C65="","",C89/((C89+C59)+SUM(C65:C70)))</f>
        <v/>
      </c>
      <c r="D93" s="46">
        <f t="shared" ref="D93:BB93" si="54">IF(D65="","",D89/((D89+D59)+SUM(D65:D70)))</f>
        <v>3.5565494311661179E-2</v>
      </c>
      <c r="E93" s="46"/>
      <c r="F93" s="46">
        <f t="shared" si="54"/>
        <v>6.0725065219886409E-2</v>
      </c>
      <c r="G93" s="46"/>
      <c r="H93" s="46"/>
      <c r="I93" s="46"/>
      <c r="J93" s="46">
        <f t="shared" si="54"/>
        <v>8.6198521215344187E-2</v>
      </c>
      <c r="K93" s="46"/>
      <c r="L93" s="46">
        <f t="shared" si="54"/>
        <v>0.17642436266717662</v>
      </c>
      <c r="M93" s="46"/>
      <c r="N93" s="46">
        <f>IF(N66="","",N89/((N89+N59)+SUM(N65:N70)))</f>
        <v>8.2780960379112797E-2</v>
      </c>
      <c r="O93" s="46"/>
      <c r="P93" s="46">
        <f t="shared" si="54"/>
        <v>4.4039143617541519E-3</v>
      </c>
      <c r="Q93" s="46"/>
      <c r="R93" s="46">
        <f t="shared" si="54"/>
        <v>0.14753066141042487</v>
      </c>
      <c r="S93" s="46"/>
      <c r="T93" s="46"/>
      <c r="U93" s="46"/>
      <c r="V93" s="46">
        <f t="shared" si="54"/>
        <v>5.5336989246189738E-2</v>
      </c>
      <c r="W93" s="46"/>
      <c r="X93" s="46">
        <f t="shared" si="54"/>
        <v>3.493201976570335E-2</v>
      </c>
      <c r="Y93" s="46"/>
      <c r="Z93" s="46">
        <f t="shared" si="54"/>
        <v>0.12046802944365557</v>
      </c>
      <c r="AA93" s="46"/>
      <c r="AB93" s="46">
        <f t="shared" si="54"/>
        <v>9.6746856934596392E-2</v>
      </c>
      <c r="AC93" s="46"/>
      <c r="AD93" s="46">
        <f t="shared" si="54"/>
        <v>0.23724869665287177</v>
      </c>
      <c r="AE93" s="46"/>
      <c r="AF93" s="46"/>
      <c r="AG93" s="46"/>
      <c r="AH93" s="46">
        <f t="shared" si="54"/>
        <v>3.7310033089910162E-2</v>
      </c>
      <c r="AI93" s="46"/>
      <c r="AJ93" s="46">
        <f t="shared" si="54"/>
        <v>6.2274148390775948E-2</v>
      </c>
      <c r="AK93" s="46"/>
      <c r="AL93" s="46">
        <f t="shared" si="54"/>
        <v>0.10707196963121134</v>
      </c>
      <c r="AM93" s="46"/>
      <c r="AN93" s="46">
        <f t="shared" si="54"/>
        <v>2.4365742530977324E-2</v>
      </c>
      <c r="AO93" s="46"/>
      <c r="AP93" s="46">
        <f t="shared" si="54"/>
        <v>8.4413036137467798E-2</v>
      </c>
      <c r="AQ93" s="46"/>
      <c r="AR93" s="46"/>
      <c r="AS93" s="46"/>
      <c r="AT93" s="46">
        <f t="shared" si="54"/>
        <v>5.6819143918044497E-2</v>
      </c>
      <c r="AU93" s="46"/>
      <c r="AV93" s="46">
        <f t="shared" si="54"/>
        <v>4.1239042746239525E-2</v>
      </c>
      <c r="AW93" s="46"/>
      <c r="AX93" s="46" t="str">
        <f t="shared" si="54"/>
        <v/>
      </c>
      <c r="AY93" s="46"/>
      <c r="AZ93" s="46" t="str">
        <f t="shared" si="54"/>
        <v/>
      </c>
      <c r="BA93" s="46"/>
      <c r="BB93" s="46" t="str">
        <f t="shared" si="54"/>
        <v/>
      </c>
      <c r="BC93" s="46"/>
      <c r="BD93" s="71"/>
      <c r="BE93" s="103">
        <f>AVERAGE(C93:BC93)</f>
        <v>8.1676562529105448E-2</v>
      </c>
      <c r="BF93" s="47"/>
    </row>
    <row r="94" spans="1:58" x14ac:dyDescent="0.25">
      <c r="BC94" s="71"/>
      <c r="BD94" s="71"/>
    </row>
    <row r="95" spans="1:58" x14ac:dyDescent="0.25">
      <c r="BC95" s="71"/>
      <c r="BD95" s="71"/>
    </row>
    <row r="96" spans="1:58" x14ac:dyDescent="0.25">
      <c r="BC96" s="71"/>
      <c r="BD96" s="71"/>
    </row>
    <row r="97" spans="55:56" x14ac:dyDescent="0.25">
      <c r="BC97" s="71"/>
      <c r="BD97" s="71"/>
    </row>
    <row r="98" spans="55:56" x14ac:dyDescent="0.25">
      <c r="BC98" s="71"/>
      <c r="BD98" s="71"/>
    </row>
    <row r="99" spans="55:56" x14ac:dyDescent="0.25">
      <c r="BC99" s="71"/>
      <c r="BD99" s="71"/>
    </row>
    <row r="100" spans="55:56" x14ac:dyDescent="0.25">
      <c r="BC100" s="71"/>
      <c r="BD100" s="71"/>
    </row>
    <row r="101" spans="55:56" x14ac:dyDescent="0.25">
      <c r="BC101" s="71"/>
      <c r="BD101" s="71"/>
    </row>
    <row r="102" spans="55:56" x14ac:dyDescent="0.25">
      <c r="BC102" s="71"/>
      <c r="BD102" s="71"/>
    </row>
    <row r="103" spans="55:56" x14ac:dyDescent="0.25">
      <c r="BC103" s="71"/>
      <c r="BD103" s="71"/>
    </row>
    <row r="104" spans="55:56" x14ac:dyDescent="0.25">
      <c r="BC104" s="71"/>
      <c r="BD104" s="71"/>
    </row>
  </sheetData>
  <mergeCells count="1">
    <mergeCell ref="H3:N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BC94"/>
  <sheetViews>
    <sheetView zoomScale="55" zoomScaleNormal="55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 activeCell="BC73" sqref="BC73"/>
    </sheetView>
  </sheetViews>
  <sheetFormatPr baseColWidth="10" defaultRowHeight="15" x14ac:dyDescent="0.25"/>
  <cols>
    <col min="1" max="1" width="31.7109375" style="26" customWidth="1"/>
    <col min="2" max="2" width="4.28515625" style="26" bestFit="1" customWidth="1"/>
    <col min="3" max="3" width="7.7109375" style="26" customWidth="1"/>
    <col min="4" max="5" width="8.28515625" style="26" customWidth="1"/>
    <col min="6" max="6" width="8.28515625" style="26" hidden="1" customWidth="1"/>
    <col min="7" max="7" width="8.28515625" style="26" customWidth="1"/>
    <col min="8" max="8" width="7.5703125" style="26" hidden="1" customWidth="1"/>
    <col min="9" max="9" width="8.28515625" style="26" customWidth="1"/>
    <col min="10" max="10" width="6.42578125" style="26" hidden="1" customWidth="1"/>
    <col min="11" max="11" width="8.7109375" style="26" customWidth="1"/>
    <col min="12" max="12" width="6.42578125" style="26" hidden="1" customWidth="1"/>
    <col min="13" max="13" width="8" style="26" bestFit="1" customWidth="1"/>
    <col min="14" max="14" width="6.42578125" style="26" hidden="1" customWidth="1"/>
    <col min="15" max="15" width="9" style="26" customWidth="1"/>
    <col min="16" max="17" width="8.28515625" style="26" customWidth="1"/>
    <col min="18" max="18" width="8.28515625" style="26" hidden="1" customWidth="1"/>
    <col min="19" max="19" width="8.140625" style="26" customWidth="1"/>
    <col min="20" max="20" width="8.140625" style="26" hidden="1" customWidth="1"/>
    <col min="21" max="21" width="8.5703125" style="26" customWidth="1"/>
    <col min="22" max="22" width="6.42578125" style="26" hidden="1" customWidth="1"/>
    <col min="23" max="23" width="8.28515625" style="26" customWidth="1"/>
    <col min="24" max="24" width="6.42578125" style="26" hidden="1" customWidth="1"/>
    <col min="25" max="25" width="7.7109375" style="26" customWidth="1"/>
    <col min="26" max="26" width="6.42578125" style="26" hidden="1" customWidth="1"/>
    <col min="27" max="27" width="7.7109375" style="26" customWidth="1"/>
    <col min="28" max="28" width="8.140625" style="26" customWidth="1"/>
    <col min="29" max="29" width="8.5703125" style="26" customWidth="1"/>
    <col min="30" max="30" width="7" style="26" hidden="1" customWidth="1"/>
    <col min="31" max="31" width="8" style="26" customWidth="1"/>
    <col min="32" max="32" width="7" style="26" hidden="1" customWidth="1"/>
    <col min="33" max="33" width="7.7109375" style="26" customWidth="1"/>
    <col min="34" max="34" width="6.42578125" style="26" hidden="1" customWidth="1"/>
    <col min="35" max="35" width="8.28515625" style="26" customWidth="1"/>
    <col min="36" max="36" width="6.42578125" style="26" hidden="1" customWidth="1"/>
    <col min="37" max="37" width="8" style="26" customWidth="1"/>
    <col min="38" max="38" width="6.42578125" style="26" hidden="1" customWidth="1"/>
    <col min="39" max="40" width="8.5703125" style="26" customWidth="1"/>
    <col min="41" max="41" width="9.85546875" style="26" customWidth="1"/>
    <col min="42" max="42" width="8" style="26" hidden="1" customWidth="1"/>
    <col min="43" max="43" width="8" style="26" customWidth="1"/>
    <col min="44" max="44" width="6.28515625" style="26" hidden="1" customWidth="1"/>
    <col min="45" max="45" width="9.28515625" style="26" customWidth="1"/>
    <col min="46" max="46" width="6.42578125" style="26" hidden="1" customWidth="1"/>
    <col min="47" max="47" width="8" style="26" customWidth="1"/>
    <col min="48" max="48" width="6.42578125" style="26" hidden="1" customWidth="1"/>
    <col min="49" max="49" width="8.28515625" style="26" customWidth="1"/>
    <col min="50" max="50" width="6.42578125" style="26" hidden="1" customWidth="1"/>
    <col min="51" max="51" width="9.42578125" style="26" customWidth="1"/>
    <col min="52" max="52" width="10" style="26" bestFit="1" customWidth="1"/>
    <col min="53" max="16384" width="11.42578125" style="26"/>
  </cols>
  <sheetData>
    <row r="1" spans="1:52" ht="12" customHeight="1" x14ac:dyDescent="0.25">
      <c r="A1" s="14"/>
      <c r="B1" s="42"/>
      <c r="C1" s="9" t="s">
        <v>3</v>
      </c>
      <c r="K1" s="9"/>
      <c r="L1" s="9"/>
      <c r="M1" s="9"/>
      <c r="N1" s="9"/>
      <c r="O1" s="9"/>
      <c r="P1" s="9"/>
      <c r="Q1" s="2"/>
      <c r="R1" s="9"/>
    </row>
    <row r="2" spans="1:52" ht="11.25" customHeight="1" x14ac:dyDescent="0.25">
      <c r="A2" s="3"/>
      <c r="B2" s="10"/>
      <c r="C2" s="9" t="s">
        <v>4</v>
      </c>
      <c r="K2" s="9"/>
      <c r="L2" s="9"/>
      <c r="M2" s="9"/>
      <c r="N2" s="9"/>
      <c r="O2" s="9"/>
      <c r="P2" s="9"/>
      <c r="Q2" s="2"/>
      <c r="R2" s="9"/>
    </row>
    <row r="3" spans="1:52" ht="12" customHeight="1" x14ac:dyDescent="0.25">
      <c r="A3" s="4"/>
      <c r="B3" s="11"/>
      <c r="C3" s="9" t="s">
        <v>0</v>
      </c>
      <c r="G3" s="151" t="s">
        <v>69</v>
      </c>
      <c r="H3" s="151"/>
      <c r="I3" s="151"/>
      <c r="J3" s="151"/>
      <c r="K3" s="151"/>
      <c r="L3" s="151"/>
      <c r="M3" s="151"/>
      <c r="N3" s="151"/>
      <c r="O3" s="151"/>
      <c r="P3" s="9"/>
      <c r="Q3" s="2"/>
      <c r="R3" s="9"/>
    </row>
    <row r="4" spans="1:52" ht="12" customHeight="1" x14ac:dyDescent="0.25">
      <c r="A4" s="5"/>
      <c r="B4" s="12"/>
      <c r="C4" s="9" t="s">
        <v>5</v>
      </c>
      <c r="G4" s="151"/>
      <c r="H4" s="151"/>
      <c r="I4" s="151"/>
      <c r="J4" s="151"/>
      <c r="K4" s="151"/>
      <c r="L4" s="151"/>
      <c r="M4" s="151"/>
      <c r="N4" s="151"/>
      <c r="O4" s="151"/>
      <c r="P4" s="9"/>
      <c r="Q4" s="2"/>
      <c r="R4" s="9"/>
    </row>
    <row r="5" spans="1:52" ht="11.25" customHeight="1" x14ac:dyDescent="0.25">
      <c r="A5" s="6"/>
      <c r="B5" s="24"/>
      <c r="C5" s="9" t="s">
        <v>6</v>
      </c>
      <c r="G5" s="151"/>
      <c r="H5" s="151"/>
      <c r="I5" s="151"/>
      <c r="J5" s="151"/>
      <c r="K5" s="151"/>
      <c r="L5" s="151"/>
      <c r="M5" s="151"/>
      <c r="N5" s="151"/>
      <c r="O5" s="151"/>
      <c r="P5" s="9"/>
      <c r="Q5" s="9"/>
      <c r="R5" s="9"/>
    </row>
    <row r="6" spans="1:52" ht="13.5" customHeight="1" x14ac:dyDescent="0.25">
      <c r="A6" s="7"/>
      <c r="B6" s="13"/>
      <c r="C6" s="9" t="s">
        <v>7</v>
      </c>
      <c r="G6" s="151"/>
      <c r="H6" s="151"/>
      <c r="I6" s="151"/>
      <c r="J6" s="151"/>
      <c r="K6" s="151"/>
      <c r="L6" s="151"/>
      <c r="M6" s="151"/>
      <c r="N6" s="151"/>
      <c r="O6" s="151"/>
      <c r="P6" s="9"/>
      <c r="Q6" s="9"/>
      <c r="R6" s="9"/>
    </row>
    <row r="7" spans="1:52" x14ac:dyDescent="0.25">
      <c r="A7" s="8"/>
      <c r="B7" s="25"/>
      <c r="C7" s="9" t="s">
        <v>8</v>
      </c>
      <c r="G7" s="151"/>
      <c r="H7" s="151"/>
      <c r="I7" s="151"/>
      <c r="J7" s="151"/>
      <c r="K7" s="151"/>
      <c r="L7" s="151"/>
      <c r="M7" s="151"/>
      <c r="N7" s="151"/>
      <c r="O7" s="151"/>
      <c r="P7" s="9"/>
      <c r="Q7" s="2"/>
      <c r="R7" s="9"/>
    </row>
    <row r="8" spans="1:52" x14ac:dyDescent="0.25">
      <c r="A8" s="53"/>
    </row>
    <row r="10" spans="1:52" x14ac:dyDescent="0.25">
      <c r="C10" s="18">
        <v>41671</v>
      </c>
      <c r="D10" s="18">
        <v>41672</v>
      </c>
      <c r="E10" s="57">
        <v>41673</v>
      </c>
      <c r="F10" s="57"/>
      <c r="G10" s="57">
        <v>41674</v>
      </c>
      <c r="H10" s="57"/>
      <c r="I10" s="57">
        <v>41675</v>
      </c>
      <c r="J10" s="57"/>
      <c r="K10" s="57">
        <v>41676</v>
      </c>
      <c r="L10" s="57"/>
      <c r="M10" s="57">
        <v>41677</v>
      </c>
      <c r="N10" s="57"/>
      <c r="O10" s="18">
        <v>41678</v>
      </c>
      <c r="P10" s="18">
        <v>41679</v>
      </c>
      <c r="Q10" s="57">
        <v>41680</v>
      </c>
      <c r="R10" s="57"/>
      <c r="S10" s="57">
        <v>41681</v>
      </c>
      <c r="T10" s="57"/>
      <c r="U10" s="57">
        <v>41682</v>
      </c>
      <c r="V10" s="57"/>
      <c r="W10" s="57">
        <v>41683</v>
      </c>
      <c r="X10" s="57"/>
      <c r="Y10" s="57">
        <v>41684</v>
      </c>
      <c r="Z10" s="57"/>
      <c r="AA10" s="18">
        <v>41685</v>
      </c>
      <c r="AB10" s="18">
        <v>41686</v>
      </c>
      <c r="AC10" s="57">
        <v>41687</v>
      </c>
      <c r="AD10" s="57"/>
      <c r="AE10" s="57">
        <v>41688</v>
      </c>
      <c r="AF10" s="57"/>
      <c r="AG10" s="57">
        <v>41689</v>
      </c>
      <c r="AH10" s="57"/>
      <c r="AI10" s="57">
        <v>41690</v>
      </c>
      <c r="AJ10" s="57"/>
      <c r="AK10" s="57">
        <v>41691</v>
      </c>
      <c r="AL10" s="57"/>
      <c r="AM10" s="18">
        <v>41692</v>
      </c>
      <c r="AN10" s="18">
        <v>41693</v>
      </c>
      <c r="AO10" s="57">
        <v>41694</v>
      </c>
      <c r="AP10" s="57"/>
      <c r="AQ10" s="57">
        <v>41695</v>
      </c>
      <c r="AR10" s="57"/>
      <c r="AS10" s="57">
        <v>41696</v>
      </c>
      <c r="AT10" s="57"/>
      <c r="AU10" s="57">
        <v>41697</v>
      </c>
      <c r="AV10" s="57"/>
      <c r="AW10" s="57">
        <v>41698</v>
      </c>
      <c r="AX10" s="57"/>
      <c r="AY10" s="73" t="s">
        <v>15</v>
      </c>
      <c r="AZ10" s="26" t="s">
        <v>16</v>
      </c>
    </row>
    <row r="11" spans="1:52" x14ac:dyDescent="0.25">
      <c r="A11" s="17">
        <v>1</v>
      </c>
      <c r="B11" s="17"/>
      <c r="C11" s="37"/>
      <c r="D11" s="37"/>
      <c r="E11" s="36">
        <v>1</v>
      </c>
      <c r="F11" s="36"/>
      <c r="G11" s="36">
        <v>1</v>
      </c>
      <c r="H11" s="36"/>
      <c r="I11" s="36">
        <v>1</v>
      </c>
      <c r="J11" s="36"/>
      <c r="K11" s="36">
        <v>1</v>
      </c>
      <c r="L11" s="36"/>
      <c r="M11" s="36">
        <v>1</v>
      </c>
      <c r="N11" s="36"/>
      <c r="O11" s="37"/>
      <c r="P11" s="37"/>
      <c r="Q11" s="36">
        <v>1</v>
      </c>
      <c r="R11" s="36"/>
      <c r="S11" s="43" t="s">
        <v>2</v>
      </c>
      <c r="T11" s="43" t="s">
        <v>2</v>
      </c>
      <c r="U11" s="43" t="s">
        <v>2</v>
      </c>
      <c r="V11" s="43" t="s">
        <v>2</v>
      </c>
      <c r="W11" s="43" t="s">
        <v>2</v>
      </c>
      <c r="X11" s="43" t="s">
        <v>2</v>
      </c>
      <c r="Y11" s="43" t="s">
        <v>2</v>
      </c>
      <c r="Z11" s="43" t="s">
        <v>2</v>
      </c>
      <c r="AA11" s="37"/>
      <c r="AB11" s="37"/>
      <c r="AC11" s="36">
        <v>1</v>
      </c>
      <c r="AD11" s="36"/>
      <c r="AE11" s="36">
        <v>1</v>
      </c>
      <c r="AF11" s="36"/>
      <c r="AG11" s="36">
        <v>1</v>
      </c>
      <c r="AH11" s="36"/>
      <c r="AI11" s="36">
        <v>1</v>
      </c>
      <c r="AJ11" s="36"/>
      <c r="AK11" s="36">
        <v>1</v>
      </c>
      <c r="AL11" s="36"/>
      <c r="AM11" s="37"/>
      <c r="AN11" s="37"/>
      <c r="AO11" s="36">
        <v>1</v>
      </c>
      <c r="AP11" s="36"/>
      <c r="AQ11" s="36">
        <v>1</v>
      </c>
      <c r="AR11" s="36"/>
      <c r="AS11" s="36">
        <v>1</v>
      </c>
      <c r="AT11" s="36"/>
      <c r="AU11" s="43" t="s">
        <v>2</v>
      </c>
      <c r="AV11" s="43" t="s">
        <v>2</v>
      </c>
      <c r="AW11" s="36">
        <v>1</v>
      </c>
      <c r="AX11" s="36"/>
      <c r="AY11" s="71"/>
    </row>
    <row r="12" spans="1:52" x14ac:dyDescent="0.25">
      <c r="A12" s="17">
        <v>1</v>
      </c>
      <c r="B12" s="17"/>
      <c r="C12" s="37"/>
      <c r="D12" s="37"/>
      <c r="E12" s="51" t="s">
        <v>26</v>
      </c>
      <c r="F12" s="51" t="s">
        <v>26</v>
      </c>
      <c r="G12" s="51" t="s">
        <v>26</v>
      </c>
      <c r="H12" s="51" t="s">
        <v>26</v>
      </c>
      <c r="I12" s="51" t="s">
        <v>26</v>
      </c>
      <c r="J12" s="51" t="s">
        <v>26</v>
      </c>
      <c r="K12" s="51" t="s">
        <v>26</v>
      </c>
      <c r="L12" s="51" t="s">
        <v>26</v>
      </c>
      <c r="M12" s="51" t="s">
        <v>26</v>
      </c>
      <c r="N12" s="51" t="s">
        <v>26</v>
      </c>
      <c r="O12" s="37"/>
      <c r="P12" s="37"/>
      <c r="Q12" s="51" t="s">
        <v>26</v>
      </c>
      <c r="R12" s="51" t="s">
        <v>26</v>
      </c>
      <c r="S12" s="51" t="s">
        <v>26</v>
      </c>
      <c r="T12" s="51" t="s">
        <v>26</v>
      </c>
      <c r="U12" s="51" t="s">
        <v>26</v>
      </c>
      <c r="V12" s="51" t="s">
        <v>26</v>
      </c>
      <c r="W12" s="51" t="s">
        <v>26</v>
      </c>
      <c r="X12" s="51" t="s">
        <v>26</v>
      </c>
      <c r="Y12" s="51" t="s">
        <v>26</v>
      </c>
      <c r="Z12" s="51" t="s">
        <v>26</v>
      </c>
      <c r="AA12" s="37"/>
      <c r="AB12" s="37"/>
      <c r="AC12" s="51" t="s">
        <v>26</v>
      </c>
      <c r="AD12" s="51" t="s">
        <v>26</v>
      </c>
      <c r="AE12" s="51" t="s">
        <v>26</v>
      </c>
      <c r="AF12" s="51" t="s">
        <v>26</v>
      </c>
      <c r="AG12" s="51" t="s">
        <v>26</v>
      </c>
      <c r="AH12" s="51" t="s">
        <v>26</v>
      </c>
      <c r="AI12" s="51" t="s">
        <v>26</v>
      </c>
      <c r="AJ12" s="51" t="s">
        <v>26</v>
      </c>
      <c r="AK12" s="51" t="s">
        <v>26</v>
      </c>
      <c r="AL12" s="51" t="s">
        <v>26</v>
      </c>
      <c r="AM12" s="37"/>
      <c r="AN12" s="37"/>
      <c r="AO12" s="51" t="s">
        <v>26</v>
      </c>
      <c r="AP12" s="51" t="s">
        <v>26</v>
      </c>
      <c r="AQ12" s="51" t="s">
        <v>26</v>
      </c>
      <c r="AR12" s="51" t="s">
        <v>26</v>
      </c>
      <c r="AS12" s="51" t="s">
        <v>26</v>
      </c>
      <c r="AT12" s="51" t="s">
        <v>26</v>
      </c>
      <c r="AU12" s="51" t="s">
        <v>26</v>
      </c>
      <c r="AV12" s="51" t="s">
        <v>26</v>
      </c>
      <c r="AW12" s="51" t="s">
        <v>26</v>
      </c>
      <c r="AX12" s="51" t="s">
        <v>26</v>
      </c>
      <c r="AY12" s="71"/>
    </row>
    <row r="13" spans="1:52" x14ac:dyDescent="0.25">
      <c r="A13" s="17">
        <v>1</v>
      </c>
      <c r="B13" s="17"/>
      <c r="C13" s="37"/>
      <c r="D13" s="37"/>
      <c r="E13" s="36">
        <v>1</v>
      </c>
      <c r="F13" s="36"/>
      <c r="G13" s="36">
        <v>1</v>
      </c>
      <c r="H13" s="36"/>
      <c r="I13" s="36">
        <v>1</v>
      </c>
      <c r="J13" s="36"/>
      <c r="K13" s="36">
        <v>1</v>
      </c>
      <c r="L13" s="36"/>
      <c r="M13" s="36">
        <v>1</v>
      </c>
      <c r="N13" s="36"/>
      <c r="O13" s="37"/>
      <c r="P13" s="37"/>
      <c r="Q13" s="36">
        <v>1</v>
      </c>
      <c r="R13" s="36"/>
      <c r="S13" s="36">
        <v>1</v>
      </c>
      <c r="T13" s="36"/>
      <c r="U13" s="36">
        <v>1</v>
      </c>
      <c r="V13" s="36"/>
      <c r="W13" s="36">
        <v>1</v>
      </c>
      <c r="X13" s="36"/>
      <c r="Y13" s="36">
        <v>1</v>
      </c>
      <c r="Z13" s="36"/>
      <c r="AA13" s="37"/>
      <c r="AB13" s="37"/>
      <c r="AC13" s="36">
        <v>1</v>
      </c>
      <c r="AD13" s="36"/>
      <c r="AE13" s="36">
        <v>1</v>
      </c>
      <c r="AF13" s="36"/>
      <c r="AG13" s="36">
        <v>1</v>
      </c>
      <c r="AH13" s="36"/>
      <c r="AI13" s="36">
        <v>1</v>
      </c>
      <c r="AJ13" s="36"/>
      <c r="AK13" s="43" t="s">
        <v>2</v>
      </c>
      <c r="AL13" s="43" t="s">
        <v>2</v>
      </c>
      <c r="AM13" s="37"/>
      <c r="AN13" s="37"/>
      <c r="AO13" s="36">
        <v>1</v>
      </c>
      <c r="AP13" s="36"/>
      <c r="AQ13" s="36">
        <v>1</v>
      </c>
      <c r="AR13" s="36"/>
      <c r="AS13" s="36">
        <v>1</v>
      </c>
      <c r="AT13" s="36"/>
      <c r="AU13" s="36">
        <v>1</v>
      </c>
      <c r="AV13" s="36"/>
      <c r="AW13" s="36">
        <v>1</v>
      </c>
      <c r="AX13" s="36"/>
      <c r="AY13" s="71"/>
    </row>
    <row r="14" spans="1:52" x14ac:dyDescent="0.25">
      <c r="A14" s="17">
        <v>1</v>
      </c>
      <c r="B14" s="17"/>
      <c r="C14" s="37"/>
      <c r="D14" s="37"/>
      <c r="E14" s="36">
        <v>1</v>
      </c>
      <c r="F14" s="36"/>
      <c r="G14" s="36">
        <v>1</v>
      </c>
      <c r="H14" s="36"/>
      <c r="I14" s="36">
        <v>1</v>
      </c>
      <c r="J14" s="36"/>
      <c r="K14" s="36">
        <v>1</v>
      </c>
      <c r="L14" s="36"/>
      <c r="M14" s="36">
        <v>1</v>
      </c>
      <c r="N14" s="36"/>
      <c r="O14" s="37"/>
      <c r="P14" s="37"/>
      <c r="Q14" s="36">
        <v>1</v>
      </c>
      <c r="R14" s="36"/>
      <c r="S14" s="36">
        <v>1</v>
      </c>
      <c r="T14" s="36"/>
      <c r="U14" s="36">
        <v>1</v>
      </c>
      <c r="V14" s="36"/>
      <c r="W14" s="36">
        <v>1</v>
      </c>
      <c r="X14" s="36"/>
      <c r="Y14" s="36">
        <v>1</v>
      </c>
      <c r="Z14" s="36"/>
      <c r="AA14" s="37"/>
      <c r="AB14" s="37"/>
      <c r="AC14" s="36">
        <v>1</v>
      </c>
      <c r="AD14" s="36"/>
      <c r="AE14" s="36">
        <v>1</v>
      </c>
      <c r="AF14" s="36"/>
      <c r="AG14" s="36">
        <v>1</v>
      </c>
      <c r="AH14" s="36"/>
      <c r="AI14" s="43" t="s">
        <v>2</v>
      </c>
      <c r="AJ14" s="43" t="s">
        <v>2</v>
      </c>
      <c r="AK14" s="43" t="s">
        <v>2</v>
      </c>
      <c r="AL14" s="43" t="s">
        <v>2</v>
      </c>
      <c r="AM14" s="37"/>
      <c r="AN14" s="37"/>
      <c r="AO14" s="36">
        <v>1</v>
      </c>
      <c r="AP14" s="36"/>
      <c r="AQ14" s="36">
        <v>1</v>
      </c>
      <c r="AR14" s="36"/>
      <c r="AS14" s="36">
        <v>1</v>
      </c>
      <c r="AT14" s="36"/>
      <c r="AU14" s="36">
        <v>1</v>
      </c>
      <c r="AV14" s="36"/>
      <c r="AW14" s="36">
        <v>1</v>
      </c>
      <c r="AX14" s="36"/>
      <c r="AY14" s="71"/>
    </row>
    <row r="15" spans="1:52" x14ac:dyDescent="0.25">
      <c r="A15" s="17">
        <v>1</v>
      </c>
      <c r="B15" s="17"/>
      <c r="C15" s="37"/>
      <c r="D15" s="37"/>
      <c r="E15" s="36">
        <v>1</v>
      </c>
      <c r="F15" s="36"/>
      <c r="G15" s="36">
        <v>1</v>
      </c>
      <c r="H15" s="36"/>
      <c r="I15" s="36">
        <v>1</v>
      </c>
      <c r="J15" s="36"/>
      <c r="K15" s="36">
        <v>1</v>
      </c>
      <c r="L15" s="36"/>
      <c r="M15" s="36">
        <v>1</v>
      </c>
      <c r="N15" s="36"/>
      <c r="O15" s="37"/>
      <c r="P15" s="37"/>
      <c r="Q15" s="36">
        <v>1</v>
      </c>
      <c r="R15" s="36"/>
      <c r="S15" s="36">
        <v>1</v>
      </c>
      <c r="T15" s="36"/>
      <c r="U15" s="36">
        <v>1</v>
      </c>
      <c r="V15" s="36"/>
      <c r="W15" s="36">
        <v>1</v>
      </c>
      <c r="X15" s="36"/>
      <c r="Y15" s="36">
        <v>1</v>
      </c>
      <c r="Z15" s="36"/>
      <c r="AA15" s="37"/>
      <c r="AB15" s="37"/>
      <c r="AC15" s="36">
        <v>1</v>
      </c>
      <c r="AD15" s="36"/>
      <c r="AE15" s="36">
        <v>1</v>
      </c>
      <c r="AF15" s="36"/>
      <c r="AG15" s="36">
        <v>1</v>
      </c>
      <c r="AH15" s="36"/>
      <c r="AI15" s="36">
        <v>1</v>
      </c>
      <c r="AJ15" s="36"/>
      <c r="AK15" s="36">
        <v>1</v>
      </c>
      <c r="AL15" s="36"/>
      <c r="AM15" s="37"/>
      <c r="AN15" s="37"/>
      <c r="AO15" s="51" t="s">
        <v>26</v>
      </c>
      <c r="AP15" s="51" t="s">
        <v>26</v>
      </c>
      <c r="AQ15" s="51" t="s">
        <v>26</v>
      </c>
      <c r="AR15" s="51" t="s">
        <v>26</v>
      </c>
      <c r="AS15" s="51" t="s">
        <v>26</v>
      </c>
      <c r="AT15" s="51" t="s">
        <v>26</v>
      </c>
      <c r="AU15" s="51" t="s">
        <v>26</v>
      </c>
      <c r="AV15" s="51" t="s">
        <v>26</v>
      </c>
      <c r="AW15" s="51" t="s">
        <v>26</v>
      </c>
      <c r="AX15" s="51" t="s">
        <v>26</v>
      </c>
      <c r="AY15" s="71"/>
    </row>
    <row r="16" spans="1:52" x14ac:dyDescent="0.25">
      <c r="A16" s="17">
        <v>1</v>
      </c>
      <c r="B16" s="17"/>
      <c r="C16" s="37"/>
      <c r="D16" s="37"/>
      <c r="E16" s="36">
        <v>1</v>
      </c>
      <c r="F16" s="36"/>
      <c r="G16" s="36">
        <v>1</v>
      </c>
      <c r="H16" s="36"/>
      <c r="I16" s="36">
        <v>1</v>
      </c>
      <c r="J16" s="36"/>
      <c r="K16" s="36">
        <v>1</v>
      </c>
      <c r="L16" s="36"/>
      <c r="M16" s="36">
        <v>1</v>
      </c>
      <c r="N16" s="36"/>
      <c r="O16" s="37"/>
      <c r="P16" s="37"/>
      <c r="Q16" s="36">
        <v>1</v>
      </c>
      <c r="R16" s="36"/>
      <c r="S16" s="36">
        <v>1</v>
      </c>
      <c r="T16" s="36"/>
      <c r="U16" s="36">
        <v>1</v>
      </c>
      <c r="V16" s="36"/>
      <c r="W16" s="36">
        <v>1</v>
      </c>
      <c r="X16" s="36"/>
      <c r="Y16" s="36">
        <v>1</v>
      </c>
      <c r="Z16" s="36"/>
      <c r="AA16" s="37"/>
      <c r="AB16" s="37"/>
      <c r="AC16" s="36">
        <v>1</v>
      </c>
      <c r="AD16" s="36"/>
      <c r="AE16" s="36">
        <v>1</v>
      </c>
      <c r="AF16" s="36"/>
      <c r="AG16" s="36">
        <v>1</v>
      </c>
      <c r="AH16" s="36"/>
      <c r="AI16" s="52" t="s">
        <v>17</v>
      </c>
      <c r="AJ16" s="52" t="s">
        <v>17</v>
      </c>
      <c r="AK16" s="36">
        <v>1</v>
      </c>
      <c r="AL16" s="36"/>
      <c r="AM16" s="37"/>
      <c r="AN16" s="37"/>
      <c r="AO16" s="36">
        <v>1</v>
      </c>
      <c r="AP16" s="36"/>
      <c r="AQ16" s="36">
        <v>1</v>
      </c>
      <c r="AR16" s="36"/>
      <c r="AS16" s="36">
        <v>1</v>
      </c>
      <c r="AT16" s="36"/>
      <c r="AU16" s="36">
        <v>1</v>
      </c>
      <c r="AV16" s="36"/>
      <c r="AW16" s="36">
        <v>1</v>
      </c>
      <c r="AX16" s="36"/>
      <c r="AY16" s="71"/>
    </row>
    <row r="17" spans="1:55" x14ac:dyDescent="0.25">
      <c r="A17" s="17">
        <v>1</v>
      </c>
      <c r="B17" s="17"/>
      <c r="C17" s="37"/>
      <c r="D17" s="37"/>
      <c r="E17" s="36">
        <v>1</v>
      </c>
      <c r="F17" s="36"/>
      <c r="G17" s="36">
        <v>1</v>
      </c>
      <c r="H17" s="36"/>
      <c r="I17" s="36">
        <v>1</v>
      </c>
      <c r="J17" s="36"/>
      <c r="K17" s="36">
        <v>1</v>
      </c>
      <c r="L17" s="36"/>
      <c r="M17" s="36">
        <v>1</v>
      </c>
      <c r="N17" s="36"/>
      <c r="O17" s="37"/>
      <c r="P17" s="37"/>
      <c r="Q17" s="36">
        <v>1</v>
      </c>
      <c r="R17" s="36"/>
      <c r="S17" s="36">
        <v>1</v>
      </c>
      <c r="T17" s="36"/>
      <c r="U17" s="36">
        <v>1</v>
      </c>
      <c r="V17" s="36"/>
      <c r="W17" s="36">
        <v>1</v>
      </c>
      <c r="X17" s="36"/>
      <c r="Y17" s="36">
        <v>1</v>
      </c>
      <c r="Z17" s="36"/>
      <c r="AA17" s="37"/>
      <c r="AB17" s="37"/>
      <c r="AC17" s="36">
        <v>1</v>
      </c>
      <c r="AD17" s="36"/>
      <c r="AE17" s="36">
        <v>1</v>
      </c>
      <c r="AF17" s="36"/>
      <c r="AG17" s="36">
        <v>1</v>
      </c>
      <c r="AH17" s="36"/>
      <c r="AI17" s="36">
        <v>1</v>
      </c>
      <c r="AJ17" s="36"/>
      <c r="AK17" s="36">
        <v>1</v>
      </c>
      <c r="AL17" s="36"/>
      <c r="AM17" s="37"/>
      <c r="AN17" s="37"/>
      <c r="AO17" s="36">
        <v>1</v>
      </c>
      <c r="AP17" s="36"/>
      <c r="AQ17" s="36">
        <v>1</v>
      </c>
      <c r="AR17" s="36"/>
      <c r="AS17" s="36">
        <v>1</v>
      </c>
      <c r="AT17" s="36"/>
      <c r="AU17" s="36">
        <v>1</v>
      </c>
      <c r="AV17" s="36"/>
      <c r="AW17" s="36">
        <v>1</v>
      </c>
      <c r="AX17" s="36"/>
      <c r="AY17" s="71"/>
    </row>
    <row r="18" spans="1:55" x14ac:dyDescent="0.25">
      <c r="A18" s="17">
        <v>1</v>
      </c>
      <c r="B18" s="17"/>
      <c r="C18" s="37"/>
      <c r="D18" s="37"/>
      <c r="E18" s="36">
        <v>1</v>
      </c>
      <c r="F18" s="36"/>
      <c r="G18" s="36">
        <v>1</v>
      </c>
      <c r="H18" s="36"/>
      <c r="I18" s="36">
        <v>1</v>
      </c>
      <c r="J18" s="36"/>
      <c r="K18" s="36">
        <v>1</v>
      </c>
      <c r="L18" s="36"/>
      <c r="M18" s="36">
        <v>1</v>
      </c>
      <c r="N18" s="36"/>
      <c r="O18" s="37"/>
      <c r="P18" s="37"/>
      <c r="Q18" s="36">
        <v>1</v>
      </c>
      <c r="R18" s="36"/>
      <c r="S18" s="43" t="s">
        <v>2</v>
      </c>
      <c r="T18" s="43" t="s">
        <v>2</v>
      </c>
      <c r="U18" s="36">
        <v>1</v>
      </c>
      <c r="V18" s="36"/>
      <c r="W18" s="43" t="s">
        <v>2</v>
      </c>
      <c r="X18" s="43" t="s">
        <v>2</v>
      </c>
      <c r="Y18" s="36">
        <v>1</v>
      </c>
      <c r="Z18" s="36"/>
      <c r="AA18" s="37"/>
      <c r="AB18" s="37"/>
      <c r="AC18" s="36">
        <v>1</v>
      </c>
      <c r="AD18" s="36"/>
      <c r="AE18" s="43" t="s">
        <v>2</v>
      </c>
      <c r="AF18" s="43" t="s">
        <v>2</v>
      </c>
      <c r="AG18" s="43" t="s">
        <v>2</v>
      </c>
      <c r="AH18" s="43" t="s">
        <v>2</v>
      </c>
      <c r="AI18" s="36">
        <v>1</v>
      </c>
      <c r="AJ18" s="36"/>
      <c r="AK18" s="36">
        <v>1</v>
      </c>
      <c r="AL18" s="36"/>
      <c r="AM18" s="37"/>
      <c r="AN18" s="37"/>
      <c r="AO18" s="36">
        <v>1</v>
      </c>
      <c r="AP18" s="36"/>
      <c r="AQ18" s="36">
        <v>1</v>
      </c>
      <c r="AR18" s="36"/>
      <c r="AS18" s="36">
        <v>1</v>
      </c>
      <c r="AT18" s="36"/>
      <c r="AU18" s="36">
        <v>1</v>
      </c>
      <c r="AV18" s="36"/>
      <c r="AW18" s="36">
        <v>1</v>
      </c>
      <c r="AX18" s="36"/>
      <c r="AY18" s="71"/>
    </row>
    <row r="19" spans="1:55" x14ac:dyDescent="0.25">
      <c r="A19" s="17">
        <v>1</v>
      </c>
      <c r="B19" s="15"/>
      <c r="C19" s="37"/>
      <c r="D19" s="37"/>
      <c r="E19" s="56">
        <v>1</v>
      </c>
      <c r="F19" s="56"/>
      <c r="G19" s="56">
        <v>1</v>
      </c>
      <c r="H19" s="56"/>
      <c r="I19" s="56">
        <v>1</v>
      </c>
      <c r="J19" s="56"/>
      <c r="K19" s="56">
        <v>1</v>
      </c>
      <c r="L19" s="56"/>
      <c r="M19" s="56">
        <v>1</v>
      </c>
      <c r="N19" s="56"/>
      <c r="O19" s="37"/>
      <c r="P19" s="37"/>
      <c r="Q19" s="56">
        <v>1</v>
      </c>
      <c r="R19" s="56"/>
      <c r="S19" s="56">
        <v>1</v>
      </c>
      <c r="T19" s="56"/>
      <c r="U19" s="56">
        <v>1</v>
      </c>
      <c r="V19" s="56"/>
      <c r="W19" s="56">
        <v>1</v>
      </c>
      <c r="X19" s="56"/>
      <c r="Y19" s="56">
        <v>1</v>
      </c>
      <c r="Z19" s="56"/>
      <c r="AA19" s="37"/>
      <c r="AB19" s="37"/>
      <c r="AC19" s="56">
        <v>1</v>
      </c>
      <c r="AD19" s="56"/>
      <c r="AE19" s="56">
        <v>1</v>
      </c>
      <c r="AF19" s="56"/>
      <c r="AG19" s="56">
        <v>1</v>
      </c>
      <c r="AH19" s="56"/>
      <c r="AI19" s="56">
        <v>1</v>
      </c>
      <c r="AJ19" s="56"/>
      <c r="AK19" s="43" t="s">
        <v>2</v>
      </c>
      <c r="AL19" s="43" t="s">
        <v>2</v>
      </c>
      <c r="AM19" s="37"/>
      <c r="AN19" s="37"/>
      <c r="AO19" s="56">
        <v>1</v>
      </c>
      <c r="AP19" s="56"/>
      <c r="AQ19" s="56">
        <v>1</v>
      </c>
      <c r="AR19" s="56"/>
      <c r="AS19" s="56">
        <v>1</v>
      </c>
      <c r="AT19" s="56"/>
      <c r="AU19" s="56">
        <v>1</v>
      </c>
      <c r="AV19" s="56"/>
      <c r="AW19" s="56">
        <v>1</v>
      </c>
      <c r="AX19" s="56"/>
      <c r="AY19" s="71"/>
    </row>
    <row r="20" spans="1:55" x14ac:dyDescent="0.25">
      <c r="A20" s="17">
        <v>1</v>
      </c>
      <c r="B20" s="15"/>
      <c r="C20" s="37"/>
      <c r="D20" s="37"/>
      <c r="E20" s="56">
        <v>1</v>
      </c>
      <c r="F20" s="56"/>
      <c r="G20" s="56">
        <v>1</v>
      </c>
      <c r="H20" s="56"/>
      <c r="I20" s="56">
        <v>1</v>
      </c>
      <c r="J20" s="56"/>
      <c r="K20" s="56">
        <v>1</v>
      </c>
      <c r="L20" s="56"/>
      <c r="M20" s="56">
        <v>1</v>
      </c>
      <c r="N20" s="56"/>
      <c r="O20" s="37"/>
      <c r="P20" s="37"/>
      <c r="Q20" s="43" t="s">
        <v>2</v>
      </c>
      <c r="R20" s="43" t="s">
        <v>2</v>
      </c>
      <c r="S20" s="56">
        <v>1</v>
      </c>
      <c r="T20" s="56"/>
      <c r="U20" s="56">
        <v>1</v>
      </c>
      <c r="V20" s="56"/>
      <c r="W20" s="56">
        <v>1</v>
      </c>
      <c r="X20" s="56"/>
      <c r="Y20" s="56"/>
      <c r="Z20" s="56"/>
      <c r="AA20" s="37"/>
      <c r="AB20" s="37"/>
      <c r="AC20" s="56">
        <v>1</v>
      </c>
      <c r="AD20" s="56"/>
      <c r="AE20" s="43" t="s">
        <v>2</v>
      </c>
      <c r="AF20" s="43" t="s">
        <v>2</v>
      </c>
      <c r="AG20" s="43" t="s">
        <v>2</v>
      </c>
      <c r="AH20" s="43" t="s">
        <v>2</v>
      </c>
      <c r="AI20" s="43" t="s">
        <v>2</v>
      </c>
      <c r="AJ20" s="43" t="s">
        <v>2</v>
      </c>
      <c r="AK20" s="56">
        <v>1</v>
      </c>
      <c r="AL20" s="56"/>
      <c r="AM20" s="37"/>
      <c r="AN20" s="37"/>
      <c r="AO20" s="56">
        <v>1</v>
      </c>
      <c r="AP20" s="56"/>
      <c r="AQ20" s="56">
        <v>1</v>
      </c>
      <c r="AR20" s="56"/>
      <c r="AS20" s="56">
        <v>1</v>
      </c>
      <c r="AT20" s="56"/>
      <c r="AU20" s="56">
        <v>1</v>
      </c>
      <c r="AV20" s="56"/>
      <c r="AW20" s="56">
        <v>1</v>
      </c>
      <c r="AX20" s="56"/>
      <c r="AY20" s="71"/>
    </row>
    <row r="21" spans="1:55" x14ac:dyDescent="0.25">
      <c r="A21" s="17">
        <v>1</v>
      </c>
      <c r="B21" s="15"/>
      <c r="C21" s="37"/>
      <c r="D21" s="37"/>
      <c r="E21" s="56">
        <v>1</v>
      </c>
      <c r="F21" s="56"/>
      <c r="G21" s="56">
        <v>1</v>
      </c>
      <c r="H21" s="56"/>
      <c r="I21" s="56">
        <v>1</v>
      </c>
      <c r="J21" s="56"/>
      <c r="K21" s="56">
        <v>1</v>
      </c>
      <c r="L21" s="56"/>
      <c r="M21" s="56">
        <v>1</v>
      </c>
      <c r="N21" s="56"/>
      <c r="O21" s="37"/>
      <c r="P21" s="37"/>
      <c r="Q21" s="56">
        <v>1</v>
      </c>
      <c r="R21" s="56"/>
      <c r="S21" s="43" t="s">
        <v>2</v>
      </c>
      <c r="T21" s="43" t="s">
        <v>2</v>
      </c>
      <c r="U21" s="43" t="s">
        <v>2</v>
      </c>
      <c r="V21" s="43" t="s">
        <v>2</v>
      </c>
      <c r="W21" s="43" t="s">
        <v>2</v>
      </c>
      <c r="X21" s="43" t="s">
        <v>2</v>
      </c>
      <c r="Y21" s="43" t="s">
        <v>2</v>
      </c>
      <c r="Z21" s="43" t="s">
        <v>2</v>
      </c>
      <c r="AA21" s="37"/>
      <c r="AB21" s="37"/>
      <c r="AC21" s="56">
        <v>1</v>
      </c>
      <c r="AD21" s="56"/>
      <c r="AE21" s="56">
        <v>1</v>
      </c>
      <c r="AF21" s="56"/>
      <c r="AG21" s="56">
        <v>1</v>
      </c>
      <c r="AH21" s="56"/>
      <c r="AI21" s="56">
        <v>1</v>
      </c>
      <c r="AJ21" s="56"/>
      <c r="AK21" s="56">
        <v>1</v>
      </c>
      <c r="AL21" s="56"/>
      <c r="AM21" s="37"/>
      <c r="AN21" s="37"/>
      <c r="AO21" s="56">
        <v>1</v>
      </c>
      <c r="AP21" s="56"/>
      <c r="AQ21" s="43" t="s">
        <v>2</v>
      </c>
      <c r="AR21" s="43" t="s">
        <v>2</v>
      </c>
      <c r="AS21" s="43" t="s">
        <v>2</v>
      </c>
      <c r="AT21" s="43" t="s">
        <v>2</v>
      </c>
      <c r="AU21" s="43" t="s">
        <v>2</v>
      </c>
      <c r="AV21" s="43" t="s">
        <v>2</v>
      </c>
      <c r="AW21" s="43" t="s">
        <v>2</v>
      </c>
      <c r="AX21" s="43" t="s">
        <v>2</v>
      </c>
      <c r="AY21" s="71"/>
    </row>
    <row r="22" spans="1:55" x14ac:dyDescent="0.25">
      <c r="A22" s="17">
        <v>1</v>
      </c>
      <c r="B22" s="15"/>
      <c r="C22" s="37"/>
      <c r="D22" s="37"/>
      <c r="E22" s="43" t="s">
        <v>2</v>
      </c>
      <c r="F22" s="43" t="s">
        <v>2</v>
      </c>
      <c r="G22" s="56">
        <v>1</v>
      </c>
      <c r="H22" s="56"/>
      <c r="I22" s="56">
        <v>1</v>
      </c>
      <c r="J22" s="56"/>
      <c r="K22" s="56">
        <v>1</v>
      </c>
      <c r="L22" s="56"/>
      <c r="M22" s="56">
        <v>1</v>
      </c>
      <c r="N22" s="56"/>
      <c r="O22" s="37"/>
      <c r="P22" s="37"/>
      <c r="Q22" s="56">
        <v>1</v>
      </c>
      <c r="R22" s="56"/>
      <c r="S22" s="56">
        <v>1</v>
      </c>
      <c r="T22" s="56"/>
      <c r="U22" s="56">
        <v>1</v>
      </c>
      <c r="V22" s="56"/>
      <c r="W22" s="56">
        <v>1</v>
      </c>
      <c r="X22" s="56"/>
      <c r="Y22" s="56">
        <v>1</v>
      </c>
      <c r="Z22" s="56"/>
      <c r="AA22" s="37"/>
      <c r="AB22" s="37"/>
      <c r="AC22" s="56">
        <v>1</v>
      </c>
      <c r="AD22" s="56"/>
      <c r="AE22" s="56">
        <v>1</v>
      </c>
      <c r="AF22" s="56"/>
      <c r="AG22" s="56">
        <v>1</v>
      </c>
      <c r="AH22" s="56"/>
      <c r="AI22" s="56">
        <v>1</v>
      </c>
      <c r="AJ22" s="56"/>
      <c r="AK22" s="56">
        <v>1</v>
      </c>
      <c r="AL22" s="56"/>
      <c r="AM22" s="37"/>
      <c r="AN22" s="37"/>
      <c r="AO22" s="43" t="s">
        <v>2</v>
      </c>
      <c r="AP22" s="43" t="s">
        <v>2</v>
      </c>
      <c r="AQ22" s="56">
        <v>1</v>
      </c>
      <c r="AR22" s="56"/>
      <c r="AS22" s="43" t="s">
        <v>2</v>
      </c>
      <c r="AT22" s="43" t="s">
        <v>2</v>
      </c>
      <c r="AU22" s="56">
        <v>1</v>
      </c>
      <c r="AV22" s="56"/>
      <c r="AW22" s="56">
        <v>1</v>
      </c>
      <c r="AX22" s="56"/>
      <c r="AY22" s="71"/>
    </row>
    <row r="23" spans="1:55" x14ac:dyDescent="0.25">
      <c r="A23" s="17">
        <v>1</v>
      </c>
      <c r="B23" s="17"/>
      <c r="C23" s="37"/>
      <c r="D23" s="37"/>
      <c r="E23" s="36">
        <v>1</v>
      </c>
      <c r="F23" s="36"/>
      <c r="G23" s="36">
        <v>1</v>
      </c>
      <c r="H23" s="36"/>
      <c r="I23" s="36">
        <v>1</v>
      </c>
      <c r="J23" s="36"/>
      <c r="K23" s="36">
        <v>1</v>
      </c>
      <c r="L23" s="36"/>
      <c r="M23" s="36">
        <v>1</v>
      </c>
      <c r="N23" s="36"/>
      <c r="O23" s="37"/>
      <c r="P23" s="37"/>
      <c r="Q23" s="36">
        <v>1</v>
      </c>
      <c r="R23" s="36"/>
      <c r="S23" s="36">
        <v>1</v>
      </c>
      <c r="T23" s="36"/>
      <c r="U23" s="36">
        <v>1</v>
      </c>
      <c r="V23" s="36"/>
      <c r="W23" s="36">
        <v>1</v>
      </c>
      <c r="X23" s="36"/>
      <c r="Y23" s="36">
        <v>1</v>
      </c>
      <c r="Z23" s="36"/>
      <c r="AA23" s="37"/>
      <c r="AB23" s="37"/>
      <c r="AC23" s="36">
        <v>1</v>
      </c>
      <c r="AD23" s="36"/>
      <c r="AE23" s="36">
        <v>1</v>
      </c>
      <c r="AF23" s="36"/>
      <c r="AG23" s="36">
        <v>1</v>
      </c>
      <c r="AH23" s="36"/>
      <c r="AI23" s="36">
        <v>1</v>
      </c>
      <c r="AJ23" s="36"/>
      <c r="AK23" s="36">
        <v>1</v>
      </c>
      <c r="AL23" s="36"/>
      <c r="AM23" s="37"/>
      <c r="AN23" s="37"/>
      <c r="AO23" s="43" t="s">
        <v>2</v>
      </c>
      <c r="AP23" s="43" t="s">
        <v>2</v>
      </c>
      <c r="AQ23" s="43" t="s">
        <v>2</v>
      </c>
      <c r="AR23" s="43" t="s">
        <v>2</v>
      </c>
      <c r="AS23" s="43" t="s">
        <v>2</v>
      </c>
      <c r="AT23" s="43" t="s">
        <v>2</v>
      </c>
      <c r="AU23" s="36">
        <v>1</v>
      </c>
      <c r="AV23" s="36"/>
      <c r="AW23" s="36">
        <v>1</v>
      </c>
      <c r="AX23" s="36"/>
      <c r="AY23" s="71"/>
    </row>
    <row r="24" spans="1:55" x14ac:dyDescent="0.25">
      <c r="A24" s="17">
        <v>1</v>
      </c>
      <c r="B24" s="17"/>
      <c r="C24" s="37"/>
      <c r="D24" s="37"/>
      <c r="E24" s="36">
        <v>1</v>
      </c>
      <c r="F24" s="36"/>
      <c r="G24" s="36">
        <v>1</v>
      </c>
      <c r="H24" s="36"/>
      <c r="I24" s="36">
        <v>1</v>
      </c>
      <c r="J24" s="36"/>
      <c r="K24" s="36">
        <v>1</v>
      </c>
      <c r="L24" s="36"/>
      <c r="M24" s="36">
        <v>1</v>
      </c>
      <c r="N24" s="36"/>
      <c r="O24" s="37"/>
      <c r="P24" s="37"/>
      <c r="Q24" s="36">
        <v>1</v>
      </c>
      <c r="R24" s="36"/>
      <c r="S24" s="36">
        <v>1</v>
      </c>
      <c r="T24" s="36"/>
      <c r="U24" s="36">
        <v>1</v>
      </c>
      <c r="V24" s="36"/>
      <c r="W24" s="36">
        <v>1</v>
      </c>
      <c r="X24" s="36"/>
      <c r="Y24" s="36">
        <v>1</v>
      </c>
      <c r="Z24" s="36"/>
      <c r="AA24" s="37"/>
      <c r="AB24" s="37"/>
      <c r="AC24" s="36">
        <v>1</v>
      </c>
      <c r="AD24" s="36"/>
      <c r="AE24" s="43" t="s">
        <v>2</v>
      </c>
      <c r="AF24" s="43" t="s">
        <v>2</v>
      </c>
      <c r="AG24" s="43" t="s">
        <v>2</v>
      </c>
      <c r="AH24" s="43" t="s">
        <v>2</v>
      </c>
      <c r="AI24" s="43" t="s">
        <v>2</v>
      </c>
      <c r="AJ24" s="43" t="s">
        <v>2</v>
      </c>
      <c r="AK24" s="43" t="s">
        <v>2</v>
      </c>
      <c r="AL24" s="43" t="s">
        <v>2</v>
      </c>
      <c r="AM24" s="37"/>
      <c r="AN24" s="37"/>
      <c r="AO24" s="36">
        <v>1</v>
      </c>
      <c r="AP24" s="36"/>
      <c r="AQ24" s="36">
        <v>1</v>
      </c>
      <c r="AR24" s="36"/>
      <c r="AS24" s="36">
        <v>1</v>
      </c>
      <c r="AT24" s="36"/>
      <c r="AU24" s="36">
        <v>1</v>
      </c>
      <c r="AV24" s="36"/>
      <c r="AW24" s="36">
        <v>1</v>
      </c>
      <c r="AX24" s="36"/>
      <c r="AY24" s="71"/>
    </row>
    <row r="25" spans="1:55" x14ac:dyDescent="0.25">
      <c r="A25" s="17">
        <v>1</v>
      </c>
      <c r="B25" s="17"/>
      <c r="C25" s="37"/>
      <c r="D25" s="37"/>
      <c r="E25" s="43" t="s">
        <v>2</v>
      </c>
      <c r="F25" s="43" t="s">
        <v>2</v>
      </c>
      <c r="G25" s="43" t="s">
        <v>2</v>
      </c>
      <c r="H25" s="43" t="s">
        <v>2</v>
      </c>
      <c r="I25" s="36">
        <v>1</v>
      </c>
      <c r="J25" s="36"/>
      <c r="K25" s="36">
        <v>1</v>
      </c>
      <c r="L25" s="36"/>
      <c r="M25" s="36">
        <v>1</v>
      </c>
      <c r="N25" s="36"/>
      <c r="O25" s="37"/>
      <c r="P25" s="37"/>
      <c r="Q25" s="36">
        <v>1</v>
      </c>
      <c r="R25" s="36"/>
      <c r="S25" s="36">
        <v>1</v>
      </c>
      <c r="T25" s="36"/>
      <c r="U25" s="36">
        <v>1</v>
      </c>
      <c r="V25" s="36"/>
      <c r="W25" s="36">
        <v>1</v>
      </c>
      <c r="X25" s="36"/>
      <c r="Y25" s="36">
        <v>1</v>
      </c>
      <c r="Z25" s="36"/>
      <c r="AA25" s="37"/>
      <c r="AB25" s="37"/>
      <c r="AC25" s="36">
        <v>1</v>
      </c>
      <c r="AD25" s="36"/>
      <c r="AE25" s="36">
        <v>1</v>
      </c>
      <c r="AF25" s="36"/>
      <c r="AG25" s="36">
        <v>1</v>
      </c>
      <c r="AH25" s="36"/>
      <c r="AI25" s="36">
        <v>1</v>
      </c>
      <c r="AJ25" s="36"/>
      <c r="AK25" s="36">
        <v>1</v>
      </c>
      <c r="AL25" s="36"/>
      <c r="AM25" s="37"/>
      <c r="AN25" s="37"/>
      <c r="AO25" s="36">
        <v>1</v>
      </c>
      <c r="AP25" s="36"/>
      <c r="AQ25" s="36">
        <v>1</v>
      </c>
      <c r="AR25" s="36"/>
      <c r="AS25" s="36">
        <v>1</v>
      </c>
      <c r="AT25" s="36"/>
      <c r="AU25" s="36">
        <v>1</v>
      </c>
      <c r="AV25" s="36"/>
      <c r="AW25" s="36">
        <v>1</v>
      </c>
      <c r="AX25" s="36"/>
      <c r="AY25" s="71"/>
    </row>
    <row r="26" spans="1:55" x14ac:dyDescent="0.25">
      <c r="A26" s="17">
        <v>1</v>
      </c>
      <c r="B26" s="17"/>
      <c r="C26" s="37"/>
      <c r="D26" s="37"/>
      <c r="E26" s="36">
        <v>1</v>
      </c>
      <c r="F26" s="36"/>
      <c r="G26" s="36">
        <v>1</v>
      </c>
      <c r="H26" s="36"/>
      <c r="I26" s="36">
        <v>1</v>
      </c>
      <c r="J26" s="36"/>
      <c r="K26" s="36">
        <v>1</v>
      </c>
      <c r="L26" s="36"/>
      <c r="M26" s="36">
        <v>1</v>
      </c>
      <c r="N26" s="36"/>
      <c r="O26" s="37"/>
      <c r="P26" s="37"/>
      <c r="Q26" s="52" t="s">
        <v>17</v>
      </c>
      <c r="R26" s="52" t="s">
        <v>17</v>
      </c>
      <c r="S26" s="52" t="s">
        <v>17</v>
      </c>
      <c r="T26" s="52" t="s">
        <v>17</v>
      </c>
      <c r="U26" s="36">
        <v>1</v>
      </c>
      <c r="V26" s="36"/>
      <c r="W26" s="36">
        <v>1</v>
      </c>
      <c r="X26" s="36"/>
      <c r="Y26" s="36">
        <v>1</v>
      </c>
      <c r="Z26" s="36"/>
      <c r="AA26" s="37"/>
      <c r="AB26" s="37"/>
      <c r="AC26" s="36">
        <v>1</v>
      </c>
      <c r="AD26" s="36"/>
      <c r="AE26" s="36">
        <v>1</v>
      </c>
      <c r="AF26" s="36"/>
      <c r="AG26" s="36">
        <v>1</v>
      </c>
      <c r="AH26" s="36"/>
      <c r="AI26" s="36">
        <v>1</v>
      </c>
      <c r="AJ26" s="36"/>
      <c r="AK26" s="36">
        <v>1</v>
      </c>
      <c r="AL26" s="36"/>
      <c r="AM26" s="37"/>
      <c r="AN26" s="37"/>
      <c r="AO26" s="36">
        <v>1</v>
      </c>
      <c r="AP26" s="36"/>
      <c r="AQ26" s="36">
        <v>1</v>
      </c>
      <c r="AR26" s="36"/>
      <c r="AS26" s="36">
        <v>1</v>
      </c>
      <c r="AT26" s="36"/>
      <c r="AU26" s="36">
        <v>1</v>
      </c>
      <c r="AV26" s="36"/>
      <c r="AW26" s="101" t="s">
        <v>1</v>
      </c>
      <c r="AX26" s="101" t="s">
        <v>1</v>
      </c>
      <c r="AY26" s="71"/>
    </row>
    <row r="27" spans="1:55" x14ac:dyDescent="0.25">
      <c r="A27" s="17">
        <v>1</v>
      </c>
      <c r="B27" s="17"/>
      <c r="C27" s="37"/>
      <c r="D27" s="37"/>
      <c r="E27" s="36">
        <v>1</v>
      </c>
      <c r="F27" s="36"/>
      <c r="G27" s="36">
        <v>1</v>
      </c>
      <c r="H27" s="36"/>
      <c r="I27" s="36">
        <v>1</v>
      </c>
      <c r="J27" s="36"/>
      <c r="K27" s="36">
        <v>1</v>
      </c>
      <c r="L27" s="36"/>
      <c r="M27" s="36">
        <v>1</v>
      </c>
      <c r="N27" s="36"/>
      <c r="O27" s="37"/>
      <c r="P27" s="37"/>
      <c r="Q27" s="41" t="s">
        <v>1</v>
      </c>
      <c r="R27" s="41" t="s">
        <v>1</v>
      </c>
      <c r="S27" s="41" t="s">
        <v>1</v>
      </c>
      <c r="T27" s="41" t="s">
        <v>1</v>
      </c>
      <c r="U27" s="41" t="s">
        <v>1</v>
      </c>
      <c r="V27" s="41" t="s">
        <v>1</v>
      </c>
      <c r="W27" s="41" t="s">
        <v>1</v>
      </c>
      <c r="X27" s="41" t="s">
        <v>1</v>
      </c>
      <c r="Y27" s="41" t="s">
        <v>1</v>
      </c>
      <c r="Z27" s="41" t="s">
        <v>1</v>
      </c>
      <c r="AA27" s="37"/>
      <c r="AB27" s="37"/>
      <c r="AC27" s="43" t="s">
        <v>2</v>
      </c>
      <c r="AD27" s="43" t="s">
        <v>2</v>
      </c>
      <c r="AE27" s="36">
        <v>1</v>
      </c>
      <c r="AF27" s="36"/>
      <c r="AG27" s="36">
        <v>1</v>
      </c>
      <c r="AH27" s="36"/>
      <c r="AI27" s="36">
        <v>1</v>
      </c>
      <c r="AJ27" s="36"/>
      <c r="AK27" s="36">
        <v>1</v>
      </c>
      <c r="AL27" s="36"/>
      <c r="AM27" s="37"/>
      <c r="AN27" s="37"/>
      <c r="AO27" s="36">
        <v>1</v>
      </c>
      <c r="AP27" s="36"/>
      <c r="AQ27" s="36">
        <v>1</v>
      </c>
      <c r="AR27" s="36"/>
      <c r="AS27" s="36">
        <v>1</v>
      </c>
      <c r="AT27" s="36"/>
      <c r="AU27" s="36">
        <v>1</v>
      </c>
      <c r="AV27" s="36"/>
      <c r="AW27" s="36">
        <v>1</v>
      </c>
      <c r="AX27" s="36"/>
      <c r="AY27" s="71"/>
    </row>
    <row r="28" spans="1:55" x14ac:dyDescent="0.25">
      <c r="A28" s="17">
        <v>1</v>
      </c>
      <c r="B28" s="17"/>
      <c r="C28" s="37"/>
      <c r="D28" s="37"/>
      <c r="E28" s="36">
        <v>1</v>
      </c>
      <c r="F28" s="36"/>
      <c r="G28" s="36">
        <v>1</v>
      </c>
      <c r="H28" s="36"/>
      <c r="I28" s="36">
        <v>1</v>
      </c>
      <c r="J28" s="36"/>
      <c r="K28" s="36">
        <v>1</v>
      </c>
      <c r="L28" s="36"/>
      <c r="M28" s="36">
        <v>1</v>
      </c>
      <c r="N28" s="36"/>
      <c r="O28" s="37"/>
      <c r="P28" s="37"/>
      <c r="Q28" s="36">
        <v>1</v>
      </c>
      <c r="R28" s="36"/>
      <c r="S28" s="36">
        <v>1</v>
      </c>
      <c r="T28" s="36"/>
      <c r="U28" s="36">
        <v>1</v>
      </c>
      <c r="V28" s="36"/>
      <c r="W28" s="36">
        <v>1</v>
      </c>
      <c r="X28" s="36"/>
      <c r="Y28" s="36">
        <v>1</v>
      </c>
      <c r="Z28" s="36"/>
      <c r="AA28" s="37"/>
      <c r="AB28" s="37"/>
      <c r="AC28" s="36">
        <v>1</v>
      </c>
      <c r="AD28" s="36"/>
      <c r="AE28" s="36">
        <v>1</v>
      </c>
      <c r="AF28" s="36"/>
      <c r="AG28" s="36">
        <v>1</v>
      </c>
      <c r="AH28" s="36"/>
      <c r="AI28" s="36">
        <v>1</v>
      </c>
      <c r="AJ28" s="36"/>
      <c r="AK28" s="36">
        <v>1</v>
      </c>
      <c r="AL28" s="36"/>
      <c r="AM28" s="37"/>
      <c r="AN28" s="37"/>
      <c r="AO28" s="36">
        <v>1</v>
      </c>
      <c r="AP28" s="36"/>
      <c r="AQ28" s="36">
        <v>1</v>
      </c>
      <c r="AR28" s="36"/>
      <c r="AS28" s="36">
        <v>1</v>
      </c>
      <c r="AT28" s="36"/>
      <c r="AU28" s="43" t="s">
        <v>2</v>
      </c>
      <c r="AV28" s="43" t="s">
        <v>2</v>
      </c>
      <c r="AW28" s="36">
        <v>1</v>
      </c>
      <c r="AX28" s="36"/>
      <c r="AY28" s="71"/>
    </row>
    <row r="29" spans="1:55" x14ac:dyDescent="0.25"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BA29" s="48" t="s">
        <v>2</v>
      </c>
      <c r="BB29" s="48" t="s">
        <v>1</v>
      </c>
      <c r="BC29" s="48" t="s">
        <v>80</v>
      </c>
    </row>
    <row r="30" spans="1:55" x14ac:dyDescent="0.25">
      <c r="A30" s="35" t="s">
        <v>9</v>
      </c>
      <c r="B30" s="35"/>
      <c r="C30" s="29" t="str">
        <f>IF(C11="","",SUM(C11:C28))</f>
        <v/>
      </c>
      <c r="D30" s="29"/>
      <c r="E30" s="29">
        <f t="shared" ref="E30:G30" si="0">SUM(E11:E28)</f>
        <v>15</v>
      </c>
      <c r="F30" s="29"/>
      <c r="G30" s="29">
        <f t="shared" si="0"/>
        <v>16</v>
      </c>
      <c r="H30" s="29"/>
      <c r="I30" s="29">
        <f>IF(I11="","",SUM(I11:I28))</f>
        <v>17</v>
      </c>
      <c r="J30" s="29"/>
      <c r="K30" s="29">
        <f t="shared" ref="K30:AW30" si="1">IF(K11="","",SUM(K11:K28))</f>
        <v>17</v>
      </c>
      <c r="L30" s="29"/>
      <c r="M30" s="29">
        <f t="shared" si="1"/>
        <v>17</v>
      </c>
      <c r="N30" s="29"/>
      <c r="O30" s="29"/>
      <c r="P30" s="29"/>
      <c r="Q30" s="29">
        <f t="shared" si="1"/>
        <v>14</v>
      </c>
      <c r="R30" s="29"/>
      <c r="S30" s="29">
        <f t="shared" si="1"/>
        <v>12</v>
      </c>
      <c r="T30" s="29"/>
      <c r="U30" s="29">
        <f t="shared" si="1"/>
        <v>14</v>
      </c>
      <c r="V30" s="29"/>
      <c r="W30" s="29">
        <f t="shared" si="1"/>
        <v>13</v>
      </c>
      <c r="X30" s="29"/>
      <c r="Y30" s="29">
        <f t="shared" si="1"/>
        <v>13</v>
      </c>
      <c r="Z30" s="29"/>
      <c r="AA30" s="29"/>
      <c r="AB30" s="29"/>
      <c r="AC30" s="29">
        <f t="shared" si="1"/>
        <v>16</v>
      </c>
      <c r="AD30" s="29"/>
      <c r="AE30" s="29">
        <f t="shared" si="1"/>
        <v>14</v>
      </c>
      <c r="AF30" s="29"/>
      <c r="AG30" s="29">
        <f t="shared" si="1"/>
        <v>14</v>
      </c>
      <c r="AH30" s="29"/>
      <c r="AI30" s="29">
        <f t="shared" si="1"/>
        <v>13</v>
      </c>
      <c r="AJ30" s="29"/>
      <c r="AK30" s="29">
        <f t="shared" si="1"/>
        <v>13</v>
      </c>
      <c r="AL30" s="29"/>
      <c r="AM30" s="29"/>
      <c r="AN30" s="29"/>
      <c r="AO30" s="29">
        <f t="shared" si="1"/>
        <v>14</v>
      </c>
      <c r="AP30" s="29"/>
      <c r="AQ30" s="29">
        <f t="shared" si="1"/>
        <v>14</v>
      </c>
      <c r="AR30" s="29"/>
      <c r="AS30" s="29">
        <f t="shared" si="1"/>
        <v>13</v>
      </c>
      <c r="AT30" s="29"/>
      <c r="AU30" s="29">
        <f>IF(AU16="","",SUM(AU11:AU28))</f>
        <v>13</v>
      </c>
      <c r="AV30" s="29"/>
      <c r="AW30" s="29">
        <f t="shared" si="1"/>
        <v>14</v>
      </c>
      <c r="AX30" s="29"/>
      <c r="AY30" s="71"/>
      <c r="AZ30" s="49">
        <f>AVERAGE(C30:AX30)</f>
        <v>14.3</v>
      </c>
      <c r="BA30" s="127">
        <f>COUNTIF((C11:AX28),"RTT")/2</f>
        <v>39</v>
      </c>
      <c r="BB30" s="64">
        <f>COUNTIF((C11:AX28),"CP")/2</f>
        <v>6</v>
      </c>
      <c r="BC30" s="128">
        <f>COUNTIF((C11:AX28),"1")</f>
        <v>286</v>
      </c>
    </row>
    <row r="31" spans="1:55" x14ac:dyDescent="0.25">
      <c r="A31" s="35" t="s">
        <v>10</v>
      </c>
      <c r="B31" s="35"/>
      <c r="C31" s="29" t="str">
        <f>IF(C30="","",(18-C30))</f>
        <v/>
      </c>
      <c r="D31" s="29"/>
      <c r="E31" s="29">
        <f t="shared" ref="E31:AW31" si="2">IF(E30="","",(18-E30))</f>
        <v>3</v>
      </c>
      <c r="F31" s="29"/>
      <c r="G31" s="29">
        <f t="shared" si="2"/>
        <v>2</v>
      </c>
      <c r="H31" s="29"/>
      <c r="I31" s="29">
        <f t="shared" si="2"/>
        <v>1</v>
      </c>
      <c r="J31" s="29" t="str">
        <f t="shared" si="2"/>
        <v/>
      </c>
      <c r="K31" s="29">
        <f t="shared" si="2"/>
        <v>1</v>
      </c>
      <c r="L31" s="29"/>
      <c r="M31" s="29">
        <f t="shared" si="2"/>
        <v>1</v>
      </c>
      <c r="N31" s="29"/>
      <c r="O31" s="29"/>
      <c r="P31" s="29"/>
      <c r="Q31" s="29">
        <f t="shared" si="2"/>
        <v>4</v>
      </c>
      <c r="R31" s="29"/>
      <c r="S31" s="29">
        <f t="shared" si="2"/>
        <v>6</v>
      </c>
      <c r="T31" s="29"/>
      <c r="U31" s="29">
        <f t="shared" si="2"/>
        <v>4</v>
      </c>
      <c r="V31" s="29"/>
      <c r="W31" s="29">
        <f t="shared" si="2"/>
        <v>5</v>
      </c>
      <c r="X31" s="29"/>
      <c r="Y31" s="29">
        <f t="shared" si="2"/>
        <v>5</v>
      </c>
      <c r="Z31" s="29"/>
      <c r="AA31" s="29"/>
      <c r="AB31" s="29"/>
      <c r="AC31" s="29">
        <f t="shared" si="2"/>
        <v>2</v>
      </c>
      <c r="AD31" s="29"/>
      <c r="AE31" s="29">
        <f t="shared" si="2"/>
        <v>4</v>
      </c>
      <c r="AF31" s="29"/>
      <c r="AG31" s="29">
        <f t="shared" si="2"/>
        <v>4</v>
      </c>
      <c r="AH31" s="29" t="str">
        <f t="shared" si="2"/>
        <v/>
      </c>
      <c r="AI31" s="29">
        <f t="shared" si="2"/>
        <v>5</v>
      </c>
      <c r="AJ31" s="29"/>
      <c r="AK31" s="29">
        <f t="shared" si="2"/>
        <v>5</v>
      </c>
      <c r="AL31" s="29"/>
      <c r="AM31" s="29"/>
      <c r="AN31" s="29"/>
      <c r="AO31" s="29">
        <f t="shared" si="2"/>
        <v>4</v>
      </c>
      <c r="AP31" s="29"/>
      <c r="AQ31" s="29">
        <f t="shared" si="2"/>
        <v>4</v>
      </c>
      <c r="AR31" s="29"/>
      <c r="AS31" s="29">
        <f t="shared" si="2"/>
        <v>5</v>
      </c>
      <c r="AT31" s="29"/>
      <c r="AU31" s="29">
        <f t="shared" si="2"/>
        <v>5</v>
      </c>
      <c r="AV31" s="29" t="str">
        <f t="shared" si="2"/>
        <v/>
      </c>
      <c r="AW31" s="29">
        <f t="shared" si="2"/>
        <v>4</v>
      </c>
      <c r="AX31" s="29"/>
      <c r="AY31" s="71"/>
      <c r="AZ31" s="49">
        <f>AVERAGE(C31:AX31)</f>
        <v>3.7</v>
      </c>
    </row>
    <row r="32" spans="1:55" x14ac:dyDescent="0.25"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</row>
    <row r="33" spans="1:51" x14ac:dyDescent="0.25">
      <c r="B33" s="26" t="s">
        <v>11</v>
      </c>
      <c r="C33" s="18">
        <v>41944</v>
      </c>
      <c r="D33" s="18">
        <v>41945</v>
      </c>
      <c r="E33" s="57">
        <v>41673</v>
      </c>
      <c r="F33" s="57"/>
      <c r="G33" s="57">
        <v>41674</v>
      </c>
      <c r="H33" s="57"/>
      <c r="I33" s="57">
        <v>41675</v>
      </c>
      <c r="J33" s="57"/>
      <c r="K33" s="57">
        <v>41676</v>
      </c>
      <c r="L33" s="57"/>
      <c r="M33" s="57">
        <v>41677</v>
      </c>
      <c r="N33" s="57"/>
      <c r="O33" s="18">
        <v>41678</v>
      </c>
      <c r="P33" s="18">
        <v>41952</v>
      </c>
      <c r="Q33" s="57">
        <v>41680</v>
      </c>
      <c r="R33" s="57"/>
      <c r="S33" s="57">
        <v>41681</v>
      </c>
      <c r="T33" s="57"/>
      <c r="U33" s="57">
        <v>41682</v>
      </c>
      <c r="V33" s="57"/>
      <c r="W33" s="57">
        <v>41956</v>
      </c>
      <c r="X33" s="57"/>
      <c r="Y33" s="57">
        <v>41684</v>
      </c>
      <c r="Z33" s="57"/>
      <c r="AA33" s="18">
        <v>41685</v>
      </c>
      <c r="AB33" s="18">
        <v>41686</v>
      </c>
      <c r="AC33" s="57">
        <v>41687</v>
      </c>
      <c r="AD33" s="57"/>
      <c r="AE33" s="57">
        <v>41688</v>
      </c>
      <c r="AF33" s="57"/>
      <c r="AG33" s="57">
        <v>41689</v>
      </c>
      <c r="AH33" s="57"/>
      <c r="AI33" s="57">
        <v>41690</v>
      </c>
      <c r="AJ33" s="57"/>
      <c r="AK33" s="57">
        <v>41691</v>
      </c>
      <c r="AL33" s="57"/>
      <c r="AM33" s="18">
        <v>41692</v>
      </c>
      <c r="AN33" s="18">
        <v>41693</v>
      </c>
      <c r="AO33" s="57">
        <v>41694</v>
      </c>
      <c r="AP33" s="57"/>
      <c r="AQ33" s="57">
        <v>41695</v>
      </c>
      <c r="AR33" s="57"/>
      <c r="AS33" s="57">
        <v>41696</v>
      </c>
      <c r="AT33" s="57"/>
      <c r="AU33" s="57">
        <v>41697</v>
      </c>
      <c r="AV33" s="57"/>
      <c r="AW33" s="57">
        <v>41698</v>
      </c>
      <c r="AX33" s="57"/>
      <c r="AY33" s="71"/>
    </row>
    <row r="34" spans="1:51" x14ac:dyDescent="0.25">
      <c r="A34" s="22">
        <v>2</v>
      </c>
      <c r="B34" s="22">
        <v>24</v>
      </c>
      <c r="C34" s="40"/>
      <c r="D34" s="40"/>
      <c r="E34" s="39"/>
      <c r="F34" s="39" t="str">
        <f>IF(E34="","",E34/B34)</f>
        <v/>
      </c>
      <c r="G34" s="39">
        <v>26.814</v>
      </c>
      <c r="H34" s="39">
        <f>IF(G34="","",G34/B34)</f>
        <v>1.1172500000000001</v>
      </c>
      <c r="I34" s="39">
        <f>5.031</f>
        <v>5.0309999999999997</v>
      </c>
      <c r="J34" s="39">
        <f>IF(I34="","",I34/B34)</f>
        <v>0.20962499999999998</v>
      </c>
      <c r="K34" s="39">
        <f>11.184</f>
        <v>11.183999999999999</v>
      </c>
      <c r="L34" s="39">
        <f>IF(K34="","",K34/B34)</f>
        <v>0.46599999999999997</v>
      </c>
      <c r="M34" s="39">
        <f>20.255</f>
        <v>20.254999999999999</v>
      </c>
      <c r="N34" s="39">
        <f>IF(M34="","",M34/B34)</f>
        <v>0.84395833333333325</v>
      </c>
      <c r="O34" s="40"/>
      <c r="P34" s="40"/>
      <c r="Q34" s="39">
        <v>7.45</v>
      </c>
      <c r="R34" s="39">
        <f>IF(Q34="","",Q34/B34)</f>
        <v>0.31041666666666667</v>
      </c>
      <c r="S34" s="39">
        <f>9.411</f>
        <v>9.4109999999999996</v>
      </c>
      <c r="T34" s="39">
        <f>IF(S34="","",S34/B34)</f>
        <v>0.392125</v>
      </c>
      <c r="U34" s="39">
        <v>19.690000000000001</v>
      </c>
      <c r="V34" s="39">
        <f>IF(U34="","",U34/B34)</f>
        <v>0.82041666666666668</v>
      </c>
      <c r="W34" s="39">
        <v>25.861000000000001</v>
      </c>
      <c r="X34" s="39">
        <f>IF(W34="","",W34/B34)</f>
        <v>1.0775416666666666</v>
      </c>
      <c r="Y34" s="39">
        <f>8.802</f>
        <v>8.8019999999999996</v>
      </c>
      <c r="Z34" s="39">
        <f>IF(Y34="","",Y34/B34)</f>
        <v>0.36674999999999996</v>
      </c>
      <c r="AA34" s="40"/>
      <c r="AB34" s="40"/>
      <c r="AC34" s="39">
        <v>17.753</v>
      </c>
      <c r="AD34" s="39">
        <f>IF(AC34="","",AC34/B34)</f>
        <v>0.7397083333333333</v>
      </c>
      <c r="AE34" s="39"/>
      <c r="AF34" s="39" t="str">
        <f>IF(AE34="","",AE34/B34)</f>
        <v/>
      </c>
      <c r="AG34" s="39"/>
      <c r="AH34" s="39" t="str">
        <f>IF(AG34="","",AG34/B34)</f>
        <v/>
      </c>
      <c r="AI34" s="39"/>
      <c r="AJ34" s="39" t="str">
        <f>IF(AI34="","",AI34/B34)</f>
        <v/>
      </c>
      <c r="AK34" s="39"/>
      <c r="AL34" s="39" t="str">
        <f>IF(AK34="","",AK34/B34)</f>
        <v/>
      </c>
      <c r="AM34" s="40"/>
      <c r="AN34" s="40"/>
      <c r="AO34" s="39">
        <v>13.535</v>
      </c>
      <c r="AP34" s="39">
        <f>IF(AO34="","",AO34/B34)</f>
        <v>0.56395833333333334</v>
      </c>
      <c r="AQ34" s="39">
        <f>13.181</f>
        <v>13.180999999999999</v>
      </c>
      <c r="AR34" s="39">
        <f>IF(AQ34="","",AQ34/B34)</f>
        <v>0.5492083333333333</v>
      </c>
      <c r="AS34" s="39">
        <f>16.276</f>
        <v>16.276</v>
      </c>
      <c r="AT34" s="39">
        <f>IF(AS34="","",AS34/B34)</f>
        <v>0.6781666666666667</v>
      </c>
      <c r="AU34" s="39">
        <v>15.303000000000001</v>
      </c>
      <c r="AV34" s="39">
        <f>IF(AU34="","",AU34/B34)</f>
        <v>0.637625</v>
      </c>
      <c r="AW34" s="39">
        <v>9.2609999999999992</v>
      </c>
      <c r="AX34" s="39">
        <f>IF(AW34="","",AW34/B34)</f>
        <v>0.38587499999999997</v>
      </c>
      <c r="AY34" s="71"/>
    </row>
    <row r="35" spans="1:51" x14ac:dyDescent="0.25">
      <c r="A35" s="22">
        <v>2</v>
      </c>
      <c r="B35" s="22">
        <v>15</v>
      </c>
      <c r="C35" s="40"/>
      <c r="D35" s="40"/>
      <c r="E35" s="39">
        <v>10.85</v>
      </c>
      <c r="F35" s="39">
        <f t="shared" ref="F35:F57" si="3">IF(E35="","",E35/B35)</f>
        <v>0.72333333333333327</v>
      </c>
      <c r="G35" s="39">
        <v>11.957000000000001</v>
      </c>
      <c r="H35" s="39">
        <f t="shared" ref="H35:H57" si="4">IF(G35="","",G35/B35)</f>
        <v>0.79713333333333336</v>
      </c>
      <c r="I35" s="39">
        <f>8.06</f>
        <v>8.06</v>
      </c>
      <c r="J35" s="39">
        <f t="shared" ref="J35:J55" si="5">IF(I35="","",I35/B35)</f>
        <v>0.53733333333333333</v>
      </c>
      <c r="K35" s="39">
        <f>11.502</f>
        <v>11.502000000000001</v>
      </c>
      <c r="L35" s="39">
        <f t="shared" ref="L35:L57" si="6">IF(K35="","",K35/B35)</f>
        <v>0.76680000000000004</v>
      </c>
      <c r="M35" s="39">
        <f>3.402</f>
        <v>3.4020000000000001</v>
      </c>
      <c r="N35" s="39">
        <f t="shared" ref="N35:N57" si="7">IF(M35="","",M35/B35)</f>
        <v>0.2268</v>
      </c>
      <c r="O35" s="40"/>
      <c r="P35" s="40"/>
      <c r="Q35" s="39"/>
      <c r="R35" s="39" t="str">
        <f t="shared" ref="R35:R57" si="8">IF(Q35="","",Q35/B35)</f>
        <v/>
      </c>
      <c r="S35" s="39"/>
      <c r="T35" s="39" t="str">
        <f t="shared" ref="T35:T57" si="9">IF(S35="","",S35/B35)</f>
        <v/>
      </c>
      <c r="U35" s="39">
        <v>7.11</v>
      </c>
      <c r="V35" s="39">
        <f t="shared" ref="V35:V57" si="10">IF(U35="","",U35/B35)</f>
        <v>0.47400000000000003</v>
      </c>
      <c r="W35" s="39">
        <v>8.6669999999999998</v>
      </c>
      <c r="X35" s="39">
        <f t="shared" ref="X35:X57" si="11">IF(W35="","",W35/B35)</f>
        <v>0.57779999999999998</v>
      </c>
      <c r="Y35" s="39">
        <v>4.7039999999999997</v>
      </c>
      <c r="Z35" s="39">
        <f t="shared" ref="Z35:Z57" si="12">IF(Y35="","",Y35/B35)</f>
        <v>0.31359999999999999</v>
      </c>
      <c r="AA35" s="40"/>
      <c r="AB35" s="40"/>
      <c r="AC35" s="39">
        <v>10.798999999999999</v>
      </c>
      <c r="AD35" s="39">
        <f t="shared" ref="AD35:AD57" si="13">IF(AC35="","",AC35/B35)</f>
        <v>0.71993333333333331</v>
      </c>
      <c r="AE35" s="39">
        <v>10.231</v>
      </c>
      <c r="AF35" s="39">
        <f t="shared" ref="AF35:AF57" si="14">IF(AE35="","",AE35/B35)</f>
        <v>0.68206666666666671</v>
      </c>
      <c r="AG35" s="39">
        <v>8.1379999999999999</v>
      </c>
      <c r="AH35" s="39">
        <f t="shared" ref="AH35:AH57" si="15">IF(AG35="","",AG35/B35)</f>
        <v>0.54253333333333331</v>
      </c>
      <c r="AI35" s="39">
        <v>10.493</v>
      </c>
      <c r="AJ35" s="39">
        <f t="shared" ref="AJ35:AJ57" si="16">IF(AI35="","",AI35/B35)</f>
        <v>0.69953333333333334</v>
      </c>
      <c r="AK35" s="39">
        <v>7.8620000000000001</v>
      </c>
      <c r="AL35" s="39">
        <f t="shared" ref="AL35:AL57" si="17">IF(AK35="","",AK35/B35)</f>
        <v>0.52413333333333334</v>
      </c>
      <c r="AM35" s="40"/>
      <c r="AN35" s="40"/>
      <c r="AO35" s="39">
        <v>6.46</v>
      </c>
      <c r="AP35" s="39">
        <f t="shared" ref="AP35:AP57" si="18">IF(AO35="","",AO35/B35)</f>
        <v>0.43066666666666664</v>
      </c>
      <c r="AQ35" s="39">
        <f>11.311</f>
        <v>11.311</v>
      </c>
      <c r="AR35" s="39">
        <f t="shared" ref="AR35:AR57" si="19">IF(AQ35="","",AQ35/B35)</f>
        <v>0.75406666666666666</v>
      </c>
      <c r="AS35" s="39">
        <f>8.231</f>
        <v>8.2309999999999999</v>
      </c>
      <c r="AT35" s="39">
        <f t="shared" ref="AT35:AT57" si="20">IF(AS35="","",AS35/B35)</f>
        <v>0.5487333333333333</v>
      </c>
      <c r="AU35" s="39">
        <f>11.19</f>
        <v>11.19</v>
      </c>
      <c r="AV35" s="39">
        <f t="shared" ref="AV35:AV57" si="21">IF(AU35="","",AU35/B35)</f>
        <v>0.746</v>
      </c>
      <c r="AW35" s="39"/>
      <c r="AX35" s="39" t="str">
        <f t="shared" ref="AX35:AX57" si="22">IF(AW35="","",AW35/B35)</f>
        <v/>
      </c>
      <c r="AY35" s="71"/>
    </row>
    <row r="36" spans="1:51" x14ac:dyDescent="0.25">
      <c r="A36" s="22">
        <v>2</v>
      </c>
      <c r="B36" s="22">
        <v>15</v>
      </c>
      <c r="C36" s="40"/>
      <c r="D36" s="40"/>
      <c r="E36" s="39"/>
      <c r="F36" s="39" t="str">
        <f t="shared" si="3"/>
        <v/>
      </c>
      <c r="G36" s="39"/>
      <c r="H36" s="39" t="str">
        <f t="shared" si="4"/>
        <v/>
      </c>
      <c r="I36" s="39">
        <v>15.19</v>
      </c>
      <c r="J36" s="39">
        <f t="shared" si="5"/>
        <v>1.0126666666666666</v>
      </c>
      <c r="K36" s="39">
        <f>10.754</f>
        <v>10.754</v>
      </c>
      <c r="L36" s="39">
        <f t="shared" si="6"/>
        <v>0.71693333333333331</v>
      </c>
      <c r="M36" s="39">
        <f>6.628</f>
        <v>6.6280000000000001</v>
      </c>
      <c r="N36" s="39">
        <f t="shared" si="7"/>
        <v>0.44186666666666669</v>
      </c>
      <c r="O36" s="40"/>
      <c r="P36" s="40"/>
      <c r="Q36" s="39">
        <f>5.837</f>
        <v>5.8369999999999997</v>
      </c>
      <c r="R36" s="39">
        <f t="shared" si="8"/>
        <v>0.38913333333333333</v>
      </c>
      <c r="S36" s="39">
        <f>6.441</f>
        <v>6.4409999999999998</v>
      </c>
      <c r="T36" s="39">
        <f t="shared" si="9"/>
        <v>0.4294</v>
      </c>
      <c r="U36" s="39">
        <f>10.9</f>
        <v>10.9</v>
      </c>
      <c r="V36" s="39">
        <f t="shared" si="10"/>
        <v>0.72666666666666668</v>
      </c>
      <c r="W36" s="39">
        <v>7.8159999999999998</v>
      </c>
      <c r="X36" s="39">
        <f t="shared" si="11"/>
        <v>0.52106666666666668</v>
      </c>
      <c r="Y36" s="39">
        <f>8.72</f>
        <v>8.7200000000000006</v>
      </c>
      <c r="Z36" s="39">
        <f t="shared" si="12"/>
        <v>0.58133333333333337</v>
      </c>
      <c r="AA36" s="40"/>
      <c r="AB36" s="40"/>
      <c r="AC36" s="39">
        <v>8.3119999999999994</v>
      </c>
      <c r="AD36" s="39">
        <f t="shared" si="13"/>
        <v>0.55413333333333326</v>
      </c>
      <c r="AE36" s="39">
        <v>9.0510000000000002</v>
      </c>
      <c r="AF36" s="39">
        <f t="shared" si="14"/>
        <v>0.60340000000000005</v>
      </c>
      <c r="AG36" s="39"/>
      <c r="AH36" s="39" t="str">
        <f t="shared" si="15"/>
        <v/>
      </c>
      <c r="AI36" s="39">
        <f>14.794</f>
        <v>14.794</v>
      </c>
      <c r="AJ36" s="39">
        <f t="shared" si="16"/>
        <v>0.98626666666666674</v>
      </c>
      <c r="AK36" s="39">
        <v>14.256</v>
      </c>
      <c r="AL36" s="39">
        <f t="shared" si="17"/>
        <v>0.95040000000000002</v>
      </c>
      <c r="AM36" s="40"/>
      <c r="AN36" s="40"/>
      <c r="AO36" s="39">
        <v>2.59</v>
      </c>
      <c r="AP36" s="39">
        <f t="shared" si="18"/>
        <v>0.17266666666666666</v>
      </c>
      <c r="AQ36" s="39">
        <v>3.266</v>
      </c>
      <c r="AR36" s="39">
        <f t="shared" si="19"/>
        <v>0.21773333333333333</v>
      </c>
      <c r="AS36" s="39">
        <f>6.926</f>
        <v>6.9260000000000002</v>
      </c>
      <c r="AT36" s="39">
        <f t="shared" si="20"/>
        <v>0.46173333333333333</v>
      </c>
      <c r="AU36" s="39">
        <f>8.958</f>
        <v>8.9580000000000002</v>
      </c>
      <c r="AV36" s="39">
        <f t="shared" si="21"/>
        <v>0.59720000000000006</v>
      </c>
      <c r="AW36" s="39">
        <f>8.621</f>
        <v>8.6210000000000004</v>
      </c>
      <c r="AX36" s="39">
        <f t="shared" si="22"/>
        <v>0.57473333333333332</v>
      </c>
      <c r="AY36" s="71"/>
    </row>
    <row r="37" spans="1:51" x14ac:dyDescent="0.25">
      <c r="A37" s="22">
        <v>2</v>
      </c>
      <c r="B37" s="22">
        <v>15</v>
      </c>
      <c r="C37" s="40"/>
      <c r="D37" s="40"/>
      <c r="E37" s="39">
        <v>4.6740000000000004</v>
      </c>
      <c r="F37" s="39">
        <f t="shared" si="3"/>
        <v>0.31160000000000004</v>
      </c>
      <c r="G37" s="39">
        <f>11.003</f>
        <v>11.003</v>
      </c>
      <c r="H37" s="39">
        <f t="shared" si="4"/>
        <v>0.73353333333333337</v>
      </c>
      <c r="I37" s="39">
        <v>7.3319999999999999</v>
      </c>
      <c r="J37" s="39">
        <f t="shared" si="5"/>
        <v>0.48880000000000001</v>
      </c>
      <c r="K37" s="39">
        <f>4.938+12.47</f>
        <v>17.408000000000001</v>
      </c>
      <c r="L37" s="39">
        <f t="shared" si="6"/>
        <v>1.1605333333333334</v>
      </c>
      <c r="M37" s="39">
        <f>3.296</f>
        <v>3.2959999999999998</v>
      </c>
      <c r="N37" s="39">
        <f t="shared" si="7"/>
        <v>0.21973333333333331</v>
      </c>
      <c r="O37" s="40"/>
      <c r="P37" s="40"/>
      <c r="Q37" s="39">
        <f>11.41</f>
        <v>11.41</v>
      </c>
      <c r="R37" s="39">
        <f t="shared" si="8"/>
        <v>0.76066666666666671</v>
      </c>
      <c r="S37" s="39">
        <f>3.122</f>
        <v>3.1219999999999999</v>
      </c>
      <c r="T37" s="39">
        <f t="shared" si="9"/>
        <v>0.20813333333333334</v>
      </c>
      <c r="U37" s="39">
        <v>15.231</v>
      </c>
      <c r="V37" s="39">
        <f t="shared" si="10"/>
        <v>1.0154000000000001</v>
      </c>
      <c r="W37" s="39">
        <v>13.148999999999999</v>
      </c>
      <c r="X37" s="39">
        <f t="shared" si="11"/>
        <v>0.87659999999999993</v>
      </c>
      <c r="Y37" s="39"/>
      <c r="Z37" s="39" t="str">
        <f t="shared" si="12"/>
        <v/>
      </c>
      <c r="AA37" s="40"/>
      <c r="AB37" s="40"/>
      <c r="AC37" s="39">
        <v>2.6389999999999998</v>
      </c>
      <c r="AD37" s="39">
        <f t="shared" si="13"/>
        <v>0.17593333333333333</v>
      </c>
      <c r="AE37" s="39">
        <v>9.7119999999999997</v>
      </c>
      <c r="AF37" s="39">
        <f t="shared" si="14"/>
        <v>0.64746666666666663</v>
      </c>
      <c r="AG37" s="39">
        <v>1.9019999999999999</v>
      </c>
      <c r="AH37" s="39">
        <f t="shared" si="15"/>
        <v>0.1268</v>
      </c>
      <c r="AI37" s="39">
        <f>12.006</f>
        <v>12.006</v>
      </c>
      <c r="AJ37" s="39">
        <f t="shared" si="16"/>
        <v>0.8004</v>
      </c>
      <c r="AK37" s="39">
        <v>3.1459999999999999</v>
      </c>
      <c r="AL37" s="39">
        <f t="shared" si="17"/>
        <v>0.20973333333333333</v>
      </c>
      <c r="AM37" s="40"/>
      <c r="AN37" s="40"/>
      <c r="AO37" s="39"/>
      <c r="AP37" s="39" t="str">
        <f t="shared" si="18"/>
        <v/>
      </c>
      <c r="AQ37" s="39"/>
      <c r="AR37" s="39" t="str">
        <f t="shared" si="19"/>
        <v/>
      </c>
      <c r="AS37" s="39"/>
      <c r="AT37" s="39" t="str">
        <f t="shared" si="20"/>
        <v/>
      </c>
      <c r="AU37" s="39">
        <f>14.218</f>
        <v>14.218</v>
      </c>
      <c r="AV37" s="39">
        <f t="shared" si="21"/>
        <v>0.94786666666666664</v>
      </c>
      <c r="AW37" s="39">
        <f>6.121</f>
        <v>6.1210000000000004</v>
      </c>
      <c r="AX37" s="39">
        <f t="shared" si="22"/>
        <v>0.40806666666666669</v>
      </c>
      <c r="AY37" s="71"/>
    </row>
    <row r="38" spans="1:51" x14ac:dyDescent="0.25">
      <c r="A38" s="22">
        <v>2</v>
      </c>
      <c r="B38" s="22">
        <v>15</v>
      </c>
      <c r="C38" s="40"/>
      <c r="D38" s="40"/>
      <c r="E38" s="39">
        <v>6.6760000000000002</v>
      </c>
      <c r="F38" s="39">
        <f t="shared" si="3"/>
        <v>0.44506666666666667</v>
      </c>
      <c r="G38" s="39">
        <v>7.6609999999999996</v>
      </c>
      <c r="H38" s="39">
        <f t="shared" si="4"/>
        <v>0.51073333333333326</v>
      </c>
      <c r="I38" s="39">
        <f>5.323</f>
        <v>5.3230000000000004</v>
      </c>
      <c r="J38" s="39">
        <f t="shared" si="5"/>
        <v>0.35486666666666672</v>
      </c>
      <c r="K38" s="39">
        <f>4.89</f>
        <v>4.8899999999999997</v>
      </c>
      <c r="L38" s="39">
        <f t="shared" si="6"/>
        <v>0.32599999999999996</v>
      </c>
      <c r="M38" s="39">
        <f>5.457</f>
        <v>5.4569999999999999</v>
      </c>
      <c r="N38" s="39">
        <f t="shared" si="7"/>
        <v>0.36380000000000001</v>
      </c>
      <c r="O38" s="40"/>
      <c r="P38" s="40"/>
      <c r="Q38" s="39">
        <f>7.999</f>
        <v>7.9989999999999997</v>
      </c>
      <c r="R38" s="39">
        <f t="shared" si="8"/>
        <v>0.53326666666666667</v>
      </c>
      <c r="S38" s="39">
        <f>12.009</f>
        <v>12.009</v>
      </c>
      <c r="T38" s="39">
        <f t="shared" si="9"/>
        <v>0.80059999999999998</v>
      </c>
      <c r="U38" s="39">
        <f>10.633</f>
        <v>10.632999999999999</v>
      </c>
      <c r="V38" s="39">
        <f t="shared" si="10"/>
        <v>0.70886666666666664</v>
      </c>
      <c r="W38" s="39">
        <v>12.593</v>
      </c>
      <c r="X38" s="39">
        <f t="shared" si="11"/>
        <v>0.83953333333333335</v>
      </c>
      <c r="Y38" s="39">
        <f>5.014</f>
        <v>5.0140000000000002</v>
      </c>
      <c r="Z38" s="39">
        <f t="shared" si="12"/>
        <v>0.33426666666666666</v>
      </c>
      <c r="AA38" s="40"/>
      <c r="AB38" s="40"/>
      <c r="AC38" s="39">
        <v>12.028</v>
      </c>
      <c r="AD38" s="39">
        <f t="shared" si="13"/>
        <v>0.80186666666666673</v>
      </c>
      <c r="AE38" s="39">
        <f>8.995</f>
        <v>8.9949999999999992</v>
      </c>
      <c r="AF38" s="39">
        <f t="shared" si="14"/>
        <v>0.59966666666666657</v>
      </c>
      <c r="AG38" s="39">
        <v>14.023</v>
      </c>
      <c r="AH38" s="39">
        <f t="shared" si="15"/>
        <v>0.93486666666666662</v>
      </c>
      <c r="AI38" s="39">
        <f>10.854</f>
        <v>10.853999999999999</v>
      </c>
      <c r="AJ38" s="39">
        <f t="shared" si="16"/>
        <v>0.72359999999999991</v>
      </c>
      <c r="AK38" s="39">
        <v>13.151</v>
      </c>
      <c r="AL38" s="39">
        <f t="shared" si="17"/>
        <v>0.87673333333333336</v>
      </c>
      <c r="AM38" s="40"/>
      <c r="AN38" s="40"/>
      <c r="AO38" s="39">
        <v>13.629</v>
      </c>
      <c r="AP38" s="39">
        <f t="shared" si="18"/>
        <v>0.90859999999999996</v>
      </c>
      <c r="AQ38" s="39">
        <f>9.479</f>
        <v>9.4789999999999992</v>
      </c>
      <c r="AR38" s="39">
        <f t="shared" si="19"/>
        <v>0.63193333333333324</v>
      </c>
      <c r="AS38" s="39">
        <v>10.803000000000001</v>
      </c>
      <c r="AT38" s="39">
        <f t="shared" si="20"/>
        <v>0.72020000000000006</v>
      </c>
      <c r="AU38" s="39"/>
      <c r="AV38" s="39" t="str">
        <f t="shared" si="21"/>
        <v/>
      </c>
      <c r="AW38" s="39">
        <f>8.03</f>
        <v>8.0299999999999994</v>
      </c>
      <c r="AX38" s="39">
        <f t="shared" si="22"/>
        <v>0.53533333333333333</v>
      </c>
      <c r="AY38" s="71"/>
    </row>
    <row r="39" spans="1:51" x14ac:dyDescent="0.25">
      <c r="A39" s="22">
        <v>2</v>
      </c>
      <c r="B39" s="22">
        <v>15</v>
      </c>
      <c r="C39" s="40"/>
      <c r="D39" s="40"/>
      <c r="E39" s="39">
        <v>6.1349999999999998</v>
      </c>
      <c r="F39" s="39">
        <f t="shared" si="3"/>
        <v>0.40899999999999997</v>
      </c>
      <c r="G39" s="39">
        <v>6.7869999999999999</v>
      </c>
      <c r="H39" s="39">
        <f t="shared" si="4"/>
        <v>0.45246666666666668</v>
      </c>
      <c r="I39" s="39">
        <v>10.9</v>
      </c>
      <c r="J39" s="39">
        <f t="shared" si="5"/>
        <v>0.72666666666666668</v>
      </c>
      <c r="K39" s="39">
        <f>8.72</f>
        <v>8.7200000000000006</v>
      </c>
      <c r="L39" s="39">
        <f t="shared" si="6"/>
        <v>0.58133333333333337</v>
      </c>
      <c r="M39" s="39">
        <f>9.81</f>
        <v>9.81</v>
      </c>
      <c r="N39" s="39">
        <f t="shared" si="7"/>
        <v>0.65400000000000003</v>
      </c>
      <c r="O39" s="40"/>
      <c r="P39" s="40"/>
      <c r="Q39" s="39"/>
      <c r="R39" s="39" t="str">
        <f t="shared" si="8"/>
        <v/>
      </c>
      <c r="S39" s="39"/>
      <c r="T39" s="39" t="str">
        <f t="shared" si="9"/>
        <v/>
      </c>
      <c r="U39" s="39"/>
      <c r="V39" s="39" t="str">
        <f t="shared" si="10"/>
        <v/>
      </c>
      <c r="W39" s="39"/>
      <c r="X39" s="39" t="str">
        <f t="shared" si="11"/>
        <v/>
      </c>
      <c r="Y39" s="39"/>
      <c r="Z39" s="39" t="str">
        <f t="shared" si="12"/>
        <v/>
      </c>
      <c r="AA39" s="40"/>
      <c r="AB39" s="40"/>
      <c r="AC39" s="39"/>
      <c r="AD39" s="39" t="str">
        <f t="shared" si="13"/>
        <v/>
      </c>
      <c r="AE39" s="39">
        <v>3.9289999999999998</v>
      </c>
      <c r="AF39" s="39">
        <f t="shared" si="14"/>
        <v>0.2619333333333333</v>
      </c>
      <c r="AG39" s="39">
        <v>9.2590000000000003</v>
      </c>
      <c r="AH39" s="39">
        <f t="shared" si="15"/>
        <v>0.61726666666666674</v>
      </c>
      <c r="AI39" s="39">
        <f>4.984</f>
        <v>4.984</v>
      </c>
      <c r="AJ39" s="39">
        <f t="shared" si="16"/>
        <v>0.33226666666666665</v>
      </c>
      <c r="AK39" s="39">
        <v>1.335</v>
      </c>
      <c r="AL39" s="39">
        <f t="shared" si="17"/>
        <v>8.8999999999999996E-2</v>
      </c>
      <c r="AM39" s="40"/>
      <c r="AN39" s="40"/>
      <c r="AO39" s="39"/>
      <c r="AP39" s="39" t="str">
        <f t="shared" si="18"/>
        <v/>
      </c>
      <c r="AQ39" s="39">
        <v>12.753</v>
      </c>
      <c r="AR39" s="39">
        <f t="shared" si="19"/>
        <v>0.85019999999999996</v>
      </c>
      <c r="AS39" s="39"/>
      <c r="AT39" s="39" t="str">
        <f t="shared" si="20"/>
        <v/>
      </c>
      <c r="AU39" s="39">
        <f>1.715</f>
        <v>1.7150000000000001</v>
      </c>
      <c r="AV39" s="39">
        <f t="shared" si="21"/>
        <v>0.11433333333333334</v>
      </c>
      <c r="AW39" s="39">
        <f>1.523</f>
        <v>1.5229999999999999</v>
      </c>
      <c r="AX39" s="39">
        <f t="shared" si="22"/>
        <v>0.10153333333333332</v>
      </c>
      <c r="AY39" s="71"/>
    </row>
    <row r="40" spans="1:51" x14ac:dyDescent="0.25">
      <c r="A40" s="22">
        <v>2</v>
      </c>
      <c r="B40" s="21">
        <v>24</v>
      </c>
      <c r="C40" s="40"/>
      <c r="D40" s="40"/>
      <c r="E40" s="55"/>
      <c r="F40" s="55" t="str">
        <f t="shared" si="3"/>
        <v/>
      </c>
      <c r="G40" s="55">
        <f>16.638</f>
        <v>16.638000000000002</v>
      </c>
      <c r="H40" s="55">
        <f t="shared" si="4"/>
        <v>0.69325000000000003</v>
      </c>
      <c r="I40" s="55">
        <f>12.619</f>
        <v>12.619</v>
      </c>
      <c r="J40" s="55">
        <f t="shared" si="5"/>
        <v>0.52579166666666666</v>
      </c>
      <c r="K40" s="55">
        <f>10.654</f>
        <v>10.654</v>
      </c>
      <c r="L40" s="55">
        <f t="shared" si="6"/>
        <v>0.44391666666666668</v>
      </c>
      <c r="M40" s="55">
        <f>21.421</f>
        <v>21.420999999999999</v>
      </c>
      <c r="N40" s="55">
        <f t="shared" si="7"/>
        <v>0.89254166666666668</v>
      </c>
      <c r="O40" s="40"/>
      <c r="P40" s="40"/>
      <c r="Q40" s="55">
        <v>5.7939999999999996</v>
      </c>
      <c r="R40" s="55">
        <f t="shared" si="8"/>
        <v>0.24141666666666664</v>
      </c>
      <c r="S40" s="55">
        <f>13.051</f>
        <v>13.051</v>
      </c>
      <c r="T40" s="55">
        <f t="shared" si="9"/>
        <v>0.54379166666666667</v>
      </c>
      <c r="U40" s="55">
        <f>15.996</f>
        <v>15.996</v>
      </c>
      <c r="V40" s="55">
        <f t="shared" si="10"/>
        <v>0.66649999999999998</v>
      </c>
      <c r="W40" s="55">
        <f>13.699</f>
        <v>13.699</v>
      </c>
      <c r="X40" s="55">
        <f t="shared" si="11"/>
        <v>0.5707916666666667</v>
      </c>
      <c r="Y40" s="55">
        <f>12.821</f>
        <v>12.821</v>
      </c>
      <c r="Z40" s="55">
        <f t="shared" si="12"/>
        <v>0.53420833333333329</v>
      </c>
      <c r="AA40" s="40"/>
      <c r="AB40" s="40"/>
      <c r="AC40" s="55">
        <v>14.417999999999999</v>
      </c>
      <c r="AD40" s="55">
        <f t="shared" si="13"/>
        <v>0.60075000000000001</v>
      </c>
      <c r="AE40" s="55"/>
      <c r="AF40" s="55" t="str">
        <f t="shared" si="14"/>
        <v/>
      </c>
      <c r="AG40" s="55"/>
      <c r="AH40" s="55" t="str">
        <f t="shared" si="15"/>
        <v/>
      </c>
      <c r="AI40" s="55"/>
      <c r="AJ40" s="55" t="str">
        <f t="shared" si="16"/>
        <v/>
      </c>
      <c r="AK40" s="55">
        <f>18.41</f>
        <v>18.41</v>
      </c>
      <c r="AL40" s="55">
        <f t="shared" si="17"/>
        <v>0.76708333333333334</v>
      </c>
      <c r="AM40" s="40"/>
      <c r="AN40" s="40"/>
      <c r="AO40" s="55">
        <f>18.542</f>
        <v>18.542000000000002</v>
      </c>
      <c r="AP40" s="55">
        <f t="shared" si="18"/>
        <v>0.7725833333333334</v>
      </c>
      <c r="AQ40" s="55">
        <f>20.464</f>
        <v>20.463999999999999</v>
      </c>
      <c r="AR40" s="55">
        <f t="shared" si="19"/>
        <v>0.85266666666666657</v>
      </c>
      <c r="AS40" s="55">
        <f>17.486</f>
        <v>17.486000000000001</v>
      </c>
      <c r="AT40" s="55">
        <f t="shared" si="20"/>
        <v>0.72858333333333336</v>
      </c>
      <c r="AU40" s="55">
        <f>11.188</f>
        <v>11.188000000000001</v>
      </c>
      <c r="AV40" s="55">
        <f t="shared" si="21"/>
        <v>0.46616666666666667</v>
      </c>
      <c r="AW40" s="55">
        <f>12.333</f>
        <v>12.333</v>
      </c>
      <c r="AX40" s="55">
        <f t="shared" si="22"/>
        <v>0.51387499999999997</v>
      </c>
      <c r="AY40" s="71"/>
    </row>
    <row r="41" spans="1:51" x14ac:dyDescent="0.25">
      <c r="A41" s="22">
        <v>2</v>
      </c>
      <c r="B41" s="21">
        <v>13</v>
      </c>
      <c r="C41" s="40"/>
      <c r="D41" s="40"/>
      <c r="E41" s="55"/>
      <c r="F41" s="55" t="str">
        <f t="shared" si="3"/>
        <v/>
      </c>
      <c r="G41" s="55"/>
      <c r="H41" s="55" t="str">
        <f t="shared" si="4"/>
        <v/>
      </c>
      <c r="I41" s="55"/>
      <c r="J41" s="55" t="str">
        <f t="shared" si="5"/>
        <v/>
      </c>
      <c r="K41" s="55"/>
      <c r="L41" s="55" t="str">
        <f t="shared" si="6"/>
        <v/>
      </c>
      <c r="M41" s="55"/>
      <c r="N41" s="55" t="str">
        <f t="shared" si="7"/>
        <v/>
      </c>
      <c r="O41" s="40"/>
      <c r="P41" s="40"/>
      <c r="Q41" s="55"/>
      <c r="R41" s="55" t="str">
        <f t="shared" si="8"/>
        <v/>
      </c>
      <c r="S41" s="55"/>
      <c r="T41" s="55" t="str">
        <f t="shared" si="9"/>
        <v/>
      </c>
      <c r="U41" s="55"/>
      <c r="V41" s="55" t="str">
        <f t="shared" si="10"/>
        <v/>
      </c>
      <c r="W41" s="55"/>
      <c r="X41" s="55" t="str">
        <f t="shared" si="11"/>
        <v/>
      </c>
      <c r="Y41" s="55"/>
      <c r="Z41" s="55" t="str">
        <f t="shared" si="12"/>
        <v/>
      </c>
      <c r="AA41" s="40"/>
      <c r="AB41" s="40"/>
      <c r="AC41" s="55"/>
      <c r="AD41" s="55" t="str">
        <f t="shared" si="13"/>
        <v/>
      </c>
      <c r="AE41" s="55"/>
      <c r="AF41" s="55" t="str">
        <f t="shared" si="14"/>
        <v/>
      </c>
      <c r="AG41" s="55"/>
      <c r="AH41" s="55" t="str">
        <f t="shared" si="15"/>
        <v/>
      </c>
      <c r="AI41" s="55"/>
      <c r="AJ41" s="55" t="str">
        <f t="shared" si="16"/>
        <v/>
      </c>
      <c r="AK41" s="55"/>
      <c r="AL41" s="55" t="str">
        <f t="shared" si="17"/>
        <v/>
      </c>
      <c r="AM41" s="40"/>
      <c r="AN41" s="40"/>
      <c r="AO41" s="55"/>
      <c r="AP41" s="55" t="str">
        <f t="shared" si="18"/>
        <v/>
      </c>
      <c r="AQ41" s="55"/>
      <c r="AR41" s="55" t="str">
        <f t="shared" si="19"/>
        <v/>
      </c>
      <c r="AS41" s="55"/>
      <c r="AT41" s="55" t="str">
        <f t="shared" si="20"/>
        <v/>
      </c>
      <c r="AU41" s="55"/>
      <c r="AV41" s="55" t="str">
        <f t="shared" si="21"/>
        <v/>
      </c>
      <c r="AW41" s="55"/>
      <c r="AX41" s="55" t="str">
        <f t="shared" si="22"/>
        <v/>
      </c>
      <c r="AY41" s="71"/>
    </row>
    <row r="42" spans="1:51" x14ac:dyDescent="0.25">
      <c r="A42" s="22">
        <v>2</v>
      </c>
      <c r="B42" s="21">
        <v>15</v>
      </c>
      <c r="C42" s="40"/>
      <c r="D42" s="40"/>
      <c r="E42" s="55">
        <v>12.478</v>
      </c>
      <c r="F42" s="55">
        <f t="shared" si="3"/>
        <v>0.83186666666666664</v>
      </c>
      <c r="G42" s="55">
        <f>7.698</f>
        <v>7.6980000000000004</v>
      </c>
      <c r="H42" s="55">
        <f t="shared" si="4"/>
        <v>0.51319999999999999</v>
      </c>
      <c r="I42" s="55">
        <f>2.209</f>
        <v>2.2090000000000001</v>
      </c>
      <c r="J42" s="55">
        <f t="shared" si="5"/>
        <v>0.14726666666666668</v>
      </c>
      <c r="K42" s="55">
        <f>8.385</f>
        <v>8.3849999999999998</v>
      </c>
      <c r="L42" s="55">
        <f t="shared" si="6"/>
        <v>0.55899999999999994</v>
      </c>
      <c r="M42" s="55">
        <f>11.538</f>
        <v>11.538</v>
      </c>
      <c r="N42" s="55">
        <f t="shared" si="7"/>
        <v>0.76919999999999999</v>
      </c>
      <c r="O42" s="40"/>
      <c r="P42" s="40"/>
      <c r="Q42" s="55">
        <f>4.994</f>
        <v>4.9939999999999998</v>
      </c>
      <c r="R42" s="55">
        <f t="shared" si="8"/>
        <v>0.3329333333333333</v>
      </c>
      <c r="S42" s="55"/>
      <c r="T42" s="55" t="str">
        <f t="shared" si="9"/>
        <v/>
      </c>
      <c r="U42" s="55"/>
      <c r="V42" s="55" t="str">
        <f t="shared" si="10"/>
        <v/>
      </c>
      <c r="W42" s="55"/>
      <c r="X42" s="55" t="str">
        <f t="shared" si="11"/>
        <v/>
      </c>
      <c r="Y42" s="55">
        <f>10.709</f>
        <v>10.709</v>
      </c>
      <c r="Z42" s="55">
        <f t="shared" si="12"/>
        <v>0.71393333333333331</v>
      </c>
      <c r="AA42" s="40"/>
      <c r="AB42" s="40"/>
      <c r="AC42" s="55"/>
      <c r="AD42" s="55" t="str">
        <f t="shared" si="13"/>
        <v/>
      </c>
      <c r="AE42" s="55">
        <f>8.972</f>
        <v>8.9719999999999995</v>
      </c>
      <c r="AF42" s="55">
        <f t="shared" si="14"/>
        <v>0.59813333333333329</v>
      </c>
      <c r="AG42" s="55">
        <v>11.099</v>
      </c>
      <c r="AH42" s="55">
        <f t="shared" si="15"/>
        <v>0.73993333333333333</v>
      </c>
      <c r="AI42" s="55">
        <f>11.68</f>
        <v>11.68</v>
      </c>
      <c r="AJ42" s="55">
        <f t="shared" si="16"/>
        <v>0.77866666666666662</v>
      </c>
      <c r="AK42" s="55">
        <f>8.77</f>
        <v>8.77</v>
      </c>
      <c r="AL42" s="55">
        <f t="shared" si="17"/>
        <v>0.58466666666666667</v>
      </c>
      <c r="AM42" s="40"/>
      <c r="AN42" s="40"/>
      <c r="AO42" s="55">
        <f>5.938</f>
        <v>5.9379999999999997</v>
      </c>
      <c r="AP42" s="55">
        <f t="shared" si="18"/>
        <v>0.39586666666666664</v>
      </c>
      <c r="AQ42" s="55">
        <f>14.877</f>
        <v>14.877000000000001</v>
      </c>
      <c r="AR42" s="55">
        <f t="shared" si="19"/>
        <v>0.99180000000000001</v>
      </c>
      <c r="AS42" s="55">
        <f>4.038</f>
        <v>4.0380000000000003</v>
      </c>
      <c r="AT42" s="55">
        <f t="shared" si="20"/>
        <v>0.26919999999999999</v>
      </c>
      <c r="AU42" s="55">
        <f>8.626</f>
        <v>8.6259999999999994</v>
      </c>
      <c r="AV42" s="55">
        <f t="shared" si="21"/>
        <v>0.57506666666666661</v>
      </c>
      <c r="AW42" s="55">
        <f>8.616</f>
        <v>8.6159999999999997</v>
      </c>
      <c r="AX42" s="55">
        <f t="shared" si="22"/>
        <v>0.57440000000000002</v>
      </c>
      <c r="AY42" s="71"/>
    </row>
    <row r="43" spans="1:51" x14ac:dyDescent="0.25">
      <c r="A43" s="22">
        <v>2</v>
      </c>
      <c r="B43" s="21">
        <v>24</v>
      </c>
      <c r="C43" s="40"/>
      <c r="D43" s="40"/>
      <c r="E43" s="55">
        <v>11.44</v>
      </c>
      <c r="F43" s="55">
        <f t="shared" si="3"/>
        <v>0.47666666666666663</v>
      </c>
      <c r="G43" s="55">
        <f>3.66</f>
        <v>3.66</v>
      </c>
      <c r="H43" s="55">
        <f t="shared" si="4"/>
        <v>0.1525</v>
      </c>
      <c r="I43" s="55">
        <f>7.211</f>
        <v>7.2110000000000003</v>
      </c>
      <c r="J43" s="55">
        <f t="shared" si="5"/>
        <v>0.30045833333333333</v>
      </c>
      <c r="K43" s="55">
        <f>5.85</f>
        <v>5.85</v>
      </c>
      <c r="L43" s="55">
        <f t="shared" si="6"/>
        <v>0.24374999999999999</v>
      </c>
      <c r="M43" s="55">
        <f>10.37+3.66</f>
        <v>14.03</v>
      </c>
      <c r="N43" s="55">
        <f t="shared" si="7"/>
        <v>0.58458333333333334</v>
      </c>
      <c r="O43" s="40"/>
      <c r="P43" s="40"/>
      <c r="Q43" s="55">
        <f>10.18</f>
        <v>10.18</v>
      </c>
      <c r="R43" s="55">
        <f t="shared" si="8"/>
        <v>0.42416666666666664</v>
      </c>
      <c r="S43" s="55">
        <f>5.25</f>
        <v>5.25</v>
      </c>
      <c r="T43" s="55">
        <f t="shared" si="9"/>
        <v>0.21875</v>
      </c>
      <c r="U43" s="55">
        <f>4.7</f>
        <v>4.7</v>
      </c>
      <c r="V43" s="55">
        <f t="shared" si="10"/>
        <v>0.19583333333333333</v>
      </c>
      <c r="W43" s="55">
        <f>13.066</f>
        <v>13.066000000000001</v>
      </c>
      <c r="X43" s="55">
        <f t="shared" si="11"/>
        <v>0.54441666666666666</v>
      </c>
      <c r="Y43" s="55">
        <f>4.11</f>
        <v>4.1100000000000003</v>
      </c>
      <c r="Z43" s="55">
        <f t="shared" si="12"/>
        <v>0.17125000000000001</v>
      </c>
      <c r="AA43" s="40"/>
      <c r="AB43" s="40"/>
      <c r="AC43" s="55">
        <f>6.43</f>
        <v>6.43</v>
      </c>
      <c r="AD43" s="55">
        <f t="shared" si="13"/>
        <v>0.26791666666666664</v>
      </c>
      <c r="AE43" s="55">
        <v>10.009</v>
      </c>
      <c r="AF43" s="55">
        <f t="shared" si="14"/>
        <v>0.4170416666666667</v>
      </c>
      <c r="AG43" s="55">
        <v>12.87</v>
      </c>
      <c r="AH43" s="55">
        <f t="shared" si="15"/>
        <v>0.53625</v>
      </c>
      <c r="AI43" s="55">
        <f>4.19</f>
        <v>4.1900000000000004</v>
      </c>
      <c r="AJ43" s="55">
        <f t="shared" si="16"/>
        <v>0.17458333333333334</v>
      </c>
      <c r="AK43" s="55">
        <f>11.453</f>
        <v>11.452999999999999</v>
      </c>
      <c r="AL43" s="55">
        <f t="shared" si="17"/>
        <v>0.47720833333333329</v>
      </c>
      <c r="AM43" s="40"/>
      <c r="AN43" s="40"/>
      <c r="AO43" s="55"/>
      <c r="AP43" s="55" t="str">
        <f t="shared" si="18"/>
        <v/>
      </c>
      <c r="AQ43" s="55">
        <f>10.44</f>
        <v>10.44</v>
      </c>
      <c r="AR43" s="55">
        <f t="shared" si="19"/>
        <v>0.435</v>
      </c>
      <c r="AS43" s="55"/>
      <c r="AT43" s="55" t="str">
        <f t="shared" si="20"/>
        <v/>
      </c>
      <c r="AU43" s="55">
        <v>16.018000000000001</v>
      </c>
      <c r="AV43" s="55">
        <f t="shared" si="21"/>
        <v>0.66741666666666666</v>
      </c>
      <c r="AW43" s="55">
        <f>8.58</f>
        <v>8.58</v>
      </c>
      <c r="AX43" s="55">
        <f t="shared" si="22"/>
        <v>0.35749999999999998</v>
      </c>
      <c r="AY43" s="71"/>
    </row>
    <row r="44" spans="1:51" x14ac:dyDescent="0.25">
      <c r="A44" s="22">
        <v>2</v>
      </c>
      <c r="B44" s="21">
        <v>15</v>
      </c>
      <c r="C44" s="40"/>
      <c r="D44" s="40"/>
      <c r="E44" s="55"/>
      <c r="F44" s="55" t="str">
        <f t="shared" si="3"/>
        <v/>
      </c>
      <c r="G44" s="55">
        <f>10.96</f>
        <v>10.96</v>
      </c>
      <c r="H44" s="55">
        <f t="shared" si="4"/>
        <v>0.73066666666666669</v>
      </c>
      <c r="I44" s="55"/>
      <c r="J44" s="55" t="str">
        <f t="shared" si="5"/>
        <v/>
      </c>
      <c r="K44" s="55">
        <f>3.77+3.366</f>
        <v>7.1360000000000001</v>
      </c>
      <c r="L44" s="55">
        <f t="shared" si="6"/>
        <v>0.47573333333333334</v>
      </c>
      <c r="M44" s="55">
        <v>7.5030000000000001</v>
      </c>
      <c r="N44" s="55">
        <f t="shared" si="7"/>
        <v>0.50019999999999998</v>
      </c>
      <c r="O44" s="40"/>
      <c r="P44" s="40"/>
      <c r="Q44" s="55">
        <v>6.71</v>
      </c>
      <c r="R44" s="55">
        <f t="shared" si="8"/>
        <v>0.44733333333333331</v>
      </c>
      <c r="S44" s="55">
        <v>4.82</v>
      </c>
      <c r="T44" s="55">
        <f t="shared" si="9"/>
        <v>0.32133333333333336</v>
      </c>
      <c r="U44" s="55">
        <f>7.765</f>
        <v>7.7649999999999997</v>
      </c>
      <c r="V44" s="55">
        <f t="shared" si="10"/>
        <v>0.51766666666666661</v>
      </c>
      <c r="W44" s="55">
        <v>16.994</v>
      </c>
      <c r="X44" s="55">
        <f t="shared" si="11"/>
        <v>1.1329333333333333</v>
      </c>
      <c r="Y44" s="55">
        <v>3.05</v>
      </c>
      <c r="Z44" s="55">
        <f t="shared" si="12"/>
        <v>0.20333333333333331</v>
      </c>
      <c r="AA44" s="40"/>
      <c r="AB44" s="40"/>
      <c r="AC44" s="55">
        <f>1.064+2.66+14.285</f>
        <v>18.009</v>
      </c>
      <c r="AD44" s="55">
        <f t="shared" si="13"/>
        <v>1.2006000000000001</v>
      </c>
      <c r="AE44" s="55">
        <v>7.3209999999999997</v>
      </c>
      <c r="AF44" s="55">
        <f t="shared" si="14"/>
        <v>0.48806666666666665</v>
      </c>
      <c r="AG44" s="55">
        <v>4.6360000000000001</v>
      </c>
      <c r="AH44" s="55">
        <f t="shared" si="15"/>
        <v>0.30906666666666666</v>
      </c>
      <c r="AI44" s="55">
        <v>3.1040000000000001</v>
      </c>
      <c r="AJ44" s="55">
        <f t="shared" si="16"/>
        <v>0.20693333333333333</v>
      </c>
      <c r="AK44" s="55"/>
      <c r="AL44" s="55" t="str">
        <f t="shared" si="17"/>
        <v/>
      </c>
      <c r="AM44" s="40"/>
      <c r="AN44" s="40"/>
      <c r="AO44" s="55">
        <v>4.79</v>
      </c>
      <c r="AP44" s="55">
        <f t="shared" si="18"/>
        <v>0.31933333333333336</v>
      </c>
      <c r="AQ44" s="55">
        <v>9.9190000000000005</v>
      </c>
      <c r="AR44" s="55">
        <f t="shared" si="19"/>
        <v>0.66126666666666667</v>
      </c>
      <c r="AS44" s="55">
        <f>6.759+1.064</f>
        <v>7.8230000000000004</v>
      </c>
      <c r="AT44" s="55">
        <f t="shared" si="20"/>
        <v>0.5215333333333334</v>
      </c>
      <c r="AU44" s="55">
        <v>4.88</v>
      </c>
      <c r="AV44" s="55">
        <f t="shared" si="21"/>
        <v>0.32533333333333331</v>
      </c>
      <c r="AW44" s="55">
        <f>21.255+2.44</f>
        <v>23.695</v>
      </c>
      <c r="AX44" s="55">
        <f t="shared" si="22"/>
        <v>1.5796666666666668</v>
      </c>
      <c r="AY44" s="71"/>
    </row>
    <row r="45" spans="1:51" x14ac:dyDescent="0.25">
      <c r="A45" s="22">
        <v>2</v>
      </c>
      <c r="B45" s="22">
        <v>24</v>
      </c>
      <c r="C45" s="40"/>
      <c r="D45" s="40"/>
      <c r="E45" s="39">
        <v>14.920999999999999</v>
      </c>
      <c r="F45" s="39">
        <f t="shared" si="3"/>
        <v>0.62170833333333331</v>
      </c>
      <c r="G45" s="39"/>
      <c r="H45" s="39" t="str">
        <f t="shared" si="4"/>
        <v/>
      </c>
      <c r="I45" s="39">
        <f>19.742</f>
        <v>19.742000000000001</v>
      </c>
      <c r="J45" s="39">
        <f t="shared" si="5"/>
        <v>0.82258333333333333</v>
      </c>
      <c r="K45" s="39"/>
      <c r="L45" s="39" t="str">
        <f t="shared" si="6"/>
        <v/>
      </c>
      <c r="M45" s="39"/>
      <c r="N45" s="39" t="str">
        <f t="shared" si="7"/>
        <v/>
      </c>
      <c r="O45" s="40"/>
      <c r="P45" s="40"/>
      <c r="Q45" s="39">
        <f>20.787</f>
        <v>20.786999999999999</v>
      </c>
      <c r="R45" s="39">
        <f t="shared" si="8"/>
        <v>0.86612499999999992</v>
      </c>
      <c r="S45" s="39"/>
      <c r="T45" s="39" t="str">
        <f t="shared" si="9"/>
        <v/>
      </c>
      <c r="U45" s="39">
        <f>22.705</f>
        <v>22.704999999999998</v>
      </c>
      <c r="V45" s="39">
        <f t="shared" si="10"/>
        <v>0.94604166666666656</v>
      </c>
      <c r="W45" s="39"/>
      <c r="X45" s="39" t="str">
        <f t="shared" si="11"/>
        <v/>
      </c>
      <c r="Y45" s="39">
        <f>25.91</f>
        <v>25.91</v>
      </c>
      <c r="Z45" s="39">
        <f t="shared" si="12"/>
        <v>1.0795833333333333</v>
      </c>
      <c r="AA45" s="40"/>
      <c r="AB45" s="40"/>
      <c r="AC45" s="39">
        <f>13.383</f>
        <v>13.382999999999999</v>
      </c>
      <c r="AD45" s="39">
        <f t="shared" si="13"/>
        <v>0.55762499999999993</v>
      </c>
      <c r="AE45" s="39"/>
      <c r="AF45" s="39" t="str">
        <f t="shared" si="14"/>
        <v/>
      </c>
      <c r="AG45" s="39">
        <v>20.065000000000001</v>
      </c>
      <c r="AH45" s="39">
        <f t="shared" si="15"/>
        <v>0.83604166666666668</v>
      </c>
      <c r="AI45" s="39"/>
      <c r="AJ45" s="39" t="str">
        <f t="shared" si="16"/>
        <v/>
      </c>
      <c r="AK45" s="39">
        <v>12.122</v>
      </c>
      <c r="AL45" s="39">
        <f t="shared" si="17"/>
        <v>0.50508333333333333</v>
      </c>
      <c r="AM45" s="40"/>
      <c r="AN45" s="40"/>
      <c r="AO45" s="39">
        <v>17.795999999999999</v>
      </c>
      <c r="AP45" s="39">
        <f t="shared" si="18"/>
        <v>0.74149999999999994</v>
      </c>
      <c r="AQ45" s="39"/>
      <c r="AR45" s="39" t="str">
        <f t="shared" si="19"/>
        <v/>
      </c>
      <c r="AS45" s="39">
        <f>20.034</f>
        <v>20.033999999999999</v>
      </c>
      <c r="AT45" s="39">
        <f t="shared" si="20"/>
        <v>0.83474999999999999</v>
      </c>
      <c r="AU45" s="39"/>
      <c r="AV45" s="39" t="str">
        <f t="shared" si="21"/>
        <v/>
      </c>
      <c r="AW45" s="39">
        <f>10.064</f>
        <v>10.064</v>
      </c>
      <c r="AX45" s="39">
        <f t="shared" si="22"/>
        <v>0.41933333333333334</v>
      </c>
      <c r="AY45" s="71"/>
    </row>
    <row r="46" spans="1:51" x14ac:dyDescent="0.25">
      <c r="A46" s="22">
        <v>2</v>
      </c>
      <c r="B46" s="22">
        <v>24</v>
      </c>
      <c r="C46" s="40"/>
      <c r="D46" s="40"/>
      <c r="E46" s="39">
        <v>26.600999999999999</v>
      </c>
      <c r="F46" s="39">
        <f t="shared" si="3"/>
        <v>1.1083749999999999</v>
      </c>
      <c r="G46" s="39"/>
      <c r="H46" s="39" t="str">
        <f t="shared" si="4"/>
        <v/>
      </c>
      <c r="I46" s="39"/>
      <c r="J46" s="39" t="str">
        <f t="shared" si="5"/>
        <v/>
      </c>
      <c r="K46" s="39">
        <f>20.378+13.404</f>
        <v>33.781999999999996</v>
      </c>
      <c r="L46" s="39">
        <f t="shared" si="6"/>
        <v>1.4075833333333332</v>
      </c>
      <c r="M46" s="39"/>
      <c r="N46" s="39" t="str">
        <f t="shared" si="7"/>
        <v/>
      </c>
      <c r="O46" s="40"/>
      <c r="P46" s="40"/>
      <c r="Q46" s="39">
        <f>12.775</f>
        <v>12.775</v>
      </c>
      <c r="R46" s="39">
        <f t="shared" si="8"/>
        <v>0.53229166666666672</v>
      </c>
      <c r="S46" s="39"/>
      <c r="T46" s="39" t="str">
        <f t="shared" si="9"/>
        <v/>
      </c>
      <c r="U46" s="39">
        <f>21.48+23.204</f>
        <v>44.683999999999997</v>
      </c>
      <c r="V46" s="39">
        <f t="shared" si="10"/>
        <v>1.8618333333333332</v>
      </c>
      <c r="W46" s="39"/>
      <c r="X46" s="39" t="str">
        <f t="shared" si="11"/>
        <v/>
      </c>
      <c r="Y46" s="39">
        <v>19.896999999999998</v>
      </c>
      <c r="Z46" s="39">
        <f t="shared" si="12"/>
        <v>0.82904166666666657</v>
      </c>
      <c r="AA46" s="40"/>
      <c r="AB46" s="40"/>
      <c r="AC46" s="39">
        <v>7.2439999999999998</v>
      </c>
      <c r="AD46" s="39">
        <f t="shared" si="13"/>
        <v>0.30183333333333334</v>
      </c>
      <c r="AE46" s="39"/>
      <c r="AF46" s="39" t="str">
        <f t="shared" si="14"/>
        <v/>
      </c>
      <c r="AG46" s="39">
        <v>23.457000000000001</v>
      </c>
      <c r="AH46" s="39">
        <f t="shared" si="15"/>
        <v>0.97737499999999999</v>
      </c>
      <c r="AI46" s="39">
        <f>6.123</f>
        <v>6.1230000000000002</v>
      </c>
      <c r="AJ46" s="39">
        <f t="shared" si="16"/>
        <v>0.25512499999999999</v>
      </c>
      <c r="AK46" s="39"/>
      <c r="AL46" s="39" t="str">
        <f t="shared" si="17"/>
        <v/>
      </c>
      <c r="AM46" s="40"/>
      <c r="AN46" s="40"/>
      <c r="AO46" s="39"/>
      <c r="AP46" s="39" t="str">
        <f t="shared" si="18"/>
        <v/>
      </c>
      <c r="AQ46" s="39"/>
      <c r="AR46" s="39" t="str">
        <f t="shared" si="19"/>
        <v/>
      </c>
      <c r="AS46" s="39"/>
      <c r="AT46" s="39" t="str">
        <f t="shared" si="20"/>
        <v/>
      </c>
      <c r="AU46" s="39"/>
      <c r="AV46" s="39" t="str">
        <f t="shared" si="21"/>
        <v/>
      </c>
      <c r="AW46" s="39"/>
      <c r="AX46" s="39" t="str">
        <f t="shared" si="22"/>
        <v/>
      </c>
      <c r="AY46" s="71"/>
    </row>
    <row r="47" spans="1:51" x14ac:dyDescent="0.25">
      <c r="A47" s="22">
        <v>2</v>
      </c>
      <c r="B47" s="22">
        <v>15</v>
      </c>
      <c r="C47" s="40"/>
      <c r="D47" s="40"/>
      <c r="E47" s="39">
        <f>10.699</f>
        <v>10.699</v>
      </c>
      <c r="F47" s="39">
        <f t="shared" si="3"/>
        <v>0.7132666666666666</v>
      </c>
      <c r="G47" s="39">
        <f>12.736</f>
        <v>12.736000000000001</v>
      </c>
      <c r="H47" s="39">
        <f t="shared" si="4"/>
        <v>0.84906666666666675</v>
      </c>
      <c r="I47" s="39">
        <f>8.41</f>
        <v>8.41</v>
      </c>
      <c r="J47" s="39">
        <f t="shared" si="5"/>
        <v>0.56066666666666665</v>
      </c>
      <c r="K47" s="39">
        <f>10.955</f>
        <v>10.955</v>
      </c>
      <c r="L47" s="39">
        <f t="shared" si="6"/>
        <v>0.73033333333333339</v>
      </c>
      <c r="M47" s="39">
        <f>11.829</f>
        <v>11.829000000000001</v>
      </c>
      <c r="N47" s="39">
        <f t="shared" si="7"/>
        <v>0.78860000000000008</v>
      </c>
      <c r="O47" s="40"/>
      <c r="P47" s="40"/>
      <c r="Q47" s="39">
        <f>11.089</f>
        <v>11.089</v>
      </c>
      <c r="R47" s="39">
        <f t="shared" si="8"/>
        <v>0.73926666666666674</v>
      </c>
      <c r="S47" s="39">
        <f>6.107</f>
        <v>6.1070000000000002</v>
      </c>
      <c r="T47" s="39">
        <f t="shared" si="9"/>
        <v>0.40713333333333335</v>
      </c>
      <c r="U47" s="39">
        <f>6.218</f>
        <v>6.218</v>
      </c>
      <c r="V47" s="39">
        <f t="shared" si="10"/>
        <v>0.41453333333333331</v>
      </c>
      <c r="W47" s="39">
        <f>4.302</f>
        <v>4.3019999999999996</v>
      </c>
      <c r="X47" s="39">
        <f t="shared" si="11"/>
        <v>0.2868</v>
      </c>
      <c r="Y47" s="39">
        <f>4.592</f>
        <v>4.5919999999999996</v>
      </c>
      <c r="Z47" s="39">
        <f t="shared" si="12"/>
        <v>0.30613333333333331</v>
      </c>
      <c r="AA47" s="40"/>
      <c r="AB47" s="40"/>
      <c r="AC47" s="39">
        <f>6.61</f>
        <v>6.61</v>
      </c>
      <c r="AD47" s="39">
        <f t="shared" si="13"/>
        <v>0.44066666666666671</v>
      </c>
      <c r="AE47" s="39"/>
      <c r="AF47" s="39" t="str">
        <f t="shared" si="14"/>
        <v/>
      </c>
      <c r="AG47" s="39">
        <f>6.295</f>
        <v>6.2949999999999999</v>
      </c>
      <c r="AH47" s="39">
        <f t="shared" si="15"/>
        <v>0.41966666666666669</v>
      </c>
      <c r="AI47" s="39"/>
      <c r="AJ47" s="39" t="str">
        <f t="shared" si="16"/>
        <v/>
      </c>
      <c r="AK47" s="39"/>
      <c r="AL47" s="39" t="str">
        <f t="shared" si="17"/>
        <v/>
      </c>
      <c r="AM47" s="40"/>
      <c r="AN47" s="40"/>
      <c r="AO47" s="39">
        <f>4.726</f>
        <v>4.726</v>
      </c>
      <c r="AP47" s="39">
        <f t="shared" si="18"/>
        <v>0.31506666666666666</v>
      </c>
      <c r="AQ47" s="39">
        <f>4.974</f>
        <v>4.9740000000000002</v>
      </c>
      <c r="AR47" s="39">
        <f t="shared" si="19"/>
        <v>0.33160000000000001</v>
      </c>
      <c r="AS47" s="39">
        <f>7.594</f>
        <v>7.5940000000000003</v>
      </c>
      <c r="AT47" s="39">
        <f t="shared" si="20"/>
        <v>0.50626666666666664</v>
      </c>
      <c r="AU47" s="39">
        <f>5.547</f>
        <v>5.5469999999999997</v>
      </c>
      <c r="AV47" s="39">
        <f t="shared" si="21"/>
        <v>0.36979999999999996</v>
      </c>
      <c r="AW47" s="39">
        <f>7.351</f>
        <v>7.351</v>
      </c>
      <c r="AX47" s="39">
        <f t="shared" si="22"/>
        <v>0.49006666666666665</v>
      </c>
      <c r="AY47" s="71"/>
    </row>
    <row r="48" spans="1:51" x14ac:dyDescent="0.25">
      <c r="A48" s="22">
        <v>2</v>
      </c>
      <c r="B48" s="22">
        <v>24</v>
      </c>
      <c r="C48" s="40"/>
      <c r="D48" s="40"/>
      <c r="E48" s="39">
        <f>24+24</f>
        <v>48</v>
      </c>
      <c r="F48" s="39">
        <f t="shared" si="3"/>
        <v>2</v>
      </c>
      <c r="G48" s="39">
        <v>4.6500000000000004</v>
      </c>
      <c r="H48" s="39">
        <f t="shared" si="4"/>
        <v>0.19375000000000001</v>
      </c>
      <c r="I48" s="39">
        <f>20.524</f>
        <v>20.524000000000001</v>
      </c>
      <c r="J48" s="39">
        <f t="shared" si="5"/>
        <v>0.85516666666666674</v>
      </c>
      <c r="K48" s="39">
        <f>24+24</f>
        <v>48</v>
      </c>
      <c r="L48" s="39">
        <f t="shared" si="6"/>
        <v>2</v>
      </c>
      <c r="M48" s="39">
        <f>22.25</f>
        <v>22.25</v>
      </c>
      <c r="N48" s="39">
        <f t="shared" si="7"/>
        <v>0.92708333333333337</v>
      </c>
      <c r="O48" s="40"/>
      <c r="P48" s="40"/>
      <c r="Q48" s="39">
        <f>2.459</f>
        <v>2.4590000000000001</v>
      </c>
      <c r="R48" s="39">
        <f t="shared" si="8"/>
        <v>0.10245833333333333</v>
      </c>
      <c r="S48" s="39">
        <f>16.837</f>
        <v>16.837</v>
      </c>
      <c r="T48" s="39">
        <f t="shared" si="9"/>
        <v>0.70154166666666662</v>
      </c>
      <c r="U48" s="39">
        <v>13.099</v>
      </c>
      <c r="V48" s="39">
        <f t="shared" si="10"/>
        <v>0.54579166666666667</v>
      </c>
      <c r="W48" s="39">
        <f>16.25+17.41</f>
        <v>33.659999999999997</v>
      </c>
      <c r="X48" s="39">
        <f t="shared" si="11"/>
        <v>1.4024999999999999</v>
      </c>
      <c r="Y48" s="39">
        <f>8.6</f>
        <v>8.6</v>
      </c>
      <c r="Z48" s="39">
        <f t="shared" si="12"/>
        <v>0.35833333333333334</v>
      </c>
      <c r="AA48" s="40"/>
      <c r="AB48" s="40"/>
      <c r="AC48" s="39">
        <f>14.944</f>
        <v>14.944000000000001</v>
      </c>
      <c r="AD48" s="39">
        <f t="shared" si="13"/>
        <v>0.6226666666666667</v>
      </c>
      <c r="AE48" s="39">
        <v>13.15</v>
      </c>
      <c r="AF48" s="39">
        <f t="shared" si="14"/>
        <v>0.54791666666666672</v>
      </c>
      <c r="AG48" s="39">
        <f>14.52</f>
        <v>14.52</v>
      </c>
      <c r="AH48" s="39">
        <f t="shared" si="15"/>
        <v>0.60499999999999998</v>
      </c>
      <c r="AI48" s="39">
        <f>13.37</f>
        <v>13.37</v>
      </c>
      <c r="AJ48" s="39">
        <f t="shared" si="16"/>
        <v>0.55708333333333326</v>
      </c>
      <c r="AK48" s="39"/>
      <c r="AL48" s="39" t="str">
        <f t="shared" si="17"/>
        <v/>
      </c>
      <c r="AM48" s="40"/>
      <c r="AN48" s="40"/>
      <c r="AO48" s="39">
        <f>13.328</f>
        <v>13.327999999999999</v>
      </c>
      <c r="AP48" s="39">
        <f t="shared" si="18"/>
        <v>0.55533333333333335</v>
      </c>
      <c r="AQ48" s="39">
        <v>9.7899999999999991</v>
      </c>
      <c r="AR48" s="39">
        <f t="shared" si="19"/>
        <v>0.40791666666666665</v>
      </c>
      <c r="AS48" s="39">
        <f>3.18+5.12</f>
        <v>8.3000000000000007</v>
      </c>
      <c r="AT48" s="39">
        <f t="shared" si="20"/>
        <v>0.34583333333333338</v>
      </c>
      <c r="AU48" s="39">
        <f>12.02</f>
        <v>12.02</v>
      </c>
      <c r="AV48" s="39">
        <f t="shared" si="21"/>
        <v>0.50083333333333335</v>
      </c>
      <c r="AW48" s="39">
        <f>9.539</f>
        <v>9.5389999999999997</v>
      </c>
      <c r="AX48" s="39">
        <f t="shared" si="22"/>
        <v>0.3974583333333333</v>
      </c>
      <c r="AY48" s="71"/>
    </row>
    <row r="49" spans="1:52" x14ac:dyDescent="0.25">
      <c r="A49" s="22">
        <v>2</v>
      </c>
      <c r="B49" s="22">
        <v>24</v>
      </c>
      <c r="C49" s="40"/>
      <c r="D49" s="40"/>
      <c r="E49" s="39">
        <v>2.41</v>
      </c>
      <c r="F49" s="39">
        <f t="shared" si="3"/>
        <v>0.10041666666666667</v>
      </c>
      <c r="G49" s="39">
        <f>5.73+24</f>
        <v>29.73</v>
      </c>
      <c r="H49" s="39">
        <f t="shared" si="4"/>
        <v>1.23875</v>
      </c>
      <c r="I49" s="39">
        <f>4.047+24</f>
        <v>28.047000000000001</v>
      </c>
      <c r="J49" s="39">
        <f t="shared" si="5"/>
        <v>1.168625</v>
      </c>
      <c r="K49" s="39">
        <f>6.443</f>
        <v>6.4429999999999996</v>
      </c>
      <c r="L49" s="39">
        <f t="shared" si="6"/>
        <v>0.2684583333333333</v>
      </c>
      <c r="M49" s="39">
        <f>8.914</f>
        <v>8.9139999999999997</v>
      </c>
      <c r="N49" s="39">
        <f t="shared" si="7"/>
        <v>0.37141666666666667</v>
      </c>
      <c r="O49" s="40"/>
      <c r="P49" s="40"/>
      <c r="Q49" s="39">
        <f>20.584</f>
        <v>20.584</v>
      </c>
      <c r="R49" s="39">
        <f t="shared" si="8"/>
        <v>0.85766666666666669</v>
      </c>
      <c r="S49" s="39"/>
      <c r="T49" s="39" t="str">
        <f t="shared" si="9"/>
        <v/>
      </c>
      <c r="U49" s="39"/>
      <c r="V49" s="39" t="str">
        <f t="shared" si="10"/>
        <v/>
      </c>
      <c r="W49" s="39"/>
      <c r="X49" s="39" t="str">
        <f t="shared" si="11"/>
        <v/>
      </c>
      <c r="Y49" s="39"/>
      <c r="Z49" s="39" t="str">
        <f t="shared" si="12"/>
        <v/>
      </c>
      <c r="AA49" s="40"/>
      <c r="AB49" s="40"/>
      <c r="AC49" s="39">
        <f>8.7</f>
        <v>8.6999999999999993</v>
      </c>
      <c r="AD49" s="39">
        <f t="shared" si="13"/>
        <v>0.36249999999999999</v>
      </c>
      <c r="AE49" s="39">
        <v>20.67</v>
      </c>
      <c r="AF49" s="39">
        <f t="shared" si="14"/>
        <v>0.86125000000000007</v>
      </c>
      <c r="AG49" s="39">
        <v>21.122</v>
      </c>
      <c r="AH49" s="39">
        <f t="shared" si="15"/>
        <v>0.88008333333333333</v>
      </c>
      <c r="AI49" s="39">
        <f>20.328</f>
        <v>20.327999999999999</v>
      </c>
      <c r="AJ49" s="39">
        <f t="shared" si="16"/>
        <v>0.84699999999999998</v>
      </c>
      <c r="AK49" s="39">
        <f>18.048</f>
        <v>18.047999999999998</v>
      </c>
      <c r="AL49" s="39">
        <f t="shared" si="17"/>
        <v>0.75199999999999989</v>
      </c>
      <c r="AM49" s="40"/>
      <c r="AN49" s="40"/>
      <c r="AO49" s="39">
        <f>21.955</f>
        <v>21.954999999999998</v>
      </c>
      <c r="AP49" s="39">
        <f t="shared" si="18"/>
        <v>0.91479166666666656</v>
      </c>
      <c r="AQ49" s="39">
        <v>5.899</v>
      </c>
      <c r="AR49" s="39">
        <f t="shared" si="19"/>
        <v>0.24579166666666666</v>
      </c>
      <c r="AS49" s="39"/>
      <c r="AT49" s="39" t="str">
        <f t="shared" si="20"/>
        <v/>
      </c>
      <c r="AU49" s="39">
        <f>6.32</f>
        <v>6.32</v>
      </c>
      <c r="AV49" s="39">
        <f t="shared" si="21"/>
        <v>0.26333333333333336</v>
      </c>
      <c r="AW49" s="39"/>
      <c r="AX49" s="39" t="str">
        <f t="shared" si="22"/>
        <v/>
      </c>
      <c r="AY49" s="71"/>
    </row>
    <row r="50" spans="1:52" x14ac:dyDescent="0.25">
      <c r="A50" s="22">
        <v>2</v>
      </c>
      <c r="B50" s="22">
        <v>15</v>
      </c>
      <c r="C50" s="40"/>
      <c r="D50" s="40"/>
      <c r="E50" s="39">
        <v>14.63</v>
      </c>
      <c r="F50" s="39">
        <f t="shared" si="3"/>
        <v>0.97533333333333339</v>
      </c>
      <c r="G50" s="39">
        <v>12.659000000000001</v>
      </c>
      <c r="H50" s="39">
        <f t="shared" si="4"/>
        <v>0.84393333333333342</v>
      </c>
      <c r="I50" s="39">
        <f>4.68+2.44</f>
        <v>7.1199999999999992</v>
      </c>
      <c r="J50" s="39">
        <f t="shared" si="5"/>
        <v>0.47466666666666663</v>
      </c>
      <c r="K50" s="39">
        <f>8.5</f>
        <v>8.5</v>
      </c>
      <c r="L50" s="39">
        <f t="shared" si="6"/>
        <v>0.56666666666666665</v>
      </c>
      <c r="M50" s="39">
        <f>4.68+1.229</f>
        <v>5.9089999999999998</v>
      </c>
      <c r="N50" s="39">
        <f t="shared" si="7"/>
        <v>0.3939333333333333</v>
      </c>
      <c r="O50" s="40"/>
      <c r="P50" s="40"/>
      <c r="Q50" s="39">
        <f>9.235</f>
        <v>9.2349999999999994</v>
      </c>
      <c r="R50" s="39">
        <f t="shared" si="8"/>
        <v>0.61566666666666658</v>
      </c>
      <c r="S50" s="39">
        <v>7.766</v>
      </c>
      <c r="T50" s="39">
        <f t="shared" si="9"/>
        <v>0.51773333333333338</v>
      </c>
      <c r="U50" s="39">
        <v>5.1550000000000002</v>
      </c>
      <c r="V50" s="39">
        <f t="shared" si="10"/>
        <v>0.34366666666666668</v>
      </c>
      <c r="W50" s="39">
        <f>4.23</f>
        <v>4.2300000000000004</v>
      </c>
      <c r="X50" s="39">
        <f t="shared" si="11"/>
        <v>0.28200000000000003</v>
      </c>
      <c r="Y50" s="39">
        <f>3.66</f>
        <v>3.66</v>
      </c>
      <c r="Z50" s="39">
        <f t="shared" si="12"/>
        <v>0.24400000000000002</v>
      </c>
      <c r="AA50" s="40"/>
      <c r="AB50" s="40"/>
      <c r="AC50" s="39">
        <f>11.86</f>
        <v>11.86</v>
      </c>
      <c r="AD50" s="39">
        <f t="shared" si="13"/>
        <v>0.79066666666666663</v>
      </c>
      <c r="AE50" s="39">
        <f>12.024</f>
        <v>12.023999999999999</v>
      </c>
      <c r="AF50" s="39">
        <f t="shared" si="14"/>
        <v>0.80159999999999998</v>
      </c>
      <c r="AG50" s="39">
        <f>12.399</f>
        <v>12.398999999999999</v>
      </c>
      <c r="AH50" s="39">
        <f t="shared" si="15"/>
        <v>0.82659999999999989</v>
      </c>
      <c r="AI50" s="39"/>
      <c r="AJ50" s="39" t="str">
        <f t="shared" si="16"/>
        <v/>
      </c>
      <c r="AK50" s="39">
        <v>13.115</v>
      </c>
      <c r="AL50" s="39">
        <f t="shared" si="17"/>
        <v>0.8743333333333333</v>
      </c>
      <c r="AM50" s="40"/>
      <c r="AN50" s="40"/>
      <c r="AO50" s="39">
        <f>16.079</f>
        <v>16.079000000000001</v>
      </c>
      <c r="AP50" s="39">
        <f t="shared" si="18"/>
        <v>1.0719333333333334</v>
      </c>
      <c r="AQ50" s="39">
        <f>9.18</f>
        <v>9.18</v>
      </c>
      <c r="AR50" s="39">
        <f t="shared" si="19"/>
        <v>0.61199999999999999</v>
      </c>
      <c r="AS50" s="39">
        <v>10.68</v>
      </c>
      <c r="AT50" s="39">
        <f t="shared" si="20"/>
        <v>0.71199999999999997</v>
      </c>
      <c r="AU50" s="39">
        <f>5.72</f>
        <v>5.72</v>
      </c>
      <c r="AV50" s="39">
        <f t="shared" si="21"/>
        <v>0.3813333333333333</v>
      </c>
      <c r="AW50" s="39">
        <f>10.64+4.95</f>
        <v>15.59</v>
      </c>
      <c r="AX50" s="39">
        <f t="shared" si="22"/>
        <v>1.0393333333333332</v>
      </c>
      <c r="AY50" s="71"/>
    </row>
    <row r="51" spans="1:52" x14ac:dyDescent="0.25">
      <c r="A51" s="22">
        <v>2</v>
      </c>
      <c r="B51" s="22">
        <v>15</v>
      </c>
      <c r="C51" s="40"/>
      <c r="D51" s="40"/>
      <c r="E51" s="39">
        <f>8.947</f>
        <v>8.9469999999999992</v>
      </c>
      <c r="F51" s="39">
        <f t="shared" si="3"/>
        <v>0.59646666666666659</v>
      </c>
      <c r="G51" s="39">
        <v>12.77</v>
      </c>
      <c r="H51" s="39">
        <f t="shared" si="4"/>
        <v>0.85133333333333328</v>
      </c>
      <c r="I51" s="39">
        <f>6.78</f>
        <v>6.78</v>
      </c>
      <c r="J51" s="39">
        <f t="shared" si="5"/>
        <v>0.45200000000000001</v>
      </c>
      <c r="K51" s="39">
        <f>6.23</f>
        <v>6.23</v>
      </c>
      <c r="L51" s="39">
        <f t="shared" si="6"/>
        <v>0.41533333333333339</v>
      </c>
      <c r="M51" s="39">
        <f>7.014</f>
        <v>7.0140000000000002</v>
      </c>
      <c r="N51" s="39">
        <f t="shared" si="7"/>
        <v>0.46760000000000002</v>
      </c>
      <c r="O51" s="40"/>
      <c r="P51" s="40"/>
      <c r="Q51" s="39">
        <f>10.9</f>
        <v>10.9</v>
      </c>
      <c r="R51" s="39">
        <f t="shared" si="8"/>
        <v>0.72666666666666668</v>
      </c>
      <c r="S51" s="39">
        <f>8.984</f>
        <v>8.984</v>
      </c>
      <c r="T51" s="39">
        <f t="shared" si="9"/>
        <v>0.59893333333333332</v>
      </c>
      <c r="U51" s="39">
        <f>12.85</f>
        <v>12.85</v>
      </c>
      <c r="V51" s="39">
        <f t="shared" si="10"/>
        <v>0.85666666666666669</v>
      </c>
      <c r="W51" s="39">
        <f>7.225</f>
        <v>7.2249999999999996</v>
      </c>
      <c r="X51" s="39">
        <f t="shared" si="11"/>
        <v>0.48166666666666663</v>
      </c>
      <c r="Y51" s="39">
        <f>12.26</f>
        <v>12.26</v>
      </c>
      <c r="Z51" s="39">
        <f t="shared" si="12"/>
        <v>0.81733333333333336</v>
      </c>
      <c r="AA51" s="40"/>
      <c r="AB51" s="40"/>
      <c r="AC51" s="39">
        <v>6.2309999999999999</v>
      </c>
      <c r="AD51" s="39">
        <f t="shared" si="13"/>
        <v>0.41539999999999999</v>
      </c>
      <c r="AE51" s="39">
        <f>9.52</f>
        <v>9.52</v>
      </c>
      <c r="AF51" s="39">
        <f t="shared" si="14"/>
        <v>0.6346666666666666</v>
      </c>
      <c r="AG51" s="39">
        <f>9.79</f>
        <v>9.7899999999999991</v>
      </c>
      <c r="AH51" s="39">
        <f t="shared" si="15"/>
        <v>0.65266666666666662</v>
      </c>
      <c r="AI51" s="39">
        <f>4.78</f>
        <v>4.78</v>
      </c>
      <c r="AJ51" s="39">
        <f t="shared" si="16"/>
        <v>0.31866666666666671</v>
      </c>
      <c r="AK51" s="39">
        <f>4.68</f>
        <v>4.68</v>
      </c>
      <c r="AL51" s="39">
        <f t="shared" si="17"/>
        <v>0.312</v>
      </c>
      <c r="AM51" s="40"/>
      <c r="AN51" s="40"/>
      <c r="AO51" s="39">
        <f>13.277</f>
        <v>13.276999999999999</v>
      </c>
      <c r="AP51" s="39">
        <f t="shared" si="18"/>
        <v>0.88513333333333333</v>
      </c>
      <c r="AQ51" s="39"/>
      <c r="AR51" s="39" t="str">
        <f t="shared" si="19"/>
        <v/>
      </c>
      <c r="AS51" s="39"/>
      <c r="AT51" s="39" t="str">
        <f t="shared" si="20"/>
        <v/>
      </c>
      <c r="AU51" s="39"/>
      <c r="AV51" s="39" t="str">
        <f t="shared" si="21"/>
        <v/>
      </c>
      <c r="AW51" s="39">
        <f>3.079</f>
        <v>3.0790000000000002</v>
      </c>
      <c r="AX51" s="39">
        <f t="shared" si="22"/>
        <v>0.20526666666666668</v>
      </c>
      <c r="AY51" s="71"/>
    </row>
    <row r="52" spans="1:52" x14ac:dyDescent="0.25">
      <c r="A52" s="22">
        <v>2</v>
      </c>
      <c r="B52" s="22">
        <v>15</v>
      </c>
      <c r="C52" s="40"/>
      <c r="D52" s="40"/>
      <c r="E52" s="39">
        <v>9.1950000000000003</v>
      </c>
      <c r="F52" s="39">
        <f t="shared" si="3"/>
        <v>0.61299999999999999</v>
      </c>
      <c r="G52" s="39">
        <v>10.381</v>
      </c>
      <c r="H52" s="39">
        <f t="shared" si="4"/>
        <v>0.69206666666666672</v>
      </c>
      <c r="I52" s="39">
        <f>14.193</f>
        <v>14.193</v>
      </c>
      <c r="J52" s="39">
        <f t="shared" si="5"/>
        <v>0.94619999999999993</v>
      </c>
      <c r="K52" s="39">
        <f>8.94</f>
        <v>8.94</v>
      </c>
      <c r="L52" s="39">
        <f t="shared" si="6"/>
        <v>0.59599999999999997</v>
      </c>
      <c r="M52" s="39">
        <f>10.922</f>
        <v>10.922000000000001</v>
      </c>
      <c r="N52" s="39">
        <f t="shared" si="7"/>
        <v>0.72813333333333341</v>
      </c>
      <c r="O52" s="40"/>
      <c r="P52" s="40"/>
      <c r="Q52" s="39"/>
      <c r="R52" s="39" t="str">
        <f t="shared" si="8"/>
        <v/>
      </c>
      <c r="S52" s="39">
        <v>6.9009999999999998</v>
      </c>
      <c r="T52" s="39">
        <f t="shared" si="9"/>
        <v>0.46006666666666668</v>
      </c>
      <c r="U52" s="39">
        <f>3.538</f>
        <v>3.5379999999999998</v>
      </c>
      <c r="V52" s="39">
        <f t="shared" si="10"/>
        <v>0.23586666666666664</v>
      </c>
      <c r="W52" s="39">
        <f>7.888</f>
        <v>7.8879999999999999</v>
      </c>
      <c r="X52" s="39">
        <f t="shared" si="11"/>
        <v>0.5258666666666667</v>
      </c>
      <c r="Y52" s="39"/>
      <c r="Z52" s="39" t="str">
        <f t="shared" si="12"/>
        <v/>
      </c>
      <c r="AA52" s="40"/>
      <c r="AB52" s="40"/>
      <c r="AC52" s="39">
        <v>2.7280000000000002</v>
      </c>
      <c r="AD52" s="39">
        <f t="shared" si="13"/>
        <v>0.18186666666666668</v>
      </c>
      <c r="AE52" s="39">
        <v>10.157999999999999</v>
      </c>
      <c r="AF52" s="39">
        <f t="shared" si="14"/>
        <v>0.67719999999999991</v>
      </c>
      <c r="AG52" s="39"/>
      <c r="AH52" s="39" t="str">
        <f t="shared" si="15"/>
        <v/>
      </c>
      <c r="AI52" s="39">
        <f>6.945</f>
        <v>6.9450000000000003</v>
      </c>
      <c r="AJ52" s="39">
        <f t="shared" si="16"/>
        <v>0.46300000000000002</v>
      </c>
      <c r="AK52" s="39">
        <v>5.0549999999999997</v>
      </c>
      <c r="AL52" s="39">
        <f t="shared" si="17"/>
        <v>0.33699999999999997</v>
      </c>
      <c r="AM52" s="40"/>
      <c r="AN52" s="40"/>
      <c r="AO52" s="39">
        <f>10.925</f>
        <v>10.925000000000001</v>
      </c>
      <c r="AP52" s="39">
        <f t="shared" si="18"/>
        <v>0.72833333333333339</v>
      </c>
      <c r="AQ52" s="39">
        <v>6.5670000000000002</v>
      </c>
      <c r="AR52" s="39">
        <f t="shared" si="19"/>
        <v>0.43780000000000002</v>
      </c>
      <c r="AS52" s="39">
        <f>14.859</f>
        <v>14.859</v>
      </c>
      <c r="AT52" s="39">
        <f t="shared" si="20"/>
        <v>0.99060000000000004</v>
      </c>
      <c r="AU52" s="39">
        <f>13.504</f>
        <v>13.504</v>
      </c>
      <c r="AV52" s="39">
        <f t="shared" si="21"/>
        <v>0.90026666666666666</v>
      </c>
      <c r="AW52" s="39">
        <f>7.634</f>
        <v>7.6340000000000003</v>
      </c>
      <c r="AX52" s="39">
        <f t="shared" si="22"/>
        <v>0.50893333333333335</v>
      </c>
      <c r="AY52" s="71"/>
    </row>
    <row r="53" spans="1:52" x14ac:dyDescent="0.25">
      <c r="A53" s="22">
        <v>2</v>
      </c>
      <c r="B53" s="23">
        <v>15</v>
      </c>
      <c r="C53" s="40"/>
      <c r="D53" s="40"/>
      <c r="E53" s="39"/>
      <c r="F53" s="39" t="str">
        <f t="shared" si="3"/>
        <v/>
      </c>
      <c r="G53" s="39"/>
      <c r="H53" s="39" t="str">
        <f t="shared" si="4"/>
        <v/>
      </c>
      <c r="I53" s="39"/>
      <c r="J53" s="39" t="str">
        <f t="shared" si="5"/>
        <v/>
      </c>
      <c r="K53" s="39"/>
      <c r="L53" s="39" t="str">
        <f t="shared" si="6"/>
        <v/>
      </c>
      <c r="M53" s="39"/>
      <c r="N53" s="39" t="str">
        <f t="shared" si="7"/>
        <v/>
      </c>
      <c r="O53" s="40"/>
      <c r="P53" s="40"/>
      <c r="Q53" s="39"/>
      <c r="R53" s="39" t="str">
        <f t="shared" si="8"/>
        <v/>
      </c>
      <c r="S53" s="39"/>
      <c r="T53" s="39" t="str">
        <f t="shared" si="9"/>
        <v/>
      </c>
      <c r="U53" s="39"/>
      <c r="V53" s="39" t="str">
        <f t="shared" si="10"/>
        <v/>
      </c>
      <c r="W53" s="39"/>
      <c r="X53" s="39" t="str">
        <f t="shared" si="11"/>
        <v/>
      </c>
      <c r="Y53" s="39"/>
      <c r="Z53" s="39" t="str">
        <f t="shared" si="12"/>
        <v/>
      </c>
      <c r="AA53" s="40"/>
      <c r="AB53" s="40"/>
      <c r="AC53" s="39"/>
      <c r="AD53" s="39" t="str">
        <f t="shared" si="13"/>
        <v/>
      </c>
      <c r="AE53" s="39"/>
      <c r="AF53" s="39" t="str">
        <f t="shared" si="14"/>
        <v/>
      </c>
      <c r="AG53" s="39"/>
      <c r="AH53" s="39" t="str">
        <f t="shared" si="15"/>
        <v/>
      </c>
      <c r="AI53" s="39"/>
      <c r="AJ53" s="39" t="str">
        <f t="shared" si="16"/>
        <v/>
      </c>
      <c r="AK53" s="39"/>
      <c r="AL53" s="39" t="str">
        <f t="shared" si="17"/>
        <v/>
      </c>
      <c r="AM53" s="40"/>
      <c r="AN53" s="40"/>
      <c r="AO53" s="39"/>
      <c r="AP53" s="39" t="str">
        <f t="shared" si="18"/>
        <v/>
      </c>
      <c r="AQ53" s="39"/>
      <c r="AR53" s="39" t="str">
        <f t="shared" si="19"/>
        <v/>
      </c>
      <c r="AS53" s="39"/>
      <c r="AT53" s="39" t="str">
        <f t="shared" si="20"/>
        <v/>
      </c>
      <c r="AU53" s="39"/>
      <c r="AV53" s="39" t="str">
        <f t="shared" si="21"/>
        <v/>
      </c>
      <c r="AW53" s="39"/>
      <c r="AX53" s="39" t="str">
        <f t="shared" si="22"/>
        <v/>
      </c>
      <c r="AY53" s="71"/>
    </row>
    <row r="54" spans="1:52" x14ac:dyDescent="0.25">
      <c r="A54" s="22">
        <v>2</v>
      </c>
      <c r="B54" s="22">
        <v>24</v>
      </c>
      <c r="C54" s="40"/>
      <c r="D54" s="40"/>
      <c r="E54" s="39">
        <v>24.812999999999999</v>
      </c>
      <c r="F54" s="39">
        <f t="shared" si="3"/>
        <v>1.0338749999999999</v>
      </c>
      <c r="G54" s="39">
        <v>19.969000000000001</v>
      </c>
      <c r="H54" s="39">
        <f t="shared" si="4"/>
        <v>0.83204166666666668</v>
      </c>
      <c r="I54" s="39">
        <f>12.035</f>
        <v>12.035</v>
      </c>
      <c r="J54" s="39">
        <f t="shared" si="5"/>
        <v>0.50145833333333334</v>
      </c>
      <c r="K54" s="39">
        <f>7.248</f>
        <v>7.2480000000000002</v>
      </c>
      <c r="L54" s="39">
        <f t="shared" si="6"/>
        <v>0.30199999999999999</v>
      </c>
      <c r="M54" s="39">
        <f>16.486</f>
        <v>16.486000000000001</v>
      </c>
      <c r="N54" s="39">
        <f t="shared" si="7"/>
        <v>0.68691666666666673</v>
      </c>
      <c r="O54" s="40"/>
      <c r="P54" s="40"/>
      <c r="Q54" s="39">
        <f>21.446</f>
        <v>21.446000000000002</v>
      </c>
      <c r="R54" s="39">
        <f t="shared" si="8"/>
        <v>0.8935833333333334</v>
      </c>
      <c r="S54" s="39"/>
      <c r="T54" s="39" t="str">
        <f t="shared" si="9"/>
        <v/>
      </c>
      <c r="U54" s="39">
        <f>10.539</f>
        <v>10.539</v>
      </c>
      <c r="V54" s="39">
        <f t="shared" si="10"/>
        <v>0.43912499999999999</v>
      </c>
      <c r="W54" s="39">
        <f>12.576</f>
        <v>12.576000000000001</v>
      </c>
      <c r="X54" s="39">
        <f t="shared" si="11"/>
        <v>0.52400000000000002</v>
      </c>
      <c r="Y54" s="39">
        <v>23.34</v>
      </c>
      <c r="Z54" s="39">
        <f t="shared" si="12"/>
        <v>0.97250000000000003</v>
      </c>
      <c r="AA54" s="40"/>
      <c r="AB54" s="40"/>
      <c r="AC54" s="39">
        <f>18.887</f>
        <v>18.887</v>
      </c>
      <c r="AD54" s="39">
        <f t="shared" si="13"/>
        <v>0.78695833333333332</v>
      </c>
      <c r="AE54" s="39">
        <f>13.946</f>
        <v>13.946</v>
      </c>
      <c r="AF54" s="39">
        <f t="shared" si="14"/>
        <v>0.58108333333333329</v>
      </c>
      <c r="AG54" s="39">
        <f>14.305</f>
        <v>14.305</v>
      </c>
      <c r="AH54" s="39">
        <f t="shared" si="15"/>
        <v>0.59604166666666669</v>
      </c>
      <c r="AI54" s="39">
        <f>16.277</f>
        <v>16.277000000000001</v>
      </c>
      <c r="AJ54" s="39">
        <f t="shared" si="16"/>
        <v>0.67820833333333341</v>
      </c>
      <c r="AK54" s="39">
        <f>12.33</f>
        <v>12.33</v>
      </c>
      <c r="AL54" s="39">
        <f t="shared" si="17"/>
        <v>0.51375000000000004</v>
      </c>
      <c r="AM54" s="40"/>
      <c r="AN54" s="40"/>
      <c r="AO54" s="39">
        <v>24.998000000000001</v>
      </c>
      <c r="AP54" s="39">
        <f t="shared" si="18"/>
        <v>1.0415833333333333</v>
      </c>
      <c r="AQ54" s="39">
        <f>14.084</f>
        <v>14.084</v>
      </c>
      <c r="AR54" s="39">
        <f t="shared" si="19"/>
        <v>0.58683333333333332</v>
      </c>
      <c r="AS54" s="39">
        <f>13.216</f>
        <v>13.215999999999999</v>
      </c>
      <c r="AT54" s="39">
        <f t="shared" si="20"/>
        <v>0.55066666666666664</v>
      </c>
      <c r="AU54" s="39"/>
      <c r="AV54" s="39" t="str">
        <f t="shared" si="21"/>
        <v/>
      </c>
      <c r="AW54" s="39">
        <f>6.786</f>
        <v>6.7859999999999996</v>
      </c>
      <c r="AX54" s="39">
        <f t="shared" si="22"/>
        <v>0.28275</v>
      </c>
      <c r="AY54" s="71"/>
    </row>
    <row r="55" spans="1:52" x14ac:dyDescent="0.25">
      <c r="A55" s="22">
        <v>2</v>
      </c>
      <c r="B55" s="22">
        <v>24</v>
      </c>
      <c r="C55" s="40"/>
      <c r="D55" s="40"/>
      <c r="E55" s="39">
        <f>25.47+21.802</f>
        <v>47.271999999999998</v>
      </c>
      <c r="F55" s="39">
        <f t="shared" si="3"/>
        <v>1.9696666666666667</v>
      </c>
      <c r="G55" s="39">
        <v>14.151999999999999</v>
      </c>
      <c r="H55" s="39">
        <f t="shared" si="4"/>
        <v>0.58966666666666667</v>
      </c>
      <c r="I55" s="39">
        <f>14.871+23.27</f>
        <v>38.140999999999998</v>
      </c>
      <c r="J55" s="39">
        <f t="shared" si="5"/>
        <v>1.5892083333333333</v>
      </c>
      <c r="K55" s="39">
        <v>14.984999999999999</v>
      </c>
      <c r="L55" s="39">
        <f t="shared" si="6"/>
        <v>0.62437500000000001</v>
      </c>
      <c r="M55" s="39">
        <v>13.93</v>
      </c>
      <c r="N55" s="39">
        <f t="shared" si="7"/>
        <v>0.58041666666666669</v>
      </c>
      <c r="O55" s="40"/>
      <c r="P55" s="40"/>
      <c r="Q55" s="39">
        <f>10.843+15.847</f>
        <v>26.689999999999998</v>
      </c>
      <c r="R55" s="39">
        <f t="shared" si="8"/>
        <v>1.1120833333333333</v>
      </c>
      <c r="S55" s="39">
        <f>16.242</f>
        <v>16.242000000000001</v>
      </c>
      <c r="T55" s="39">
        <f t="shared" si="9"/>
        <v>0.67675000000000007</v>
      </c>
      <c r="U55" s="39">
        <f>9.852</f>
        <v>9.8520000000000003</v>
      </c>
      <c r="V55" s="39">
        <f t="shared" si="10"/>
        <v>0.41050000000000003</v>
      </c>
      <c r="W55" s="39">
        <f>4.87</f>
        <v>4.87</v>
      </c>
      <c r="X55" s="39">
        <f t="shared" si="11"/>
        <v>0.20291666666666666</v>
      </c>
      <c r="Y55" s="39">
        <f>14.745</f>
        <v>14.744999999999999</v>
      </c>
      <c r="Z55" s="39">
        <f t="shared" si="12"/>
        <v>0.614375</v>
      </c>
      <c r="AA55" s="40"/>
      <c r="AB55" s="40"/>
      <c r="AC55" s="39">
        <f>21.42+12.908</f>
        <v>34.328000000000003</v>
      </c>
      <c r="AD55" s="39">
        <f t="shared" si="13"/>
        <v>1.4303333333333335</v>
      </c>
      <c r="AE55" s="39">
        <f>5.651</f>
        <v>5.6509999999999998</v>
      </c>
      <c r="AF55" s="39">
        <f t="shared" si="14"/>
        <v>0.23545833333333333</v>
      </c>
      <c r="AG55" s="39">
        <f>21.626</f>
        <v>21.626000000000001</v>
      </c>
      <c r="AH55" s="39">
        <f t="shared" si="15"/>
        <v>0.90108333333333335</v>
      </c>
      <c r="AI55" s="39">
        <f>8.274</f>
        <v>8.2739999999999991</v>
      </c>
      <c r="AJ55" s="39">
        <f t="shared" si="16"/>
        <v>0.34474999999999995</v>
      </c>
      <c r="AK55" s="39">
        <f>7.073</f>
        <v>7.0730000000000004</v>
      </c>
      <c r="AL55" s="39">
        <f t="shared" si="17"/>
        <v>0.29470833333333335</v>
      </c>
      <c r="AM55" s="40"/>
      <c r="AN55" s="40"/>
      <c r="AO55" s="39">
        <f>21.384</f>
        <v>21.384</v>
      </c>
      <c r="AP55" s="39">
        <f t="shared" si="18"/>
        <v>0.89100000000000001</v>
      </c>
      <c r="AQ55" s="39">
        <f>25.504</f>
        <v>25.504000000000001</v>
      </c>
      <c r="AR55" s="39">
        <f t="shared" si="19"/>
        <v>1.0626666666666666</v>
      </c>
      <c r="AS55" s="39">
        <f>30.004</f>
        <v>30.004000000000001</v>
      </c>
      <c r="AT55" s="39">
        <f t="shared" si="20"/>
        <v>1.2501666666666666</v>
      </c>
      <c r="AU55" s="39">
        <f>8.066</f>
        <v>8.0660000000000007</v>
      </c>
      <c r="AV55" s="39">
        <f t="shared" si="21"/>
        <v>0.33608333333333335</v>
      </c>
      <c r="AW55" s="39">
        <f>10.373</f>
        <v>10.372999999999999</v>
      </c>
      <c r="AX55" s="39">
        <f t="shared" si="22"/>
        <v>0.43220833333333331</v>
      </c>
      <c r="AY55" s="71"/>
    </row>
    <row r="56" spans="1:52" x14ac:dyDescent="0.25">
      <c r="A56" s="22">
        <v>2</v>
      </c>
      <c r="B56" s="22">
        <v>24</v>
      </c>
      <c r="C56" s="40"/>
      <c r="D56" s="40"/>
      <c r="E56" s="39">
        <v>19.989999999999998</v>
      </c>
      <c r="F56" s="39">
        <f t="shared" si="3"/>
        <v>0.83291666666666664</v>
      </c>
      <c r="G56" s="39">
        <f>20.879</f>
        <v>20.879000000000001</v>
      </c>
      <c r="H56" s="39">
        <f t="shared" si="4"/>
        <v>0.86995833333333339</v>
      </c>
      <c r="I56" s="39">
        <f>23.39</f>
        <v>23.39</v>
      </c>
      <c r="J56" s="39">
        <f>IF(I56="","",I56/B56)</f>
        <v>0.97458333333333336</v>
      </c>
      <c r="K56" s="39">
        <f>9.583</f>
        <v>9.5830000000000002</v>
      </c>
      <c r="L56" s="39">
        <f t="shared" si="6"/>
        <v>0.39929166666666666</v>
      </c>
      <c r="M56" s="39">
        <f>9.492</f>
        <v>9.4920000000000009</v>
      </c>
      <c r="N56" s="39">
        <f t="shared" si="7"/>
        <v>0.39550000000000002</v>
      </c>
      <c r="O56" s="40"/>
      <c r="P56" s="40"/>
      <c r="Q56" s="39">
        <f>20.76</f>
        <v>20.76</v>
      </c>
      <c r="R56" s="39">
        <f t="shared" si="8"/>
        <v>0.8650000000000001</v>
      </c>
      <c r="S56" s="39">
        <f>6.971</f>
        <v>6.9710000000000001</v>
      </c>
      <c r="T56" s="39">
        <f t="shared" si="9"/>
        <v>0.29045833333333332</v>
      </c>
      <c r="U56" s="39">
        <f>13.098</f>
        <v>13.098000000000001</v>
      </c>
      <c r="V56" s="39">
        <f t="shared" si="10"/>
        <v>0.54575000000000007</v>
      </c>
      <c r="W56" s="39">
        <f>6.206</f>
        <v>6.2060000000000004</v>
      </c>
      <c r="X56" s="39">
        <f t="shared" si="11"/>
        <v>0.25858333333333333</v>
      </c>
      <c r="Y56" s="39">
        <f>18.46</f>
        <v>18.46</v>
      </c>
      <c r="Z56" s="39">
        <f t="shared" si="12"/>
        <v>0.76916666666666667</v>
      </c>
      <c r="AA56" s="40"/>
      <c r="AB56" s="40"/>
      <c r="AC56" s="39">
        <f>20.065+15.252</f>
        <v>35.317</v>
      </c>
      <c r="AD56" s="39">
        <f t="shared" si="13"/>
        <v>1.4715416666666667</v>
      </c>
      <c r="AE56" s="39">
        <v>23.210999999999999</v>
      </c>
      <c r="AF56" s="39">
        <f t="shared" si="14"/>
        <v>0.9671249999999999</v>
      </c>
      <c r="AG56" s="39">
        <f>13.074+18.446</f>
        <v>31.520000000000003</v>
      </c>
      <c r="AH56" s="39">
        <f t="shared" si="15"/>
        <v>1.3133333333333335</v>
      </c>
      <c r="AI56" s="39">
        <f>8.465+4.185</f>
        <v>12.649999999999999</v>
      </c>
      <c r="AJ56" s="39">
        <f t="shared" si="16"/>
        <v>0.52708333333333324</v>
      </c>
      <c r="AK56" s="39">
        <f>6.96</f>
        <v>6.96</v>
      </c>
      <c r="AL56" s="39">
        <f t="shared" si="17"/>
        <v>0.28999999999999998</v>
      </c>
      <c r="AM56" s="40"/>
      <c r="AN56" s="40"/>
      <c r="AO56" s="39">
        <f>16.31</f>
        <v>16.309999999999999</v>
      </c>
      <c r="AP56" s="39">
        <f t="shared" si="18"/>
        <v>0.67958333333333332</v>
      </c>
      <c r="AQ56" s="39">
        <v>14.481999999999999</v>
      </c>
      <c r="AR56" s="39">
        <f t="shared" si="19"/>
        <v>0.6034166666666666</v>
      </c>
      <c r="AS56" s="39"/>
      <c r="AT56" s="39" t="str">
        <f t="shared" si="20"/>
        <v/>
      </c>
      <c r="AU56" s="39"/>
      <c r="AV56" s="39" t="str">
        <f t="shared" si="21"/>
        <v/>
      </c>
      <c r="AW56" s="39">
        <f>6.98</f>
        <v>6.98</v>
      </c>
      <c r="AX56" s="39">
        <f t="shared" si="22"/>
        <v>0.29083333333333333</v>
      </c>
      <c r="AY56" s="71"/>
    </row>
    <row r="57" spans="1:52" x14ac:dyDescent="0.25">
      <c r="A57" s="22">
        <v>2</v>
      </c>
      <c r="B57" s="22">
        <v>15</v>
      </c>
      <c r="C57" s="40"/>
      <c r="D57" s="40"/>
      <c r="E57" s="39">
        <f>12.366+4.898</f>
        <v>17.263999999999999</v>
      </c>
      <c r="F57" s="39">
        <f t="shared" si="3"/>
        <v>1.1509333333333334</v>
      </c>
      <c r="G57" s="39">
        <f>8.323</f>
        <v>8.3230000000000004</v>
      </c>
      <c r="H57" s="39">
        <f t="shared" si="4"/>
        <v>0.55486666666666673</v>
      </c>
      <c r="I57" s="39">
        <f>12.848+3.084+0.96</f>
        <v>16.891999999999999</v>
      </c>
      <c r="J57" s="39">
        <f>IF(I57="","",I57/B57)</f>
        <v>1.1261333333333332</v>
      </c>
      <c r="K57" s="39">
        <f>2.334+4.761</f>
        <v>7.0950000000000006</v>
      </c>
      <c r="L57" s="39">
        <f t="shared" si="6"/>
        <v>0.47300000000000003</v>
      </c>
      <c r="M57" s="39"/>
      <c r="N57" s="39" t="str">
        <f t="shared" si="7"/>
        <v/>
      </c>
      <c r="O57" s="40"/>
      <c r="P57" s="40"/>
      <c r="Q57" s="39">
        <f>8.9+1.636</f>
        <v>10.536</v>
      </c>
      <c r="R57" s="39">
        <f t="shared" si="8"/>
        <v>0.70240000000000002</v>
      </c>
      <c r="S57" s="39">
        <f>6.996+8.379</f>
        <v>15.375</v>
      </c>
      <c r="T57" s="39">
        <f t="shared" si="9"/>
        <v>1.0249999999999999</v>
      </c>
      <c r="U57" s="39">
        <v>3.1160000000000001</v>
      </c>
      <c r="V57" s="39">
        <f t="shared" si="10"/>
        <v>0.20773333333333335</v>
      </c>
      <c r="W57" s="39">
        <f>10.563</f>
        <v>10.563000000000001</v>
      </c>
      <c r="X57" s="39">
        <f t="shared" si="11"/>
        <v>0.70420000000000005</v>
      </c>
      <c r="Y57" s="39">
        <v>6.9980000000000002</v>
      </c>
      <c r="Z57" s="39">
        <f t="shared" si="12"/>
        <v>0.46653333333333336</v>
      </c>
      <c r="AA57" s="40"/>
      <c r="AB57" s="40"/>
      <c r="AC57" s="39">
        <v>10.099</v>
      </c>
      <c r="AD57" s="39">
        <f t="shared" si="13"/>
        <v>0.67326666666666668</v>
      </c>
      <c r="AE57" s="39">
        <f>7.964+5.327</f>
        <v>13.291</v>
      </c>
      <c r="AF57" s="39">
        <f t="shared" si="14"/>
        <v>0.88606666666666667</v>
      </c>
      <c r="AG57" s="39">
        <f>10.121+13.486</f>
        <v>23.606999999999999</v>
      </c>
      <c r="AH57" s="39">
        <f t="shared" si="15"/>
        <v>1.5737999999999999</v>
      </c>
      <c r="AI57" s="39">
        <f>8.987</f>
        <v>8.9870000000000001</v>
      </c>
      <c r="AJ57" s="39">
        <f t="shared" si="16"/>
        <v>0.5991333333333333</v>
      </c>
      <c r="AK57" s="39">
        <v>3.5710000000000002</v>
      </c>
      <c r="AL57" s="39">
        <f t="shared" si="17"/>
        <v>0.23806666666666668</v>
      </c>
      <c r="AM57" s="40"/>
      <c r="AN57" s="40"/>
      <c r="AO57" s="39">
        <f>11.186+2.756</f>
        <v>13.942</v>
      </c>
      <c r="AP57" s="39">
        <f t="shared" si="18"/>
        <v>0.92946666666666666</v>
      </c>
      <c r="AQ57" s="39">
        <f>2.332+0.9</f>
        <v>3.2319999999999998</v>
      </c>
      <c r="AR57" s="39">
        <f t="shared" si="19"/>
        <v>0.21546666666666664</v>
      </c>
      <c r="AS57" s="39">
        <f>6.183+0.15+6.475</f>
        <v>12.808</v>
      </c>
      <c r="AT57" s="39">
        <f t="shared" si="20"/>
        <v>0.85386666666666666</v>
      </c>
      <c r="AU57" s="39">
        <v>7.9480000000000004</v>
      </c>
      <c r="AV57" s="39">
        <f t="shared" si="21"/>
        <v>0.52986666666666671</v>
      </c>
      <c r="AW57" s="39">
        <v>4.468</v>
      </c>
      <c r="AX57" s="39">
        <f t="shared" si="22"/>
        <v>0.29786666666666667</v>
      </c>
      <c r="AY57" s="71"/>
    </row>
    <row r="58" spans="1:52" x14ac:dyDescent="0.25"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</row>
    <row r="59" spans="1:52" x14ac:dyDescent="0.25">
      <c r="A59" s="30" t="s">
        <v>12</v>
      </c>
      <c r="C59" s="67"/>
      <c r="D59" s="67"/>
      <c r="E59" s="45">
        <f>IF(E65="","",SUM(E34:E57))</f>
        <v>296.995</v>
      </c>
      <c r="F59" s="45">
        <f t="shared" ref="F59:AX59" si="23">IF(F65="","",SUM(F34:F57))</f>
        <v>14.913491666666665</v>
      </c>
      <c r="G59" s="45">
        <f t="shared" si="23"/>
        <v>249.42700000000002</v>
      </c>
      <c r="H59" s="45">
        <f t="shared" si="23"/>
        <v>13.216166666666668</v>
      </c>
      <c r="I59" s="45">
        <f t="shared" si="23"/>
        <v>269.149</v>
      </c>
      <c r="J59" s="45">
        <f t="shared" si="23"/>
        <v>13.774766666666665</v>
      </c>
      <c r="K59" s="45">
        <f t="shared" si="23"/>
        <v>258.24399999999997</v>
      </c>
      <c r="L59" s="45">
        <f t="shared" si="23"/>
        <v>13.523041666666668</v>
      </c>
      <c r="M59" s="45">
        <f t="shared" si="23"/>
        <v>210.08599999999998</v>
      </c>
      <c r="N59" s="45">
        <f t="shared" si="23"/>
        <v>10.836283333333334</v>
      </c>
      <c r="O59" s="45"/>
      <c r="P59" s="45"/>
      <c r="Q59" s="45">
        <f t="shared" si="23"/>
        <v>227.63499999999999</v>
      </c>
      <c r="R59" s="45">
        <f t="shared" si="23"/>
        <v>11.452541666666669</v>
      </c>
      <c r="S59" s="45">
        <f t="shared" si="23"/>
        <v>139.28700000000001</v>
      </c>
      <c r="T59" s="45">
        <f t="shared" si="23"/>
        <v>7.5917500000000011</v>
      </c>
      <c r="U59" s="45">
        <f t="shared" si="23"/>
        <v>236.87899999999999</v>
      </c>
      <c r="V59" s="45">
        <f t="shared" si="23"/>
        <v>11.932858333333337</v>
      </c>
      <c r="W59" s="45">
        <f t="shared" si="23"/>
        <v>203.36499999999995</v>
      </c>
      <c r="X59" s="45">
        <f t="shared" si="23"/>
        <v>10.809216666666671</v>
      </c>
      <c r="Y59" s="45">
        <f t="shared" si="23"/>
        <v>196.392</v>
      </c>
      <c r="Z59" s="45">
        <f t="shared" si="23"/>
        <v>9.675675</v>
      </c>
      <c r="AA59" s="45"/>
      <c r="AB59" s="45"/>
      <c r="AC59" s="45">
        <f t="shared" si="23"/>
        <v>260.71899999999999</v>
      </c>
      <c r="AD59" s="45">
        <f t="shared" si="23"/>
        <v>13.096166666666667</v>
      </c>
      <c r="AE59" s="45">
        <f t="shared" si="23"/>
        <v>189.84100000000001</v>
      </c>
      <c r="AF59" s="45">
        <f t="shared" si="23"/>
        <v>10.490141666666666</v>
      </c>
      <c r="AG59" s="45">
        <f t="shared" si="23"/>
        <v>260.63300000000004</v>
      </c>
      <c r="AH59" s="45">
        <f t="shared" si="23"/>
        <v>13.388408333333336</v>
      </c>
      <c r="AI59" s="45">
        <f t="shared" si="23"/>
        <v>169.839</v>
      </c>
      <c r="AJ59" s="45">
        <f t="shared" si="23"/>
        <v>9.2922999999999991</v>
      </c>
      <c r="AK59" s="45">
        <f t="shared" si="23"/>
        <v>161.33700000000005</v>
      </c>
      <c r="AL59" s="45">
        <f t="shared" si="23"/>
        <v>8.5958999999999985</v>
      </c>
      <c r="AM59" s="45"/>
      <c r="AN59" s="45"/>
      <c r="AO59" s="45">
        <f t="shared" si="23"/>
        <v>240.20400000000001</v>
      </c>
      <c r="AP59" s="45">
        <f t="shared" si="23"/>
        <v>12.317400000000001</v>
      </c>
      <c r="AQ59" s="45">
        <f t="shared" si="23"/>
        <v>199.40199999999999</v>
      </c>
      <c r="AR59" s="45">
        <f t="shared" si="23"/>
        <v>10.447366666666666</v>
      </c>
      <c r="AS59" s="45">
        <f t="shared" si="23"/>
        <v>189.07799999999997</v>
      </c>
      <c r="AT59" s="45">
        <f t="shared" si="23"/>
        <v>9.9722999999999988</v>
      </c>
      <c r="AU59" s="45">
        <f t="shared" si="23"/>
        <v>151.221</v>
      </c>
      <c r="AV59" s="45">
        <f t="shared" si="23"/>
        <v>8.3585250000000002</v>
      </c>
      <c r="AW59" s="45">
        <f t="shared" si="23"/>
        <v>168.64399999999995</v>
      </c>
      <c r="AX59" s="45">
        <f t="shared" si="23"/>
        <v>9.395033333333334</v>
      </c>
      <c r="AY59" s="87">
        <f>SUM(E59,G59,I59,K59,M59,Q59,S59,U59,W59,Y59,AC59,AE59,AG59,AI59,AK59,AO59,AQ59,AS59,AU59,AW59)</f>
        <v>4278.3770000000004</v>
      </c>
      <c r="AZ59" s="49">
        <f>AVERAGE(C59,D59,E59,G59,M59,O59,P59,Q59,S59,Y59,AA59,AB59,AC59,AE59,AM59,AN59,AO59,AQ59,AS59,AU59,AW59)</f>
        <v>209.14853846153844</v>
      </c>
    </row>
    <row r="60" spans="1:52" x14ac:dyDescent="0.25">
      <c r="A60" s="30" t="s">
        <v>19</v>
      </c>
      <c r="C60" s="66"/>
      <c r="D60" s="66"/>
      <c r="E60" s="46">
        <f>IF(E65="","",AVERAGE(F34:F57))</f>
        <v>0.82852731481481479</v>
      </c>
      <c r="F60" s="46"/>
      <c r="G60" s="46">
        <f t="shared" ref="G60:AW60" si="24">IF(G65="","",AVERAGE(H34:H57))</f>
        <v>0.6955877192982457</v>
      </c>
      <c r="H60" s="46"/>
      <c r="I60" s="46">
        <f t="shared" si="24"/>
        <v>0.68873833333333323</v>
      </c>
      <c r="J60" s="46"/>
      <c r="K60" s="46">
        <f t="shared" si="24"/>
        <v>0.6439543650793651</v>
      </c>
      <c r="L60" s="46"/>
      <c r="M60" s="46">
        <f t="shared" si="24"/>
        <v>0.57033070175438605</v>
      </c>
      <c r="N60" s="46"/>
      <c r="O60" s="46"/>
      <c r="P60" s="46"/>
      <c r="Q60" s="46">
        <f t="shared" si="24"/>
        <v>0.60276535087719307</v>
      </c>
      <c r="R60" s="46"/>
      <c r="S60" s="46">
        <f t="shared" si="24"/>
        <v>0.50611666666666677</v>
      </c>
      <c r="T60" s="46"/>
      <c r="U60" s="46">
        <f t="shared" si="24"/>
        <v>0.62804517543859673</v>
      </c>
      <c r="V60" s="46"/>
      <c r="W60" s="46">
        <f t="shared" si="24"/>
        <v>0.63583627450980418</v>
      </c>
      <c r="X60" s="46"/>
      <c r="Y60" s="46">
        <f t="shared" si="24"/>
        <v>0.5375375</v>
      </c>
      <c r="Z60" s="46"/>
      <c r="AA60" s="46"/>
      <c r="AB60" s="46"/>
      <c r="AC60" s="46">
        <f t="shared" si="24"/>
        <v>0.65480833333333333</v>
      </c>
      <c r="AD60" s="46"/>
      <c r="AE60" s="46">
        <f t="shared" si="24"/>
        <v>0.61706715686274505</v>
      </c>
      <c r="AF60" s="46"/>
      <c r="AG60" s="46">
        <f t="shared" si="24"/>
        <v>0.74380046296296309</v>
      </c>
      <c r="AH60" s="46"/>
      <c r="AI60" s="46">
        <f t="shared" si="24"/>
        <v>0.54660588235294116</v>
      </c>
      <c r="AJ60" s="46"/>
      <c r="AK60" s="46">
        <f t="shared" si="24"/>
        <v>0.50564117647058815</v>
      </c>
      <c r="AL60" s="46"/>
      <c r="AM60" s="46"/>
      <c r="AN60" s="46"/>
      <c r="AO60" s="46">
        <f t="shared" si="24"/>
        <v>0.68430000000000002</v>
      </c>
      <c r="AP60" s="46"/>
      <c r="AQ60" s="46">
        <f t="shared" si="24"/>
        <v>0.58040925925925924</v>
      </c>
      <c r="AR60" s="46"/>
      <c r="AS60" s="46">
        <f t="shared" si="24"/>
        <v>0.66481999999999997</v>
      </c>
      <c r="AT60" s="46"/>
      <c r="AU60" s="46">
        <f t="shared" si="24"/>
        <v>0.52240781250000001</v>
      </c>
      <c r="AV60" s="46"/>
      <c r="AW60" s="46">
        <f t="shared" si="24"/>
        <v>0.49447543859649129</v>
      </c>
      <c r="AX60" s="46"/>
      <c r="AY60" s="73"/>
      <c r="AZ60" s="50">
        <f>AVERAGE(C60,D60,E60,G60,M60,O60,P60,Q60,S60,Y60,AA60,AB60,AC60,AE60,AM60,AN60,AO60,AQ60,AS60,AU60,AW60)</f>
        <v>0.61224255799716421</v>
      </c>
    </row>
    <row r="61" spans="1:52" x14ac:dyDescent="0.25"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3"/>
      <c r="AZ61" s="48"/>
    </row>
    <row r="62" spans="1:52" x14ac:dyDescent="0.25">
      <c r="A62" s="30" t="s">
        <v>20</v>
      </c>
      <c r="C62" s="66"/>
      <c r="D62" s="66"/>
      <c r="E62" s="46">
        <f t="shared" ref="E62:AW62" si="25">IF(E65="","",(20-COUNTBLANK(E34:E53))/20)</f>
        <v>0.7</v>
      </c>
      <c r="F62" s="46"/>
      <c r="G62" s="46">
        <f t="shared" si="25"/>
        <v>0.75</v>
      </c>
      <c r="H62" s="46"/>
      <c r="I62" s="46">
        <f t="shared" si="25"/>
        <v>0.8</v>
      </c>
      <c r="J62" s="46"/>
      <c r="K62" s="46">
        <f t="shared" si="25"/>
        <v>0.85</v>
      </c>
      <c r="L62" s="46"/>
      <c r="M62" s="46">
        <f t="shared" si="25"/>
        <v>0.8</v>
      </c>
      <c r="N62" s="46"/>
      <c r="O62" s="46"/>
      <c r="P62" s="46"/>
      <c r="Q62" s="46">
        <f t="shared" si="25"/>
        <v>0.75</v>
      </c>
      <c r="R62" s="46"/>
      <c r="S62" s="46">
        <f t="shared" si="25"/>
        <v>0.6</v>
      </c>
      <c r="T62" s="46"/>
      <c r="U62" s="46">
        <f t="shared" si="25"/>
        <v>0.75</v>
      </c>
      <c r="V62" s="46"/>
      <c r="W62" s="46">
        <f t="shared" si="25"/>
        <v>0.65</v>
      </c>
      <c r="X62" s="46"/>
      <c r="Y62" s="46">
        <f t="shared" si="25"/>
        <v>0.7</v>
      </c>
      <c r="Z62" s="46"/>
      <c r="AA62" s="46"/>
      <c r="AB62" s="46"/>
      <c r="AC62" s="46">
        <f t="shared" si="25"/>
        <v>0.8</v>
      </c>
      <c r="AD62" s="46"/>
      <c r="AE62" s="46">
        <f t="shared" si="25"/>
        <v>0.65</v>
      </c>
      <c r="AF62" s="46"/>
      <c r="AG62" s="46">
        <f t="shared" si="25"/>
        <v>0.7</v>
      </c>
      <c r="AH62" s="46"/>
      <c r="AI62" s="46">
        <f t="shared" si="25"/>
        <v>0.65</v>
      </c>
      <c r="AJ62" s="46"/>
      <c r="AK62" s="46">
        <f t="shared" si="25"/>
        <v>0.65</v>
      </c>
      <c r="AL62" s="46"/>
      <c r="AM62" s="46"/>
      <c r="AN62" s="46"/>
      <c r="AO62" s="46">
        <f t="shared" si="25"/>
        <v>0.7</v>
      </c>
      <c r="AP62" s="46"/>
      <c r="AQ62" s="46">
        <f t="shared" si="25"/>
        <v>0.7</v>
      </c>
      <c r="AR62" s="46"/>
      <c r="AS62" s="46">
        <f t="shared" si="25"/>
        <v>0.6</v>
      </c>
      <c r="AT62" s="46"/>
      <c r="AU62" s="46">
        <f t="shared" si="25"/>
        <v>0.7</v>
      </c>
      <c r="AV62" s="46"/>
      <c r="AW62" s="46">
        <f t="shared" si="25"/>
        <v>0.75</v>
      </c>
      <c r="AX62" s="46"/>
      <c r="AY62" s="73"/>
      <c r="AZ62" s="50">
        <f>AVERAGE(C62:AX62)</f>
        <v>0.71249999999999991</v>
      </c>
    </row>
    <row r="63" spans="1:52" x14ac:dyDescent="0.25"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3"/>
      <c r="AZ63" s="48"/>
    </row>
    <row r="64" spans="1:52" x14ac:dyDescent="0.25">
      <c r="A64" s="27" t="s">
        <v>13</v>
      </c>
      <c r="C64" s="34">
        <v>41671</v>
      </c>
      <c r="D64" s="34">
        <v>41672</v>
      </c>
      <c r="E64" s="59">
        <v>41673</v>
      </c>
      <c r="F64" s="59"/>
      <c r="G64" s="59">
        <v>41674</v>
      </c>
      <c r="H64" s="59"/>
      <c r="I64" s="59">
        <v>41675</v>
      </c>
      <c r="J64" s="59"/>
      <c r="K64" s="59">
        <v>41676</v>
      </c>
      <c r="L64" s="59"/>
      <c r="M64" s="59">
        <v>41677</v>
      </c>
      <c r="N64" s="59"/>
      <c r="O64" s="34">
        <v>41678</v>
      </c>
      <c r="P64" s="34">
        <v>41679</v>
      </c>
      <c r="Q64" s="59">
        <v>41680</v>
      </c>
      <c r="R64" s="59"/>
      <c r="S64" s="59">
        <v>41681</v>
      </c>
      <c r="T64" s="59"/>
      <c r="U64" s="59">
        <v>41682</v>
      </c>
      <c r="V64" s="59"/>
      <c r="W64" s="59">
        <v>41683</v>
      </c>
      <c r="X64" s="59"/>
      <c r="Y64" s="59">
        <v>41684</v>
      </c>
      <c r="Z64" s="59"/>
      <c r="AA64" s="34">
        <v>41685</v>
      </c>
      <c r="AB64" s="34">
        <v>41686</v>
      </c>
      <c r="AC64" s="59">
        <v>41687</v>
      </c>
      <c r="AD64" s="59"/>
      <c r="AE64" s="59">
        <v>41688</v>
      </c>
      <c r="AF64" s="59"/>
      <c r="AG64" s="59">
        <v>41689</v>
      </c>
      <c r="AH64" s="59"/>
      <c r="AI64" s="59">
        <v>41690</v>
      </c>
      <c r="AJ64" s="59"/>
      <c r="AK64" s="59">
        <v>41691</v>
      </c>
      <c r="AL64" s="59"/>
      <c r="AM64" s="34">
        <v>41692</v>
      </c>
      <c r="AN64" s="34">
        <v>41693</v>
      </c>
      <c r="AO64" s="59">
        <v>41694</v>
      </c>
      <c r="AP64" s="59"/>
      <c r="AQ64" s="59">
        <v>41695</v>
      </c>
      <c r="AR64" s="59"/>
      <c r="AS64" s="59">
        <v>41696</v>
      </c>
      <c r="AT64" s="59"/>
      <c r="AU64" s="59">
        <v>41697</v>
      </c>
      <c r="AV64" s="59"/>
      <c r="AW64" s="59">
        <v>41698</v>
      </c>
      <c r="AX64" s="59"/>
      <c r="AY64" s="73"/>
      <c r="AZ64" s="48"/>
    </row>
    <row r="65" spans="1:52" x14ac:dyDescent="0.25">
      <c r="A65" s="28">
        <v>3</v>
      </c>
      <c r="B65" s="28">
        <v>24</v>
      </c>
      <c r="C65" s="37"/>
      <c r="D65" s="37"/>
      <c r="E65" s="39">
        <v>17.805</v>
      </c>
      <c r="F65" s="39">
        <f t="shared" ref="F65:L70" si="26">IF(E65="","",E65/$B$34)</f>
        <v>0.74187499999999995</v>
      </c>
      <c r="G65" s="39">
        <v>12.818</v>
      </c>
      <c r="H65" s="39">
        <f t="shared" si="26"/>
        <v>0.53408333333333335</v>
      </c>
      <c r="I65" s="39">
        <v>6.1539999999999999</v>
      </c>
      <c r="J65" s="39">
        <f t="shared" si="26"/>
        <v>0.25641666666666668</v>
      </c>
      <c r="K65" s="39">
        <f>6.297</f>
        <v>6.2969999999999997</v>
      </c>
      <c r="L65" s="39">
        <f t="shared" si="26"/>
        <v>0.26237499999999997</v>
      </c>
      <c r="M65" s="39">
        <v>22.931999999999999</v>
      </c>
      <c r="N65" s="39">
        <f>IF(M65="","",M65/$B$34)</f>
        <v>0.9554999999999999</v>
      </c>
      <c r="O65" s="40"/>
      <c r="P65" s="40"/>
      <c r="Q65" s="39">
        <v>22.885000000000002</v>
      </c>
      <c r="R65" s="39">
        <f t="shared" ref="R65:AX70" si="27">IF(Q65="","",Q65/$B$34)</f>
        <v>0.95354166666666673</v>
      </c>
      <c r="S65" s="39">
        <v>19.579000000000001</v>
      </c>
      <c r="T65" s="39">
        <f t="shared" si="27"/>
        <v>0.81579166666666669</v>
      </c>
      <c r="U65" s="39">
        <f>12.996</f>
        <v>12.996</v>
      </c>
      <c r="V65" s="39">
        <f t="shared" si="27"/>
        <v>0.54149999999999998</v>
      </c>
      <c r="W65" s="39">
        <v>14.053000000000001</v>
      </c>
      <c r="X65" s="39">
        <f t="shared" si="27"/>
        <v>0.58554166666666674</v>
      </c>
      <c r="Y65" s="39">
        <v>7.4089999999999998</v>
      </c>
      <c r="Z65" s="39">
        <f t="shared" si="27"/>
        <v>0.30870833333333331</v>
      </c>
      <c r="AA65" s="40"/>
      <c r="AB65" s="40"/>
      <c r="AC65" s="39">
        <f>7.924</f>
        <v>7.9240000000000004</v>
      </c>
      <c r="AD65" s="39">
        <f t="shared" si="27"/>
        <v>0.33016666666666666</v>
      </c>
      <c r="AE65" s="39">
        <v>20.959</v>
      </c>
      <c r="AF65" s="39">
        <f t="shared" si="27"/>
        <v>0.87329166666666669</v>
      </c>
      <c r="AG65" s="39">
        <v>10.266999999999999</v>
      </c>
      <c r="AH65" s="39">
        <f t="shared" si="27"/>
        <v>0.42779166666666663</v>
      </c>
      <c r="AI65" s="39">
        <v>6.9909999999999997</v>
      </c>
      <c r="AJ65" s="39">
        <f t="shared" si="27"/>
        <v>0.29129166666666667</v>
      </c>
      <c r="AK65" s="39">
        <v>5.5250000000000004</v>
      </c>
      <c r="AL65" s="39">
        <f t="shared" si="27"/>
        <v>0.23020833333333335</v>
      </c>
      <c r="AM65" s="40"/>
      <c r="AN65" s="40"/>
      <c r="AO65" s="39">
        <v>14.131</v>
      </c>
      <c r="AP65" s="39">
        <f t="shared" si="27"/>
        <v>0.58879166666666671</v>
      </c>
      <c r="AQ65" s="39">
        <v>19.844999999999999</v>
      </c>
      <c r="AR65" s="39">
        <f t="shared" si="27"/>
        <v>0.82687499999999992</v>
      </c>
      <c r="AS65" s="39">
        <v>10.635999999999999</v>
      </c>
      <c r="AT65" s="39">
        <f t="shared" si="27"/>
        <v>0.44316666666666665</v>
      </c>
      <c r="AU65" s="39">
        <f>16.999</f>
        <v>16.998999999999999</v>
      </c>
      <c r="AV65" s="39">
        <f t="shared" si="27"/>
        <v>0.70829166666666665</v>
      </c>
      <c r="AW65" s="39">
        <v>24.013999999999999</v>
      </c>
      <c r="AX65" s="39">
        <f t="shared" si="27"/>
        <v>1.0005833333333334</v>
      </c>
      <c r="AY65" s="73"/>
      <c r="AZ65" s="48"/>
    </row>
    <row r="66" spans="1:52" x14ac:dyDescent="0.25">
      <c r="A66" s="28">
        <v>3</v>
      </c>
      <c r="B66" s="27">
        <v>24</v>
      </c>
      <c r="C66" s="37"/>
      <c r="D66" s="37"/>
      <c r="E66" s="55">
        <v>20.812000000000001</v>
      </c>
      <c r="F66" s="55">
        <f t="shared" si="26"/>
        <v>0.86716666666666675</v>
      </c>
      <c r="G66" s="55">
        <f>20.938</f>
        <v>20.937999999999999</v>
      </c>
      <c r="H66" s="55">
        <f t="shared" si="26"/>
        <v>0.87241666666666662</v>
      </c>
      <c r="I66" s="55">
        <f>21.899</f>
        <v>21.899000000000001</v>
      </c>
      <c r="J66" s="55">
        <f t="shared" si="26"/>
        <v>0.91245833333333337</v>
      </c>
      <c r="K66" s="55">
        <f>7.909</f>
        <v>7.9089999999999998</v>
      </c>
      <c r="L66" s="55">
        <f t="shared" si="26"/>
        <v>0.32954166666666668</v>
      </c>
      <c r="M66" s="55">
        <f>22.183</f>
        <v>22.183</v>
      </c>
      <c r="N66" s="55">
        <f t="shared" ref="N66:N70" si="28">IF(M66="","",M66/$B$34)</f>
        <v>0.92429166666666662</v>
      </c>
      <c r="O66" s="37"/>
      <c r="P66" s="37"/>
      <c r="Q66" s="55">
        <f>7.656</f>
        <v>7.6559999999999997</v>
      </c>
      <c r="R66" s="55">
        <f t="shared" si="27"/>
        <v>0.31900000000000001</v>
      </c>
      <c r="S66" s="55">
        <f>14.142</f>
        <v>14.141999999999999</v>
      </c>
      <c r="T66" s="55">
        <f t="shared" si="27"/>
        <v>0.58924999999999994</v>
      </c>
      <c r="U66" s="55">
        <f>11.957</f>
        <v>11.957000000000001</v>
      </c>
      <c r="V66" s="55">
        <f t="shared" si="27"/>
        <v>0.49820833333333336</v>
      </c>
      <c r="W66" s="55">
        <f>9.182</f>
        <v>9.1820000000000004</v>
      </c>
      <c r="X66" s="55">
        <f t="shared" si="27"/>
        <v>0.38258333333333333</v>
      </c>
      <c r="Y66" s="55">
        <f>4.555</f>
        <v>4.5549999999999997</v>
      </c>
      <c r="Z66" s="55">
        <f t="shared" si="27"/>
        <v>0.18979166666666666</v>
      </c>
      <c r="AA66" s="37"/>
      <c r="AB66" s="37"/>
      <c r="AC66" s="56">
        <v>7.6239999999999997</v>
      </c>
      <c r="AD66" s="55">
        <f t="shared" si="27"/>
        <v>0.31766666666666665</v>
      </c>
      <c r="AE66" s="56">
        <f>7.798</f>
        <v>7.798</v>
      </c>
      <c r="AF66" s="55">
        <f t="shared" si="27"/>
        <v>0.32491666666666669</v>
      </c>
      <c r="AG66" s="55">
        <f>1.944</f>
        <v>1.944</v>
      </c>
      <c r="AH66" s="55">
        <f t="shared" si="27"/>
        <v>8.1000000000000003E-2</v>
      </c>
      <c r="AI66" s="56">
        <f>21.912</f>
        <v>21.911999999999999</v>
      </c>
      <c r="AJ66" s="55">
        <f t="shared" si="27"/>
        <v>0.91299999999999992</v>
      </c>
      <c r="AK66" s="55">
        <f>6.463</f>
        <v>6.4630000000000001</v>
      </c>
      <c r="AL66" s="55">
        <f t="shared" si="27"/>
        <v>0.26929166666666665</v>
      </c>
      <c r="AM66" s="37"/>
      <c r="AN66" s="37"/>
      <c r="AO66" s="55">
        <f>14.232</f>
        <v>14.231999999999999</v>
      </c>
      <c r="AP66" s="55">
        <f t="shared" si="27"/>
        <v>0.59299999999999997</v>
      </c>
      <c r="AQ66" s="55">
        <f>8.557</f>
        <v>8.5570000000000004</v>
      </c>
      <c r="AR66" s="55">
        <f t="shared" si="27"/>
        <v>0.3565416666666667</v>
      </c>
      <c r="AS66" s="56">
        <f>12.012</f>
        <v>12.012</v>
      </c>
      <c r="AT66" s="55">
        <f t="shared" si="27"/>
        <v>0.50050000000000006</v>
      </c>
      <c r="AU66" s="55">
        <f>12.013</f>
        <v>12.013</v>
      </c>
      <c r="AV66" s="55">
        <f t="shared" si="27"/>
        <v>0.50054166666666666</v>
      </c>
      <c r="AW66" s="56">
        <f>17.978</f>
        <v>17.978000000000002</v>
      </c>
      <c r="AX66" s="55">
        <f t="shared" si="27"/>
        <v>0.74908333333333343</v>
      </c>
      <c r="AY66" s="73"/>
      <c r="AZ66" s="48"/>
    </row>
    <row r="67" spans="1:52" x14ac:dyDescent="0.25">
      <c r="A67" s="28">
        <v>3</v>
      </c>
      <c r="B67" s="27">
        <v>24</v>
      </c>
      <c r="C67" s="37"/>
      <c r="D67" s="37"/>
      <c r="E67" s="55">
        <v>7.7149999999999999</v>
      </c>
      <c r="F67" s="55">
        <f t="shared" si="26"/>
        <v>0.32145833333333335</v>
      </c>
      <c r="G67" s="55">
        <f>24.552</f>
        <v>24.552</v>
      </c>
      <c r="H67" s="55">
        <f t="shared" si="26"/>
        <v>1.0229999999999999</v>
      </c>
      <c r="I67" s="55">
        <f>9.994</f>
        <v>9.9939999999999998</v>
      </c>
      <c r="J67" s="55">
        <f t="shared" si="26"/>
        <v>0.41641666666666666</v>
      </c>
      <c r="K67" s="55">
        <f>8.706</f>
        <v>8.7059999999999995</v>
      </c>
      <c r="L67" s="55">
        <f t="shared" si="26"/>
        <v>0.36274999999999996</v>
      </c>
      <c r="M67" s="55">
        <f>10.593</f>
        <v>10.593</v>
      </c>
      <c r="N67" s="55">
        <f t="shared" si="28"/>
        <v>0.44137500000000002</v>
      </c>
      <c r="O67" s="37"/>
      <c r="P67" s="37"/>
      <c r="Q67" s="55">
        <f>5.617</f>
        <v>5.617</v>
      </c>
      <c r="R67" s="55">
        <f t="shared" si="27"/>
        <v>0.23404166666666668</v>
      </c>
      <c r="S67" s="55">
        <f>3.467</f>
        <v>3.4670000000000001</v>
      </c>
      <c r="T67" s="55">
        <f t="shared" si="27"/>
        <v>0.14445833333333333</v>
      </c>
      <c r="U67" s="55">
        <f>21.662</f>
        <v>21.661999999999999</v>
      </c>
      <c r="V67" s="55">
        <f>IF(U67="","",U67/$B$34)</f>
        <v>0.90258333333333329</v>
      </c>
      <c r="W67" s="55">
        <v>15.116</v>
      </c>
      <c r="X67" s="55">
        <f t="shared" si="27"/>
        <v>0.62983333333333336</v>
      </c>
      <c r="Y67" s="55">
        <f>8.423</f>
        <v>8.423</v>
      </c>
      <c r="Z67" s="55">
        <f t="shared" si="27"/>
        <v>0.35095833333333332</v>
      </c>
      <c r="AA67" s="37"/>
      <c r="AB67" s="37"/>
      <c r="AC67" s="56">
        <f>8.009</f>
        <v>8.0090000000000003</v>
      </c>
      <c r="AD67" s="55">
        <f t="shared" si="27"/>
        <v>0.33370833333333333</v>
      </c>
      <c r="AE67" s="56">
        <f>24.168+10.762</f>
        <v>34.93</v>
      </c>
      <c r="AF67" s="55">
        <f t="shared" si="27"/>
        <v>1.4554166666666666</v>
      </c>
      <c r="AG67" s="55">
        <f>8.615</f>
        <v>8.6150000000000002</v>
      </c>
      <c r="AH67" s="55">
        <f t="shared" si="27"/>
        <v>0.35895833333333332</v>
      </c>
      <c r="AI67" s="56">
        <f>25.348</f>
        <v>25.347999999999999</v>
      </c>
      <c r="AJ67" s="55">
        <f t="shared" si="27"/>
        <v>1.0561666666666667</v>
      </c>
      <c r="AK67" s="55">
        <f>18.891</f>
        <v>18.890999999999998</v>
      </c>
      <c r="AL67" s="55">
        <f t="shared" si="27"/>
        <v>0.78712499999999996</v>
      </c>
      <c r="AM67" s="37"/>
      <c r="AN67" s="37"/>
      <c r="AO67" s="55">
        <f>1.733</f>
        <v>1.7330000000000001</v>
      </c>
      <c r="AP67" s="55">
        <f t="shared" si="27"/>
        <v>7.2208333333333333E-2</v>
      </c>
      <c r="AQ67" s="55">
        <v>25.274000000000001</v>
      </c>
      <c r="AR67" s="55">
        <f t="shared" si="27"/>
        <v>1.0530833333333334</v>
      </c>
      <c r="AS67" s="56">
        <f>14.061</f>
        <v>14.061</v>
      </c>
      <c r="AT67" s="55">
        <f t="shared" si="27"/>
        <v>0.58587500000000003</v>
      </c>
      <c r="AU67" s="55">
        <f>18.275</f>
        <v>18.274999999999999</v>
      </c>
      <c r="AV67" s="55">
        <f t="shared" si="27"/>
        <v>0.76145833333333324</v>
      </c>
      <c r="AW67" s="56">
        <f>13.871</f>
        <v>13.871</v>
      </c>
      <c r="AX67" s="55">
        <f t="shared" si="27"/>
        <v>0.57795833333333335</v>
      </c>
      <c r="AY67" s="73"/>
      <c r="AZ67" s="48"/>
    </row>
    <row r="68" spans="1:52" x14ac:dyDescent="0.25">
      <c r="A68" s="28">
        <v>3</v>
      </c>
      <c r="B68" s="28">
        <v>24</v>
      </c>
      <c r="C68" s="37"/>
      <c r="D68" s="37"/>
      <c r="E68" s="39">
        <f>25.274</f>
        <v>25.274000000000001</v>
      </c>
      <c r="F68" s="39">
        <f t="shared" si="26"/>
        <v>1.0530833333333334</v>
      </c>
      <c r="G68" s="39">
        <f>10.298</f>
        <v>10.298</v>
      </c>
      <c r="H68" s="39">
        <f t="shared" si="26"/>
        <v>0.42908333333333332</v>
      </c>
      <c r="I68" s="39">
        <f>18.225</f>
        <v>18.225000000000001</v>
      </c>
      <c r="J68" s="39">
        <f t="shared" si="26"/>
        <v>0.75937500000000002</v>
      </c>
      <c r="K68" s="39">
        <f>1.011</f>
        <v>1.0109999999999999</v>
      </c>
      <c r="L68" s="39">
        <f t="shared" si="26"/>
        <v>4.2124999999999996E-2</v>
      </c>
      <c r="M68" s="39">
        <f>20.118</f>
        <v>20.117999999999999</v>
      </c>
      <c r="N68" s="39">
        <f t="shared" si="28"/>
        <v>0.83824999999999994</v>
      </c>
      <c r="O68" s="37"/>
      <c r="P68" s="37"/>
      <c r="Q68" s="39">
        <f>16.731</f>
        <v>16.731000000000002</v>
      </c>
      <c r="R68" s="39">
        <f t="shared" si="27"/>
        <v>0.69712500000000011</v>
      </c>
      <c r="S68" s="39">
        <f>11.587</f>
        <v>11.587</v>
      </c>
      <c r="T68" s="39">
        <f t="shared" si="27"/>
        <v>0.48279166666666667</v>
      </c>
      <c r="U68" s="39">
        <f>6.407</f>
        <v>6.407</v>
      </c>
      <c r="V68" s="39">
        <f t="shared" ref="V68:V70" si="29">IF(U68="","",U68/$B$34)</f>
        <v>0.26695833333333335</v>
      </c>
      <c r="W68" s="39">
        <f>1.361</f>
        <v>1.361</v>
      </c>
      <c r="X68" s="39">
        <f t="shared" si="27"/>
        <v>5.6708333333333333E-2</v>
      </c>
      <c r="Y68" s="39">
        <f>14.627</f>
        <v>14.627000000000001</v>
      </c>
      <c r="Z68" s="39">
        <f t="shared" si="27"/>
        <v>0.60945833333333332</v>
      </c>
      <c r="AA68" s="37"/>
      <c r="AB68" s="37"/>
      <c r="AC68" s="36">
        <f>1.083</f>
        <v>1.083</v>
      </c>
      <c r="AD68" s="39">
        <f t="shared" si="27"/>
        <v>4.5124999999999998E-2</v>
      </c>
      <c r="AE68" s="36">
        <f>13.008</f>
        <v>13.007999999999999</v>
      </c>
      <c r="AF68" s="39">
        <f t="shared" si="27"/>
        <v>0.54199999999999993</v>
      </c>
      <c r="AG68" s="39">
        <f>25.438</f>
        <v>25.437999999999999</v>
      </c>
      <c r="AH68" s="39">
        <f t="shared" si="27"/>
        <v>1.0599166666666666</v>
      </c>
      <c r="AI68" s="36">
        <f>8.671</f>
        <v>8.6709999999999994</v>
      </c>
      <c r="AJ68" s="39">
        <f t="shared" si="27"/>
        <v>0.36129166666666662</v>
      </c>
      <c r="AK68" s="39">
        <f>6.932</f>
        <v>6.9320000000000004</v>
      </c>
      <c r="AL68" s="39">
        <f t="shared" si="27"/>
        <v>0.28883333333333333</v>
      </c>
      <c r="AM68" s="37"/>
      <c r="AN68" s="37"/>
      <c r="AO68" s="39">
        <f>10.994</f>
        <v>10.994</v>
      </c>
      <c r="AP68" s="39">
        <f t="shared" si="27"/>
        <v>0.45808333333333334</v>
      </c>
      <c r="AQ68" s="39">
        <f>18.071</f>
        <v>18.071000000000002</v>
      </c>
      <c r="AR68" s="39">
        <f t="shared" si="27"/>
        <v>0.7529583333333334</v>
      </c>
      <c r="AS68" s="36">
        <f>14.311</f>
        <v>14.311</v>
      </c>
      <c r="AT68" s="39">
        <f t="shared" si="27"/>
        <v>0.59629166666666666</v>
      </c>
      <c r="AU68" s="39">
        <f>12.224</f>
        <v>12.224</v>
      </c>
      <c r="AV68" s="39">
        <f t="shared" si="27"/>
        <v>0.5093333333333333</v>
      </c>
      <c r="AW68" s="36">
        <f>24.634</f>
        <v>24.634</v>
      </c>
      <c r="AX68" s="39">
        <f t="shared" si="27"/>
        <v>1.0264166666666668</v>
      </c>
      <c r="AY68" s="73"/>
      <c r="AZ68" s="48"/>
    </row>
    <row r="69" spans="1:52" x14ac:dyDescent="0.25">
      <c r="A69" s="28">
        <v>3</v>
      </c>
      <c r="B69" s="27">
        <v>24</v>
      </c>
      <c r="C69" s="37"/>
      <c r="D69" s="37"/>
      <c r="E69" s="55">
        <v>7.8339999999999996</v>
      </c>
      <c r="F69" s="55">
        <f t="shared" si="26"/>
        <v>0.32641666666666663</v>
      </c>
      <c r="G69" s="56"/>
      <c r="H69" s="55" t="str">
        <f t="shared" si="26"/>
        <v/>
      </c>
      <c r="I69" s="55">
        <f>6.959</f>
        <v>6.9589999999999996</v>
      </c>
      <c r="J69" s="55">
        <f t="shared" si="26"/>
        <v>0.28995833333333332</v>
      </c>
      <c r="K69" s="56"/>
      <c r="L69" s="55" t="str">
        <f t="shared" si="26"/>
        <v/>
      </c>
      <c r="M69" s="55">
        <f>17.605</f>
        <v>17.605</v>
      </c>
      <c r="N69" s="55">
        <f t="shared" si="28"/>
        <v>0.73354166666666665</v>
      </c>
      <c r="O69" s="37"/>
      <c r="P69" s="37"/>
      <c r="Q69" s="56"/>
      <c r="R69" s="55" t="str">
        <f t="shared" si="27"/>
        <v/>
      </c>
      <c r="S69" s="55">
        <f>9.611</f>
        <v>9.6110000000000007</v>
      </c>
      <c r="T69" s="55">
        <f t="shared" si="27"/>
        <v>0.40045833333333336</v>
      </c>
      <c r="U69" s="55"/>
      <c r="V69" s="55" t="str">
        <f t="shared" si="29"/>
        <v/>
      </c>
      <c r="W69" s="55"/>
      <c r="X69" s="55" t="str">
        <f t="shared" si="27"/>
        <v/>
      </c>
      <c r="Y69" s="55"/>
      <c r="Z69" s="55" t="str">
        <f t="shared" si="27"/>
        <v/>
      </c>
      <c r="AA69" s="37"/>
      <c r="AB69" s="37"/>
      <c r="AC69" s="56"/>
      <c r="AD69" s="55" t="str">
        <f t="shared" si="27"/>
        <v/>
      </c>
      <c r="AE69" s="56"/>
      <c r="AF69" s="55" t="str">
        <f t="shared" si="27"/>
        <v/>
      </c>
      <c r="AG69" s="55"/>
      <c r="AH69" s="55" t="str">
        <f t="shared" si="27"/>
        <v/>
      </c>
      <c r="AI69" s="56"/>
      <c r="AJ69" s="55" t="str">
        <f t="shared" si="27"/>
        <v/>
      </c>
      <c r="AK69" s="55"/>
      <c r="AL69" s="55" t="str">
        <f t="shared" si="27"/>
        <v/>
      </c>
      <c r="AM69" s="37"/>
      <c r="AN69" s="37"/>
      <c r="AO69" s="55"/>
      <c r="AP69" s="55" t="str">
        <f t="shared" si="27"/>
        <v/>
      </c>
      <c r="AQ69" s="55"/>
      <c r="AR69" s="55" t="str">
        <f t="shared" si="27"/>
        <v/>
      </c>
      <c r="AS69" s="56">
        <f>21.885</f>
        <v>21.885000000000002</v>
      </c>
      <c r="AT69" s="55">
        <f t="shared" si="27"/>
        <v>0.9118750000000001</v>
      </c>
      <c r="AU69" s="55"/>
      <c r="AV69" s="55" t="str">
        <f t="shared" si="27"/>
        <v/>
      </c>
      <c r="AW69" s="56"/>
      <c r="AX69" s="55" t="str">
        <f t="shared" si="27"/>
        <v/>
      </c>
      <c r="AY69" s="73"/>
      <c r="AZ69" s="48"/>
    </row>
    <row r="70" spans="1:52" x14ac:dyDescent="0.25">
      <c r="A70" s="28">
        <v>3</v>
      </c>
      <c r="B70" s="27">
        <v>24</v>
      </c>
      <c r="C70" s="37"/>
      <c r="D70" s="37"/>
      <c r="E70" s="56"/>
      <c r="F70" s="55" t="str">
        <f t="shared" si="26"/>
        <v/>
      </c>
      <c r="G70" s="56"/>
      <c r="H70" s="55" t="str">
        <f t="shared" si="26"/>
        <v/>
      </c>
      <c r="I70" s="55">
        <v>5.4370000000000003</v>
      </c>
      <c r="J70" s="55">
        <f t="shared" si="26"/>
        <v>0.22654166666666667</v>
      </c>
      <c r="K70" s="56"/>
      <c r="L70" s="55" t="str">
        <f t="shared" si="26"/>
        <v/>
      </c>
      <c r="M70" s="56"/>
      <c r="N70" s="55" t="str">
        <f t="shared" si="28"/>
        <v/>
      </c>
      <c r="O70" s="37"/>
      <c r="P70" s="37"/>
      <c r="Q70" s="56"/>
      <c r="R70" s="55" t="str">
        <f t="shared" si="27"/>
        <v/>
      </c>
      <c r="S70" s="55">
        <v>3.68</v>
      </c>
      <c r="T70" s="55">
        <f t="shared" si="27"/>
        <v>0.15333333333333335</v>
      </c>
      <c r="U70" s="56"/>
      <c r="V70" s="55" t="str">
        <f t="shared" si="29"/>
        <v/>
      </c>
      <c r="W70" s="55">
        <v>5.5570000000000004</v>
      </c>
      <c r="X70" s="55">
        <f t="shared" si="27"/>
        <v>0.23154166666666667</v>
      </c>
      <c r="Y70" s="56"/>
      <c r="Z70" s="55" t="str">
        <f t="shared" si="27"/>
        <v/>
      </c>
      <c r="AA70" s="37"/>
      <c r="AB70" s="37"/>
      <c r="AC70" s="56">
        <v>8.14</v>
      </c>
      <c r="AD70" s="55">
        <f t="shared" si="27"/>
        <v>0.33916666666666667</v>
      </c>
      <c r="AE70" s="56"/>
      <c r="AF70" s="55" t="str">
        <f t="shared" si="27"/>
        <v/>
      </c>
      <c r="AG70" s="55">
        <f>6.497</f>
        <v>6.4969999999999999</v>
      </c>
      <c r="AH70" s="55">
        <f t="shared" si="27"/>
        <v>0.27070833333333333</v>
      </c>
      <c r="AI70" s="56"/>
      <c r="AJ70" s="55" t="str">
        <f t="shared" si="27"/>
        <v/>
      </c>
      <c r="AK70" s="55">
        <v>2.0979999999999999</v>
      </c>
      <c r="AL70" s="55">
        <f t="shared" si="27"/>
        <v>8.7416666666666656E-2</v>
      </c>
      <c r="AM70" s="37"/>
      <c r="AN70" s="37"/>
      <c r="AO70" s="56"/>
      <c r="AP70" s="55" t="str">
        <f t="shared" si="27"/>
        <v/>
      </c>
      <c r="AQ70" s="55"/>
      <c r="AR70" s="55" t="str">
        <f t="shared" si="27"/>
        <v/>
      </c>
      <c r="AS70" s="56">
        <f>19.189</f>
        <v>19.189</v>
      </c>
      <c r="AT70" s="55">
        <f t="shared" si="27"/>
        <v>0.79954166666666671</v>
      </c>
      <c r="AU70" s="55"/>
      <c r="AV70" s="55" t="str">
        <f t="shared" si="27"/>
        <v/>
      </c>
      <c r="AW70" s="56">
        <v>4.3209999999999997</v>
      </c>
      <c r="AX70" s="55">
        <f t="shared" si="27"/>
        <v>0.18004166666666666</v>
      </c>
      <c r="AY70" s="73"/>
      <c r="AZ70" s="48"/>
    </row>
    <row r="71" spans="1:52" x14ac:dyDescent="0.25"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3"/>
      <c r="AZ71" s="48"/>
    </row>
    <row r="72" spans="1:52" x14ac:dyDescent="0.25">
      <c r="A72" s="30" t="s">
        <v>18</v>
      </c>
      <c r="B72" s="64"/>
      <c r="C72" s="46"/>
      <c r="D72" s="46"/>
      <c r="E72" s="46">
        <f>IF(E65="","",AVERAGE(F65:F70))</f>
        <v>0.66200000000000014</v>
      </c>
      <c r="F72" s="46"/>
      <c r="G72" s="46">
        <f t="shared" ref="G72:AW72" si="30">IF(G65="","",AVERAGE(H65:H70))</f>
        <v>0.71464583333333331</v>
      </c>
      <c r="H72" s="46"/>
      <c r="I72" s="46">
        <f t="shared" si="30"/>
        <v>0.47686111111111118</v>
      </c>
      <c r="J72" s="46"/>
      <c r="K72" s="46">
        <f t="shared" si="30"/>
        <v>0.24919791666666663</v>
      </c>
      <c r="L72" s="46"/>
      <c r="M72" s="46">
        <f t="shared" si="30"/>
        <v>0.77859166666666657</v>
      </c>
      <c r="N72" s="46"/>
      <c r="O72" s="46"/>
      <c r="P72" s="46"/>
      <c r="Q72" s="46">
        <f t="shared" si="30"/>
        <v>0.5509270833333334</v>
      </c>
      <c r="R72" s="46"/>
      <c r="S72" s="46">
        <f t="shared" si="30"/>
        <v>0.43101388888888886</v>
      </c>
      <c r="T72" s="46"/>
      <c r="U72" s="46">
        <f t="shared" si="30"/>
        <v>0.55231249999999998</v>
      </c>
      <c r="V72" s="46"/>
      <c r="W72" s="46">
        <f t="shared" si="30"/>
        <v>0.37724166666666675</v>
      </c>
      <c r="X72" s="46"/>
      <c r="Y72" s="46">
        <f t="shared" si="30"/>
        <v>0.36472916666666666</v>
      </c>
      <c r="Z72" s="46"/>
      <c r="AA72" s="46"/>
      <c r="AB72" s="46"/>
      <c r="AC72" s="46">
        <f t="shared" si="30"/>
        <v>0.27316666666666667</v>
      </c>
      <c r="AD72" s="46"/>
      <c r="AE72" s="46">
        <f t="shared" si="30"/>
        <v>0.79890624999999993</v>
      </c>
      <c r="AF72" s="46"/>
      <c r="AG72" s="46">
        <f t="shared" si="30"/>
        <v>0.43967499999999998</v>
      </c>
      <c r="AH72" s="46"/>
      <c r="AI72" s="46">
        <f t="shared" si="30"/>
        <v>0.65543750000000001</v>
      </c>
      <c r="AJ72" s="46"/>
      <c r="AK72" s="46">
        <f t="shared" si="30"/>
        <v>0.33257499999999995</v>
      </c>
      <c r="AL72" s="46"/>
      <c r="AM72" s="46"/>
      <c r="AN72" s="46"/>
      <c r="AO72" s="46">
        <f t="shared" si="30"/>
        <v>0.42802083333333341</v>
      </c>
      <c r="AP72" s="46"/>
      <c r="AQ72" s="46">
        <f t="shared" si="30"/>
        <v>0.74736458333333333</v>
      </c>
      <c r="AR72" s="46"/>
      <c r="AS72" s="46">
        <f t="shared" si="30"/>
        <v>0.63954166666666679</v>
      </c>
      <c r="AT72" s="46"/>
      <c r="AU72" s="46">
        <f t="shared" si="30"/>
        <v>0.61990624999999988</v>
      </c>
      <c r="AV72" s="46"/>
      <c r="AW72" s="46">
        <f t="shared" si="30"/>
        <v>0.70681666666666687</v>
      </c>
      <c r="AX72" s="46"/>
      <c r="AY72" s="73"/>
      <c r="AZ72" s="50">
        <f>AVERAGE(C72:AX72)</f>
        <v>0.53994656249999995</v>
      </c>
    </row>
    <row r="73" spans="1:52" x14ac:dyDescent="0.25"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  <c r="AV73" s="72"/>
      <c r="AW73" s="72"/>
      <c r="AX73" s="72"/>
      <c r="AY73" s="73"/>
      <c r="AZ73" s="48"/>
    </row>
    <row r="74" spans="1:52" x14ac:dyDescent="0.25">
      <c r="A74" s="30" t="s">
        <v>12</v>
      </c>
      <c r="C74" s="72"/>
      <c r="D74" s="72"/>
      <c r="E74" s="72">
        <f t="shared" ref="E74:AW74" si="31">SUM(E65:E70)</f>
        <v>79.440000000000012</v>
      </c>
      <c r="F74" s="72"/>
      <c r="G74" s="72">
        <f t="shared" si="31"/>
        <v>68.605999999999995</v>
      </c>
      <c r="H74" s="72"/>
      <c r="I74" s="72">
        <f t="shared" si="31"/>
        <v>68.667999999999992</v>
      </c>
      <c r="J74" s="72"/>
      <c r="K74" s="72">
        <f t="shared" si="31"/>
        <v>23.922999999999998</v>
      </c>
      <c r="L74" s="72"/>
      <c r="M74" s="72">
        <f t="shared" si="31"/>
        <v>93.430999999999997</v>
      </c>
      <c r="N74" s="72"/>
      <c r="O74" s="72"/>
      <c r="P74" s="72"/>
      <c r="Q74" s="72">
        <f t="shared" si="31"/>
        <v>52.889000000000003</v>
      </c>
      <c r="R74" s="72"/>
      <c r="S74" s="72">
        <f t="shared" si="31"/>
        <v>62.06600000000001</v>
      </c>
      <c r="T74" s="72"/>
      <c r="U74" s="72">
        <f t="shared" si="31"/>
        <v>53.022000000000006</v>
      </c>
      <c r="V74" s="72"/>
      <c r="W74" s="72">
        <f t="shared" si="31"/>
        <v>45.268999999999998</v>
      </c>
      <c r="X74" s="72"/>
      <c r="Y74" s="72">
        <f t="shared" si="31"/>
        <v>35.014000000000003</v>
      </c>
      <c r="Z74" s="72"/>
      <c r="AA74" s="72"/>
      <c r="AB74" s="72"/>
      <c r="AC74" s="72">
        <f t="shared" si="31"/>
        <v>32.78</v>
      </c>
      <c r="AD74" s="72"/>
      <c r="AE74" s="72">
        <f t="shared" si="31"/>
        <v>76.694999999999993</v>
      </c>
      <c r="AF74" s="72"/>
      <c r="AG74" s="72">
        <f t="shared" si="31"/>
        <v>52.760999999999996</v>
      </c>
      <c r="AH74" s="72"/>
      <c r="AI74" s="72">
        <f t="shared" si="31"/>
        <v>62.921999999999997</v>
      </c>
      <c r="AJ74" s="72"/>
      <c r="AK74" s="72">
        <f t="shared" si="31"/>
        <v>39.908999999999999</v>
      </c>
      <c r="AL74" s="72"/>
      <c r="AM74" s="72"/>
      <c r="AN74" s="72"/>
      <c r="AO74" s="72">
        <f t="shared" si="31"/>
        <v>41.09</v>
      </c>
      <c r="AP74" s="72"/>
      <c r="AQ74" s="72">
        <f t="shared" si="31"/>
        <v>71.747</v>
      </c>
      <c r="AR74" s="72"/>
      <c r="AS74" s="72">
        <f t="shared" si="31"/>
        <v>92.093999999999994</v>
      </c>
      <c r="AT74" s="72"/>
      <c r="AU74" s="72">
        <f t="shared" si="31"/>
        <v>59.510999999999996</v>
      </c>
      <c r="AV74" s="72"/>
      <c r="AW74" s="72">
        <f t="shared" si="31"/>
        <v>84.818000000000012</v>
      </c>
      <c r="AX74" s="72"/>
      <c r="AY74" s="73"/>
      <c r="AZ74" s="48"/>
    </row>
    <row r="75" spans="1:52" x14ac:dyDescent="0.25">
      <c r="A75" s="29" t="s">
        <v>14</v>
      </c>
      <c r="B75" s="64"/>
      <c r="C75" s="46"/>
      <c r="D75" s="46"/>
      <c r="E75" s="46">
        <f>IF(E74=0,"",(SUM(E65:E70)/(E59+E74)))</f>
        <v>0.21103244916120981</v>
      </c>
      <c r="F75" s="46"/>
      <c r="G75" s="46">
        <f t="shared" ref="G75:AW75" si="32">IF(G74=0,"",(SUM(G65:G70)/(G59+G74)))</f>
        <v>0.21571975235274324</v>
      </c>
      <c r="H75" s="46"/>
      <c r="I75" s="46">
        <f t="shared" si="32"/>
        <v>0.20326981768235461</v>
      </c>
      <c r="J75" s="46"/>
      <c r="K75" s="46">
        <f t="shared" si="32"/>
        <v>8.4783124887034989E-2</v>
      </c>
      <c r="L75" s="46"/>
      <c r="M75" s="46">
        <f t="shared" si="32"/>
        <v>0.30782789761364271</v>
      </c>
      <c r="N75" s="46"/>
      <c r="O75" s="46"/>
      <c r="P75" s="46"/>
      <c r="Q75" s="46">
        <f t="shared" si="32"/>
        <v>0.18853645320899459</v>
      </c>
      <c r="R75" s="46"/>
      <c r="S75" s="46">
        <f t="shared" si="32"/>
        <v>0.30824472443916906</v>
      </c>
      <c r="T75" s="46"/>
      <c r="U75" s="46">
        <f t="shared" si="32"/>
        <v>0.18289691998302871</v>
      </c>
      <c r="V75" s="46"/>
      <c r="W75" s="46">
        <f t="shared" si="32"/>
        <v>0.18207083504267318</v>
      </c>
      <c r="X75" s="46"/>
      <c r="Y75" s="46">
        <f t="shared" si="32"/>
        <v>0.15130981910581404</v>
      </c>
      <c r="Z75" s="46"/>
      <c r="AA75" s="46"/>
      <c r="AB75" s="46"/>
      <c r="AC75" s="46">
        <f t="shared" si="32"/>
        <v>0.11168692227230757</v>
      </c>
      <c r="AD75" s="46"/>
      <c r="AE75" s="46">
        <f t="shared" si="32"/>
        <v>0.28774724615061376</v>
      </c>
      <c r="AF75" s="46"/>
      <c r="AG75" s="46">
        <f t="shared" si="32"/>
        <v>0.16835357409522836</v>
      </c>
      <c r="AH75" s="46"/>
      <c r="AI75" s="46">
        <f t="shared" si="32"/>
        <v>0.27032879219456868</v>
      </c>
      <c r="AJ75" s="46"/>
      <c r="AK75" s="46">
        <f t="shared" si="32"/>
        <v>0.1983095316180197</v>
      </c>
      <c r="AL75" s="46"/>
      <c r="AM75" s="46"/>
      <c r="AN75" s="46"/>
      <c r="AO75" s="46">
        <f t="shared" si="32"/>
        <v>0.14607492516726275</v>
      </c>
      <c r="AP75" s="46"/>
      <c r="AQ75" s="46">
        <f t="shared" si="32"/>
        <v>0.2646035943337427</v>
      </c>
      <c r="AR75" s="46"/>
      <c r="AS75" s="46">
        <f t="shared" si="32"/>
        <v>0.32753617003115532</v>
      </c>
      <c r="AT75" s="46"/>
      <c r="AU75" s="46">
        <f t="shared" si="32"/>
        <v>0.28240134388702237</v>
      </c>
      <c r="AV75" s="46"/>
      <c r="AW75" s="46">
        <f t="shared" si="32"/>
        <v>0.33463793389147101</v>
      </c>
      <c r="AX75" s="46"/>
      <c r="AY75" s="73"/>
      <c r="AZ75" s="50">
        <f>AVERAGE(C75:AX75)</f>
        <v>0.22136859135590287</v>
      </c>
    </row>
    <row r="76" spans="1:52" x14ac:dyDescent="0.25"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</row>
    <row r="77" spans="1:52" x14ac:dyDescent="0.25"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</row>
    <row r="78" spans="1:52" x14ac:dyDescent="0.25">
      <c r="A78" s="27" t="s">
        <v>29</v>
      </c>
      <c r="C78" s="18">
        <v>41671</v>
      </c>
      <c r="D78" s="18">
        <v>41672</v>
      </c>
      <c r="E78" s="57">
        <v>41673</v>
      </c>
      <c r="F78" s="57"/>
      <c r="G78" s="57">
        <v>41674</v>
      </c>
      <c r="H78" s="57"/>
      <c r="I78" s="57">
        <v>41675</v>
      </c>
      <c r="J78" s="57"/>
      <c r="K78" s="57">
        <v>41676</v>
      </c>
      <c r="L78" s="57"/>
      <c r="M78" s="57">
        <v>41677</v>
      </c>
      <c r="N78" s="57"/>
      <c r="O78" s="18">
        <v>41678</v>
      </c>
      <c r="P78" s="18">
        <v>41679</v>
      </c>
      <c r="Q78" s="57">
        <v>41680</v>
      </c>
      <c r="R78" s="57"/>
      <c r="S78" s="57">
        <v>41681</v>
      </c>
      <c r="T78" s="57"/>
      <c r="U78" s="57">
        <v>41682</v>
      </c>
      <c r="V78" s="57"/>
      <c r="W78" s="57">
        <v>41683</v>
      </c>
      <c r="X78" s="57"/>
      <c r="Y78" s="57">
        <v>41684</v>
      </c>
      <c r="Z78" s="57"/>
      <c r="AA78" s="18">
        <v>41685</v>
      </c>
      <c r="AB78" s="18">
        <v>41686</v>
      </c>
      <c r="AC78" s="57">
        <v>41687</v>
      </c>
      <c r="AD78" s="57"/>
      <c r="AE78" s="57">
        <v>41688</v>
      </c>
      <c r="AF78" s="57"/>
      <c r="AG78" s="57">
        <v>41689</v>
      </c>
      <c r="AH78" s="57"/>
      <c r="AI78" s="57">
        <v>41690</v>
      </c>
      <c r="AJ78" s="57"/>
      <c r="AK78" s="57">
        <v>41691</v>
      </c>
      <c r="AL78" s="57"/>
      <c r="AM78" s="18">
        <v>41692</v>
      </c>
      <c r="AN78" s="18">
        <v>41693</v>
      </c>
      <c r="AO78" s="57">
        <v>41694</v>
      </c>
      <c r="AP78" s="57"/>
      <c r="AQ78" s="57">
        <v>41695</v>
      </c>
      <c r="AR78" s="57"/>
      <c r="AS78" s="57">
        <v>41696</v>
      </c>
      <c r="AT78" s="57"/>
      <c r="AU78" s="57">
        <v>41697</v>
      </c>
      <c r="AV78" s="57"/>
      <c r="AW78" s="57">
        <v>41698</v>
      </c>
      <c r="AX78" s="57"/>
      <c r="AY78" s="76"/>
    </row>
    <row r="79" spans="1:52" x14ac:dyDescent="0.25">
      <c r="A79" s="26">
        <v>4</v>
      </c>
      <c r="C79" s="66"/>
      <c r="D79" s="60"/>
      <c r="E79" s="70">
        <f>0.219+1.205</f>
        <v>1.4240000000000002</v>
      </c>
      <c r="F79" s="68"/>
      <c r="G79" s="70">
        <f>17+0.247+0.771</f>
        <v>18.018000000000001</v>
      </c>
      <c r="H79" s="68"/>
      <c r="I79" s="68"/>
      <c r="J79" s="69"/>
      <c r="K79" s="68">
        <f>14.5+2.8</f>
        <v>17.3</v>
      </c>
      <c r="L79" s="68"/>
      <c r="M79" s="68">
        <f>2.8+1.229+1.331</f>
        <v>5.3599999999999994</v>
      </c>
      <c r="N79" s="69"/>
      <c r="O79" s="66"/>
      <c r="P79" s="66"/>
      <c r="Q79" s="70">
        <f>3.651+0.213+1.418</f>
        <v>5.282</v>
      </c>
      <c r="R79" s="70"/>
      <c r="S79" s="70">
        <f>5.774+2.836+1.418+2.378+3.768</f>
        <v>16.173999999999999</v>
      </c>
      <c r="T79" s="70"/>
      <c r="U79" s="70">
        <f>14.618+4.227+1.028</f>
        <v>19.872999999999998</v>
      </c>
      <c r="V79" s="70"/>
      <c r="W79" s="70">
        <f>18</f>
        <v>18</v>
      </c>
      <c r="X79" s="68"/>
      <c r="Y79" s="70">
        <f>24+8.454</f>
        <v>32.454000000000001</v>
      </c>
      <c r="Z79" s="68"/>
      <c r="AA79" s="66"/>
      <c r="AB79" s="66"/>
      <c r="AC79" s="69">
        <f>22+2.651+2.378+1.077+0.289+1.256+1.075</f>
        <v>30.726000000000003</v>
      </c>
      <c r="AD79" s="69"/>
      <c r="AE79" s="68">
        <v>11</v>
      </c>
      <c r="AF79" s="68"/>
      <c r="AG79" s="70">
        <f>3.198+10</f>
        <v>13.198</v>
      </c>
      <c r="AH79" s="68"/>
      <c r="AI79" s="68">
        <f>2.354</f>
        <v>2.3540000000000001</v>
      </c>
      <c r="AJ79" s="68"/>
      <c r="AK79" s="70">
        <f>14+2.378+13.024</f>
        <v>29.402000000000001</v>
      </c>
      <c r="AL79" s="68"/>
      <c r="AM79" s="60"/>
      <c r="AN79" s="60"/>
      <c r="AO79" s="70">
        <f>9.863+4.02+1.283+2.404+21.175</f>
        <v>38.745000000000005</v>
      </c>
      <c r="AP79" s="68"/>
      <c r="AQ79" s="70">
        <f>2.818+1.255+0.231+5.822</f>
        <v>10.126000000000001</v>
      </c>
      <c r="AR79" s="68"/>
      <c r="AS79" s="70">
        <v>2.4340000000000002</v>
      </c>
      <c r="AT79" s="68"/>
      <c r="AU79" s="70">
        <f>1.295+1.205+0.482</f>
        <v>2.9820000000000002</v>
      </c>
      <c r="AV79" s="68"/>
      <c r="AW79" s="68">
        <f>20+3.621+0.247</f>
        <v>23.867999999999999</v>
      </c>
      <c r="AX79" s="68"/>
      <c r="AY79" s="79">
        <f>SUM(E79:AW79)</f>
        <v>298.72000000000003</v>
      </c>
    </row>
    <row r="80" spans="1:52" x14ac:dyDescent="0.25">
      <c r="A80" s="26">
        <v>4</v>
      </c>
      <c r="C80" s="60"/>
      <c r="D80" s="60"/>
      <c r="E80" s="70"/>
      <c r="F80" s="69"/>
      <c r="G80" s="70"/>
      <c r="H80" s="69"/>
      <c r="I80" s="70">
        <f>0.987</f>
        <v>0.98699999999999999</v>
      </c>
      <c r="J80" s="68"/>
      <c r="K80" s="68">
        <f>0.939</f>
        <v>0.93899999999999995</v>
      </c>
      <c r="L80" s="68"/>
      <c r="M80" s="68">
        <f>2.458</f>
        <v>2.4580000000000002</v>
      </c>
      <c r="N80" s="68"/>
      <c r="O80" s="60"/>
      <c r="P80" s="66"/>
      <c r="Q80" s="69">
        <f>11.15+1.438</f>
        <v>12.588000000000001</v>
      </c>
      <c r="R80" s="69"/>
      <c r="S80" s="69">
        <f>1.192</f>
        <v>1.1919999999999999</v>
      </c>
      <c r="T80" s="69"/>
      <c r="U80" s="69">
        <v>2.5000000000000001E-2</v>
      </c>
      <c r="V80" s="68"/>
      <c r="W80" s="68">
        <f>0.785+2.244</f>
        <v>3.0290000000000004</v>
      </c>
      <c r="X80" s="68"/>
      <c r="Y80" s="70">
        <f>1.15</f>
        <v>1.1499999999999999</v>
      </c>
      <c r="Z80" s="68"/>
      <c r="AA80" s="66"/>
      <c r="AB80" s="66"/>
      <c r="AC80" s="69"/>
      <c r="AD80" s="69"/>
      <c r="AE80" s="68">
        <f>6.05</f>
        <v>6.05</v>
      </c>
      <c r="AF80" s="68"/>
      <c r="AG80" s="70">
        <v>2.1080000000000001</v>
      </c>
      <c r="AH80" s="68"/>
      <c r="AI80" s="68"/>
      <c r="AJ80" s="68"/>
      <c r="AK80" s="70">
        <v>0.89</v>
      </c>
      <c r="AL80" s="68"/>
      <c r="AM80" s="60"/>
      <c r="AN80" s="60"/>
      <c r="AO80" s="70">
        <f>0.457</f>
        <v>0.45700000000000002</v>
      </c>
      <c r="AP80" s="68"/>
      <c r="AQ80" s="70">
        <f>1.203+0.705</f>
        <v>1.9079999999999999</v>
      </c>
      <c r="AR80" s="68"/>
      <c r="AS80" s="70"/>
      <c r="AT80" s="68"/>
      <c r="AU80" s="70"/>
      <c r="AV80" s="68"/>
      <c r="AW80" s="68"/>
      <c r="AX80" s="68"/>
      <c r="AY80" s="79">
        <f t="shared" ref="AY80:AY87" si="33">SUM(E80:AW80)</f>
        <v>33.780999999999999</v>
      </c>
    </row>
    <row r="81" spans="1:54" x14ac:dyDescent="0.25">
      <c r="A81" s="26">
        <v>4</v>
      </c>
      <c r="C81" s="60"/>
      <c r="D81" s="60"/>
      <c r="E81" s="70">
        <f>1.338+0.069</f>
        <v>1.407</v>
      </c>
      <c r="F81" s="68"/>
      <c r="G81" s="70">
        <f>1.854</f>
        <v>1.8540000000000001</v>
      </c>
      <c r="H81" s="68"/>
      <c r="I81" s="70">
        <f>2.384</f>
        <v>2.3839999999999999</v>
      </c>
      <c r="J81" s="69"/>
      <c r="K81" s="68">
        <f>0.126+0.665</f>
        <v>0.79100000000000004</v>
      </c>
      <c r="L81" s="68"/>
      <c r="M81" s="68"/>
      <c r="N81" s="69"/>
      <c r="O81" s="60"/>
      <c r="P81" s="60"/>
      <c r="Q81" s="69"/>
      <c r="R81" s="69"/>
      <c r="S81" s="69">
        <f>0.053</f>
        <v>5.2999999999999999E-2</v>
      </c>
      <c r="T81" s="69"/>
      <c r="U81" s="69">
        <f>0.056+1.271</f>
        <v>1.327</v>
      </c>
      <c r="V81" s="68"/>
      <c r="W81" s="68"/>
      <c r="X81" s="68"/>
      <c r="Y81" s="70"/>
      <c r="Z81" s="68"/>
      <c r="AA81" s="60"/>
      <c r="AB81" s="66"/>
      <c r="AC81" s="69">
        <f>0.051</f>
        <v>5.0999999999999997E-2</v>
      </c>
      <c r="AD81" s="69"/>
      <c r="AE81" s="68">
        <v>2E-3</v>
      </c>
      <c r="AF81" s="68"/>
      <c r="AG81" s="70">
        <f>0.227+0.033</f>
        <v>0.26</v>
      </c>
      <c r="AH81" s="68"/>
      <c r="AI81" s="68"/>
      <c r="AJ81" s="68"/>
      <c r="AK81" s="70">
        <v>1.361</v>
      </c>
      <c r="AL81" s="68"/>
      <c r="AM81" s="60"/>
      <c r="AN81" s="60"/>
      <c r="AO81" s="70">
        <f>1.43</f>
        <v>1.43</v>
      </c>
      <c r="AP81" s="68"/>
      <c r="AQ81" s="70"/>
      <c r="AR81" s="68"/>
      <c r="AS81" s="70">
        <f>0.038</f>
        <v>3.7999999999999999E-2</v>
      </c>
      <c r="AT81" s="68"/>
      <c r="AU81" s="70">
        <f>0.04</f>
        <v>0.04</v>
      </c>
      <c r="AV81" s="68"/>
      <c r="AW81" s="68">
        <f>1.196</f>
        <v>1.196</v>
      </c>
      <c r="AX81" s="68"/>
      <c r="AY81" s="79">
        <f t="shared" si="33"/>
        <v>12.193999999999999</v>
      </c>
    </row>
    <row r="82" spans="1:54" x14ac:dyDescent="0.25">
      <c r="A82" s="26">
        <v>4</v>
      </c>
      <c r="C82" s="60"/>
      <c r="D82" s="60"/>
      <c r="E82" s="68"/>
      <c r="F82" s="68"/>
      <c r="G82" s="70">
        <f>2.95</f>
        <v>2.95</v>
      </c>
      <c r="H82" s="69"/>
      <c r="I82" s="70"/>
      <c r="J82" s="68"/>
      <c r="K82" s="68">
        <v>1.1839999999999999</v>
      </c>
      <c r="L82" s="68"/>
      <c r="M82" s="68">
        <f>1.61</f>
        <v>1.61</v>
      </c>
      <c r="N82" s="68"/>
      <c r="O82" s="60"/>
      <c r="P82" s="60"/>
      <c r="Q82" s="69">
        <f>1.1</f>
        <v>1.1000000000000001</v>
      </c>
      <c r="R82" s="69"/>
      <c r="S82" s="69">
        <f>0.3</f>
        <v>0.3</v>
      </c>
      <c r="T82" s="69"/>
      <c r="U82" s="69">
        <f>0.05</f>
        <v>0.05</v>
      </c>
      <c r="V82" s="69"/>
      <c r="W82" s="69">
        <f>0.91</f>
        <v>0.91</v>
      </c>
      <c r="X82" s="68"/>
      <c r="Y82" s="70">
        <v>2.0099999999999998</v>
      </c>
      <c r="Z82" s="68"/>
      <c r="AA82" s="60"/>
      <c r="AB82" s="66"/>
      <c r="AC82" s="69"/>
      <c r="AD82" s="69"/>
      <c r="AE82" s="68"/>
      <c r="AF82" s="68"/>
      <c r="AG82" s="68"/>
      <c r="AH82" s="68"/>
      <c r="AI82" s="68"/>
      <c r="AJ82" s="68"/>
      <c r="AK82" s="70">
        <v>6.282</v>
      </c>
      <c r="AL82" s="68"/>
      <c r="AM82" s="60"/>
      <c r="AN82" s="60"/>
      <c r="AO82" s="70">
        <f>0.8</f>
        <v>0.8</v>
      </c>
      <c r="AP82" s="68"/>
      <c r="AQ82" s="70">
        <f>2.532</f>
        <v>2.532</v>
      </c>
      <c r="AR82" s="68"/>
      <c r="AS82" s="70">
        <v>1</v>
      </c>
      <c r="AT82" s="68"/>
      <c r="AU82" s="70"/>
      <c r="AV82" s="68"/>
      <c r="AW82" s="68">
        <f>0.3</f>
        <v>0.3</v>
      </c>
      <c r="AX82" s="68"/>
      <c r="AY82" s="79">
        <f t="shared" si="33"/>
        <v>21.028000000000002</v>
      </c>
    </row>
    <row r="83" spans="1:54" x14ac:dyDescent="0.25">
      <c r="A83" s="26">
        <v>4</v>
      </c>
      <c r="C83" s="60"/>
      <c r="D83" s="60"/>
      <c r="E83" s="68"/>
      <c r="F83" s="68"/>
      <c r="G83" s="68"/>
      <c r="H83" s="68"/>
      <c r="I83" s="70"/>
      <c r="J83" s="68"/>
      <c r="K83" s="68"/>
      <c r="L83" s="68"/>
      <c r="M83" s="68"/>
      <c r="N83" s="68"/>
      <c r="O83" s="60"/>
      <c r="P83" s="60"/>
      <c r="Q83" s="68"/>
      <c r="R83" s="68"/>
      <c r="S83" s="68"/>
      <c r="T83" s="68"/>
      <c r="U83" s="68"/>
      <c r="V83" s="68"/>
      <c r="W83" s="68"/>
      <c r="X83" s="68"/>
      <c r="Y83" s="70"/>
      <c r="Z83" s="68"/>
      <c r="AA83" s="60"/>
      <c r="AB83" s="60"/>
      <c r="AC83" s="69">
        <f>23.22</f>
        <v>23.22</v>
      </c>
      <c r="AD83" s="69"/>
      <c r="AE83" s="68"/>
      <c r="AF83" s="68"/>
      <c r="AG83" s="68"/>
      <c r="AH83" s="68"/>
      <c r="AI83" s="68"/>
      <c r="AJ83" s="68"/>
      <c r="AK83" s="70"/>
      <c r="AL83" s="68"/>
      <c r="AM83" s="60"/>
      <c r="AN83" s="60"/>
      <c r="AO83" s="70"/>
      <c r="AP83" s="68"/>
      <c r="AQ83" s="70"/>
      <c r="AR83" s="68"/>
      <c r="AS83" s="70"/>
      <c r="AT83" s="68"/>
      <c r="AU83" s="70"/>
      <c r="AV83" s="68"/>
      <c r="AW83" s="68"/>
      <c r="AX83" s="68"/>
      <c r="AY83" s="79">
        <f t="shared" si="33"/>
        <v>23.22</v>
      </c>
    </row>
    <row r="84" spans="1:54" x14ac:dyDescent="0.25">
      <c r="A84" s="26">
        <v>4</v>
      </c>
      <c r="C84" s="60"/>
      <c r="D84" s="60"/>
      <c r="E84" s="68"/>
      <c r="F84" s="68"/>
      <c r="G84" s="68"/>
      <c r="H84" s="68"/>
      <c r="I84" s="70"/>
      <c r="J84" s="68"/>
      <c r="K84" s="68"/>
      <c r="L84" s="68"/>
      <c r="M84" s="68"/>
      <c r="N84" s="68"/>
      <c r="O84" s="60"/>
      <c r="P84" s="60"/>
      <c r="Q84" s="68"/>
      <c r="R84" s="68"/>
      <c r="S84" s="68"/>
      <c r="T84" s="68"/>
      <c r="U84" s="68"/>
      <c r="V84" s="68"/>
      <c r="W84" s="68"/>
      <c r="X84" s="68"/>
      <c r="Y84" s="70"/>
      <c r="Z84" s="68"/>
      <c r="AA84" s="60"/>
      <c r="AB84" s="60"/>
      <c r="AC84" s="69"/>
      <c r="AD84" s="69"/>
      <c r="AE84" s="68"/>
      <c r="AF84" s="68"/>
      <c r="AG84" s="68"/>
      <c r="AH84" s="68"/>
      <c r="AI84" s="68"/>
      <c r="AJ84" s="68"/>
      <c r="AK84" s="70"/>
      <c r="AL84" s="68"/>
      <c r="AM84" s="60"/>
      <c r="AN84" s="60"/>
      <c r="AO84" s="70"/>
      <c r="AP84" s="68"/>
      <c r="AQ84" s="70"/>
      <c r="AR84" s="68"/>
      <c r="AS84" s="70"/>
      <c r="AT84" s="68"/>
      <c r="AU84" s="70"/>
      <c r="AV84" s="68"/>
      <c r="AW84" s="68">
        <v>0.76900000000000002</v>
      </c>
      <c r="AX84" s="68"/>
      <c r="AY84" s="79">
        <f t="shared" si="33"/>
        <v>0.76900000000000002</v>
      </c>
    </row>
    <row r="85" spans="1:54" x14ac:dyDescent="0.25">
      <c r="A85" s="26">
        <v>4</v>
      </c>
      <c r="C85" s="60"/>
      <c r="D85" s="60"/>
      <c r="E85" s="68"/>
      <c r="F85" s="68"/>
      <c r="G85" s="68"/>
      <c r="H85" s="68"/>
      <c r="I85" s="70">
        <v>2.5</v>
      </c>
      <c r="J85" s="69"/>
      <c r="K85" s="68">
        <f>1.601</f>
        <v>1.601</v>
      </c>
      <c r="L85" s="68"/>
      <c r="M85" s="68">
        <f>1.598</f>
        <v>1.5980000000000001</v>
      </c>
      <c r="N85" s="69"/>
      <c r="O85" s="60"/>
      <c r="P85" s="60"/>
      <c r="Q85" s="68"/>
      <c r="R85" s="68"/>
      <c r="S85" s="68">
        <f>2.078</f>
        <v>2.0779999999999998</v>
      </c>
      <c r="T85" s="68"/>
      <c r="U85" s="68">
        <v>1.635</v>
      </c>
      <c r="V85" s="68"/>
      <c r="W85" s="68"/>
      <c r="X85" s="68"/>
      <c r="Y85" s="70"/>
      <c r="Z85" s="68"/>
      <c r="AA85" s="66"/>
      <c r="AB85" s="60"/>
      <c r="AC85" s="69">
        <v>0.52500000000000002</v>
      </c>
      <c r="AD85" s="69"/>
      <c r="AE85" s="68"/>
      <c r="AF85" s="68"/>
      <c r="AG85" s="68"/>
      <c r="AH85" s="68"/>
      <c r="AI85" s="68">
        <v>0.25800000000000001</v>
      </c>
      <c r="AJ85" s="68"/>
      <c r="AK85" s="70"/>
      <c r="AL85" s="68"/>
      <c r="AM85" s="60"/>
      <c r="AN85" s="60"/>
      <c r="AO85" s="70">
        <v>2.5</v>
      </c>
      <c r="AP85" s="68"/>
      <c r="AQ85" s="70"/>
      <c r="AR85" s="68"/>
      <c r="AS85" s="70"/>
      <c r="AT85" s="68"/>
      <c r="AU85" s="70">
        <f>1.497</f>
        <v>1.4970000000000001</v>
      </c>
      <c r="AV85" s="68"/>
      <c r="AW85" s="68">
        <v>2.6819999999999999</v>
      </c>
      <c r="AX85" s="68"/>
      <c r="AY85" s="79">
        <f t="shared" si="33"/>
        <v>16.873999999999999</v>
      </c>
    </row>
    <row r="86" spans="1:54" x14ac:dyDescent="0.25">
      <c r="A86" s="26">
        <v>4</v>
      </c>
      <c r="C86" s="60"/>
      <c r="D86" s="60"/>
      <c r="E86" s="68"/>
      <c r="F86" s="68"/>
      <c r="G86" s="68"/>
      <c r="H86" s="68"/>
      <c r="I86" s="70"/>
      <c r="J86" s="68"/>
      <c r="K86" s="68"/>
      <c r="L86" s="68"/>
      <c r="M86" s="68"/>
      <c r="N86" s="68"/>
      <c r="O86" s="60"/>
      <c r="P86" s="60"/>
      <c r="Q86" s="68"/>
      <c r="R86" s="68"/>
      <c r="S86" s="68"/>
      <c r="T86" s="68"/>
      <c r="U86" s="68"/>
      <c r="V86" s="68"/>
      <c r="W86" s="68"/>
      <c r="X86" s="68"/>
      <c r="Y86" s="70"/>
      <c r="Z86" s="68"/>
      <c r="AA86" s="60"/>
      <c r="AB86" s="60"/>
      <c r="AC86" s="69"/>
      <c r="AD86" s="69"/>
      <c r="AE86" s="68"/>
      <c r="AF86" s="68"/>
      <c r="AG86" s="68"/>
      <c r="AH86" s="68"/>
      <c r="AI86" s="68"/>
      <c r="AJ86" s="68"/>
      <c r="AK86" s="68"/>
      <c r="AL86" s="68"/>
      <c r="AM86" s="60"/>
      <c r="AN86" s="60"/>
      <c r="AO86" s="70"/>
      <c r="AP86" s="68"/>
      <c r="AQ86" s="70"/>
      <c r="AR86" s="68"/>
      <c r="AS86" s="70"/>
      <c r="AT86" s="68"/>
      <c r="AU86" s="70">
        <v>0.98099999999999998</v>
      </c>
      <c r="AV86" s="68"/>
      <c r="AW86" s="68"/>
      <c r="AX86" s="68"/>
      <c r="AY86" s="79">
        <f t="shared" si="33"/>
        <v>0.98099999999999998</v>
      </c>
    </row>
    <row r="87" spans="1:54" x14ac:dyDescent="0.25">
      <c r="A87" s="26">
        <v>4</v>
      </c>
      <c r="C87" s="60"/>
      <c r="D87" s="60"/>
      <c r="E87" s="68"/>
      <c r="F87" s="68"/>
      <c r="G87" s="68"/>
      <c r="H87" s="68"/>
      <c r="I87" s="70"/>
      <c r="J87" s="68"/>
      <c r="K87" s="68"/>
      <c r="L87" s="68"/>
      <c r="M87" s="68"/>
      <c r="N87" s="68"/>
      <c r="O87" s="60"/>
      <c r="P87" s="60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0"/>
      <c r="AB87" s="60"/>
      <c r="AC87" s="69"/>
      <c r="AD87" s="69"/>
      <c r="AE87" s="68"/>
      <c r="AF87" s="68"/>
      <c r="AG87" s="68"/>
      <c r="AH87" s="68"/>
      <c r="AI87" s="68"/>
      <c r="AJ87" s="68"/>
      <c r="AK87" s="68"/>
      <c r="AL87" s="68"/>
      <c r="AM87" s="60"/>
      <c r="AN87" s="60"/>
      <c r="AO87" s="68"/>
      <c r="AP87" s="68"/>
      <c r="AQ87" s="70"/>
      <c r="AR87" s="68"/>
      <c r="AS87" s="70"/>
      <c r="AT87" s="68"/>
      <c r="AU87" s="70"/>
      <c r="AV87" s="68"/>
      <c r="AW87" s="68"/>
      <c r="AX87" s="68"/>
      <c r="AY87" s="79">
        <f t="shared" si="33"/>
        <v>0</v>
      </c>
    </row>
    <row r="88" spans="1:54" x14ac:dyDescent="0.25"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7"/>
      <c r="AZ88" s="62"/>
    </row>
    <row r="89" spans="1:54" x14ac:dyDescent="0.25">
      <c r="A89" s="64" t="s">
        <v>23</v>
      </c>
      <c r="B89" s="64"/>
      <c r="C89" s="29"/>
      <c r="D89" s="29"/>
      <c r="E89" s="45">
        <f>IF(E65="","",SUM(E79:E87))</f>
        <v>2.8310000000000004</v>
      </c>
      <c r="F89" s="29"/>
      <c r="G89" s="45">
        <f t="shared" ref="G89:AW89" si="34">IF(G65="","",SUM(G79:G87))</f>
        <v>22.821999999999999</v>
      </c>
      <c r="H89" s="29"/>
      <c r="I89" s="45">
        <f t="shared" si="34"/>
        <v>5.8710000000000004</v>
      </c>
      <c r="J89" s="29"/>
      <c r="K89" s="45">
        <f t="shared" si="34"/>
        <v>21.815000000000001</v>
      </c>
      <c r="L89" s="29"/>
      <c r="M89" s="45">
        <f t="shared" si="34"/>
        <v>11.026</v>
      </c>
      <c r="N89" s="29"/>
      <c r="O89" s="29"/>
      <c r="P89" s="29"/>
      <c r="Q89" s="29">
        <f t="shared" si="34"/>
        <v>18.970000000000002</v>
      </c>
      <c r="R89" s="29"/>
      <c r="S89" s="45">
        <f t="shared" si="34"/>
        <v>19.797000000000001</v>
      </c>
      <c r="T89" s="29"/>
      <c r="U89" s="29">
        <f t="shared" si="34"/>
        <v>22.909999999999997</v>
      </c>
      <c r="V89" s="29"/>
      <c r="W89" s="45">
        <f t="shared" si="34"/>
        <v>21.939</v>
      </c>
      <c r="X89" s="29"/>
      <c r="Y89" s="45">
        <f t="shared" si="34"/>
        <v>35.613999999999997</v>
      </c>
      <c r="Z89" s="29"/>
      <c r="AA89" s="29"/>
      <c r="AB89" s="29"/>
      <c r="AC89" s="45">
        <f t="shared" si="34"/>
        <v>54.521999999999998</v>
      </c>
      <c r="AD89" s="29"/>
      <c r="AE89" s="29">
        <f t="shared" si="34"/>
        <v>17.052</v>
      </c>
      <c r="AF89" s="29"/>
      <c r="AG89" s="45">
        <f t="shared" si="34"/>
        <v>15.566000000000001</v>
      </c>
      <c r="AH89" s="29"/>
      <c r="AI89" s="29">
        <f t="shared" si="34"/>
        <v>2.6120000000000001</v>
      </c>
      <c r="AJ89" s="29"/>
      <c r="AK89" s="45">
        <f t="shared" si="34"/>
        <v>37.935000000000002</v>
      </c>
      <c r="AL89" s="29"/>
      <c r="AM89" s="29"/>
      <c r="AN89" s="29"/>
      <c r="AO89" s="45">
        <f t="shared" si="34"/>
        <v>43.932000000000002</v>
      </c>
      <c r="AP89" s="29"/>
      <c r="AQ89" s="29">
        <f t="shared" si="34"/>
        <v>14.566000000000001</v>
      </c>
      <c r="AR89" s="29"/>
      <c r="AS89" s="45">
        <f t="shared" si="34"/>
        <v>3.472</v>
      </c>
      <c r="AT89" s="29"/>
      <c r="AU89" s="29">
        <f t="shared" si="34"/>
        <v>5.5</v>
      </c>
      <c r="AV89" s="29"/>
      <c r="AW89" s="29">
        <f t="shared" si="34"/>
        <v>28.814999999999998</v>
      </c>
      <c r="AX89" s="29"/>
      <c r="AY89" s="99">
        <f>SUM(C89:AX89)</f>
        <v>407.56699999999995</v>
      </c>
      <c r="AZ89" s="79">
        <f>AVERAGE(C89:AX89)</f>
        <v>20.378349999999998</v>
      </c>
      <c r="BA89" s="77"/>
    </row>
    <row r="90" spans="1:54" x14ac:dyDescent="0.25"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5"/>
      <c r="AT90" s="71"/>
      <c r="AU90" s="71"/>
      <c r="AV90" s="71"/>
      <c r="AW90" s="71"/>
      <c r="AX90" s="71"/>
      <c r="AY90" s="99"/>
      <c r="AZ90" s="79"/>
    </row>
    <row r="91" spans="1:54" x14ac:dyDescent="0.25">
      <c r="A91" s="64" t="s">
        <v>24</v>
      </c>
      <c r="B91" s="64"/>
      <c r="C91" s="45"/>
      <c r="D91" s="45"/>
      <c r="E91" s="45">
        <f>IF(E65="","",E89+E59)</f>
        <v>299.82600000000002</v>
      </c>
      <c r="F91" s="45"/>
      <c r="G91" s="45">
        <f t="shared" ref="G91:AW91" si="35">IF(G65="","",G89+G59)</f>
        <v>272.24900000000002</v>
      </c>
      <c r="H91" s="45"/>
      <c r="I91" s="45">
        <f t="shared" si="35"/>
        <v>275.02</v>
      </c>
      <c r="J91" s="45"/>
      <c r="K91" s="45">
        <f t="shared" si="35"/>
        <v>280.05899999999997</v>
      </c>
      <c r="L91" s="45"/>
      <c r="M91" s="45">
        <f t="shared" si="35"/>
        <v>221.11199999999999</v>
      </c>
      <c r="N91" s="45"/>
      <c r="O91" s="45"/>
      <c r="P91" s="45"/>
      <c r="Q91" s="45">
        <f t="shared" si="35"/>
        <v>246.60499999999999</v>
      </c>
      <c r="R91" s="45"/>
      <c r="S91" s="45">
        <f t="shared" si="35"/>
        <v>159.084</v>
      </c>
      <c r="T91" s="45"/>
      <c r="U91" s="45">
        <f t="shared" si="35"/>
        <v>259.78899999999999</v>
      </c>
      <c r="V91" s="45"/>
      <c r="W91" s="45">
        <f t="shared" si="35"/>
        <v>225.30399999999995</v>
      </c>
      <c r="X91" s="45"/>
      <c r="Y91" s="45">
        <f t="shared" si="35"/>
        <v>232.006</v>
      </c>
      <c r="Z91" s="45"/>
      <c r="AA91" s="45"/>
      <c r="AB91" s="45"/>
      <c r="AC91" s="45">
        <f t="shared" si="35"/>
        <v>315.24099999999999</v>
      </c>
      <c r="AD91" s="45"/>
      <c r="AE91" s="45">
        <f t="shared" si="35"/>
        <v>206.893</v>
      </c>
      <c r="AF91" s="45"/>
      <c r="AG91" s="45">
        <f t="shared" si="35"/>
        <v>276.19900000000001</v>
      </c>
      <c r="AH91" s="45"/>
      <c r="AI91" s="45">
        <f t="shared" si="35"/>
        <v>172.45099999999999</v>
      </c>
      <c r="AJ91" s="45"/>
      <c r="AK91" s="45">
        <f t="shared" si="35"/>
        <v>199.27200000000005</v>
      </c>
      <c r="AL91" s="45"/>
      <c r="AM91" s="45"/>
      <c r="AN91" s="45"/>
      <c r="AO91" s="45">
        <f t="shared" si="35"/>
        <v>284.13600000000002</v>
      </c>
      <c r="AP91" s="45"/>
      <c r="AQ91" s="45">
        <f t="shared" si="35"/>
        <v>213.96799999999999</v>
      </c>
      <c r="AR91" s="45"/>
      <c r="AS91" s="45">
        <f t="shared" si="35"/>
        <v>192.54999999999998</v>
      </c>
      <c r="AT91" s="45"/>
      <c r="AU91" s="45">
        <f t="shared" si="35"/>
        <v>156.721</v>
      </c>
      <c r="AV91" s="45"/>
      <c r="AW91" s="45">
        <f t="shared" si="35"/>
        <v>197.45899999999995</v>
      </c>
      <c r="AX91" s="45"/>
      <c r="AY91" s="99">
        <f>SUM(C91:AX91)</f>
        <v>4685.9440000000004</v>
      </c>
      <c r="AZ91" s="79">
        <f>AVERAGE(C91:AX91)</f>
        <v>234.29720000000003</v>
      </c>
    </row>
    <row r="92" spans="1:54" x14ac:dyDescent="0.25"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5"/>
      <c r="AT92" s="71"/>
      <c r="AU92" s="71"/>
      <c r="AV92" s="71"/>
      <c r="AW92" s="71"/>
      <c r="AX92" s="71"/>
      <c r="AY92" s="79"/>
      <c r="AZ92" s="79"/>
    </row>
    <row r="93" spans="1:54" x14ac:dyDescent="0.25">
      <c r="A93" s="64" t="s">
        <v>25</v>
      </c>
      <c r="B93" s="64"/>
      <c r="C93" s="46"/>
      <c r="D93" s="46"/>
      <c r="E93" s="46">
        <f>IF(E65="","",E89/((E89+E59)+SUM(E65:E70)))</f>
        <v>7.4644181128811979E-3</v>
      </c>
      <c r="F93" s="46"/>
      <c r="G93" s="46">
        <f t="shared" ref="G93:AW93" si="36">IF(G65="","",G89/((G89+G59)+SUM(G65:G70)))</f>
        <v>6.6955156884892397E-2</v>
      </c>
      <c r="H93" s="46"/>
      <c r="I93" s="46">
        <f t="shared" si="36"/>
        <v>1.7082353762715021E-2</v>
      </c>
      <c r="J93" s="46"/>
      <c r="K93" s="46">
        <f t="shared" si="36"/>
        <v>7.1764117612227049E-2</v>
      </c>
      <c r="L93" s="46"/>
      <c r="M93" s="46">
        <f t="shared" si="36"/>
        <v>3.5054030768448194E-2</v>
      </c>
      <c r="N93" s="46"/>
      <c r="O93" s="46"/>
      <c r="P93" s="46"/>
      <c r="Q93" s="46">
        <f t="shared" si="36"/>
        <v>6.3340167081811338E-2</v>
      </c>
      <c r="R93" s="46"/>
      <c r="S93" s="46">
        <f t="shared" si="36"/>
        <v>8.951842640741578E-2</v>
      </c>
      <c r="T93" s="46"/>
      <c r="U93" s="46">
        <f t="shared" si="36"/>
        <v>7.3239112435304385E-2</v>
      </c>
      <c r="V93" s="46"/>
      <c r="W93" s="46">
        <f t="shared" si="36"/>
        <v>8.1083478395848826E-2</v>
      </c>
      <c r="X93" s="46"/>
      <c r="Y93" s="46">
        <f t="shared" si="36"/>
        <v>0.13337577709534867</v>
      </c>
      <c r="Z93" s="46"/>
      <c r="AA93" s="46"/>
      <c r="AB93" s="46"/>
      <c r="AC93" s="46">
        <f t="shared" si="36"/>
        <v>0.15666295999379348</v>
      </c>
      <c r="AD93" s="46"/>
      <c r="AE93" s="46">
        <f t="shared" si="36"/>
        <v>6.0129483617078303E-2</v>
      </c>
      <c r="AF93" s="46"/>
      <c r="AG93" s="46">
        <f t="shared" si="36"/>
        <v>4.7318822957198442E-2</v>
      </c>
      <c r="AH93" s="46"/>
      <c r="AI93" s="46">
        <f t="shared" si="36"/>
        <v>1.1097279637001696E-2</v>
      </c>
      <c r="AJ93" s="46"/>
      <c r="AK93" s="46">
        <f t="shared" si="36"/>
        <v>0.15860373524652877</v>
      </c>
      <c r="AL93" s="46"/>
      <c r="AM93" s="46"/>
      <c r="AN93" s="46"/>
      <c r="AO93" s="46">
        <f t="shared" si="36"/>
        <v>0.13508145105249889</v>
      </c>
      <c r="AP93" s="46"/>
      <c r="AQ93" s="46">
        <f t="shared" si="36"/>
        <v>5.0980872547818634E-2</v>
      </c>
      <c r="AR93" s="46"/>
      <c r="AS93" s="46">
        <f t="shared" si="36"/>
        <v>1.219769255631596E-2</v>
      </c>
      <c r="AT93" s="46"/>
      <c r="AU93" s="46">
        <f t="shared" si="36"/>
        <v>2.5435643198046542E-2</v>
      </c>
      <c r="AV93" s="46"/>
      <c r="AW93" s="46">
        <f t="shared" si="36"/>
        <v>0.10208058042277622</v>
      </c>
      <c r="AX93" s="46"/>
      <c r="AY93" s="79"/>
      <c r="AZ93" s="80">
        <f>AVERAGE(C93:AX93)</f>
        <v>6.9923277989297483E-2</v>
      </c>
      <c r="BB93" s="47"/>
    </row>
    <row r="94" spans="1:54" x14ac:dyDescent="0.25">
      <c r="AY94" s="62"/>
      <c r="AZ94" s="62"/>
    </row>
  </sheetData>
  <mergeCells count="1">
    <mergeCell ref="G3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BG94"/>
  <sheetViews>
    <sheetView zoomScale="60" zoomScaleNormal="60" workbookViewId="0">
      <pane xSplit="1" ySplit="10" topLeftCell="B46" activePane="bottomRight" state="frozen"/>
      <selection pane="topRight" activeCell="B1" sqref="B1"/>
      <selection pane="bottomLeft" activeCell="A11" sqref="A11"/>
      <selection pane="bottomRight" activeCell="A79" sqref="A79:A87"/>
    </sheetView>
  </sheetViews>
  <sheetFormatPr baseColWidth="10" defaultRowHeight="15" x14ac:dyDescent="0.25"/>
  <cols>
    <col min="1" max="1" width="31.7109375" style="26" customWidth="1"/>
    <col min="2" max="2" width="4.28515625" style="26" bestFit="1" customWidth="1"/>
    <col min="3" max="3" width="9.5703125" style="26" customWidth="1"/>
    <col min="4" max="5" width="10.140625" style="26" customWidth="1"/>
    <col min="6" max="6" width="9.5703125" style="26" customWidth="1"/>
    <col min="7" max="7" width="9.42578125" style="26" customWidth="1"/>
    <col min="8" max="8" width="7.28515625" style="26" customWidth="1"/>
    <col min="9" max="9" width="9.5703125" style="26" customWidth="1"/>
    <col min="10" max="10" width="6.42578125" style="26" customWidth="1"/>
    <col min="11" max="11" width="9.5703125" style="26" customWidth="1"/>
    <col min="12" max="12" width="6.42578125" style="26" customWidth="1"/>
    <col min="13" max="13" width="9.42578125" style="26" customWidth="1"/>
    <col min="14" max="14" width="6.42578125" style="26" customWidth="1"/>
    <col min="15" max="15" width="9.85546875" style="26" customWidth="1"/>
    <col min="16" max="16" width="10.7109375" style="26" customWidth="1"/>
    <col min="17" max="17" width="9.7109375" style="26" customWidth="1"/>
    <col min="18" max="18" width="8.28515625" style="26" customWidth="1"/>
    <col min="19" max="19" width="8.85546875" style="26" customWidth="1"/>
    <col min="20" max="20" width="8.140625" style="26" customWidth="1"/>
    <col min="21" max="21" width="9" style="26" customWidth="1"/>
    <col min="22" max="22" width="6.42578125" style="26" customWidth="1"/>
    <col min="23" max="23" width="9" style="26" customWidth="1"/>
    <col min="24" max="24" width="6.42578125" style="26" customWidth="1"/>
    <col min="25" max="25" width="9.28515625" style="26" customWidth="1"/>
    <col min="26" max="26" width="6.42578125" style="26" customWidth="1"/>
    <col min="27" max="27" width="9.7109375" style="26" customWidth="1"/>
    <col min="28" max="28" width="9" style="26" customWidth="1"/>
    <col min="29" max="29" width="10.28515625" style="26" customWidth="1"/>
    <col min="30" max="30" width="7" style="26" customWidth="1"/>
    <col min="31" max="31" width="8.7109375" style="26" customWidth="1"/>
    <col min="32" max="32" width="7" style="26" customWidth="1"/>
    <col min="33" max="33" width="8.7109375" style="26" customWidth="1"/>
    <col min="34" max="34" width="6.42578125" style="26" customWidth="1"/>
    <col min="35" max="35" width="9.5703125" style="26" customWidth="1"/>
    <col min="36" max="36" width="6.42578125" style="26" customWidth="1"/>
    <col min="37" max="37" width="8.85546875" style="26" customWidth="1"/>
    <col min="38" max="38" width="6.42578125" style="26" customWidth="1"/>
    <col min="39" max="39" width="10" style="26" customWidth="1"/>
    <col min="40" max="40" width="9.28515625" style="26" customWidth="1"/>
    <col min="41" max="41" width="11" style="26" customWidth="1"/>
    <col min="42" max="42" width="6.28515625" style="26" customWidth="1"/>
    <col min="43" max="43" width="9.85546875" style="26" customWidth="1"/>
    <col min="44" max="44" width="7" style="26" customWidth="1"/>
    <col min="45" max="45" width="9.5703125" style="26" customWidth="1"/>
    <col min="46" max="46" width="5.7109375" style="26" customWidth="1"/>
    <col min="47" max="47" width="10.140625" style="26" customWidth="1"/>
    <col min="48" max="48" width="6.42578125" style="26" customWidth="1"/>
    <col min="49" max="49" width="10.140625" style="26" customWidth="1"/>
    <col min="50" max="50" width="6.42578125" style="26" customWidth="1"/>
    <col min="51" max="51" width="9.28515625" style="26" customWidth="1"/>
    <col min="52" max="52" width="10" style="26" customWidth="1"/>
    <col min="53" max="54" width="8.85546875" style="26" customWidth="1"/>
    <col min="55" max="55" width="9.42578125" style="26" customWidth="1"/>
    <col min="56" max="56" width="10" style="26" bestFit="1" customWidth="1"/>
    <col min="57" max="16384" width="11.42578125" style="26"/>
  </cols>
  <sheetData>
    <row r="1" spans="1:56" ht="12" customHeight="1" x14ac:dyDescent="0.25">
      <c r="A1" s="14"/>
      <c r="B1" s="42"/>
      <c r="C1" s="9" t="s">
        <v>3</v>
      </c>
      <c r="K1" s="9"/>
      <c r="L1" s="9"/>
      <c r="M1" s="9"/>
      <c r="N1" s="9"/>
      <c r="O1" s="9"/>
      <c r="P1" s="9"/>
      <c r="Q1" s="2"/>
      <c r="R1" s="9"/>
    </row>
    <row r="2" spans="1:56" ht="11.25" customHeight="1" x14ac:dyDescent="0.25">
      <c r="A2" s="3"/>
      <c r="B2" s="10"/>
      <c r="C2" s="9" t="s">
        <v>4</v>
      </c>
      <c r="K2" s="9"/>
      <c r="L2" s="9"/>
      <c r="M2" s="9"/>
      <c r="N2" s="9"/>
      <c r="O2" s="9"/>
      <c r="P2" s="9"/>
      <c r="Q2" s="2"/>
      <c r="R2" s="9"/>
    </row>
    <row r="3" spans="1:56" ht="12" customHeight="1" x14ac:dyDescent="0.25">
      <c r="A3" s="4"/>
      <c r="B3" s="11"/>
      <c r="C3" s="9" t="s">
        <v>0</v>
      </c>
      <c r="G3" s="151" t="s">
        <v>70</v>
      </c>
      <c r="H3" s="151"/>
      <c r="I3" s="151"/>
      <c r="J3" s="151"/>
      <c r="K3" s="151"/>
      <c r="L3" s="151"/>
      <c r="M3" s="151"/>
      <c r="N3" s="151"/>
      <c r="O3" s="151"/>
      <c r="P3" s="9"/>
      <c r="Q3" s="2"/>
      <c r="R3" s="9"/>
    </row>
    <row r="4" spans="1:56" ht="12" customHeight="1" x14ac:dyDescent="0.25">
      <c r="A4" s="5"/>
      <c r="B4" s="12"/>
      <c r="C4" s="9" t="s">
        <v>5</v>
      </c>
      <c r="G4" s="151"/>
      <c r="H4" s="151"/>
      <c r="I4" s="151"/>
      <c r="J4" s="151"/>
      <c r="K4" s="151"/>
      <c r="L4" s="151"/>
      <c r="M4" s="151"/>
      <c r="N4" s="151"/>
      <c r="O4" s="151"/>
      <c r="P4" s="9"/>
      <c r="Q4" s="2"/>
      <c r="R4" s="9"/>
    </row>
    <row r="5" spans="1:56" ht="11.25" customHeight="1" x14ac:dyDescent="0.25">
      <c r="A5" s="6"/>
      <c r="B5" s="24"/>
      <c r="C5" s="9" t="s">
        <v>6</v>
      </c>
      <c r="G5" s="151"/>
      <c r="H5" s="151"/>
      <c r="I5" s="151"/>
      <c r="J5" s="151"/>
      <c r="K5" s="151"/>
      <c r="L5" s="151"/>
      <c r="M5" s="151"/>
      <c r="N5" s="151"/>
      <c r="O5" s="151"/>
      <c r="P5" s="9"/>
      <c r="Q5" s="9"/>
      <c r="R5" s="9"/>
    </row>
    <row r="6" spans="1:56" ht="13.5" customHeight="1" x14ac:dyDescent="0.25">
      <c r="A6" s="7"/>
      <c r="B6" s="13"/>
      <c r="C6" s="9" t="s">
        <v>7</v>
      </c>
      <c r="G6" s="151"/>
      <c r="H6" s="151"/>
      <c r="I6" s="151"/>
      <c r="J6" s="151"/>
      <c r="K6" s="151"/>
      <c r="L6" s="151"/>
      <c r="M6" s="151"/>
      <c r="N6" s="151"/>
      <c r="O6" s="151"/>
      <c r="P6" s="9"/>
      <c r="Q6" s="9"/>
      <c r="R6" s="9"/>
    </row>
    <row r="7" spans="1:56" x14ac:dyDescent="0.25">
      <c r="A7" s="8"/>
      <c r="B7" s="25"/>
      <c r="C7" s="9" t="s">
        <v>8</v>
      </c>
      <c r="G7" s="151"/>
      <c r="H7" s="151"/>
      <c r="I7" s="151"/>
      <c r="J7" s="151"/>
      <c r="K7" s="151"/>
      <c r="L7" s="151"/>
      <c r="M7" s="151"/>
      <c r="N7" s="151"/>
      <c r="O7" s="151"/>
      <c r="P7" s="9"/>
      <c r="Q7" s="2"/>
      <c r="R7" s="9"/>
    </row>
    <row r="8" spans="1:56" x14ac:dyDescent="0.25">
      <c r="A8" s="53"/>
    </row>
    <row r="10" spans="1:56" x14ac:dyDescent="0.25">
      <c r="C10" s="18">
        <v>41699</v>
      </c>
      <c r="D10" s="18">
        <v>41700</v>
      </c>
      <c r="E10" s="57">
        <v>41701</v>
      </c>
      <c r="F10" s="57"/>
      <c r="G10" s="57">
        <v>41702</v>
      </c>
      <c r="H10" s="57"/>
      <c r="I10" s="57">
        <v>41703</v>
      </c>
      <c r="J10" s="57"/>
      <c r="K10" s="57">
        <v>41704</v>
      </c>
      <c r="L10" s="57"/>
      <c r="M10" s="57">
        <v>41705</v>
      </c>
      <c r="N10" s="57"/>
      <c r="O10" s="18">
        <v>41706</v>
      </c>
      <c r="P10" s="18">
        <v>41707</v>
      </c>
      <c r="Q10" s="57">
        <v>41708</v>
      </c>
      <c r="R10" s="57"/>
      <c r="S10" s="57">
        <v>41709</v>
      </c>
      <c r="T10" s="57"/>
      <c r="U10" s="57">
        <v>41710</v>
      </c>
      <c r="V10" s="57"/>
      <c r="W10" s="57">
        <v>41711</v>
      </c>
      <c r="X10" s="57"/>
      <c r="Y10" s="57">
        <v>41712</v>
      </c>
      <c r="Z10" s="57"/>
      <c r="AA10" s="18">
        <v>41713</v>
      </c>
      <c r="AB10" s="18">
        <v>41714</v>
      </c>
      <c r="AC10" s="57">
        <v>41715</v>
      </c>
      <c r="AD10" s="57"/>
      <c r="AE10" s="57">
        <v>41716</v>
      </c>
      <c r="AF10" s="57"/>
      <c r="AG10" s="57">
        <v>41717</v>
      </c>
      <c r="AH10" s="57"/>
      <c r="AI10" s="57">
        <v>41718</v>
      </c>
      <c r="AJ10" s="57"/>
      <c r="AK10" s="57">
        <v>41719</v>
      </c>
      <c r="AL10" s="57"/>
      <c r="AM10" s="18">
        <v>41720</v>
      </c>
      <c r="AN10" s="18">
        <v>41721</v>
      </c>
      <c r="AO10" s="57">
        <v>41722</v>
      </c>
      <c r="AP10" s="57"/>
      <c r="AQ10" s="57">
        <v>41723</v>
      </c>
      <c r="AR10" s="57"/>
      <c r="AS10" s="57">
        <v>41724</v>
      </c>
      <c r="AT10" s="57"/>
      <c r="AU10" s="57">
        <v>41725</v>
      </c>
      <c r="AV10" s="57"/>
      <c r="AW10" s="57">
        <v>41726</v>
      </c>
      <c r="AX10" s="57"/>
      <c r="AY10" s="18">
        <v>41727</v>
      </c>
      <c r="AZ10" s="18">
        <v>41728</v>
      </c>
      <c r="BA10" s="57">
        <v>41729</v>
      </c>
      <c r="BB10" s="57"/>
      <c r="BC10" s="73" t="s">
        <v>15</v>
      </c>
      <c r="BD10" s="26" t="s">
        <v>16</v>
      </c>
    </row>
    <row r="11" spans="1:56" x14ac:dyDescent="0.25">
      <c r="A11" s="17">
        <v>1</v>
      </c>
      <c r="B11" s="17"/>
      <c r="C11" s="37"/>
      <c r="D11" s="37"/>
      <c r="E11" s="36">
        <v>1</v>
      </c>
      <c r="F11" s="36"/>
      <c r="G11" s="36">
        <v>1</v>
      </c>
      <c r="H11" s="36"/>
      <c r="I11" s="36">
        <v>1</v>
      </c>
      <c r="J11" s="36"/>
      <c r="K11" s="36">
        <v>1</v>
      </c>
      <c r="L11" s="36"/>
      <c r="M11" s="36">
        <v>1</v>
      </c>
      <c r="N11" s="36"/>
      <c r="O11" s="37"/>
      <c r="P11" s="37"/>
      <c r="Q11" s="36">
        <v>1</v>
      </c>
      <c r="R11" s="36"/>
      <c r="S11" s="36">
        <v>1</v>
      </c>
      <c r="T11" s="36"/>
      <c r="U11" s="43" t="s">
        <v>2</v>
      </c>
      <c r="V11" s="43" t="s">
        <v>2</v>
      </c>
      <c r="W11" s="43" t="s">
        <v>2</v>
      </c>
      <c r="X11" s="43" t="s">
        <v>2</v>
      </c>
      <c r="Y11" s="43" t="s">
        <v>2</v>
      </c>
      <c r="Z11" s="43" t="s">
        <v>2</v>
      </c>
      <c r="AA11" s="37"/>
      <c r="AB11" s="37"/>
      <c r="AC11" s="36">
        <v>1</v>
      </c>
      <c r="AD11" s="36"/>
      <c r="AE11" s="36">
        <v>1</v>
      </c>
      <c r="AF11" s="36"/>
      <c r="AG11" s="36">
        <v>1</v>
      </c>
      <c r="AH11" s="36"/>
      <c r="AI11" s="36">
        <v>1</v>
      </c>
      <c r="AJ11" s="36"/>
      <c r="AK11" s="36">
        <v>1</v>
      </c>
      <c r="AL11" s="36"/>
      <c r="AM11" s="37"/>
      <c r="AN11" s="37"/>
      <c r="AO11" s="36">
        <v>1</v>
      </c>
      <c r="AP11" s="36"/>
      <c r="AQ11" s="43" t="s">
        <v>2</v>
      </c>
      <c r="AR11" s="43" t="s">
        <v>2</v>
      </c>
      <c r="AS11" s="36">
        <v>1</v>
      </c>
      <c r="AT11" s="36"/>
      <c r="AU11" s="36">
        <v>1</v>
      </c>
      <c r="AV11" s="36"/>
      <c r="AW11" s="36">
        <v>1</v>
      </c>
      <c r="AX11" s="36"/>
      <c r="AY11" s="37"/>
      <c r="AZ11" s="37"/>
      <c r="BA11" s="36">
        <v>1</v>
      </c>
      <c r="BB11" s="36"/>
      <c r="BC11" s="71"/>
    </row>
    <row r="12" spans="1:56" x14ac:dyDescent="0.25">
      <c r="A12" s="17">
        <v>1</v>
      </c>
      <c r="B12" s="17"/>
      <c r="C12" s="37"/>
      <c r="D12" s="37"/>
      <c r="E12" s="51" t="s">
        <v>26</v>
      </c>
      <c r="F12" s="51" t="s">
        <v>26</v>
      </c>
      <c r="G12" s="51" t="s">
        <v>26</v>
      </c>
      <c r="H12" s="51" t="s">
        <v>26</v>
      </c>
      <c r="I12" s="51" t="s">
        <v>26</v>
      </c>
      <c r="J12" s="51" t="s">
        <v>26</v>
      </c>
      <c r="K12" s="51" t="s">
        <v>26</v>
      </c>
      <c r="L12" s="51" t="s">
        <v>26</v>
      </c>
      <c r="M12" s="51" t="s">
        <v>26</v>
      </c>
      <c r="N12" s="51" t="s">
        <v>26</v>
      </c>
      <c r="O12" s="37"/>
      <c r="P12" s="37"/>
      <c r="Q12" s="51" t="s">
        <v>26</v>
      </c>
      <c r="R12" s="51" t="s">
        <v>26</v>
      </c>
      <c r="S12" s="51" t="s">
        <v>26</v>
      </c>
      <c r="T12" s="51" t="s">
        <v>26</v>
      </c>
      <c r="U12" s="51" t="s">
        <v>26</v>
      </c>
      <c r="V12" s="51" t="s">
        <v>26</v>
      </c>
      <c r="W12" s="51" t="s">
        <v>26</v>
      </c>
      <c r="X12" s="51" t="s">
        <v>26</v>
      </c>
      <c r="Y12" s="51" t="s">
        <v>26</v>
      </c>
      <c r="Z12" s="51" t="s">
        <v>26</v>
      </c>
      <c r="AA12" s="37"/>
      <c r="AB12" s="37"/>
      <c r="AC12" s="51" t="s">
        <v>26</v>
      </c>
      <c r="AD12" s="51" t="s">
        <v>26</v>
      </c>
      <c r="AE12" s="51" t="s">
        <v>26</v>
      </c>
      <c r="AF12" s="51" t="s">
        <v>26</v>
      </c>
      <c r="AG12" s="51" t="s">
        <v>26</v>
      </c>
      <c r="AH12" s="51" t="s">
        <v>26</v>
      </c>
      <c r="AI12" s="51" t="s">
        <v>26</v>
      </c>
      <c r="AJ12" s="51" t="s">
        <v>26</v>
      </c>
      <c r="AK12" s="51" t="s">
        <v>26</v>
      </c>
      <c r="AL12" s="51" t="s">
        <v>26</v>
      </c>
      <c r="AM12" s="37"/>
      <c r="AN12" s="37"/>
      <c r="AO12" s="51" t="s">
        <v>26</v>
      </c>
      <c r="AP12" s="51" t="s">
        <v>26</v>
      </c>
      <c r="AQ12" s="51" t="s">
        <v>26</v>
      </c>
      <c r="AR12" s="51" t="s">
        <v>26</v>
      </c>
      <c r="AS12" s="51" t="s">
        <v>26</v>
      </c>
      <c r="AT12" s="51" t="s">
        <v>26</v>
      </c>
      <c r="AU12" s="51" t="s">
        <v>26</v>
      </c>
      <c r="AV12" s="51" t="s">
        <v>26</v>
      </c>
      <c r="AW12" s="51" t="s">
        <v>26</v>
      </c>
      <c r="AX12" s="51" t="s">
        <v>26</v>
      </c>
      <c r="AY12" s="37"/>
      <c r="AZ12" s="37"/>
      <c r="BA12" s="51" t="s">
        <v>26</v>
      </c>
      <c r="BB12" s="51" t="s">
        <v>26</v>
      </c>
      <c r="BC12" s="71"/>
    </row>
    <row r="13" spans="1:56" x14ac:dyDescent="0.25">
      <c r="A13" s="17">
        <v>1</v>
      </c>
      <c r="B13" s="17"/>
      <c r="C13" s="37"/>
      <c r="D13" s="37"/>
      <c r="E13" s="41" t="s">
        <v>1</v>
      </c>
      <c r="F13" s="41" t="s">
        <v>1</v>
      </c>
      <c r="G13" s="41" t="s">
        <v>1</v>
      </c>
      <c r="H13" s="41" t="s">
        <v>1</v>
      </c>
      <c r="I13" s="41" t="s">
        <v>1</v>
      </c>
      <c r="J13" s="41" t="s">
        <v>1</v>
      </c>
      <c r="K13" s="41" t="s">
        <v>1</v>
      </c>
      <c r="L13" s="41" t="s">
        <v>1</v>
      </c>
      <c r="M13" s="41" t="s">
        <v>1</v>
      </c>
      <c r="N13" s="41" t="s">
        <v>1</v>
      </c>
      <c r="O13" s="37"/>
      <c r="P13" s="37"/>
      <c r="Q13" s="36">
        <v>1</v>
      </c>
      <c r="R13" s="36"/>
      <c r="S13" s="36">
        <v>1</v>
      </c>
      <c r="T13" s="36"/>
      <c r="U13" s="36">
        <v>1</v>
      </c>
      <c r="V13" s="36"/>
      <c r="W13" s="36">
        <v>1</v>
      </c>
      <c r="X13" s="36"/>
      <c r="Y13" s="36">
        <v>1</v>
      </c>
      <c r="Z13" s="36"/>
      <c r="AA13" s="37"/>
      <c r="AB13" s="37"/>
      <c r="AC13" s="36">
        <v>1</v>
      </c>
      <c r="AD13" s="36"/>
      <c r="AE13" s="36">
        <v>1</v>
      </c>
      <c r="AF13" s="36"/>
      <c r="AG13" s="36">
        <v>1</v>
      </c>
      <c r="AH13" s="36"/>
      <c r="AI13" s="36">
        <v>1</v>
      </c>
      <c r="AJ13" s="36"/>
      <c r="AK13" s="36">
        <v>1</v>
      </c>
      <c r="AL13" s="36"/>
      <c r="AM13" s="37"/>
      <c r="AN13" s="37"/>
      <c r="AO13" s="36">
        <v>1</v>
      </c>
      <c r="AP13" s="36"/>
      <c r="AQ13" s="36">
        <v>1</v>
      </c>
      <c r="AR13" s="36"/>
      <c r="AS13" s="36">
        <v>1</v>
      </c>
      <c r="AT13" s="36"/>
      <c r="AU13" s="36">
        <v>1</v>
      </c>
      <c r="AV13" s="36"/>
      <c r="AW13" s="36">
        <v>1</v>
      </c>
      <c r="AX13" s="36"/>
      <c r="AY13" s="37"/>
      <c r="AZ13" s="37"/>
      <c r="BA13" s="36">
        <v>1</v>
      </c>
      <c r="BB13" s="36"/>
      <c r="BC13" s="71"/>
    </row>
    <row r="14" spans="1:56" x14ac:dyDescent="0.25">
      <c r="A14" s="17">
        <v>1</v>
      </c>
      <c r="B14" s="17"/>
      <c r="C14" s="37"/>
      <c r="D14" s="37"/>
      <c r="E14" s="36">
        <v>1</v>
      </c>
      <c r="F14" s="36"/>
      <c r="G14" s="36">
        <v>1</v>
      </c>
      <c r="H14" s="36"/>
      <c r="I14" s="36">
        <v>1</v>
      </c>
      <c r="J14" s="36"/>
      <c r="K14" s="36">
        <v>1</v>
      </c>
      <c r="L14" s="36"/>
      <c r="M14" s="36">
        <v>1</v>
      </c>
      <c r="N14" s="36"/>
      <c r="O14" s="37"/>
      <c r="P14" s="37"/>
      <c r="Q14" s="36">
        <v>1</v>
      </c>
      <c r="R14" s="36"/>
      <c r="S14" s="36">
        <v>1</v>
      </c>
      <c r="T14" s="36"/>
      <c r="U14" s="36">
        <v>1</v>
      </c>
      <c r="V14" s="36"/>
      <c r="W14" s="36">
        <v>1</v>
      </c>
      <c r="X14" s="36"/>
      <c r="Y14" s="36">
        <v>1</v>
      </c>
      <c r="Z14" s="36"/>
      <c r="AA14" s="37"/>
      <c r="AB14" s="37"/>
      <c r="AC14" s="36">
        <v>1</v>
      </c>
      <c r="AD14" s="36"/>
      <c r="AE14" s="36">
        <v>1</v>
      </c>
      <c r="AF14" s="36"/>
      <c r="AG14" s="36">
        <v>1</v>
      </c>
      <c r="AH14" s="36"/>
      <c r="AI14" s="36">
        <v>1</v>
      </c>
      <c r="AJ14" s="36"/>
      <c r="AK14" s="36">
        <v>1</v>
      </c>
      <c r="AL14" s="36"/>
      <c r="AM14" s="37"/>
      <c r="AN14" s="37"/>
      <c r="AO14" s="36">
        <v>1</v>
      </c>
      <c r="AP14" s="36"/>
      <c r="AQ14" s="36">
        <v>1</v>
      </c>
      <c r="AR14" s="36"/>
      <c r="AS14" s="36">
        <v>1</v>
      </c>
      <c r="AT14" s="36"/>
      <c r="AU14" s="36">
        <v>1</v>
      </c>
      <c r="AV14" s="36"/>
      <c r="AW14" s="36">
        <v>1</v>
      </c>
      <c r="AX14" s="36"/>
      <c r="AY14" s="37"/>
      <c r="AZ14" s="37"/>
      <c r="BA14" s="36">
        <v>1</v>
      </c>
      <c r="BB14" s="36"/>
      <c r="BC14" s="71"/>
    </row>
    <row r="15" spans="1:56" x14ac:dyDescent="0.25">
      <c r="A15" s="17">
        <v>1</v>
      </c>
      <c r="B15" s="17"/>
      <c r="C15" s="37"/>
      <c r="D15" s="37"/>
      <c r="E15" s="51" t="s">
        <v>26</v>
      </c>
      <c r="F15" s="51" t="s">
        <v>26</v>
      </c>
      <c r="G15" s="51" t="s">
        <v>26</v>
      </c>
      <c r="H15" s="51" t="s">
        <v>26</v>
      </c>
      <c r="I15" s="51" t="s">
        <v>26</v>
      </c>
      <c r="J15" s="51" t="s">
        <v>26</v>
      </c>
      <c r="K15" s="51" t="s">
        <v>26</v>
      </c>
      <c r="L15" s="51" t="s">
        <v>26</v>
      </c>
      <c r="M15" s="51" t="s">
        <v>26</v>
      </c>
      <c r="N15" s="51" t="s">
        <v>26</v>
      </c>
      <c r="O15" s="37"/>
      <c r="P15" s="37"/>
      <c r="Q15" s="51" t="s">
        <v>26</v>
      </c>
      <c r="R15" s="51" t="s">
        <v>26</v>
      </c>
      <c r="S15" s="51" t="s">
        <v>26</v>
      </c>
      <c r="T15" s="51" t="s">
        <v>26</v>
      </c>
      <c r="U15" s="51" t="s">
        <v>26</v>
      </c>
      <c r="V15" s="51" t="s">
        <v>26</v>
      </c>
      <c r="W15" s="51" t="s">
        <v>26</v>
      </c>
      <c r="X15" s="51" t="s">
        <v>26</v>
      </c>
      <c r="Y15" s="51" t="s">
        <v>26</v>
      </c>
      <c r="Z15" s="51" t="s">
        <v>26</v>
      </c>
      <c r="AA15" s="37"/>
      <c r="AB15" s="37"/>
      <c r="AC15" s="51" t="s">
        <v>26</v>
      </c>
      <c r="AD15" s="51" t="s">
        <v>26</v>
      </c>
      <c r="AE15" s="51" t="s">
        <v>26</v>
      </c>
      <c r="AF15" s="51" t="s">
        <v>26</v>
      </c>
      <c r="AG15" s="51" t="s">
        <v>26</v>
      </c>
      <c r="AH15" s="51" t="s">
        <v>26</v>
      </c>
      <c r="AI15" s="51" t="s">
        <v>26</v>
      </c>
      <c r="AJ15" s="51" t="s">
        <v>26</v>
      </c>
      <c r="AK15" s="51" t="s">
        <v>26</v>
      </c>
      <c r="AL15" s="51" t="s">
        <v>26</v>
      </c>
      <c r="AM15" s="37"/>
      <c r="AN15" s="37"/>
      <c r="AO15" s="36">
        <v>1</v>
      </c>
      <c r="AP15" s="36"/>
      <c r="AQ15" s="36">
        <v>1</v>
      </c>
      <c r="AR15" s="36"/>
      <c r="AS15" s="36">
        <v>1</v>
      </c>
      <c r="AT15" s="36"/>
      <c r="AU15" s="36">
        <v>1</v>
      </c>
      <c r="AV15" s="36"/>
      <c r="AW15" s="36">
        <v>1</v>
      </c>
      <c r="AX15" s="36"/>
      <c r="AY15" s="37"/>
      <c r="AZ15" s="37"/>
      <c r="BA15" s="36">
        <v>1</v>
      </c>
      <c r="BB15" s="36"/>
      <c r="BC15" s="71"/>
    </row>
    <row r="16" spans="1:56" x14ac:dyDescent="0.25">
      <c r="A16" s="17">
        <v>1</v>
      </c>
      <c r="B16" s="17"/>
      <c r="C16" s="37"/>
      <c r="D16" s="37"/>
      <c r="E16" s="36">
        <v>1</v>
      </c>
      <c r="F16" s="36"/>
      <c r="G16" s="36">
        <v>1</v>
      </c>
      <c r="H16" s="36"/>
      <c r="I16" s="36">
        <v>1</v>
      </c>
      <c r="J16" s="36"/>
      <c r="K16" s="36">
        <v>1</v>
      </c>
      <c r="L16" s="36"/>
      <c r="M16" s="36">
        <v>1</v>
      </c>
      <c r="N16" s="36"/>
      <c r="O16" s="37"/>
      <c r="P16" s="37"/>
      <c r="Q16" s="36">
        <v>1</v>
      </c>
      <c r="R16" s="36"/>
      <c r="S16" s="36">
        <v>1</v>
      </c>
      <c r="T16" s="36"/>
      <c r="U16" s="36">
        <v>1</v>
      </c>
      <c r="V16" s="36"/>
      <c r="W16" s="36">
        <v>1</v>
      </c>
      <c r="X16" s="36"/>
      <c r="Y16" s="36">
        <v>1</v>
      </c>
      <c r="Z16" s="36"/>
      <c r="AA16" s="37"/>
      <c r="AB16" s="37"/>
      <c r="AC16" s="36">
        <v>1</v>
      </c>
      <c r="AD16" s="36"/>
      <c r="AE16" s="36">
        <v>1</v>
      </c>
      <c r="AF16" s="36"/>
      <c r="AG16" s="36">
        <v>1</v>
      </c>
      <c r="AH16" s="36"/>
      <c r="AI16" s="36">
        <v>1</v>
      </c>
      <c r="AJ16" s="36"/>
      <c r="AK16" s="36">
        <v>1</v>
      </c>
      <c r="AL16" s="36"/>
      <c r="AM16" s="37"/>
      <c r="AN16" s="37"/>
      <c r="AO16" s="36">
        <v>1</v>
      </c>
      <c r="AP16" s="36"/>
      <c r="AQ16" s="36">
        <v>1</v>
      </c>
      <c r="AR16" s="36"/>
      <c r="AS16" s="36">
        <v>1</v>
      </c>
      <c r="AT16" s="36"/>
      <c r="AU16" s="36">
        <v>1</v>
      </c>
      <c r="AV16" s="36"/>
      <c r="AW16" s="36">
        <v>1</v>
      </c>
      <c r="AX16" s="36"/>
      <c r="AY16" s="37"/>
      <c r="AZ16" s="37"/>
      <c r="BA16" s="36">
        <v>1</v>
      </c>
      <c r="BB16" s="36"/>
      <c r="BC16" s="71"/>
    </row>
    <row r="17" spans="1:59" x14ac:dyDescent="0.25">
      <c r="A17" s="17">
        <v>1</v>
      </c>
      <c r="B17" s="17"/>
      <c r="C17" s="37"/>
      <c r="D17" s="37"/>
      <c r="E17" s="36">
        <v>1</v>
      </c>
      <c r="F17" s="36"/>
      <c r="G17" s="36">
        <v>1</v>
      </c>
      <c r="H17" s="36"/>
      <c r="I17" s="36">
        <v>1</v>
      </c>
      <c r="J17" s="36"/>
      <c r="K17" s="36">
        <v>1</v>
      </c>
      <c r="L17" s="36"/>
      <c r="M17" s="36">
        <v>1</v>
      </c>
      <c r="N17" s="36"/>
      <c r="O17" s="37"/>
      <c r="P17" s="37"/>
      <c r="Q17" s="36">
        <v>1</v>
      </c>
      <c r="R17" s="36"/>
      <c r="S17" s="36">
        <v>1</v>
      </c>
      <c r="T17" s="36"/>
      <c r="U17" s="36">
        <v>1</v>
      </c>
      <c r="V17" s="36"/>
      <c r="W17" s="36">
        <v>1</v>
      </c>
      <c r="X17" s="36"/>
      <c r="Y17" s="36">
        <v>1</v>
      </c>
      <c r="Z17" s="36"/>
      <c r="AA17" s="37"/>
      <c r="AB17" s="37"/>
      <c r="AC17" s="36">
        <v>1</v>
      </c>
      <c r="AD17" s="36"/>
      <c r="AE17" s="36">
        <v>1</v>
      </c>
      <c r="AF17" s="36"/>
      <c r="AG17" s="36">
        <v>1</v>
      </c>
      <c r="AH17" s="36"/>
      <c r="AI17" s="36">
        <v>1</v>
      </c>
      <c r="AJ17" s="36"/>
      <c r="AK17" s="36">
        <v>1</v>
      </c>
      <c r="AL17" s="36"/>
      <c r="AM17" s="37"/>
      <c r="AN17" s="37"/>
      <c r="AO17" s="36">
        <v>1</v>
      </c>
      <c r="AP17" s="36"/>
      <c r="AQ17" s="36">
        <v>1</v>
      </c>
      <c r="AR17" s="36"/>
      <c r="AS17" s="36">
        <v>1</v>
      </c>
      <c r="AT17" s="36"/>
      <c r="AU17" s="36">
        <v>1</v>
      </c>
      <c r="AV17" s="36"/>
      <c r="AW17" s="36">
        <v>1</v>
      </c>
      <c r="AX17" s="36"/>
      <c r="AY17" s="37"/>
      <c r="AZ17" s="37"/>
      <c r="BA17" s="36">
        <v>1</v>
      </c>
      <c r="BB17" s="36"/>
      <c r="BC17" s="71"/>
    </row>
    <row r="18" spans="1:59" x14ac:dyDescent="0.25">
      <c r="A18" s="17">
        <v>1</v>
      </c>
      <c r="B18" s="17"/>
      <c r="C18" s="37"/>
      <c r="D18" s="37"/>
      <c r="E18" s="36">
        <v>1</v>
      </c>
      <c r="F18" s="36"/>
      <c r="G18" s="36">
        <v>1</v>
      </c>
      <c r="H18" s="36"/>
      <c r="I18" s="36">
        <v>1</v>
      </c>
      <c r="J18" s="36"/>
      <c r="K18" s="36">
        <v>1</v>
      </c>
      <c r="L18" s="36"/>
      <c r="M18" s="36">
        <v>1</v>
      </c>
      <c r="N18" s="36"/>
      <c r="O18" s="37"/>
      <c r="P18" s="37"/>
      <c r="Q18" s="43" t="s">
        <v>2</v>
      </c>
      <c r="R18" s="43" t="s">
        <v>2</v>
      </c>
      <c r="S18" s="36">
        <v>1</v>
      </c>
      <c r="T18" s="36"/>
      <c r="U18" s="36">
        <v>1</v>
      </c>
      <c r="V18" s="36"/>
      <c r="W18" s="36">
        <v>1</v>
      </c>
      <c r="X18" s="36"/>
      <c r="Y18" s="36">
        <v>1</v>
      </c>
      <c r="Z18" s="36"/>
      <c r="AA18" s="37"/>
      <c r="AB18" s="37"/>
      <c r="AC18" s="36">
        <v>1</v>
      </c>
      <c r="AD18" s="36"/>
      <c r="AE18" s="36">
        <v>1</v>
      </c>
      <c r="AF18" s="36"/>
      <c r="AG18" s="36">
        <v>1</v>
      </c>
      <c r="AH18" s="36"/>
      <c r="AI18" s="36">
        <v>1</v>
      </c>
      <c r="AJ18" s="36"/>
      <c r="AK18" s="36">
        <v>1</v>
      </c>
      <c r="AL18" s="36"/>
      <c r="AM18" s="37"/>
      <c r="AN18" s="37"/>
      <c r="AO18" s="36">
        <v>1</v>
      </c>
      <c r="AP18" s="36"/>
      <c r="AQ18" s="36">
        <v>1</v>
      </c>
      <c r="AR18" s="36"/>
      <c r="AS18" s="36">
        <v>1</v>
      </c>
      <c r="AT18" s="36"/>
      <c r="AU18" s="36">
        <v>1</v>
      </c>
      <c r="AV18" s="36"/>
      <c r="AW18" s="36">
        <v>1</v>
      </c>
      <c r="AX18" s="36"/>
      <c r="AY18" s="37"/>
      <c r="AZ18" s="37"/>
      <c r="BA18" s="36">
        <v>1</v>
      </c>
      <c r="BB18" s="36"/>
      <c r="BC18" s="71"/>
    </row>
    <row r="19" spans="1:59" x14ac:dyDescent="0.25">
      <c r="A19" s="17">
        <v>1</v>
      </c>
      <c r="B19" s="15"/>
      <c r="C19" s="37"/>
      <c r="D19" s="37"/>
      <c r="E19" s="56">
        <v>1</v>
      </c>
      <c r="F19" s="56"/>
      <c r="G19" s="56">
        <v>1</v>
      </c>
      <c r="H19" s="56"/>
      <c r="I19" s="56">
        <v>1</v>
      </c>
      <c r="J19" s="56"/>
      <c r="K19" s="56">
        <v>1</v>
      </c>
      <c r="L19" s="56"/>
      <c r="M19" s="56">
        <v>1</v>
      </c>
      <c r="N19" s="56"/>
      <c r="O19" s="37"/>
      <c r="P19" s="37"/>
      <c r="Q19" s="56">
        <v>1</v>
      </c>
      <c r="R19" s="56"/>
      <c r="S19" s="56">
        <v>1</v>
      </c>
      <c r="T19" s="56"/>
      <c r="U19" s="56">
        <v>1</v>
      </c>
      <c r="V19" s="56"/>
      <c r="W19" s="56">
        <v>1</v>
      </c>
      <c r="X19" s="56"/>
      <c r="Y19" s="56">
        <v>1</v>
      </c>
      <c r="Z19" s="56"/>
      <c r="AA19" s="37"/>
      <c r="AB19" s="37"/>
      <c r="AC19" s="56">
        <v>1</v>
      </c>
      <c r="AD19" s="56"/>
      <c r="AE19" s="56">
        <v>1</v>
      </c>
      <c r="AF19" s="56"/>
      <c r="AG19" s="56">
        <v>1</v>
      </c>
      <c r="AH19" s="56"/>
      <c r="AI19" s="56">
        <v>1</v>
      </c>
      <c r="AJ19" s="56"/>
      <c r="AK19" s="56">
        <v>1</v>
      </c>
      <c r="AL19" s="56"/>
      <c r="AM19" s="37"/>
      <c r="AN19" s="37"/>
      <c r="AO19" s="56">
        <v>1</v>
      </c>
      <c r="AP19" s="56"/>
      <c r="AQ19" s="56">
        <v>1</v>
      </c>
      <c r="AR19" s="56"/>
      <c r="AS19" s="56">
        <v>1</v>
      </c>
      <c r="AT19" s="56"/>
      <c r="AU19" s="56">
        <v>1</v>
      </c>
      <c r="AV19" s="56"/>
      <c r="AW19" s="56">
        <v>1</v>
      </c>
      <c r="AX19" s="56"/>
      <c r="AY19" s="37"/>
      <c r="AZ19" s="37"/>
      <c r="BA19" s="56">
        <v>1</v>
      </c>
      <c r="BB19" s="56"/>
      <c r="BC19" s="71"/>
    </row>
    <row r="20" spans="1:59" x14ac:dyDescent="0.25">
      <c r="A20" s="17">
        <v>1</v>
      </c>
      <c r="B20" s="15"/>
      <c r="C20" s="37"/>
      <c r="D20" s="37"/>
      <c r="E20" s="56">
        <v>1</v>
      </c>
      <c r="F20" s="56"/>
      <c r="G20" s="56">
        <v>1</v>
      </c>
      <c r="H20" s="56"/>
      <c r="I20" s="56">
        <v>1</v>
      </c>
      <c r="J20" s="56"/>
      <c r="K20" s="56">
        <v>1</v>
      </c>
      <c r="L20" s="56"/>
      <c r="M20" s="56">
        <v>1</v>
      </c>
      <c r="N20" s="56"/>
      <c r="O20" s="37"/>
      <c r="P20" s="37"/>
      <c r="Q20" s="56">
        <v>1</v>
      </c>
      <c r="R20" s="56"/>
      <c r="S20" s="56">
        <v>1</v>
      </c>
      <c r="T20" s="56"/>
      <c r="U20" s="56">
        <v>1</v>
      </c>
      <c r="V20" s="56"/>
      <c r="W20" s="56">
        <v>1</v>
      </c>
      <c r="X20" s="56"/>
      <c r="Y20" s="56">
        <v>1</v>
      </c>
      <c r="Z20" s="56"/>
      <c r="AA20" s="37"/>
      <c r="AB20" s="37"/>
      <c r="AC20" s="52" t="s">
        <v>17</v>
      </c>
      <c r="AD20" s="52" t="s">
        <v>17</v>
      </c>
      <c r="AE20" s="52" t="s">
        <v>17</v>
      </c>
      <c r="AF20" s="52" t="s">
        <v>17</v>
      </c>
      <c r="AG20" s="52" t="s">
        <v>17</v>
      </c>
      <c r="AH20" s="52" t="s">
        <v>17</v>
      </c>
      <c r="AI20" s="52" t="s">
        <v>17</v>
      </c>
      <c r="AJ20" s="52" t="s">
        <v>17</v>
      </c>
      <c r="AK20" s="52" t="s">
        <v>17</v>
      </c>
      <c r="AL20" s="52" t="s">
        <v>17</v>
      </c>
      <c r="AM20" s="37"/>
      <c r="AN20" s="37"/>
      <c r="AO20" s="56">
        <v>1</v>
      </c>
      <c r="AP20" s="56"/>
      <c r="AQ20" s="56">
        <v>1</v>
      </c>
      <c r="AR20" s="56"/>
      <c r="AS20" s="56">
        <v>1</v>
      </c>
      <c r="AT20" s="56"/>
      <c r="AU20" s="56">
        <v>1</v>
      </c>
      <c r="AV20" s="56"/>
      <c r="AW20" s="56">
        <v>1</v>
      </c>
      <c r="AX20" s="56"/>
      <c r="AY20" s="37"/>
      <c r="AZ20" s="37"/>
      <c r="BA20" s="56">
        <v>1</v>
      </c>
      <c r="BB20" s="56"/>
      <c r="BC20" s="71"/>
    </row>
    <row r="21" spans="1:59" x14ac:dyDescent="0.25">
      <c r="A21" s="17">
        <v>1</v>
      </c>
      <c r="B21" s="15"/>
      <c r="C21" s="37"/>
      <c r="D21" s="37"/>
      <c r="E21" s="56">
        <v>1</v>
      </c>
      <c r="F21" s="56"/>
      <c r="G21" s="56">
        <v>1</v>
      </c>
      <c r="H21" s="56"/>
      <c r="I21" s="56">
        <v>1</v>
      </c>
      <c r="J21" s="56"/>
      <c r="K21" s="43" t="s">
        <v>2</v>
      </c>
      <c r="L21" s="43" t="s">
        <v>2</v>
      </c>
      <c r="M21" s="56">
        <v>1</v>
      </c>
      <c r="N21" s="56"/>
      <c r="O21" s="37"/>
      <c r="P21" s="37"/>
      <c r="Q21" s="56">
        <v>1</v>
      </c>
      <c r="R21" s="56"/>
      <c r="S21" s="56">
        <v>1</v>
      </c>
      <c r="T21" s="56"/>
      <c r="U21" s="56">
        <v>1</v>
      </c>
      <c r="V21" s="56"/>
      <c r="W21" s="56">
        <v>1</v>
      </c>
      <c r="X21" s="56"/>
      <c r="Y21" s="56">
        <v>1</v>
      </c>
      <c r="Z21" s="56"/>
      <c r="AA21" s="37"/>
      <c r="AB21" s="37"/>
      <c r="AC21" s="56">
        <v>1</v>
      </c>
      <c r="AD21" s="56"/>
      <c r="AE21" s="56">
        <v>1</v>
      </c>
      <c r="AF21" s="56"/>
      <c r="AG21" s="56">
        <v>1</v>
      </c>
      <c r="AH21" s="56"/>
      <c r="AI21" s="56">
        <v>1</v>
      </c>
      <c r="AJ21" s="56"/>
      <c r="AK21" s="56">
        <v>1</v>
      </c>
      <c r="AL21" s="56"/>
      <c r="AM21" s="37"/>
      <c r="AN21" s="37"/>
      <c r="AO21" s="56">
        <v>1</v>
      </c>
      <c r="AP21" s="56"/>
      <c r="AQ21" s="56">
        <v>1</v>
      </c>
      <c r="AR21" s="56"/>
      <c r="AS21" s="43" t="s">
        <v>2</v>
      </c>
      <c r="AT21" s="43" t="s">
        <v>2</v>
      </c>
      <c r="AU21" s="56">
        <v>1</v>
      </c>
      <c r="AV21" s="56"/>
      <c r="AW21" s="56">
        <v>1</v>
      </c>
      <c r="AX21" s="56"/>
      <c r="AY21" s="37"/>
      <c r="AZ21" s="37"/>
      <c r="BA21" s="56">
        <v>1</v>
      </c>
      <c r="BB21" s="56"/>
      <c r="BC21" s="71"/>
    </row>
    <row r="22" spans="1:59" x14ac:dyDescent="0.25">
      <c r="A22" s="17">
        <v>1</v>
      </c>
      <c r="B22" s="15"/>
      <c r="C22" s="37"/>
      <c r="D22" s="37"/>
      <c r="E22" s="56">
        <v>1</v>
      </c>
      <c r="F22" s="56"/>
      <c r="G22" s="56">
        <v>1</v>
      </c>
      <c r="H22" s="56"/>
      <c r="I22" s="56">
        <v>1</v>
      </c>
      <c r="J22" s="56"/>
      <c r="K22" s="56">
        <v>1</v>
      </c>
      <c r="L22" s="56"/>
      <c r="M22" s="56">
        <v>1</v>
      </c>
      <c r="N22" s="56"/>
      <c r="O22" s="37"/>
      <c r="P22" s="37"/>
      <c r="Q22" s="41" t="s">
        <v>1</v>
      </c>
      <c r="R22" s="41" t="s">
        <v>1</v>
      </c>
      <c r="S22" s="41" t="s">
        <v>1</v>
      </c>
      <c r="T22" s="41" t="s">
        <v>1</v>
      </c>
      <c r="U22" s="41" t="s">
        <v>1</v>
      </c>
      <c r="V22" s="41" t="s">
        <v>1</v>
      </c>
      <c r="W22" s="41" t="s">
        <v>1</v>
      </c>
      <c r="X22" s="41" t="s">
        <v>1</v>
      </c>
      <c r="Y22" s="41" t="s">
        <v>1</v>
      </c>
      <c r="Z22" s="41" t="s">
        <v>1</v>
      </c>
      <c r="AA22" s="37"/>
      <c r="AB22" s="37"/>
      <c r="AC22" s="56">
        <v>1</v>
      </c>
      <c r="AD22" s="56"/>
      <c r="AE22" s="56">
        <v>1</v>
      </c>
      <c r="AF22" s="56"/>
      <c r="AG22" s="56">
        <v>1</v>
      </c>
      <c r="AH22" s="56"/>
      <c r="AI22" s="56">
        <v>1</v>
      </c>
      <c r="AJ22" s="56"/>
      <c r="AK22" s="56">
        <v>1</v>
      </c>
      <c r="AL22" s="56"/>
      <c r="AM22" s="37"/>
      <c r="AN22" s="37"/>
      <c r="AO22" s="56">
        <v>1</v>
      </c>
      <c r="AP22" s="56"/>
      <c r="AQ22" s="56">
        <v>1</v>
      </c>
      <c r="AR22" s="56"/>
      <c r="AS22" s="56">
        <v>1</v>
      </c>
      <c r="AT22" s="56"/>
      <c r="AU22" s="56">
        <v>1</v>
      </c>
      <c r="AV22" s="56"/>
      <c r="AW22" s="43" t="s">
        <v>2</v>
      </c>
      <c r="AX22" s="43" t="s">
        <v>2</v>
      </c>
      <c r="AY22" s="37"/>
      <c r="AZ22" s="37"/>
      <c r="BA22" s="43" t="s">
        <v>2</v>
      </c>
      <c r="BB22" s="43" t="s">
        <v>2</v>
      </c>
      <c r="BC22" s="71"/>
    </row>
    <row r="23" spans="1:59" x14ac:dyDescent="0.25">
      <c r="A23" s="17">
        <v>1</v>
      </c>
      <c r="B23" s="17"/>
      <c r="C23" s="37"/>
      <c r="D23" s="37"/>
      <c r="E23" s="36">
        <v>1</v>
      </c>
      <c r="F23" s="36"/>
      <c r="G23" s="36">
        <v>1</v>
      </c>
      <c r="H23" s="36"/>
      <c r="I23" s="36">
        <v>1</v>
      </c>
      <c r="J23" s="36"/>
      <c r="K23" s="36">
        <v>1</v>
      </c>
      <c r="L23" s="36"/>
      <c r="M23" s="36">
        <v>1</v>
      </c>
      <c r="N23" s="36"/>
      <c r="O23" s="37"/>
      <c r="P23" s="37"/>
      <c r="Q23" s="36">
        <v>1</v>
      </c>
      <c r="R23" s="36"/>
      <c r="S23" s="36">
        <v>1</v>
      </c>
      <c r="T23" s="36"/>
      <c r="U23" s="36">
        <v>1</v>
      </c>
      <c r="V23" s="36"/>
      <c r="W23" s="36">
        <v>1</v>
      </c>
      <c r="X23" s="36"/>
      <c r="Y23" s="36">
        <v>1</v>
      </c>
      <c r="Z23" s="36"/>
      <c r="AA23" s="37"/>
      <c r="AB23" s="37"/>
      <c r="AC23" s="36">
        <v>1</v>
      </c>
      <c r="AD23" s="36"/>
      <c r="AE23" s="36">
        <v>1</v>
      </c>
      <c r="AF23" s="36"/>
      <c r="AG23" s="36">
        <v>1</v>
      </c>
      <c r="AH23" s="36"/>
      <c r="AI23" s="36">
        <v>1</v>
      </c>
      <c r="AJ23" s="36"/>
      <c r="AK23" s="36">
        <v>1</v>
      </c>
      <c r="AL23" s="36"/>
      <c r="AM23" s="37"/>
      <c r="AN23" s="37"/>
      <c r="AO23" s="36">
        <v>1</v>
      </c>
      <c r="AP23" s="36"/>
      <c r="AQ23" s="43" t="s">
        <v>2</v>
      </c>
      <c r="AR23" s="43" t="s">
        <v>2</v>
      </c>
      <c r="AS23" s="36">
        <v>1</v>
      </c>
      <c r="AT23" s="36"/>
      <c r="AU23" s="36">
        <v>1</v>
      </c>
      <c r="AV23" s="36"/>
      <c r="AW23" s="36">
        <v>1</v>
      </c>
      <c r="AX23" s="36"/>
      <c r="AY23" s="37"/>
      <c r="AZ23" s="37"/>
      <c r="BA23" s="43" t="s">
        <v>2</v>
      </c>
      <c r="BB23" s="43" t="s">
        <v>2</v>
      </c>
      <c r="BC23" s="71"/>
    </row>
    <row r="24" spans="1:59" x14ac:dyDescent="0.25">
      <c r="A24" s="17">
        <v>1</v>
      </c>
      <c r="B24" s="17"/>
      <c r="C24" s="37"/>
      <c r="D24" s="37"/>
      <c r="E24" s="36">
        <v>1</v>
      </c>
      <c r="F24" s="36"/>
      <c r="G24" s="36">
        <v>1</v>
      </c>
      <c r="H24" s="36"/>
      <c r="I24" s="36">
        <v>1</v>
      </c>
      <c r="J24" s="36"/>
      <c r="K24" s="36">
        <v>1</v>
      </c>
      <c r="L24" s="36"/>
      <c r="M24" s="36">
        <v>1</v>
      </c>
      <c r="N24" s="36"/>
      <c r="O24" s="37"/>
      <c r="P24" s="37"/>
      <c r="Q24" s="36">
        <v>1</v>
      </c>
      <c r="R24" s="36"/>
      <c r="S24" s="43" t="s">
        <v>2</v>
      </c>
      <c r="T24" s="43" t="s">
        <v>2</v>
      </c>
      <c r="U24" s="36">
        <v>1</v>
      </c>
      <c r="V24" s="36"/>
      <c r="W24" s="36">
        <v>1</v>
      </c>
      <c r="X24" s="36"/>
      <c r="Y24" s="36">
        <v>1</v>
      </c>
      <c r="Z24" s="36"/>
      <c r="AA24" s="37"/>
      <c r="AB24" s="37"/>
      <c r="AC24" s="36">
        <v>1</v>
      </c>
      <c r="AD24" s="36"/>
      <c r="AE24" s="36">
        <v>1</v>
      </c>
      <c r="AF24" s="36"/>
      <c r="AG24" s="36">
        <v>1</v>
      </c>
      <c r="AH24" s="36"/>
      <c r="AI24" s="36">
        <v>1</v>
      </c>
      <c r="AJ24" s="36"/>
      <c r="AK24" s="36">
        <v>1</v>
      </c>
      <c r="AL24" s="36"/>
      <c r="AM24" s="37"/>
      <c r="AN24" s="37"/>
      <c r="AO24" s="36">
        <v>1</v>
      </c>
      <c r="AP24" s="36"/>
      <c r="AQ24" s="36">
        <v>1</v>
      </c>
      <c r="AR24" s="36"/>
      <c r="AS24" s="36">
        <v>1</v>
      </c>
      <c r="AT24" s="36"/>
      <c r="AU24" s="36">
        <v>1</v>
      </c>
      <c r="AV24" s="36"/>
      <c r="AW24" s="36">
        <v>1</v>
      </c>
      <c r="AX24" s="36"/>
      <c r="AY24" s="37"/>
      <c r="AZ24" s="37"/>
      <c r="BA24" s="43" t="s">
        <v>2</v>
      </c>
      <c r="BB24" s="43" t="s">
        <v>2</v>
      </c>
      <c r="BC24" s="71"/>
    </row>
    <row r="25" spans="1:59" x14ac:dyDescent="0.25">
      <c r="A25" s="17">
        <v>1</v>
      </c>
      <c r="B25" s="17"/>
      <c r="C25" s="37"/>
      <c r="D25" s="37"/>
      <c r="E25" s="43" t="s">
        <v>2</v>
      </c>
      <c r="F25" s="43" t="s">
        <v>2</v>
      </c>
      <c r="G25" s="43" t="s">
        <v>2</v>
      </c>
      <c r="H25" s="43" t="s">
        <v>2</v>
      </c>
      <c r="I25" s="43" t="s">
        <v>2</v>
      </c>
      <c r="J25" s="43" t="s">
        <v>2</v>
      </c>
      <c r="K25" s="43" t="s">
        <v>2</v>
      </c>
      <c r="L25" s="43" t="s">
        <v>2</v>
      </c>
      <c r="M25" s="43" t="s">
        <v>2</v>
      </c>
      <c r="N25" s="43" t="s">
        <v>2</v>
      </c>
      <c r="O25" s="37"/>
      <c r="P25" s="37"/>
      <c r="Q25" s="36">
        <v>1</v>
      </c>
      <c r="R25" s="36"/>
      <c r="S25" s="36">
        <v>1</v>
      </c>
      <c r="T25" s="36"/>
      <c r="U25" s="36">
        <v>1</v>
      </c>
      <c r="V25" s="36"/>
      <c r="W25" s="36">
        <v>1</v>
      </c>
      <c r="X25" s="36"/>
      <c r="Y25" s="36">
        <v>1</v>
      </c>
      <c r="Z25" s="36"/>
      <c r="AA25" s="37"/>
      <c r="AB25" s="37"/>
      <c r="AC25" s="36">
        <v>1</v>
      </c>
      <c r="AD25" s="36"/>
      <c r="AE25" s="36">
        <v>1</v>
      </c>
      <c r="AF25" s="36"/>
      <c r="AG25" s="36">
        <v>1</v>
      </c>
      <c r="AH25" s="36"/>
      <c r="AI25" s="36">
        <v>1</v>
      </c>
      <c r="AJ25" s="36"/>
      <c r="AK25" s="36">
        <v>1</v>
      </c>
      <c r="AL25" s="36"/>
      <c r="AM25" s="37"/>
      <c r="AN25" s="37"/>
      <c r="AO25" s="36">
        <v>1</v>
      </c>
      <c r="AP25" s="36"/>
      <c r="AQ25" s="36">
        <v>1</v>
      </c>
      <c r="AR25" s="36"/>
      <c r="AS25" s="36">
        <v>1</v>
      </c>
      <c r="AT25" s="36"/>
      <c r="AU25" s="36">
        <v>1</v>
      </c>
      <c r="AV25" s="36"/>
      <c r="AW25" s="36">
        <v>1</v>
      </c>
      <c r="AX25" s="36"/>
      <c r="AY25" s="37"/>
      <c r="AZ25" s="37"/>
      <c r="BA25" s="36">
        <v>1</v>
      </c>
      <c r="BB25" s="36"/>
      <c r="BC25" s="71"/>
    </row>
    <row r="26" spans="1:59" x14ac:dyDescent="0.25">
      <c r="A26" s="17">
        <v>1</v>
      </c>
      <c r="B26" s="17"/>
      <c r="C26" s="37"/>
      <c r="D26" s="37"/>
      <c r="E26" s="36">
        <v>1</v>
      </c>
      <c r="F26" s="36"/>
      <c r="G26" s="36">
        <v>1</v>
      </c>
      <c r="H26" s="36"/>
      <c r="I26" s="36">
        <v>1</v>
      </c>
      <c r="J26" s="36"/>
      <c r="K26" s="36">
        <v>1</v>
      </c>
      <c r="L26" s="36"/>
      <c r="M26" s="41" t="s">
        <v>1</v>
      </c>
      <c r="N26" s="41" t="s">
        <v>1</v>
      </c>
      <c r="O26" s="37"/>
      <c r="P26" s="37"/>
      <c r="Q26" s="36">
        <v>1</v>
      </c>
      <c r="R26" s="36"/>
      <c r="S26" s="41" t="s">
        <v>1</v>
      </c>
      <c r="T26" s="41" t="s">
        <v>1</v>
      </c>
      <c r="U26" s="36">
        <v>1</v>
      </c>
      <c r="V26" s="36"/>
      <c r="W26" s="36">
        <v>1</v>
      </c>
      <c r="X26" s="36"/>
      <c r="Y26" s="36">
        <v>1</v>
      </c>
      <c r="Z26" s="36"/>
      <c r="AA26" s="37"/>
      <c r="AB26" s="37"/>
      <c r="AC26" s="36">
        <v>1</v>
      </c>
      <c r="AD26" s="36"/>
      <c r="AE26" s="36">
        <v>1</v>
      </c>
      <c r="AF26" s="36"/>
      <c r="AG26" s="36">
        <v>1</v>
      </c>
      <c r="AH26" s="36"/>
      <c r="AI26" s="36">
        <v>1</v>
      </c>
      <c r="AJ26" s="36"/>
      <c r="AK26" s="36">
        <v>1</v>
      </c>
      <c r="AL26" s="36"/>
      <c r="AM26" s="37"/>
      <c r="AN26" s="37"/>
      <c r="AO26" s="36">
        <v>1</v>
      </c>
      <c r="AP26" s="36"/>
      <c r="AQ26" s="36">
        <v>1</v>
      </c>
      <c r="AR26" s="36"/>
      <c r="AS26" s="36">
        <v>1</v>
      </c>
      <c r="AT26" s="36"/>
      <c r="AU26" s="36">
        <v>1</v>
      </c>
      <c r="AV26" s="36"/>
      <c r="AW26" s="36">
        <v>1</v>
      </c>
      <c r="AX26" s="36"/>
      <c r="AY26" s="37"/>
      <c r="AZ26" s="37"/>
      <c r="BA26" s="36">
        <v>1</v>
      </c>
      <c r="BB26" s="36"/>
      <c r="BC26" s="71"/>
    </row>
    <row r="27" spans="1:59" x14ac:dyDescent="0.25">
      <c r="A27" s="17">
        <v>1</v>
      </c>
      <c r="B27" s="17"/>
      <c r="C27" s="37"/>
      <c r="D27" s="37"/>
      <c r="E27" s="36">
        <v>1</v>
      </c>
      <c r="F27" s="36"/>
      <c r="G27" s="36">
        <v>1</v>
      </c>
      <c r="H27" s="36"/>
      <c r="I27" s="36">
        <v>1</v>
      </c>
      <c r="J27" s="36"/>
      <c r="K27" s="36">
        <v>1</v>
      </c>
      <c r="L27" s="36"/>
      <c r="M27" s="36">
        <v>1</v>
      </c>
      <c r="N27" s="36"/>
      <c r="O27" s="37"/>
      <c r="P27" s="37"/>
      <c r="Q27" s="43" t="s">
        <v>2</v>
      </c>
      <c r="R27" s="43" t="s">
        <v>2</v>
      </c>
      <c r="S27" s="36">
        <v>1</v>
      </c>
      <c r="T27" s="36"/>
      <c r="U27" s="36">
        <v>1</v>
      </c>
      <c r="V27" s="36"/>
      <c r="W27" s="36">
        <v>1</v>
      </c>
      <c r="X27" s="36"/>
      <c r="Y27" s="36">
        <v>1</v>
      </c>
      <c r="Z27" s="36"/>
      <c r="AA27" s="37"/>
      <c r="AB27" s="37"/>
      <c r="AC27" s="36">
        <v>1</v>
      </c>
      <c r="AD27" s="36"/>
      <c r="AE27" s="36">
        <v>1</v>
      </c>
      <c r="AF27" s="36"/>
      <c r="AG27" s="36">
        <v>1</v>
      </c>
      <c r="AH27" s="36"/>
      <c r="AI27" s="36">
        <v>1</v>
      </c>
      <c r="AJ27" s="36"/>
      <c r="AK27" s="36">
        <v>1</v>
      </c>
      <c r="AL27" s="36"/>
      <c r="AM27" s="37"/>
      <c r="AN27" s="37"/>
      <c r="AO27" s="36">
        <v>1</v>
      </c>
      <c r="AP27" s="36"/>
      <c r="AQ27" s="36">
        <v>1</v>
      </c>
      <c r="AR27" s="36"/>
      <c r="AS27" s="43" t="s">
        <v>2</v>
      </c>
      <c r="AT27" s="43" t="s">
        <v>2</v>
      </c>
      <c r="AU27" s="43" t="s">
        <v>2</v>
      </c>
      <c r="AV27" s="43" t="s">
        <v>2</v>
      </c>
      <c r="AW27" s="36">
        <v>1</v>
      </c>
      <c r="AX27" s="36"/>
      <c r="AY27" s="37"/>
      <c r="AZ27" s="37"/>
      <c r="BA27" s="36">
        <v>1</v>
      </c>
      <c r="BB27" s="36"/>
      <c r="BC27" s="71"/>
    </row>
    <row r="28" spans="1:59" x14ac:dyDescent="0.25">
      <c r="A28" s="17">
        <v>1</v>
      </c>
      <c r="B28" s="17"/>
      <c r="C28" s="37"/>
      <c r="D28" s="37"/>
      <c r="E28" s="36">
        <v>1</v>
      </c>
      <c r="F28" s="36"/>
      <c r="G28" s="36">
        <v>1</v>
      </c>
      <c r="H28" s="36"/>
      <c r="I28" s="36">
        <v>1</v>
      </c>
      <c r="J28" s="36"/>
      <c r="K28" s="36">
        <v>1</v>
      </c>
      <c r="L28" s="36"/>
      <c r="M28" s="36">
        <v>1</v>
      </c>
      <c r="N28" s="36"/>
      <c r="O28" s="37"/>
      <c r="P28" s="37"/>
      <c r="Q28" s="36">
        <v>1</v>
      </c>
      <c r="R28" s="36"/>
      <c r="S28" s="36">
        <v>1</v>
      </c>
      <c r="T28" s="36"/>
      <c r="U28" s="36">
        <v>1</v>
      </c>
      <c r="V28" s="36"/>
      <c r="W28" s="36">
        <v>1</v>
      </c>
      <c r="X28" s="36"/>
      <c r="Y28" s="43" t="s">
        <v>2</v>
      </c>
      <c r="Z28" s="43" t="s">
        <v>2</v>
      </c>
      <c r="AA28" s="37"/>
      <c r="AB28" s="37"/>
      <c r="AC28" s="43" t="s">
        <v>2</v>
      </c>
      <c r="AD28" s="43" t="s">
        <v>2</v>
      </c>
      <c r="AE28" s="43" t="s">
        <v>2</v>
      </c>
      <c r="AF28" s="43" t="s">
        <v>2</v>
      </c>
      <c r="AG28" s="43" t="s">
        <v>2</v>
      </c>
      <c r="AH28" s="43" t="s">
        <v>2</v>
      </c>
      <c r="AI28" s="43" t="s">
        <v>2</v>
      </c>
      <c r="AJ28" s="43" t="s">
        <v>2</v>
      </c>
      <c r="AK28" s="43" t="s">
        <v>2</v>
      </c>
      <c r="AL28" s="43" t="s">
        <v>2</v>
      </c>
      <c r="AM28" s="37"/>
      <c r="AN28" s="37"/>
      <c r="AO28" s="36">
        <v>1</v>
      </c>
      <c r="AP28" s="36"/>
      <c r="AQ28" s="36">
        <v>1</v>
      </c>
      <c r="AR28" s="36"/>
      <c r="AS28" s="36">
        <v>1</v>
      </c>
      <c r="AT28" s="36"/>
      <c r="AU28" s="36">
        <v>1</v>
      </c>
      <c r="AV28" s="36"/>
      <c r="AW28" s="36">
        <v>1</v>
      </c>
      <c r="AX28" s="36"/>
      <c r="AY28" s="37"/>
      <c r="AZ28" s="37"/>
      <c r="BA28" s="36">
        <v>1</v>
      </c>
      <c r="BB28" s="36"/>
      <c r="BC28" s="71"/>
    </row>
    <row r="29" spans="1:59" x14ac:dyDescent="0.25"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E29" s="26" t="s">
        <v>2</v>
      </c>
      <c r="BF29" s="26" t="s">
        <v>1</v>
      </c>
      <c r="BG29" s="26" t="s">
        <v>80</v>
      </c>
    </row>
    <row r="30" spans="1:59" x14ac:dyDescent="0.25">
      <c r="A30" s="35" t="s">
        <v>9</v>
      </c>
      <c r="B30" s="35"/>
      <c r="C30" s="29" t="str">
        <f>IF(C11="","",SUM(C11:C28))</f>
        <v/>
      </c>
      <c r="D30" s="29"/>
      <c r="E30" s="29">
        <f t="shared" ref="E30" si="0">SUM(E11:E28)</f>
        <v>14</v>
      </c>
      <c r="F30" s="29"/>
      <c r="G30" s="29">
        <f>IF(G11="","",SUM(G11:G28))</f>
        <v>14</v>
      </c>
      <c r="H30" s="29"/>
      <c r="I30" s="29">
        <f t="shared" ref="I30:BA30" si="1">IF(I11="","",SUM(I11:I28))</f>
        <v>14</v>
      </c>
      <c r="J30" s="29"/>
      <c r="K30" s="29">
        <f t="shared" si="1"/>
        <v>13</v>
      </c>
      <c r="L30" s="29"/>
      <c r="M30" s="29">
        <f t="shared" si="1"/>
        <v>13</v>
      </c>
      <c r="N30" s="29"/>
      <c r="O30" s="29"/>
      <c r="P30" s="29"/>
      <c r="Q30" s="29">
        <f t="shared" si="1"/>
        <v>13</v>
      </c>
      <c r="R30" s="29"/>
      <c r="S30" s="29">
        <f t="shared" si="1"/>
        <v>13</v>
      </c>
      <c r="T30" s="29"/>
      <c r="U30" s="29">
        <f t="shared" si="1"/>
        <v>14</v>
      </c>
      <c r="V30" s="29"/>
      <c r="W30" s="29">
        <f t="shared" si="1"/>
        <v>14</v>
      </c>
      <c r="X30" s="29"/>
      <c r="Y30" s="29">
        <f t="shared" si="1"/>
        <v>13</v>
      </c>
      <c r="Z30" s="29"/>
      <c r="AA30" s="29"/>
      <c r="AB30" s="29"/>
      <c r="AC30" s="29">
        <f t="shared" si="1"/>
        <v>14</v>
      </c>
      <c r="AD30" s="29"/>
      <c r="AE30" s="29">
        <f t="shared" si="1"/>
        <v>14</v>
      </c>
      <c r="AF30" s="29"/>
      <c r="AG30" s="29">
        <f t="shared" si="1"/>
        <v>14</v>
      </c>
      <c r="AH30" s="29"/>
      <c r="AI30" s="29">
        <f t="shared" si="1"/>
        <v>14</v>
      </c>
      <c r="AJ30" s="29"/>
      <c r="AK30" s="29">
        <f t="shared" si="1"/>
        <v>14</v>
      </c>
      <c r="AL30" s="29"/>
      <c r="AM30" s="29"/>
      <c r="AN30" s="29"/>
      <c r="AO30" s="29">
        <f t="shared" si="1"/>
        <v>17</v>
      </c>
      <c r="AP30" s="29"/>
      <c r="AQ30" s="29">
        <f t="shared" si="1"/>
        <v>15</v>
      </c>
      <c r="AR30" s="29"/>
      <c r="AS30" s="29">
        <f t="shared" si="1"/>
        <v>15</v>
      </c>
      <c r="AT30" s="29"/>
      <c r="AU30" s="29">
        <f t="shared" si="1"/>
        <v>16</v>
      </c>
      <c r="AV30" s="29"/>
      <c r="AW30" s="29">
        <f t="shared" si="1"/>
        <v>16</v>
      </c>
      <c r="AX30" s="29"/>
      <c r="AY30" s="29"/>
      <c r="AZ30" s="29"/>
      <c r="BA30" s="29">
        <f t="shared" si="1"/>
        <v>14</v>
      </c>
      <c r="BB30" s="29"/>
      <c r="BC30" s="71"/>
      <c r="BD30" s="50">
        <f>AVERAGE(C30:BA30)</f>
        <v>14.19047619047619</v>
      </c>
      <c r="BE30" s="127">
        <f>COUNTIF((C11:BB28),"RTT")/2</f>
        <v>27</v>
      </c>
      <c r="BF30" s="64">
        <f>COUNTIF((C11:BB28),"CP")/2</f>
        <v>12</v>
      </c>
      <c r="BG30" s="128">
        <f>COUNTIF((C11:BB28),"1")</f>
        <v>298</v>
      </c>
    </row>
    <row r="31" spans="1:59" x14ac:dyDescent="0.25">
      <c r="A31" s="35" t="s">
        <v>10</v>
      </c>
      <c r="B31" s="35"/>
      <c r="C31" s="29" t="str">
        <f>IF(C30="","",(18-C30))</f>
        <v/>
      </c>
      <c r="D31" s="29"/>
      <c r="E31" s="29">
        <f t="shared" ref="E31:BA31" si="2">IF(E30="","",(18-E30))</f>
        <v>4</v>
      </c>
      <c r="F31" s="29"/>
      <c r="G31" s="29">
        <f t="shared" si="2"/>
        <v>4</v>
      </c>
      <c r="H31" s="29"/>
      <c r="I31" s="29">
        <f t="shared" si="2"/>
        <v>4</v>
      </c>
      <c r="J31" s="29" t="str">
        <f t="shared" si="2"/>
        <v/>
      </c>
      <c r="K31" s="29">
        <f t="shared" si="2"/>
        <v>5</v>
      </c>
      <c r="L31" s="29"/>
      <c r="M31" s="29">
        <f t="shared" si="2"/>
        <v>5</v>
      </c>
      <c r="N31" s="29"/>
      <c r="O31" s="29"/>
      <c r="P31" s="29"/>
      <c r="Q31" s="29">
        <f t="shared" si="2"/>
        <v>5</v>
      </c>
      <c r="R31" s="29"/>
      <c r="S31" s="29">
        <f t="shared" si="2"/>
        <v>5</v>
      </c>
      <c r="T31" s="29"/>
      <c r="U31" s="29">
        <f t="shared" si="2"/>
        <v>4</v>
      </c>
      <c r="V31" s="29"/>
      <c r="W31" s="29">
        <f t="shared" si="2"/>
        <v>4</v>
      </c>
      <c r="X31" s="29"/>
      <c r="Y31" s="29">
        <f t="shared" si="2"/>
        <v>5</v>
      </c>
      <c r="Z31" s="29"/>
      <c r="AA31" s="29"/>
      <c r="AB31" s="29"/>
      <c r="AC31" s="29">
        <f t="shared" si="2"/>
        <v>4</v>
      </c>
      <c r="AD31" s="29"/>
      <c r="AE31" s="29">
        <f t="shared" si="2"/>
        <v>4</v>
      </c>
      <c r="AF31" s="29"/>
      <c r="AG31" s="29">
        <f t="shared" si="2"/>
        <v>4</v>
      </c>
      <c r="AH31" s="29" t="str">
        <f t="shared" si="2"/>
        <v/>
      </c>
      <c r="AI31" s="29">
        <f t="shared" si="2"/>
        <v>4</v>
      </c>
      <c r="AJ31" s="29"/>
      <c r="AK31" s="29">
        <f t="shared" si="2"/>
        <v>4</v>
      </c>
      <c r="AL31" s="29"/>
      <c r="AM31" s="29"/>
      <c r="AN31" s="29"/>
      <c r="AO31" s="29">
        <f t="shared" si="2"/>
        <v>1</v>
      </c>
      <c r="AP31" s="29"/>
      <c r="AQ31" s="29">
        <f t="shared" si="2"/>
        <v>3</v>
      </c>
      <c r="AR31" s="29"/>
      <c r="AS31" s="29">
        <f t="shared" si="2"/>
        <v>3</v>
      </c>
      <c r="AT31" s="29"/>
      <c r="AU31" s="29">
        <f t="shared" si="2"/>
        <v>2</v>
      </c>
      <c r="AV31" s="29" t="str">
        <f t="shared" si="2"/>
        <v/>
      </c>
      <c r="AW31" s="29">
        <f t="shared" si="2"/>
        <v>2</v>
      </c>
      <c r="AX31" s="29"/>
      <c r="AY31" s="29"/>
      <c r="AZ31" s="29"/>
      <c r="BA31" s="29">
        <f t="shared" si="2"/>
        <v>4</v>
      </c>
      <c r="BB31" s="29"/>
      <c r="BC31" s="71"/>
      <c r="BD31" s="50">
        <f>AVERAGE(C31:BA31)</f>
        <v>3.8095238095238093</v>
      </c>
    </row>
    <row r="32" spans="1:59" x14ac:dyDescent="0.25"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</row>
    <row r="33" spans="1:55" x14ac:dyDescent="0.25">
      <c r="B33" s="26" t="s">
        <v>11</v>
      </c>
      <c r="C33" s="18">
        <v>41699</v>
      </c>
      <c r="D33" s="18">
        <v>41700</v>
      </c>
      <c r="E33" s="57">
        <v>41701</v>
      </c>
      <c r="F33" s="57"/>
      <c r="G33" s="57">
        <v>41702</v>
      </c>
      <c r="H33" s="57"/>
      <c r="I33" s="57">
        <v>41703</v>
      </c>
      <c r="J33" s="57"/>
      <c r="K33" s="57">
        <v>41704</v>
      </c>
      <c r="L33" s="57"/>
      <c r="M33" s="57">
        <v>41705</v>
      </c>
      <c r="N33" s="57"/>
      <c r="O33" s="18">
        <v>41706</v>
      </c>
      <c r="P33" s="18">
        <v>41707</v>
      </c>
      <c r="Q33" s="57">
        <v>41708</v>
      </c>
      <c r="R33" s="57"/>
      <c r="S33" s="57">
        <v>41709</v>
      </c>
      <c r="T33" s="57"/>
      <c r="U33" s="57">
        <v>41710</v>
      </c>
      <c r="V33" s="57"/>
      <c r="W33" s="57">
        <v>41711</v>
      </c>
      <c r="X33" s="57"/>
      <c r="Y33" s="57">
        <v>41712</v>
      </c>
      <c r="Z33" s="57"/>
      <c r="AA33" s="18">
        <v>41713</v>
      </c>
      <c r="AB33" s="18">
        <v>41714</v>
      </c>
      <c r="AC33" s="57">
        <v>41715</v>
      </c>
      <c r="AD33" s="57"/>
      <c r="AE33" s="57">
        <v>41716</v>
      </c>
      <c r="AF33" s="57"/>
      <c r="AG33" s="57">
        <v>41717</v>
      </c>
      <c r="AH33" s="57"/>
      <c r="AI33" s="57">
        <v>41718</v>
      </c>
      <c r="AJ33" s="57"/>
      <c r="AK33" s="57">
        <v>41719</v>
      </c>
      <c r="AL33" s="57"/>
      <c r="AM33" s="18">
        <v>41720</v>
      </c>
      <c r="AN33" s="18">
        <v>41721</v>
      </c>
      <c r="AO33" s="57">
        <v>41722</v>
      </c>
      <c r="AP33" s="57"/>
      <c r="AQ33" s="57">
        <v>41723</v>
      </c>
      <c r="AR33" s="57"/>
      <c r="AS33" s="57">
        <v>41724</v>
      </c>
      <c r="AT33" s="57"/>
      <c r="AU33" s="57">
        <v>41725</v>
      </c>
      <c r="AV33" s="57"/>
      <c r="AW33" s="57">
        <v>41726</v>
      </c>
      <c r="AX33" s="57"/>
      <c r="AY33" s="18">
        <v>41727</v>
      </c>
      <c r="AZ33" s="18">
        <v>41728</v>
      </c>
      <c r="BA33" s="57">
        <v>41729</v>
      </c>
      <c r="BB33" s="57"/>
      <c r="BC33" s="71"/>
    </row>
    <row r="34" spans="1:55" x14ac:dyDescent="0.25">
      <c r="A34" s="22">
        <v>2</v>
      </c>
      <c r="B34" s="22">
        <v>24</v>
      </c>
      <c r="C34" s="40"/>
      <c r="D34" s="40"/>
      <c r="E34" s="39">
        <v>16.956</v>
      </c>
      <c r="F34" s="39">
        <f>IF(E34="","",E34/B34)</f>
        <v>0.70650000000000002</v>
      </c>
      <c r="G34" s="39">
        <v>6.0519999999999996</v>
      </c>
      <c r="H34" s="39">
        <f>IF(G34="","",G34/B34)</f>
        <v>0.25216666666666665</v>
      </c>
      <c r="I34" s="39">
        <f>18.175</f>
        <v>18.175000000000001</v>
      </c>
      <c r="J34" s="39">
        <f>IF(I34="","",I34/B34)</f>
        <v>0.7572916666666667</v>
      </c>
      <c r="K34" s="39">
        <f>20.165</f>
        <v>20.164999999999999</v>
      </c>
      <c r="L34" s="39">
        <f>IF(K34="","",K34/B34)</f>
        <v>0.84020833333333333</v>
      </c>
      <c r="M34" s="39">
        <f>12.008</f>
        <v>12.007999999999999</v>
      </c>
      <c r="N34" s="39">
        <f>IF(M34="","",M34/B34)</f>
        <v>0.5003333333333333</v>
      </c>
      <c r="O34" s="40"/>
      <c r="P34" s="40"/>
      <c r="Q34" s="39">
        <f>9.053</f>
        <v>9.0530000000000008</v>
      </c>
      <c r="R34" s="39">
        <f>IF(Q34="","",Q34/B34)</f>
        <v>0.37720833333333337</v>
      </c>
      <c r="S34" s="39"/>
      <c r="T34" s="39" t="str">
        <f>IF(S34="","",S34/B34)</f>
        <v/>
      </c>
      <c r="U34" s="39">
        <f>2.426</f>
        <v>2.4260000000000002</v>
      </c>
      <c r="V34" s="39">
        <f>IF(U34="","",U34/B34)</f>
        <v>0.10108333333333334</v>
      </c>
      <c r="W34" s="39">
        <v>12.672000000000001</v>
      </c>
      <c r="X34" s="39">
        <f>IF(W34="","",W34/B34)</f>
        <v>0.52800000000000002</v>
      </c>
      <c r="Y34" s="39">
        <v>13.051</v>
      </c>
      <c r="Z34" s="39">
        <f>IF(Y34="","",Y34/B34)</f>
        <v>0.54379166666666667</v>
      </c>
      <c r="AA34" s="40"/>
      <c r="AB34" s="40"/>
      <c r="AC34" s="39">
        <v>23.564</v>
      </c>
      <c r="AD34" s="39">
        <f>IF(AC34="","",AC34/B34)</f>
        <v>0.98183333333333334</v>
      </c>
      <c r="AE34" s="39">
        <f>14.351</f>
        <v>14.351000000000001</v>
      </c>
      <c r="AF34" s="39">
        <f>IF(AE34="","",AE34/B34)</f>
        <v>0.59795833333333337</v>
      </c>
      <c r="AG34" s="39">
        <f>12.813</f>
        <v>12.813000000000001</v>
      </c>
      <c r="AH34" s="39">
        <f>IF(AG34="","",AG34/B34)</f>
        <v>0.53387499999999999</v>
      </c>
      <c r="AI34" s="39">
        <v>15.484</v>
      </c>
      <c r="AJ34" s="39">
        <f>IF(AI34="","",AI34/B34)</f>
        <v>0.64516666666666667</v>
      </c>
      <c r="AK34" s="39">
        <f>12.288</f>
        <v>12.288</v>
      </c>
      <c r="AL34" s="39">
        <f>IF(AK34="","",AK34/B34)</f>
        <v>0.51200000000000001</v>
      </c>
      <c r="AM34" s="40"/>
      <c r="AN34" s="40"/>
      <c r="AO34" s="39">
        <f>5.313</f>
        <v>5.3129999999999997</v>
      </c>
      <c r="AP34" s="39">
        <f>IF(AO34="","",AO34/B34)</f>
        <v>0.22137499999999999</v>
      </c>
      <c r="AQ34" s="39">
        <v>15.545</v>
      </c>
      <c r="AR34" s="39">
        <f>IF(AQ34="","",AQ34/B34)</f>
        <v>0.64770833333333333</v>
      </c>
      <c r="AS34" s="39">
        <v>12.708</v>
      </c>
      <c r="AT34" s="39">
        <f>IF(AS34="","",AS34/B34)</f>
        <v>0.52949999999999997</v>
      </c>
      <c r="AU34" s="39">
        <v>18.73</v>
      </c>
      <c r="AV34" s="39">
        <f>IF(AU34="","",AU34/B34)</f>
        <v>0.78041666666666665</v>
      </c>
      <c r="AW34" s="39">
        <f>5.597</f>
        <v>5.5970000000000004</v>
      </c>
      <c r="AX34" s="39">
        <f>IF(AW34="","",AW34/B34)</f>
        <v>0.23320833333333335</v>
      </c>
      <c r="AY34" s="40"/>
      <c r="AZ34" s="40"/>
      <c r="BA34" s="39"/>
      <c r="BB34" s="39" t="str">
        <f>IF(BA34="","",BA34/B34)</f>
        <v/>
      </c>
      <c r="BC34" s="71"/>
    </row>
    <row r="35" spans="1:55" x14ac:dyDescent="0.25">
      <c r="A35" s="22">
        <v>2</v>
      </c>
      <c r="B35" s="22">
        <v>15</v>
      </c>
      <c r="C35" s="40"/>
      <c r="D35" s="40"/>
      <c r="E35" s="39">
        <f>4.082</f>
        <v>4.0819999999999999</v>
      </c>
      <c r="F35" s="39">
        <f t="shared" ref="F35:F57" si="3">IF(E35="","",E35/B35)</f>
        <v>0.27213333333333334</v>
      </c>
      <c r="G35" s="39">
        <v>9.0950000000000006</v>
      </c>
      <c r="H35" s="39">
        <f t="shared" ref="H35:H57" si="4">IF(G35="","",G35/B35)</f>
        <v>0.60633333333333339</v>
      </c>
      <c r="I35" s="39">
        <f>14.901</f>
        <v>14.901</v>
      </c>
      <c r="J35" s="39">
        <f t="shared" ref="J35:J55" si="5">IF(I35="","",I35/B35)</f>
        <v>0.99339999999999995</v>
      </c>
      <c r="K35" s="39">
        <f>14.828</f>
        <v>14.827999999999999</v>
      </c>
      <c r="L35" s="39">
        <f t="shared" ref="L35:L57" si="6">IF(K35="","",K35/B35)</f>
        <v>0.98853333333333326</v>
      </c>
      <c r="M35" s="39"/>
      <c r="N35" s="39" t="str">
        <f t="shared" ref="N35:N57" si="7">IF(M35="","",M35/B35)</f>
        <v/>
      </c>
      <c r="O35" s="40"/>
      <c r="P35" s="40"/>
      <c r="Q35" s="39">
        <f>8.506</f>
        <v>8.5060000000000002</v>
      </c>
      <c r="R35" s="39">
        <f t="shared" ref="R35:R57" si="8">IF(Q35="","",Q35/B35)</f>
        <v>0.56706666666666672</v>
      </c>
      <c r="S35" s="39"/>
      <c r="T35" s="39" t="str">
        <f t="shared" ref="T35:T57" si="9">IF(S35="","",S35/B35)</f>
        <v/>
      </c>
      <c r="U35" s="39">
        <f>9.683</f>
        <v>9.6829999999999998</v>
      </c>
      <c r="V35" s="39">
        <f t="shared" ref="V35:V57" si="10">IF(U35="","",U35/B35)</f>
        <v>0.64553333333333329</v>
      </c>
      <c r="W35" s="39">
        <v>4.9509999999999996</v>
      </c>
      <c r="X35" s="39">
        <f t="shared" ref="X35:X57" si="11">IF(W35="","",W35/B35)</f>
        <v>0.33006666666666662</v>
      </c>
      <c r="Y35" s="39">
        <v>5.39</v>
      </c>
      <c r="Z35" s="39">
        <f t="shared" ref="Z35:Z57" si="12">IF(Y35="","",Y35/B35)</f>
        <v>0.35933333333333334</v>
      </c>
      <c r="AA35" s="40"/>
      <c r="AB35" s="40"/>
      <c r="AC35" s="39">
        <v>6.0739999999999998</v>
      </c>
      <c r="AD35" s="39">
        <f t="shared" ref="AD35:AD57" si="13">IF(AC35="","",AC35/B35)</f>
        <v>0.40493333333333331</v>
      </c>
      <c r="AE35" s="39">
        <f>13.356</f>
        <v>13.356</v>
      </c>
      <c r="AF35" s="39">
        <f t="shared" ref="AF35:AF57" si="14">IF(AE35="","",AE35/B35)</f>
        <v>0.89039999999999997</v>
      </c>
      <c r="AG35" s="39">
        <f>7.747</f>
        <v>7.7469999999999999</v>
      </c>
      <c r="AH35" s="39">
        <f t="shared" ref="AH35:AH57" si="15">IF(AG35="","",AG35/B35)</f>
        <v>0.51646666666666663</v>
      </c>
      <c r="AI35" s="39">
        <v>10.734999999999999</v>
      </c>
      <c r="AJ35" s="39">
        <f t="shared" ref="AJ35:AJ57" si="16">IF(AI35="","",AI35/B35)</f>
        <v>0.71566666666666667</v>
      </c>
      <c r="AK35" s="39">
        <f>14.825</f>
        <v>14.824999999999999</v>
      </c>
      <c r="AL35" s="39">
        <f t="shared" ref="AL35:AL57" si="17">IF(AK35="","",AK35/B35)</f>
        <v>0.98833333333333329</v>
      </c>
      <c r="AM35" s="40"/>
      <c r="AN35" s="40"/>
      <c r="AO35" s="39">
        <f>9.918</f>
        <v>9.9179999999999993</v>
      </c>
      <c r="AP35" s="39">
        <f t="shared" ref="AP35:AP57" si="18">IF(AO35="","",AO35/B35)</f>
        <v>0.6611999999999999</v>
      </c>
      <c r="AQ35" s="39">
        <v>3.4079999999999999</v>
      </c>
      <c r="AR35" s="39">
        <f t="shared" ref="AR35:AR57" si="19">IF(AQ35="","",AQ35/B35)</f>
        <v>0.22719999999999999</v>
      </c>
      <c r="AS35" s="39">
        <v>7.9119999999999999</v>
      </c>
      <c r="AT35" s="39">
        <f t="shared" ref="AT35:AT57" si="20">IF(AS35="","",AS35/B35)</f>
        <v>0.52746666666666664</v>
      </c>
      <c r="AU35" s="39">
        <v>7.0350000000000001</v>
      </c>
      <c r="AV35" s="39">
        <f t="shared" ref="AV35:AV57" si="21">IF(AU35="","",AU35/B35)</f>
        <v>0.46900000000000003</v>
      </c>
      <c r="AW35" s="39">
        <f>3.399</f>
        <v>3.399</v>
      </c>
      <c r="AX35" s="39">
        <f t="shared" ref="AX35:AX57" si="22">IF(AW35="","",AW35/B35)</f>
        <v>0.2266</v>
      </c>
      <c r="AY35" s="40"/>
      <c r="AZ35" s="40"/>
      <c r="BA35" s="39">
        <v>2.9969999999999999</v>
      </c>
      <c r="BB35" s="39">
        <f t="shared" ref="BB35:BB57" si="23">IF(BA35="","",BA35/B35)</f>
        <v>0.19980000000000001</v>
      </c>
      <c r="BC35" s="71"/>
    </row>
    <row r="36" spans="1:55" x14ac:dyDescent="0.25">
      <c r="A36" s="22">
        <v>2</v>
      </c>
      <c r="B36" s="22">
        <v>15</v>
      </c>
      <c r="C36" s="40"/>
      <c r="D36" s="40"/>
      <c r="E36" s="39"/>
      <c r="F36" s="39" t="str">
        <f t="shared" si="3"/>
        <v/>
      </c>
      <c r="G36" s="39"/>
      <c r="H36" s="39" t="str">
        <f t="shared" si="4"/>
        <v/>
      </c>
      <c r="I36" s="39"/>
      <c r="J36" s="39" t="str">
        <f t="shared" si="5"/>
        <v/>
      </c>
      <c r="K36" s="39"/>
      <c r="L36" s="39" t="str">
        <f t="shared" si="6"/>
        <v/>
      </c>
      <c r="M36" s="39"/>
      <c r="N36" s="39" t="str">
        <f t="shared" si="7"/>
        <v/>
      </c>
      <c r="O36" s="40"/>
      <c r="P36" s="40"/>
      <c r="Q36" s="39">
        <f>11.308</f>
        <v>11.308</v>
      </c>
      <c r="R36" s="39">
        <f t="shared" si="8"/>
        <v>0.75386666666666668</v>
      </c>
      <c r="S36" s="39">
        <f>13.48</f>
        <v>13.48</v>
      </c>
      <c r="T36" s="39">
        <f t="shared" si="9"/>
        <v>0.89866666666666672</v>
      </c>
      <c r="U36" s="39">
        <f>4.728</f>
        <v>4.7279999999999998</v>
      </c>
      <c r="V36" s="39">
        <f t="shared" si="10"/>
        <v>0.31519999999999998</v>
      </c>
      <c r="W36" s="39">
        <v>7.5810000000000004</v>
      </c>
      <c r="X36" s="39">
        <f t="shared" si="11"/>
        <v>0.50540000000000007</v>
      </c>
      <c r="Y36" s="39">
        <v>13.613</v>
      </c>
      <c r="Z36" s="39">
        <f t="shared" si="12"/>
        <v>0.9075333333333333</v>
      </c>
      <c r="AA36" s="40"/>
      <c r="AB36" s="40"/>
      <c r="AC36" s="39">
        <f>8.527</f>
        <v>8.5269999999999992</v>
      </c>
      <c r="AD36" s="39">
        <f t="shared" si="13"/>
        <v>0.56846666666666656</v>
      </c>
      <c r="AE36" s="39">
        <f>9.35</f>
        <v>9.35</v>
      </c>
      <c r="AF36" s="39">
        <f t="shared" si="14"/>
        <v>0.62333333333333329</v>
      </c>
      <c r="AG36" s="39">
        <v>4.4450000000000003</v>
      </c>
      <c r="AH36" s="39">
        <f t="shared" si="15"/>
        <v>0.29633333333333334</v>
      </c>
      <c r="AI36" s="39">
        <v>13.987</v>
      </c>
      <c r="AJ36" s="39">
        <f t="shared" si="16"/>
        <v>0.93246666666666667</v>
      </c>
      <c r="AK36" s="39">
        <f>5.841</f>
        <v>5.8410000000000002</v>
      </c>
      <c r="AL36" s="39">
        <f t="shared" si="17"/>
        <v>0.38940000000000002</v>
      </c>
      <c r="AM36" s="40"/>
      <c r="AN36" s="40"/>
      <c r="AO36" s="39">
        <f>12.486</f>
        <v>12.486000000000001</v>
      </c>
      <c r="AP36" s="39">
        <f t="shared" si="18"/>
        <v>0.83240000000000003</v>
      </c>
      <c r="AQ36" s="39">
        <v>11.754</v>
      </c>
      <c r="AR36" s="39">
        <f t="shared" si="19"/>
        <v>0.78359999999999996</v>
      </c>
      <c r="AS36" s="39">
        <f>6.721</f>
        <v>6.7210000000000001</v>
      </c>
      <c r="AT36" s="39">
        <f t="shared" si="20"/>
        <v>0.44806666666666667</v>
      </c>
      <c r="AU36" s="39">
        <v>8.7720000000000002</v>
      </c>
      <c r="AV36" s="39">
        <f t="shared" si="21"/>
        <v>0.58479999999999999</v>
      </c>
      <c r="AW36" s="39">
        <v>10.369</v>
      </c>
      <c r="AX36" s="39">
        <f t="shared" si="22"/>
        <v>0.6912666666666667</v>
      </c>
      <c r="AY36" s="40"/>
      <c r="AZ36" s="40"/>
      <c r="BA36" s="39">
        <v>8.1829999999999998</v>
      </c>
      <c r="BB36" s="39">
        <f t="shared" si="23"/>
        <v>0.54553333333333331</v>
      </c>
      <c r="BC36" s="71"/>
    </row>
    <row r="37" spans="1:55" x14ac:dyDescent="0.25">
      <c r="A37" s="22">
        <v>2</v>
      </c>
      <c r="B37" s="22">
        <v>15</v>
      </c>
      <c r="C37" s="40"/>
      <c r="D37" s="40"/>
      <c r="E37" s="39">
        <v>4.5469999999999997</v>
      </c>
      <c r="F37" s="39">
        <f t="shared" si="3"/>
        <v>0.30313333333333331</v>
      </c>
      <c r="G37" s="39">
        <f>14.993</f>
        <v>14.993</v>
      </c>
      <c r="H37" s="39">
        <f t="shared" si="4"/>
        <v>0.99953333333333338</v>
      </c>
      <c r="I37" s="39">
        <v>5.6959999999999997</v>
      </c>
      <c r="J37" s="39">
        <f t="shared" si="5"/>
        <v>0.37973333333333331</v>
      </c>
      <c r="K37" s="39">
        <v>10.505000000000001</v>
      </c>
      <c r="L37" s="39">
        <f t="shared" si="6"/>
        <v>0.70033333333333336</v>
      </c>
      <c r="M37" s="39">
        <f>8.354</f>
        <v>8.3539999999999992</v>
      </c>
      <c r="N37" s="39">
        <f t="shared" si="7"/>
        <v>0.55693333333333328</v>
      </c>
      <c r="O37" s="40"/>
      <c r="P37" s="40"/>
      <c r="Q37" s="39">
        <f>11.223</f>
        <v>11.223000000000001</v>
      </c>
      <c r="R37" s="39">
        <f t="shared" si="8"/>
        <v>0.74820000000000009</v>
      </c>
      <c r="S37" s="39">
        <f>9.342</f>
        <v>9.3420000000000005</v>
      </c>
      <c r="T37" s="39">
        <f t="shared" si="9"/>
        <v>0.62280000000000002</v>
      </c>
      <c r="U37" s="39">
        <f>6.633</f>
        <v>6.633</v>
      </c>
      <c r="V37" s="39">
        <f t="shared" si="10"/>
        <v>0.44219999999999998</v>
      </c>
      <c r="W37" s="39">
        <f>12.423</f>
        <v>12.423</v>
      </c>
      <c r="X37" s="39">
        <f t="shared" si="11"/>
        <v>0.82820000000000005</v>
      </c>
      <c r="Y37" s="39">
        <v>12.132999999999999</v>
      </c>
      <c r="Z37" s="39">
        <f t="shared" si="12"/>
        <v>0.80886666666666662</v>
      </c>
      <c r="AA37" s="40"/>
      <c r="AB37" s="40"/>
      <c r="AC37" s="39">
        <f>6.363</f>
        <v>6.3630000000000004</v>
      </c>
      <c r="AD37" s="39">
        <f t="shared" si="13"/>
        <v>0.42420000000000002</v>
      </c>
      <c r="AE37" s="39">
        <f>2.706</f>
        <v>2.706</v>
      </c>
      <c r="AF37" s="39">
        <f t="shared" si="14"/>
        <v>0.1804</v>
      </c>
      <c r="AG37" s="39">
        <f>3.254</f>
        <v>3.254</v>
      </c>
      <c r="AH37" s="39">
        <f t="shared" si="15"/>
        <v>0.21693333333333334</v>
      </c>
      <c r="AI37" s="39">
        <v>15.561999999999999</v>
      </c>
      <c r="AJ37" s="39">
        <f t="shared" si="16"/>
        <v>1.0374666666666665</v>
      </c>
      <c r="AK37" s="39">
        <f>6.753</f>
        <v>6.7530000000000001</v>
      </c>
      <c r="AL37" s="39">
        <f t="shared" si="17"/>
        <v>0.45019999999999999</v>
      </c>
      <c r="AM37" s="40"/>
      <c r="AN37" s="40"/>
      <c r="AO37" s="39">
        <f>12.464</f>
        <v>12.464</v>
      </c>
      <c r="AP37" s="39">
        <f t="shared" si="18"/>
        <v>0.83093333333333341</v>
      </c>
      <c r="AQ37" s="39"/>
      <c r="AR37" s="39" t="str">
        <f t="shared" si="19"/>
        <v/>
      </c>
      <c r="AS37" s="39">
        <f>3.908</f>
        <v>3.9079999999999999</v>
      </c>
      <c r="AT37" s="39">
        <f t="shared" si="20"/>
        <v>0.26053333333333334</v>
      </c>
      <c r="AU37" s="39">
        <v>3.1589999999999998</v>
      </c>
      <c r="AV37" s="39">
        <f t="shared" si="21"/>
        <v>0.21059999999999998</v>
      </c>
      <c r="AW37" s="39">
        <f>3.507</f>
        <v>3.5070000000000001</v>
      </c>
      <c r="AX37" s="39">
        <f t="shared" si="22"/>
        <v>0.23380000000000001</v>
      </c>
      <c r="AY37" s="40"/>
      <c r="AZ37" s="40"/>
      <c r="BA37" s="39"/>
      <c r="BB37" s="39" t="str">
        <f t="shared" si="23"/>
        <v/>
      </c>
      <c r="BC37" s="71"/>
    </row>
    <row r="38" spans="1:55" x14ac:dyDescent="0.25">
      <c r="A38" s="22">
        <v>2</v>
      </c>
      <c r="B38" s="22">
        <v>15</v>
      </c>
      <c r="C38" s="40"/>
      <c r="D38" s="40"/>
      <c r="E38" s="39">
        <f>5.113</f>
        <v>5.1130000000000004</v>
      </c>
      <c r="F38" s="39">
        <f t="shared" si="3"/>
        <v>0.34086666666666671</v>
      </c>
      <c r="G38" s="39">
        <v>16.041</v>
      </c>
      <c r="H38" s="39">
        <f t="shared" si="4"/>
        <v>1.0694000000000001</v>
      </c>
      <c r="I38" s="39">
        <f>5.711</f>
        <v>5.7110000000000003</v>
      </c>
      <c r="J38" s="39">
        <f t="shared" si="5"/>
        <v>0.38073333333333337</v>
      </c>
      <c r="K38" s="39">
        <f>12.47+4.06</f>
        <v>16.53</v>
      </c>
      <c r="L38" s="39">
        <f t="shared" si="6"/>
        <v>1.1020000000000001</v>
      </c>
      <c r="M38" s="39">
        <f>5.457</f>
        <v>5.4569999999999999</v>
      </c>
      <c r="N38" s="39">
        <f t="shared" si="7"/>
        <v>0.36380000000000001</v>
      </c>
      <c r="O38" s="40"/>
      <c r="P38" s="40"/>
      <c r="Q38" s="39">
        <f>9.235</f>
        <v>9.2349999999999994</v>
      </c>
      <c r="R38" s="39">
        <f t="shared" si="8"/>
        <v>0.61566666666666658</v>
      </c>
      <c r="S38" s="39">
        <f>1.986</f>
        <v>1.986</v>
      </c>
      <c r="T38" s="39">
        <f t="shared" si="9"/>
        <v>0.13239999999999999</v>
      </c>
      <c r="U38" s="39">
        <f>6.741</f>
        <v>6.7409999999999997</v>
      </c>
      <c r="V38" s="39">
        <f t="shared" si="10"/>
        <v>0.44939999999999997</v>
      </c>
      <c r="W38" s="39">
        <v>12.225</v>
      </c>
      <c r="X38" s="39">
        <f t="shared" si="11"/>
        <v>0.81499999999999995</v>
      </c>
      <c r="Y38" s="39"/>
      <c r="Z38" s="39" t="str">
        <f t="shared" si="12"/>
        <v/>
      </c>
      <c r="AA38" s="40"/>
      <c r="AB38" s="40"/>
      <c r="AC38" s="39"/>
      <c r="AD38" s="39" t="str">
        <f t="shared" si="13"/>
        <v/>
      </c>
      <c r="AE38" s="39"/>
      <c r="AF38" s="39" t="str">
        <f t="shared" si="14"/>
        <v/>
      </c>
      <c r="AG38" s="39"/>
      <c r="AH38" s="39" t="str">
        <f t="shared" si="15"/>
        <v/>
      </c>
      <c r="AI38" s="39"/>
      <c r="AJ38" s="39" t="str">
        <f t="shared" si="16"/>
        <v/>
      </c>
      <c r="AK38" s="39"/>
      <c r="AL38" s="39" t="str">
        <f t="shared" si="17"/>
        <v/>
      </c>
      <c r="AM38" s="40"/>
      <c r="AN38" s="40"/>
      <c r="AO38" s="39">
        <f>4.562</f>
        <v>4.5620000000000003</v>
      </c>
      <c r="AP38" s="39">
        <f t="shared" si="18"/>
        <v>0.30413333333333337</v>
      </c>
      <c r="AQ38" s="39">
        <v>11.489000000000001</v>
      </c>
      <c r="AR38" s="39">
        <f t="shared" si="19"/>
        <v>0.76593333333333335</v>
      </c>
      <c r="AS38" s="39">
        <v>5.056</v>
      </c>
      <c r="AT38" s="39">
        <f t="shared" si="20"/>
        <v>0.33706666666666668</v>
      </c>
      <c r="AU38" s="39">
        <v>2.1339999999999999</v>
      </c>
      <c r="AV38" s="39">
        <f t="shared" si="21"/>
        <v>0.14226666666666665</v>
      </c>
      <c r="AW38" s="39">
        <f>5.545</f>
        <v>5.5449999999999999</v>
      </c>
      <c r="AX38" s="39">
        <f t="shared" si="22"/>
        <v>0.36966666666666664</v>
      </c>
      <c r="AY38" s="40"/>
      <c r="AZ38" s="40"/>
      <c r="BA38" s="39">
        <v>8.1980000000000004</v>
      </c>
      <c r="BB38" s="39">
        <f t="shared" si="23"/>
        <v>0.54653333333333332</v>
      </c>
      <c r="BC38" s="71"/>
    </row>
    <row r="39" spans="1:55" x14ac:dyDescent="0.25">
      <c r="A39" s="22">
        <v>2</v>
      </c>
      <c r="B39" s="22">
        <v>15</v>
      </c>
      <c r="C39" s="40"/>
      <c r="D39" s="40"/>
      <c r="E39" s="39">
        <f>7.877</f>
        <v>7.8769999999999998</v>
      </c>
      <c r="F39" s="39">
        <f t="shared" si="3"/>
        <v>0.52513333333333334</v>
      </c>
      <c r="G39" s="39">
        <v>13.673999999999999</v>
      </c>
      <c r="H39" s="39">
        <f t="shared" si="4"/>
        <v>0.91159999999999997</v>
      </c>
      <c r="I39" s="39">
        <f>8.985</f>
        <v>8.9849999999999994</v>
      </c>
      <c r="J39" s="39">
        <f t="shared" si="5"/>
        <v>0.59899999999999998</v>
      </c>
      <c r="K39" s="39">
        <f>11.452</f>
        <v>11.452</v>
      </c>
      <c r="L39" s="39">
        <f t="shared" si="6"/>
        <v>0.76346666666666663</v>
      </c>
      <c r="M39" s="39">
        <f>9.727</f>
        <v>9.7270000000000003</v>
      </c>
      <c r="N39" s="39">
        <f t="shared" si="7"/>
        <v>0.64846666666666664</v>
      </c>
      <c r="O39" s="40"/>
      <c r="P39" s="40"/>
      <c r="Q39" s="39"/>
      <c r="R39" s="39" t="str">
        <f t="shared" si="8"/>
        <v/>
      </c>
      <c r="S39" s="39">
        <f>11.752</f>
        <v>11.752000000000001</v>
      </c>
      <c r="T39" s="39">
        <f t="shared" si="9"/>
        <v>0.78346666666666676</v>
      </c>
      <c r="U39" s="39">
        <f>2.287</f>
        <v>2.2869999999999999</v>
      </c>
      <c r="V39" s="39">
        <f t="shared" si="10"/>
        <v>0.15246666666666667</v>
      </c>
      <c r="W39" s="39">
        <f>8.766</f>
        <v>8.766</v>
      </c>
      <c r="X39" s="39">
        <f t="shared" si="11"/>
        <v>0.58440000000000003</v>
      </c>
      <c r="Y39" s="39">
        <v>3.9649999999999999</v>
      </c>
      <c r="Z39" s="39">
        <f t="shared" si="12"/>
        <v>0.26433333333333331</v>
      </c>
      <c r="AA39" s="40"/>
      <c r="AB39" s="40"/>
      <c r="AC39" s="39">
        <f>1.885</f>
        <v>1.885</v>
      </c>
      <c r="AD39" s="39">
        <f t="shared" si="13"/>
        <v>0.12566666666666668</v>
      </c>
      <c r="AE39" s="39">
        <f>12.296</f>
        <v>12.295999999999999</v>
      </c>
      <c r="AF39" s="39">
        <f t="shared" si="14"/>
        <v>0.81973333333333331</v>
      </c>
      <c r="AG39" s="39">
        <f>3.938</f>
        <v>3.9380000000000002</v>
      </c>
      <c r="AH39" s="39">
        <f t="shared" si="15"/>
        <v>0.26253333333333334</v>
      </c>
      <c r="AI39" s="39">
        <v>9.9819999999999993</v>
      </c>
      <c r="AJ39" s="39">
        <f t="shared" si="16"/>
        <v>0.66546666666666665</v>
      </c>
      <c r="AK39" s="39">
        <f>13.671</f>
        <v>13.670999999999999</v>
      </c>
      <c r="AL39" s="39">
        <f t="shared" si="17"/>
        <v>0.91139999999999999</v>
      </c>
      <c r="AM39" s="40"/>
      <c r="AN39" s="40"/>
      <c r="AO39" s="39">
        <f>3.192</f>
        <v>3.1920000000000002</v>
      </c>
      <c r="AP39" s="39">
        <f t="shared" si="18"/>
        <v>0.21280000000000002</v>
      </c>
      <c r="AQ39" s="39">
        <f>9.446</f>
        <v>9.4459999999999997</v>
      </c>
      <c r="AR39" s="39">
        <f t="shared" si="19"/>
        <v>0.62973333333333337</v>
      </c>
      <c r="AS39" s="39"/>
      <c r="AT39" s="39" t="str">
        <f t="shared" si="20"/>
        <v/>
      </c>
      <c r="AU39" s="39"/>
      <c r="AV39" s="39" t="str">
        <f t="shared" si="21"/>
        <v/>
      </c>
      <c r="AW39" s="39">
        <f>5.507</f>
        <v>5.5069999999999997</v>
      </c>
      <c r="AX39" s="39">
        <f t="shared" si="22"/>
        <v>0.36713333333333331</v>
      </c>
      <c r="AY39" s="40"/>
      <c r="AZ39" s="40"/>
      <c r="BA39" s="39">
        <f>5.375</f>
        <v>5.375</v>
      </c>
      <c r="BB39" s="39">
        <f t="shared" si="23"/>
        <v>0.35833333333333334</v>
      </c>
      <c r="BC39" s="71"/>
    </row>
    <row r="40" spans="1:55" x14ac:dyDescent="0.25">
      <c r="A40" s="22">
        <v>2</v>
      </c>
      <c r="B40" s="21">
        <v>24</v>
      </c>
      <c r="C40" s="40"/>
      <c r="D40" s="40"/>
      <c r="E40" s="55">
        <f>15.263</f>
        <v>15.263</v>
      </c>
      <c r="F40" s="55">
        <f t="shared" si="3"/>
        <v>0.63595833333333329</v>
      </c>
      <c r="G40" s="55">
        <f>14.538</f>
        <v>14.538</v>
      </c>
      <c r="H40" s="55">
        <f t="shared" si="4"/>
        <v>0.60575000000000001</v>
      </c>
      <c r="I40" s="55">
        <f>13.1+14.58</f>
        <v>27.68</v>
      </c>
      <c r="J40" s="55">
        <f t="shared" si="5"/>
        <v>1.1533333333333333</v>
      </c>
      <c r="K40" s="55">
        <v>11.725</v>
      </c>
      <c r="L40" s="55">
        <f t="shared" si="6"/>
        <v>0.48854166666666665</v>
      </c>
      <c r="M40" s="55"/>
      <c r="N40" s="55" t="str">
        <f t="shared" si="7"/>
        <v/>
      </c>
      <c r="O40" s="40"/>
      <c r="P40" s="40"/>
      <c r="Q40" s="55">
        <f>4.85</f>
        <v>4.8499999999999996</v>
      </c>
      <c r="R40" s="55">
        <f t="shared" si="8"/>
        <v>0.20208333333333331</v>
      </c>
      <c r="S40" s="55">
        <f>12.018</f>
        <v>12.018000000000001</v>
      </c>
      <c r="T40" s="55">
        <f t="shared" si="9"/>
        <v>0.50075000000000003</v>
      </c>
      <c r="U40" s="55">
        <f>12.869</f>
        <v>12.869</v>
      </c>
      <c r="V40" s="55">
        <f t="shared" si="10"/>
        <v>0.53620833333333329</v>
      </c>
      <c r="W40" s="55">
        <f>9.38</f>
        <v>9.3800000000000008</v>
      </c>
      <c r="X40" s="55">
        <f t="shared" si="11"/>
        <v>0.39083333333333337</v>
      </c>
      <c r="Y40" s="55">
        <f>18.665</f>
        <v>18.664999999999999</v>
      </c>
      <c r="Z40" s="55">
        <f t="shared" si="12"/>
        <v>0.77770833333333333</v>
      </c>
      <c r="AA40" s="40"/>
      <c r="AB40" s="40"/>
      <c r="AC40" s="55">
        <f>2.829</f>
        <v>2.8290000000000002</v>
      </c>
      <c r="AD40" s="55">
        <f t="shared" si="13"/>
        <v>0.11787500000000001</v>
      </c>
      <c r="AE40" s="55"/>
      <c r="AF40" s="55" t="str">
        <f t="shared" si="14"/>
        <v/>
      </c>
      <c r="AG40" s="55"/>
      <c r="AH40" s="55" t="str">
        <f t="shared" si="15"/>
        <v/>
      </c>
      <c r="AI40" s="55"/>
      <c r="AJ40" s="55" t="str">
        <f t="shared" si="16"/>
        <v/>
      </c>
      <c r="AK40" s="55"/>
      <c r="AL40" s="55" t="str">
        <f t="shared" si="17"/>
        <v/>
      </c>
      <c r="AM40" s="40"/>
      <c r="AN40" s="40"/>
      <c r="AO40" s="55">
        <f>3.561</f>
        <v>3.5609999999999999</v>
      </c>
      <c r="AP40" s="55">
        <f t="shared" si="18"/>
        <v>0.14837500000000001</v>
      </c>
      <c r="AQ40" s="55"/>
      <c r="AR40" s="55" t="str">
        <f t="shared" si="19"/>
        <v/>
      </c>
      <c r="AS40" s="55">
        <f>8.292</f>
        <v>8.2919999999999998</v>
      </c>
      <c r="AT40" s="55">
        <f t="shared" si="20"/>
        <v>0.34549999999999997</v>
      </c>
      <c r="AU40" s="55">
        <v>20.548999999999999</v>
      </c>
      <c r="AV40" s="55">
        <f t="shared" si="21"/>
        <v>0.85620833333333335</v>
      </c>
      <c r="AW40" s="55">
        <f>16.989</f>
        <v>16.989000000000001</v>
      </c>
      <c r="AX40" s="55">
        <f t="shared" si="22"/>
        <v>0.70787500000000003</v>
      </c>
      <c r="AY40" s="40"/>
      <c r="AZ40" s="40"/>
      <c r="BA40" s="55">
        <f>4.286</f>
        <v>4.2859999999999996</v>
      </c>
      <c r="BB40" s="55">
        <f t="shared" si="23"/>
        <v>0.17858333333333332</v>
      </c>
      <c r="BC40" s="71"/>
    </row>
    <row r="41" spans="1:55" x14ac:dyDescent="0.25">
      <c r="A41" s="22">
        <v>2</v>
      </c>
      <c r="B41" s="21">
        <v>13</v>
      </c>
      <c r="C41" s="40"/>
      <c r="D41" s="40"/>
      <c r="E41" s="55"/>
      <c r="F41" s="55" t="str">
        <f t="shared" si="3"/>
        <v/>
      </c>
      <c r="G41" s="55"/>
      <c r="H41" s="55" t="str">
        <f t="shared" si="4"/>
        <v/>
      </c>
      <c r="I41" s="55"/>
      <c r="J41" s="55" t="str">
        <f t="shared" si="5"/>
        <v/>
      </c>
      <c r="K41" s="55"/>
      <c r="L41" s="55" t="str">
        <f t="shared" si="6"/>
        <v/>
      </c>
      <c r="M41" s="55"/>
      <c r="N41" s="55" t="str">
        <f t="shared" si="7"/>
        <v/>
      </c>
      <c r="O41" s="40"/>
      <c r="P41" s="40"/>
      <c r="Q41" s="55"/>
      <c r="R41" s="55" t="str">
        <f t="shared" si="8"/>
        <v/>
      </c>
      <c r="S41" s="55"/>
      <c r="T41" s="55" t="str">
        <f t="shared" si="9"/>
        <v/>
      </c>
      <c r="U41" s="55"/>
      <c r="V41" s="55" t="str">
        <f t="shared" si="10"/>
        <v/>
      </c>
      <c r="W41" s="55"/>
      <c r="X41" s="55" t="str">
        <f t="shared" si="11"/>
        <v/>
      </c>
      <c r="Y41" s="55"/>
      <c r="Z41" s="55" t="str">
        <f t="shared" si="12"/>
        <v/>
      </c>
      <c r="AA41" s="40"/>
      <c r="AB41" s="40"/>
      <c r="AC41" s="55"/>
      <c r="AD41" s="55" t="str">
        <f t="shared" si="13"/>
        <v/>
      </c>
      <c r="AE41" s="55"/>
      <c r="AF41" s="55" t="str">
        <f t="shared" si="14"/>
        <v/>
      </c>
      <c r="AG41" s="55"/>
      <c r="AH41" s="55" t="str">
        <f t="shared" si="15"/>
        <v/>
      </c>
      <c r="AI41" s="55"/>
      <c r="AJ41" s="55" t="str">
        <f t="shared" si="16"/>
        <v/>
      </c>
      <c r="AK41" s="55"/>
      <c r="AL41" s="55" t="str">
        <f t="shared" si="17"/>
        <v/>
      </c>
      <c r="AM41" s="40"/>
      <c r="AN41" s="40"/>
      <c r="AO41" s="55">
        <f>10.27</f>
        <v>10.27</v>
      </c>
      <c r="AP41" s="55">
        <f t="shared" si="18"/>
        <v>0.78999999999999992</v>
      </c>
      <c r="AQ41" s="55"/>
      <c r="AR41" s="55" t="str">
        <f t="shared" si="19"/>
        <v/>
      </c>
      <c r="AS41" s="55"/>
      <c r="AT41" s="55" t="str">
        <f t="shared" si="20"/>
        <v/>
      </c>
      <c r="AU41" s="55">
        <v>1.6080000000000001</v>
      </c>
      <c r="AV41" s="55">
        <f t="shared" si="21"/>
        <v>0.1236923076923077</v>
      </c>
      <c r="AW41" s="55">
        <f>2.28</f>
        <v>2.2799999999999998</v>
      </c>
      <c r="AX41" s="55">
        <f t="shared" si="22"/>
        <v>0.17538461538461536</v>
      </c>
      <c r="AY41" s="40"/>
      <c r="AZ41" s="40"/>
      <c r="BA41" s="55"/>
      <c r="BB41" s="55" t="str">
        <f t="shared" si="23"/>
        <v/>
      </c>
      <c r="BC41" s="71"/>
    </row>
    <row r="42" spans="1:55" x14ac:dyDescent="0.25">
      <c r="A42" s="22">
        <v>2</v>
      </c>
      <c r="B42" s="21">
        <v>15</v>
      </c>
      <c r="C42" s="40"/>
      <c r="D42" s="40"/>
      <c r="E42" s="55">
        <v>8.4710000000000001</v>
      </c>
      <c r="F42" s="55">
        <f t="shared" si="3"/>
        <v>0.56473333333333331</v>
      </c>
      <c r="G42" s="55">
        <f>10.825</f>
        <v>10.824999999999999</v>
      </c>
      <c r="H42" s="55">
        <f t="shared" si="4"/>
        <v>0.72166666666666657</v>
      </c>
      <c r="I42" s="55">
        <f>10.358</f>
        <v>10.358000000000001</v>
      </c>
      <c r="J42" s="55">
        <f t="shared" si="5"/>
        <v>0.69053333333333333</v>
      </c>
      <c r="K42" s="55">
        <v>6.968</v>
      </c>
      <c r="L42" s="55">
        <f t="shared" si="6"/>
        <v>0.46453333333333335</v>
      </c>
      <c r="M42" s="55">
        <f>10.379</f>
        <v>10.379</v>
      </c>
      <c r="N42" s="55">
        <f t="shared" si="7"/>
        <v>0.69193333333333329</v>
      </c>
      <c r="O42" s="40"/>
      <c r="P42" s="40"/>
      <c r="Q42" s="55">
        <f>9.908</f>
        <v>9.9079999999999995</v>
      </c>
      <c r="R42" s="55">
        <f t="shared" si="8"/>
        <v>0.66053333333333331</v>
      </c>
      <c r="S42" s="55">
        <f>6.266</f>
        <v>6.266</v>
      </c>
      <c r="T42" s="55">
        <f t="shared" si="9"/>
        <v>0.41773333333333335</v>
      </c>
      <c r="U42" s="55">
        <f>6.171</f>
        <v>6.1710000000000003</v>
      </c>
      <c r="V42" s="55">
        <f t="shared" si="10"/>
        <v>0.41140000000000004</v>
      </c>
      <c r="W42" s="55">
        <f>6.769</f>
        <v>6.7690000000000001</v>
      </c>
      <c r="X42" s="55">
        <f t="shared" si="11"/>
        <v>0.45126666666666665</v>
      </c>
      <c r="Y42" s="55">
        <f>8.026</f>
        <v>8.0259999999999998</v>
      </c>
      <c r="Z42" s="55">
        <f t="shared" si="12"/>
        <v>0.53506666666666669</v>
      </c>
      <c r="AA42" s="40"/>
      <c r="AB42" s="40"/>
      <c r="AC42" s="55">
        <v>9.968</v>
      </c>
      <c r="AD42" s="55">
        <f t="shared" si="13"/>
        <v>0.66453333333333331</v>
      </c>
      <c r="AE42" s="55">
        <f>7.043</f>
        <v>7.0430000000000001</v>
      </c>
      <c r="AF42" s="55">
        <f t="shared" si="14"/>
        <v>0.46953333333333336</v>
      </c>
      <c r="AG42" s="55">
        <f>5.497</f>
        <v>5.4969999999999999</v>
      </c>
      <c r="AH42" s="55">
        <f t="shared" si="15"/>
        <v>0.36646666666666666</v>
      </c>
      <c r="AI42" s="55">
        <f>11.917</f>
        <v>11.917</v>
      </c>
      <c r="AJ42" s="55">
        <f t="shared" si="16"/>
        <v>0.79446666666666665</v>
      </c>
      <c r="AK42" s="55">
        <f>5.563</f>
        <v>5.5629999999999997</v>
      </c>
      <c r="AL42" s="55">
        <f t="shared" si="17"/>
        <v>0.37086666666666662</v>
      </c>
      <c r="AM42" s="40"/>
      <c r="AN42" s="40"/>
      <c r="AO42" s="55">
        <f>10.142</f>
        <v>10.141999999999999</v>
      </c>
      <c r="AP42" s="55">
        <f t="shared" si="18"/>
        <v>0.67613333333333325</v>
      </c>
      <c r="AQ42" s="55">
        <f>9.881</f>
        <v>9.8810000000000002</v>
      </c>
      <c r="AR42" s="55">
        <f t="shared" si="19"/>
        <v>0.65873333333333339</v>
      </c>
      <c r="AS42" s="55">
        <f>5.446</f>
        <v>5.4459999999999997</v>
      </c>
      <c r="AT42" s="55">
        <f t="shared" si="20"/>
        <v>0.36306666666666665</v>
      </c>
      <c r="AU42" s="55">
        <f>12.374</f>
        <v>12.374000000000001</v>
      </c>
      <c r="AV42" s="55">
        <f t="shared" si="21"/>
        <v>0.82493333333333341</v>
      </c>
      <c r="AW42" s="55">
        <f>6.483</f>
        <v>6.4829999999999997</v>
      </c>
      <c r="AX42" s="55">
        <f t="shared" si="22"/>
        <v>0.43219999999999997</v>
      </c>
      <c r="AY42" s="40"/>
      <c r="AZ42" s="40"/>
      <c r="BA42" s="55">
        <v>9.5790000000000006</v>
      </c>
      <c r="BB42" s="55">
        <f t="shared" si="23"/>
        <v>0.63860000000000006</v>
      </c>
      <c r="BC42" s="71"/>
    </row>
    <row r="43" spans="1:55" x14ac:dyDescent="0.25">
      <c r="A43" s="22">
        <v>2</v>
      </c>
      <c r="B43" s="21">
        <v>24</v>
      </c>
      <c r="C43" s="40"/>
      <c r="D43" s="40"/>
      <c r="E43" s="55">
        <v>6.35</v>
      </c>
      <c r="F43" s="55">
        <f t="shared" si="3"/>
        <v>0.26458333333333334</v>
      </c>
      <c r="G43" s="55">
        <f>10.487+3.66</f>
        <v>14.147</v>
      </c>
      <c r="H43" s="55">
        <f t="shared" si="4"/>
        <v>0.58945833333333331</v>
      </c>
      <c r="I43" s="55">
        <f>12.869</f>
        <v>12.869</v>
      </c>
      <c r="J43" s="55">
        <f t="shared" si="5"/>
        <v>0.53620833333333329</v>
      </c>
      <c r="K43" s="55">
        <f>4.575</f>
        <v>4.5750000000000002</v>
      </c>
      <c r="L43" s="55">
        <f t="shared" si="6"/>
        <v>0.19062500000000002</v>
      </c>
      <c r="M43" s="55">
        <f>3.66</f>
        <v>3.66</v>
      </c>
      <c r="N43" s="55">
        <f t="shared" si="7"/>
        <v>0.1525</v>
      </c>
      <c r="O43" s="40"/>
      <c r="P43" s="40"/>
      <c r="Q43" s="55"/>
      <c r="R43" s="55" t="str">
        <f t="shared" si="8"/>
        <v/>
      </c>
      <c r="S43" s="55"/>
      <c r="T43" s="55" t="str">
        <f t="shared" si="9"/>
        <v/>
      </c>
      <c r="U43" s="55"/>
      <c r="V43" s="55" t="str">
        <f t="shared" si="10"/>
        <v/>
      </c>
      <c r="W43" s="55">
        <f>9.521</f>
        <v>9.5210000000000008</v>
      </c>
      <c r="X43" s="55">
        <f t="shared" si="11"/>
        <v>0.39670833333333338</v>
      </c>
      <c r="Y43" s="55"/>
      <c r="Z43" s="55" t="str">
        <f t="shared" si="12"/>
        <v/>
      </c>
      <c r="AA43" s="40"/>
      <c r="AB43" s="40"/>
      <c r="AC43" s="55">
        <f>2.86</f>
        <v>2.86</v>
      </c>
      <c r="AD43" s="55">
        <f t="shared" si="13"/>
        <v>0.11916666666666666</v>
      </c>
      <c r="AE43" s="55">
        <f>13.66</f>
        <v>13.66</v>
      </c>
      <c r="AF43" s="55">
        <f t="shared" si="14"/>
        <v>0.56916666666666671</v>
      </c>
      <c r="AG43" s="55">
        <f>12.87</f>
        <v>12.87</v>
      </c>
      <c r="AH43" s="55">
        <f t="shared" si="15"/>
        <v>0.53625</v>
      </c>
      <c r="AI43" s="55">
        <f>1.83</f>
        <v>1.83</v>
      </c>
      <c r="AJ43" s="55">
        <f t="shared" si="16"/>
        <v>7.6249999999999998E-2</v>
      </c>
      <c r="AK43" s="55">
        <f>7.15</f>
        <v>7.15</v>
      </c>
      <c r="AL43" s="55">
        <f t="shared" si="17"/>
        <v>0.29791666666666666</v>
      </c>
      <c r="AM43" s="40"/>
      <c r="AN43" s="40"/>
      <c r="AO43" s="55">
        <f>2.745</f>
        <v>2.7450000000000001</v>
      </c>
      <c r="AP43" s="55">
        <f t="shared" si="18"/>
        <v>0.114375</v>
      </c>
      <c r="AQ43" s="55">
        <f>12.87</f>
        <v>12.87</v>
      </c>
      <c r="AR43" s="55">
        <f t="shared" si="19"/>
        <v>0.53625</v>
      </c>
      <c r="AS43" s="55">
        <f>11</f>
        <v>11</v>
      </c>
      <c r="AT43" s="55">
        <f t="shared" si="20"/>
        <v>0.45833333333333331</v>
      </c>
      <c r="AU43" s="55">
        <f>11.44</f>
        <v>11.44</v>
      </c>
      <c r="AV43" s="55">
        <f t="shared" si="21"/>
        <v>0.47666666666666663</v>
      </c>
      <c r="AW43" s="55"/>
      <c r="AX43" s="55" t="str">
        <f t="shared" si="22"/>
        <v/>
      </c>
      <c r="AY43" s="40"/>
      <c r="AZ43" s="40"/>
      <c r="BA43" s="55"/>
      <c r="BB43" s="55" t="str">
        <f t="shared" si="23"/>
        <v/>
      </c>
      <c r="BC43" s="71"/>
    </row>
    <row r="44" spans="1:55" x14ac:dyDescent="0.25">
      <c r="A44" s="22">
        <v>2</v>
      </c>
      <c r="B44" s="21">
        <v>15</v>
      </c>
      <c r="C44" s="40"/>
      <c r="D44" s="40"/>
      <c r="E44" s="55"/>
      <c r="F44" s="55" t="str">
        <f t="shared" si="3"/>
        <v/>
      </c>
      <c r="G44" s="55">
        <f>15.414+7.545</f>
        <v>22.959</v>
      </c>
      <c r="H44" s="55">
        <f t="shared" si="4"/>
        <v>1.5306</v>
      </c>
      <c r="I44" s="55">
        <f>2.196</f>
        <v>2.1960000000000002</v>
      </c>
      <c r="J44" s="55">
        <f t="shared" si="5"/>
        <v>0.1464</v>
      </c>
      <c r="K44" s="55">
        <f>12.52+2.66</f>
        <v>15.18</v>
      </c>
      <c r="L44" s="55">
        <f t="shared" si="6"/>
        <v>1.012</v>
      </c>
      <c r="M44" s="55">
        <f>0.61</f>
        <v>0.61</v>
      </c>
      <c r="N44" s="55">
        <f t="shared" si="7"/>
        <v>4.0666666666666663E-2</v>
      </c>
      <c r="O44" s="40"/>
      <c r="P44" s="40"/>
      <c r="Q44" s="55">
        <f>9.98</f>
        <v>9.98</v>
      </c>
      <c r="R44" s="55">
        <f t="shared" si="8"/>
        <v>0.66533333333333333</v>
      </c>
      <c r="S44" s="55">
        <f>7.32</f>
        <v>7.32</v>
      </c>
      <c r="T44" s="55">
        <f t="shared" si="9"/>
        <v>0.48800000000000004</v>
      </c>
      <c r="U44" s="55">
        <f>6.996</f>
        <v>6.9960000000000004</v>
      </c>
      <c r="V44" s="55">
        <f t="shared" si="10"/>
        <v>0.46640000000000004</v>
      </c>
      <c r="W44" s="55">
        <f>2.44+4.2</f>
        <v>6.6400000000000006</v>
      </c>
      <c r="X44" s="55">
        <f t="shared" si="11"/>
        <v>0.44266666666666671</v>
      </c>
      <c r="Y44" s="55"/>
      <c r="Z44" s="55" t="str">
        <f t="shared" si="12"/>
        <v/>
      </c>
      <c r="AA44" s="40"/>
      <c r="AB44" s="40"/>
      <c r="AC44" s="55"/>
      <c r="AD44" s="55" t="str">
        <f t="shared" si="13"/>
        <v/>
      </c>
      <c r="AE44" s="55">
        <f>9.678</f>
        <v>9.6780000000000008</v>
      </c>
      <c r="AF44" s="55">
        <f t="shared" si="14"/>
        <v>0.64520000000000011</v>
      </c>
      <c r="AG44" s="55">
        <f>3.366</f>
        <v>3.3660000000000001</v>
      </c>
      <c r="AH44" s="55">
        <f t="shared" si="15"/>
        <v>0.22440000000000002</v>
      </c>
      <c r="AI44" s="55">
        <f>4.88+2.44</f>
        <v>7.32</v>
      </c>
      <c r="AJ44" s="55">
        <f t="shared" si="16"/>
        <v>0.48800000000000004</v>
      </c>
      <c r="AK44" s="55">
        <v>10.37</v>
      </c>
      <c r="AL44" s="55">
        <f t="shared" si="17"/>
        <v>0.69133333333333324</v>
      </c>
      <c r="AM44" s="40"/>
      <c r="AN44" s="40"/>
      <c r="AO44" s="55"/>
      <c r="AP44" s="55" t="str">
        <f t="shared" si="18"/>
        <v/>
      </c>
      <c r="AQ44" s="55">
        <f>8.482</f>
        <v>8.4819999999999993</v>
      </c>
      <c r="AR44" s="55">
        <f t="shared" si="19"/>
        <v>0.56546666666666667</v>
      </c>
      <c r="AS44" s="55">
        <v>8.1460000000000008</v>
      </c>
      <c r="AT44" s="55">
        <f t="shared" si="20"/>
        <v>0.5430666666666667</v>
      </c>
      <c r="AU44" s="55">
        <v>7.9539999999999997</v>
      </c>
      <c r="AV44" s="55">
        <f t="shared" si="21"/>
        <v>0.53026666666666666</v>
      </c>
      <c r="AW44" s="55">
        <v>4.4459999999999997</v>
      </c>
      <c r="AX44" s="55">
        <f t="shared" si="22"/>
        <v>0.2964</v>
      </c>
      <c r="AY44" s="40"/>
      <c r="AZ44" s="40"/>
      <c r="BA44" s="55">
        <v>7.2619999999999996</v>
      </c>
      <c r="BB44" s="55">
        <f t="shared" si="23"/>
        <v>0.4841333333333333</v>
      </c>
      <c r="BC44" s="71"/>
    </row>
    <row r="45" spans="1:55" x14ac:dyDescent="0.25">
      <c r="A45" s="22">
        <v>2</v>
      </c>
      <c r="B45" s="22">
        <v>24</v>
      </c>
      <c r="C45" s="40"/>
      <c r="D45" s="40"/>
      <c r="E45" s="39">
        <f>24.856</f>
        <v>24.856000000000002</v>
      </c>
      <c r="F45" s="39">
        <f t="shared" si="3"/>
        <v>1.0356666666666667</v>
      </c>
      <c r="G45" s="39"/>
      <c r="H45" s="39" t="str">
        <f t="shared" si="4"/>
        <v/>
      </c>
      <c r="I45" s="39">
        <f>19.972</f>
        <v>19.972000000000001</v>
      </c>
      <c r="J45" s="39">
        <f t="shared" si="5"/>
        <v>0.83216666666666672</v>
      </c>
      <c r="K45" s="39"/>
      <c r="L45" s="39" t="str">
        <f t="shared" si="6"/>
        <v/>
      </c>
      <c r="M45" s="39">
        <f>24.625</f>
        <v>24.625</v>
      </c>
      <c r="N45" s="39">
        <f t="shared" si="7"/>
        <v>1.0260416666666667</v>
      </c>
      <c r="O45" s="40"/>
      <c r="P45" s="40"/>
      <c r="Q45" s="39">
        <f>22.455</f>
        <v>22.454999999999998</v>
      </c>
      <c r="R45" s="39">
        <f t="shared" si="8"/>
        <v>0.93562499999999993</v>
      </c>
      <c r="S45" s="39">
        <v>18.597000000000001</v>
      </c>
      <c r="T45" s="39">
        <f t="shared" si="9"/>
        <v>0.77487500000000009</v>
      </c>
      <c r="U45" s="39">
        <f>20.55</f>
        <v>20.55</v>
      </c>
      <c r="V45" s="39">
        <f t="shared" si="10"/>
        <v>0.85625000000000007</v>
      </c>
      <c r="W45" s="39"/>
      <c r="X45" s="39" t="str">
        <f t="shared" si="11"/>
        <v/>
      </c>
      <c r="Y45" s="39"/>
      <c r="Z45" s="39" t="str">
        <f t="shared" si="12"/>
        <v/>
      </c>
      <c r="AA45" s="40"/>
      <c r="AB45" s="40"/>
      <c r="AC45" s="39">
        <f>24.102</f>
        <v>24.102</v>
      </c>
      <c r="AD45" s="39">
        <f t="shared" si="13"/>
        <v>1.0042500000000001</v>
      </c>
      <c r="AE45" s="39"/>
      <c r="AF45" s="39" t="str">
        <f t="shared" si="14"/>
        <v/>
      </c>
      <c r="AG45" s="39">
        <f>18.3</f>
        <v>18.3</v>
      </c>
      <c r="AH45" s="39">
        <f t="shared" si="15"/>
        <v>0.76250000000000007</v>
      </c>
      <c r="AI45" s="39"/>
      <c r="AJ45" s="39" t="str">
        <f t="shared" si="16"/>
        <v/>
      </c>
      <c r="AK45" s="39"/>
      <c r="AL45" s="39" t="str">
        <f t="shared" si="17"/>
        <v/>
      </c>
      <c r="AM45" s="40"/>
      <c r="AN45" s="40"/>
      <c r="AO45" s="39">
        <f>22.232</f>
        <v>22.231999999999999</v>
      </c>
      <c r="AP45" s="39">
        <f t="shared" si="18"/>
        <v>0.92633333333333334</v>
      </c>
      <c r="AQ45" s="39"/>
      <c r="AR45" s="39" t="str">
        <f t="shared" si="19"/>
        <v/>
      </c>
      <c r="AS45" s="39">
        <f>14.555</f>
        <v>14.555</v>
      </c>
      <c r="AT45" s="39">
        <f t="shared" si="20"/>
        <v>0.60645833333333332</v>
      </c>
      <c r="AU45" s="39"/>
      <c r="AV45" s="39" t="str">
        <f t="shared" si="21"/>
        <v/>
      </c>
      <c r="AW45" s="39"/>
      <c r="AX45" s="39" t="str">
        <f t="shared" si="22"/>
        <v/>
      </c>
      <c r="AY45" s="40"/>
      <c r="AZ45" s="40"/>
      <c r="BA45" s="39">
        <f>22.015</f>
        <v>22.015000000000001</v>
      </c>
      <c r="BB45" s="39">
        <f t="shared" si="23"/>
        <v>0.91729166666666673</v>
      </c>
      <c r="BC45" s="71"/>
    </row>
    <row r="46" spans="1:55" x14ac:dyDescent="0.25">
      <c r="A46" s="22">
        <v>2</v>
      </c>
      <c r="B46" s="22">
        <v>24</v>
      </c>
      <c r="C46" s="40"/>
      <c r="D46" s="40"/>
      <c r="E46" s="39">
        <v>12.114000000000001</v>
      </c>
      <c r="F46" s="39">
        <f t="shared" si="3"/>
        <v>0.50475000000000003</v>
      </c>
      <c r="G46" s="39">
        <v>13.558</v>
      </c>
      <c r="H46" s="39">
        <f t="shared" si="4"/>
        <v>0.56491666666666662</v>
      </c>
      <c r="I46" s="39"/>
      <c r="J46" s="39" t="str">
        <f t="shared" si="5"/>
        <v/>
      </c>
      <c r="K46" s="39"/>
      <c r="L46" s="39" t="str">
        <f t="shared" si="6"/>
        <v/>
      </c>
      <c r="M46" s="39">
        <f>7.32</f>
        <v>7.32</v>
      </c>
      <c r="N46" s="39">
        <f t="shared" si="7"/>
        <v>0.30499999999999999</v>
      </c>
      <c r="O46" s="40"/>
      <c r="P46" s="40"/>
      <c r="Q46" s="39">
        <f>10.418</f>
        <v>10.417999999999999</v>
      </c>
      <c r="R46" s="39">
        <f t="shared" si="8"/>
        <v>0.43408333333333332</v>
      </c>
      <c r="S46" s="39">
        <f>8.9</f>
        <v>8.9</v>
      </c>
      <c r="T46" s="39">
        <f t="shared" si="9"/>
        <v>0.37083333333333335</v>
      </c>
      <c r="U46" s="39"/>
      <c r="V46" s="39" t="str">
        <f t="shared" si="10"/>
        <v/>
      </c>
      <c r="W46" s="39">
        <f>12.5+8.677</f>
        <v>21.177</v>
      </c>
      <c r="X46" s="39">
        <f t="shared" si="11"/>
        <v>0.88237500000000002</v>
      </c>
      <c r="Y46" s="39"/>
      <c r="Z46" s="39" t="str">
        <f t="shared" si="12"/>
        <v/>
      </c>
      <c r="AA46" s="40"/>
      <c r="AB46" s="40"/>
      <c r="AC46" s="39">
        <f>13.086</f>
        <v>13.086</v>
      </c>
      <c r="AD46" s="39">
        <f t="shared" si="13"/>
        <v>0.54525000000000001</v>
      </c>
      <c r="AE46" s="39">
        <f>4.839</f>
        <v>4.8390000000000004</v>
      </c>
      <c r="AF46" s="39">
        <f t="shared" si="14"/>
        <v>0.20162500000000003</v>
      </c>
      <c r="AG46" s="39">
        <f>19.804</f>
        <v>19.803999999999998</v>
      </c>
      <c r="AH46" s="39">
        <f t="shared" si="15"/>
        <v>0.8251666666666666</v>
      </c>
      <c r="AI46" s="39">
        <f>8.663</f>
        <v>8.6630000000000003</v>
      </c>
      <c r="AJ46" s="39">
        <f t="shared" si="16"/>
        <v>0.36095833333333333</v>
      </c>
      <c r="AK46" s="39"/>
      <c r="AL46" s="39" t="str">
        <f t="shared" si="17"/>
        <v/>
      </c>
      <c r="AM46" s="40"/>
      <c r="AN46" s="40"/>
      <c r="AO46" s="39">
        <f>8</f>
        <v>8</v>
      </c>
      <c r="AP46" s="39">
        <f t="shared" si="18"/>
        <v>0.33333333333333331</v>
      </c>
      <c r="AQ46" s="39">
        <f>12.374</f>
        <v>12.374000000000001</v>
      </c>
      <c r="AR46" s="39">
        <f t="shared" si="19"/>
        <v>0.51558333333333339</v>
      </c>
      <c r="AS46" s="39">
        <f>4.305</f>
        <v>4.3049999999999997</v>
      </c>
      <c r="AT46" s="39">
        <f t="shared" si="20"/>
        <v>0.17937499999999998</v>
      </c>
      <c r="AU46" s="39">
        <f>12.405</f>
        <v>12.404999999999999</v>
      </c>
      <c r="AV46" s="39">
        <f t="shared" si="21"/>
        <v>0.51687499999999997</v>
      </c>
      <c r="AW46" s="39">
        <v>14.499000000000001</v>
      </c>
      <c r="AX46" s="39">
        <f t="shared" si="22"/>
        <v>0.60412500000000002</v>
      </c>
      <c r="AY46" s="40"/>
      <c r="AZ46" s="40"/>
      <c r="BA46" s="39"/>
      <c r="BB46" s="39" t="str">
        <f t="shared" si="23"/>
        <v/>
      </c>
      <c r="BC46" s="71"/>
    </row>
    <row r="47" spans="1:55" x14ac:dyDescent="0.25">
      <c r="A47" s="22">
        <v>2</v>
      </c>
      <c r="B47" s="22">
        <v>15</v>
      </c>
      <c r="C47" s="40"/>
      <c r="D47" s="40"/>
      <c r="E47" s="39">
        <f>2.707+2.906</f>
        <v>5.6129999999999995</v>
      </c>
      <c r="F47" s="39">
        <f t="shared" si="3"/>
        <v>0.37419999999999998</v>
      </c>
      <c r="G47" s="39">
        <f>9.417</f>
        <v>9.4169999999999998</v>
      </c>
      <c r="H47" s="39">
        <f t="shared" si="4"/>
        <v>0.62780000000000002</v>
      </c>
      <c r="I47" s="39">
        <f>8.954</f>
        <v>8.9540000000000006</v>
      </c>
      <c r="J47" s="39">
        <f t="shared" si="5"/>
        <v>0.59693333333333343</v>
      </c>
      <c r="K47" s="39">
        <f>4.805</f>
        <v>4.8049999999999997</v>
      </c>
      <c r="L47" s="39">
        <f t="shared" si="6"/>
        <v>0.3203333333333333</v>
      </c>
      <c r="M47" s="39">
        <f>8.548</f>
        <v>8.548</v>
      </c>
      <c r="N47" s="39">
        <f t="shared" si="7"/>
        <v>0.56986666666666663</v>
      </c>
      <c r="O47" s="40"/>
      <c r="P47" s="40"/>
      <c r="Q47" s="39">
        <f>10.972</f>
        <v>10.972</v>
      </c>
      <c r="R47" s="39">
        <f t="shared" si="8"/>
        <v>0.7314666666666666</v>
      </c>
      <c r="S47" s="39">
        <f>8.353</f>
        <v>8.3529999999999998</v>
      </c>
      <c r="T47" s="39">
        <f t="shared" si="9"/>
        <v>0.55686666666666662</v>
      </c>
      <c r="U47" s="39">
        <f>9.941</f>
        <v>9.9410000000000007</v>
      </c>
      <c r="V47" s="39">
        <f t="shared" si="10"/>
        <v>0.6627333333333334</v>
      </c>
      <c r="W47" s="39">
        <f>12.631</f>
        <v>12.631</v>
      </c>
      <c r="X47" s="39">
        <f t="shared" si="11"/>
        <v>0.84206666666666663</v>
      </c>
      <c r="Y47" s="39">
        <f>10.385</f>
        <v>10.385</v>
      </c>
      <c r="Z47" s="39">
        <f t="shared" si="12"/>
        <v>0.69233333333333336</v>
      </c>
      <c r="AA47" s="40"/>
      <c r="AB47" s="40"/>
      <c r="AC47" s="39">
        <f>7.188</f>
        <v>7.1879999999999997</v>
      </c>
      <c r="AD47" s="39">
        <f t="shared" si="13"/>
        <v>0.47919999999999996</v>
      </c>
      <c r="AE47" s="39">
        <f>6.797</f>
        <v>6.7969999999999997</v>
      </c>
      <c r="AF47" s="39">
        <f t="shared" si="14"/>
        <v>0.45313333333333333</v>
      </c>
      <c r="AG47" s="39">
        <v>9.8490000000000002</v>
      </c>
      <c r="AH47" s="39">
        <f t="shared" si="15"/>
        <v>0.65659999999999996</v>
      </c>
      <c r="AI47" s="39">
        <f>14.959</f>
        <v>14.959</v>
      </c>
      <c r="AJ47" s="39">
        <f t="shared" si="16"/>
        <v>0.99726666666666663</v>
      </c>
      <c r="AK47" s="39">
        <f>5.642</f>
        <v>5.6420000000000003</v>
      </c>
      <c r="AL47" s="39">
        <f t="shared" si="17"/>
        <v>0.37613333333333338</v>
      </c>
      <c r="AM47" s="40"/>
      <c r="AN47" s="40"/>
      <c r="AO47" s="39">
        <f>9.636</f>
        <v>9.6359999999999992</v>
      </c>
      <c r="AP47" s="39">
        <f t="shared" si="18"/>
        <v>0.64239999999999997</v>
      </c>
      <c r="AQ47" s="39">
        <f>6.809</f>
        <v>6.8090000000000002</v>
      </c>
      <c r="AR47" s="39">
        <f t="shared" si="19"/>
        <v>0.45393333333333336</v>
      </c>
      <c r="AS47" s="39">
        <f>9.351</f>
        <v>9.3510000000000009</v>
      </c>
      <c r="AT47" s="39">
        <f t="shared" si="20"/>
        <v>0.62340000000000007</v>
      </c>
      <c r="AU47" s="39">
        <f>6.301</f>
        <v>6.3010000000000002</v>
      </c>
      <c r="AV47" s="39">
        <f t="shared" si="21"/>
        <v>0.4200666666666667</v>
      </c>
      <c r="AW47" s="39">
        <v>3.7</v>
      </c>
      <c r="AX47" s="39">
        <f t="shared" si="22"/>
        <v>0.24666666666666667</v>
      </c>
      <c r="AY47" s="40"/>
      <c r="AZ47" s="40"/>
      <c r="BA47" s="39">
        <f>10.457</f>
        <v>10.457000000000001</v>
      </c>
      <c r="BB47" s="39">
        <f t="shared" si="23"/>
        <v>0.69713333333333338</v>
      </c>
      <c r="BC47" s="71"/>
    </row>
    <row r="48" spans="1:55" x14ac:dyDescent="0.25">
      <c r="A48" s="22">
        <v>2</v>
      </c>
      <c r="B48" s="22">
        <v>24</v>
      </c>
      <c r="C48" s="40"/>
      <c r="D48" s="40"/>
      <c r="E48" s="39"/>
      <c r="F48" s="39" t="str">
        <f t="shared" si="3"/>
        <v/>
      </c>
      <c r="G48" s="39"/>
      <c r="H48" s="39" t="str">
        <f t="shared" si="4"/>
        <v/>
      </c>
      <c r="I48" s="39"/>
      <c r="J48" s="39" t="str">
        <f t="shared" si="5"/>
        <v/>
      </c>
      <c r="K48" s="39"/>
      <c r="L48" s="39" t="str">
        <f t="shared" si="6"/>
        <v/>
      </c>
      <c r="M48" s="39"/>
      <c r="N48" s="39" t="str">
        <f t="shared" si="7"/>
        <v/>
      </c>
      <c r="O48" s="40"/>
      <c r="P48" s="40"/>
      <c r="Q48" s="39">
        <f>10.64</f>
        <v>10.64</v>
      </c>
      <c r="R48" s="39">
        <f t="shared" si="8"/>
        <v>0.44333333333333336</v>
      </c>
      <c r="S48" s="39">
        <f>13.8</f>
        <v>13.8</v>
      </c>
      <c r="T48" s="39">
        <f t="shared" si="9"/>
        <v>0.57500000000000007</v>
      </c>
      <c r="U48" s="39"/>
      <c r="V48" s="39" t="str">
        <f t="shared" si="10"/>
        <v/>
      </c>
      <c r="W48" s="39">
        <f>13.385</f>
        <v>13.385</v>
      </c>
      <c r="X48" s="39">
        <f t="shared" si="11"/>
        <v>0.55770833333333336</v>
      </c>
      <c r="Y48" s="39">
        <f>9.56</f>
        <v>9.56</v>
      </c>
      <c r="Z48" s="39">
        <f t="shared" si="12"/>
        <v>0.39833333333333337</v>
      </c>
      <c r="AA48" s="40"/>
      <c r="AB48" s="40"/>
      <c r="AC48" s="39">
        <f>16.34</f>
        <v>16.34</v>
      </c>
      <c r="AD48" s="39">
        <f t="shared" si="13"/>
        <v>0.68083333333333329</v>
      </c>
      <c r="AE48" s="39">
        <f>3.7</f>
        <v>3.7</v>
      </c>
      <c r="AF48" s="39">
        <f t="shared" si="14"/>
        <v>0.15416666666666667</v>
      </c>
      <c r="AG48" s="39">
        <f>6.99</f>
        <v>6.99</v>
      </c>
      <c r="AH48" s="39">
        <f t="shared" si="15"/>
        <v>0.29125000000000001</v>
      </c>
      <c r="AI48" s="39">
        <v>11.065</v>
      </c>
      <c r="AJ48" s="39">
        <f t="shared" si="16"/>
        <v>0.46104166666666663</v>
      </c>
      <c r="AK48" s="39">
        <f>12.75</f>
        <v>12.75</v>
      </c>
      <c r="AL48" s="39">
        <f t="shared" si="17"/>
        <v>0.53125</v>
      </c>
      <c r="AM48" s="40"/>
      <c r="AN48" s="40"/>
      <c r="AO48" s="39">
        <f>14.45</f>
        <v>14.45</v>
      </c>
      <c r="AP48" s="39">
        <f t="shared" si="18"/>
        <v>0.6020833333333333</v>
      </c>
      <c r="AQ48" s="39">
        <v>14.64</v>
      </c>
      <c r="AR48" s="39">
        <f t="shared" si="19"/>
        <v>0.61</v>
      </c>
      <c r="AS48" s="39">
        <f>8.66</f>
        <v>8.66</v>
      </c>
      <c r="AT48" s="39">
        <f t="shared" si="20"/>
        <v>0.36083333333333334</v>
      </c>
      <c r="AU48" s="39">
        <f>11.948+9.216</f>
        <v>21.164000000000001</v>
      </c>
      <c r="AV48" s="39">
        <f t="shared" si="21"/>
        <v>0.88183333333333336</v>
      </c>
      <c r="AW48" s="39">
        <f>14.88</f>
        <v>14.88</v>
      </c>
      <c r="AX48" s="39">
        <f t="shared" si="22"/>
        <v>0.62</v>
      </c>
      <c r="AY48" s="40"/>
      <c r="AZ48" s="40"/>
      <c r="BA48" s="39">
        <f>14.22</f>
        <v>14.22</v>
      </c>
      <c r="BB48" s="39">
        <f t="shared" si="23"/>
        <v>0.59250000000000003</v>
      </c>
      <c r="BC48" s="71"/>
    </row>
    <row r="49" spans="1:56" x14ac:dyDescent="0.25">
      <c r="A49" s="22">
        <v>2</v>
      </c>
      <c r="B49" s="22">
        <v>24</v>
      </c>
      <c r="C49" s="40"/>
      <c r="D49" s="40"/>
      <c r="E49" s="39">
        <v>9.5419999999999998</v>
      </c>
      <c r="F49" s="39">
        <f t="shared" si="3"/>
        <v>0.39758333333333334</v>
      </c>
      <c r="G49" s="39">
        <f>11.454</f>
        <v>11.454000000000001</v>
      </c>
      <c r="H49" s="39">
        <f t="shared" si="4"/>
        <v>0.47725000000000001</v>
      </c>
      <c r="I49" s="39"/>
      <c r="J49" s="39" t="str">
        <f t="shared" si="5"/>
        <v/>
      </c>
      <c r="K49" s="39">
        <f>11.94</f>
        <v>11.94</v>
      </c>
      <c r="L49" s="39">
        <f t="shared" si="6"/>
        <v>0.4975</v>
      </c>
      <c r="M49" s="39">
        <f>1.58</f>
        <v>1.58</v>
      </c>
      <c r="N49" s="39">
        <f t="shared" si="7"/>
        <v>6.5833333333333341E-2</v>
      </c>
      <c r="O49" s="40"/>
      <c r="P49" s="40"/>
      <c r="Q49" s="39"/>
      <c r="R49" s="39" t="str">
        <f t="shared" si="8"/>
        <v/>
      </c>
      <c r="S49" s="39">
        <f>8.805</f>
        <v>8.8049999999999997</v>
      </c>
      <c r="T49" s="39">
        <f t="shared" si="9"/>
        <v>0.36687500000000001</v>
      </c>
      <c r="U49" s="39"/>
      <c r="V49" s="39" t="str">
        <f t="shared" si="10"/>
        <v/>
      </c>
      <c r="W49" s="39"/>
      <c r="X49" s="39" t="str">
        <f t="shared" si="11"/>
        <v/>
      </c>
      <c r="Y49" s="39"/>
      <c r="Z49" s="39" t="str">
        <f t="shared" si="12"/>
        <v/>
      </c>
      <c r="AA49" s="40"/>
      <c r="AB49" s="40"/>
      <c r="AC49" s="39">
        <v>3.3479999999999999</v>
      </c>
      <c r="AD49" s="39">
        <f t="shared" si="13"/>
        <v>0.13949999999999999</v>
      </c>
      <c r="AE49" s="39">
        <v>8.3919999999999995</v>
      </c>
      <c r="AF49" s="39">
        <f t="shared" si="14"/>
        <v>0.34966666666666663</v>
      </c>
      <c r="AG49" s="39">
        <f>6.497</f>
        <v>6.4969999999999999</v>
      </c>
      <c r="AH49" s="39">
        <f t="shared" si="15"/>
        <v>0.27070833333333333</v>
      </c>
      <c r="AI49" s="39"/>
      <c r="AJ49" s="39" t="str">
        <f t="shared" si="16"/>
        <v/>
      </c>
      <c r="AK49" s="39"/>
      <c r="AL49" s="39" t="str">
        <f t="shared" si="17"/>
        <v/>
      </c>
      <c r="AM49" s="40"/>
      <c r="AN49" s="40"/>
      <c r="AO49" s="39">
        <f>10.44</f>
        <v>10.44</v>
      </c>
      <c r="AP49" s="39">
        <f t="shared" si="18"/>
        <v>0.435</v>
      </c>
      <c r="AQ49" s="39"/>
      <c r="AR49" s="39" t="str">
        <f t="shared" si="19"/>
        <v/>
      </c>
      <c r="AS49" s="39">
        <f>10.4</f>
        <v>10.4</v>
      </c>
      <c r="AT49" s="39">
        <f t="shared" si="20"/>
        <v>0.43333333333333335</v>
      </c>
      <c r="AU49" s="39"/>
      <c r="AV49" s="39" t="str">
        <f t="shared" si="21"/>
        <v/>
      </c>
      <c r="AW49" s="39">
        <f>1.838</f>
        <v>1.8380000000000001</v>
      </c>
      <c r="AX49" s="39">
        <f t="shared" si="22"/>
        <v>7.6583333333333337E-2</v>
      </c>
      <c r="AY49" s="40"/>
      <c r="AZ49" s="40"/>
      <c r="BA49" s="39">
        <f>12.288</f>
        <v>12.288</v>
      </c>
      <c r="BB49" s="39">
        <f t="shared" si="23"/>
        <v>0.51200000000000001</v>
      </c>
      <c r="BC49" s="71"/>
    </row>
    <row r="50" spans="1:56" x14ac:dyDescent="0.25">
      <c r="A50" s="22">
        <v>2</v>
      </c>
      <c r="B50" s="22">
        <v>15</v>
      </c>
      <c r="C50" s="40"/>
      <c r="D50" s="40"/>
      <c r="E50" s="39">
        <f>12.89+2.42</f>
        <v>15.31</v>
      </c>
      <c r="F50" s="39">
        <f t="shared" si="3"/>
        <v>1.0206666666666666</v>
      </c>
      <c r="G50" s="39">
        <f>9.01</f>
        <v>9.01</v>
      </c>
      <c r="H50" s="39">
        <f t="shared" si="4"/>
        <v>0.60066666666666668</v>
      </c>
      <c r="I50" s="39">
        <f>11.81</f>
        <v>11.81</v>
      </c>
      <c r="J50" s="39">
        <f t="shared" si="5"/>
        <v>0.78733333333333333</v>
      </c>
      <c r="K50" s="39">
        <f>4.08</f>
        <v>4.08</v>
      </c>
      <c r="L50" s="39">
        <f t="shared" si="6"/>
        <v>0.27200000000000002</v>
      </c>
      <c r="M50" s="39">
        <f>15.279</f>
        <v>15.279</v>
      </c>
      <c r="N50" s="39">
        <f t="shared" si="7"/>
        <v>1.0185999999999999</v>
      </c>
      <c r="O50" s="40"/>
      <c r="P50" s="40"/>
      <c r="Q50" s="39">
        <f>8.6</f>
        <v>8.6</v>
      </c>
      <c r="R50" s="39">
        <f t="shared" si="8"/>
        <v>0.57333333333333336</v>
      </c>
      <c r="S50" s="39">
        <f>7.74</f>
        <v>7.74</v>
      </c>
      <c r="T50" s="39">
        <f t="shared" si="9"/>
        <v>0.51600000000000001</v>
      </c>
      <c r="U50" s="39">
        <f>14.66</f>
        <v>14.66</v>
      </c>
      <c r="V50" s="39">
        <f t="shared" si="10"/>
        <v>0.97733333333333339</v>
      </c>
      <c r="W50" s="39">
        <f>6.13</f>
        <v>6.13</v>
      </c>
      <c r="X50" s="39">
        <f t="shared" si="11"/>
        <v>0.40866666666666668</v>
      </c>
      <c r="Y50" s="39">
        <f>16.08+1.22</f>
        <v>17.299999999999997</v>
      </c>
      <c r="Z50" s="39">
        <f t="shared" si="12"/>
        <v>1.1533333333333331</v>
      </c>
      <c r="AA50" s="40"/>
      <c r="AB50" s="40"/>
      <c r="AC50" s="39">
        <f>5.505</f>
        <v>5.5049999999999999</v>
      </c>
      <c r="AD50" s="39">
        <f t="shared" si="13"/>
        <v>0.36699999999999999</v>
      </c>
      <c r="AE50" s="39">
        <f>13.64+7.32</f>
        <v>20.96</v>
      </c>
      <c r="AF50" s="39">
        <f t="shared" si="14"/>
        <v>1.3973333333333333</v>
      </c>
      <c r="AG50" s="39">
        <f>5.72</f>
        <v>5.72</v>
      </c>
      <c r="AH50" s="39">
        <f t="shared" si="15"/>
        <v>0.3813333333333333</v>
      </c>
      <c r="AI50" s="39">
        <v>14.5</v>
      </c>
      <c r="AJ50" s="39">
        <f t="shared" si="16"/>
        <v>0.96666666666666667</v>
      </c>
      <c r="AK50" s="39">
        <f>9.71</f>
        <v>9.7100000000000009</v>
      </c>
      <c r="AL50" s="39">
        <f t="shared" si="17"/>
        <v>0.64733333333333343</v>
      </c>
      <c r="AM50" s="40"/>
      <c r="AN50" s="40"/>
      <c r="AO50" s="39">
        <f>2.66</f>
        <v>2.66</v>
      </c>
      <c r="AP50" s="39">
        <f t="shared" si="18"/>
        <v>0.17733333333333334</v>
      </c>
      <c r="AQ50" s="39">
        <f>13.81</f>
        <v>13.81</v>
      </c>
      <c r="AR50" s="39">
        <f t="shared" si="19"/>
        <v>0.92066666666666674</v>
      </c>
      <c r="AS50" s="39">
        <f>16.12+6.65</f>
        <v>22.770000000000003</v>
      </c>
      <c r="AT50" s="39">
        <f t="shared" si="20"/>
        <v>1.5180000000000002</v>
      </c>
      <c r="AU50" s="39">
        <f>7.73</f>
        <v>7.73</v>
      </c>
      <c r="AV50" s="39">
        <f t="shared" si="21"/>
        <v>0.51533333333333331</v>
      </c>
      <c r="AW50" s="39">
        <v>8.34</v>
      </c>
      <c r="AX50" s="39">
        <f t="shared" si="22"/>
        <v>0.55599999999999994</v>
      </c>
      <c r="AY50" s="40"/>
      <c r="AZ50" s="40"/>
      <c r="BA50" s="39">
        <f>5.72</f>
        <v>5.72</v>
      </c>
      <c r="BB50" s="39">
        <f t="shared" si="23"/>
        <v>0.3813333333333333</v>
      </c>
      <c r="BC50" s="71"/>
    </row>
    <row r="51" spans="1:56" x14ac:dyDescent="0.25">
      <c r="A51" s="22">
        <v>2</v>
      </c>
      <c r="B51" s="22">
        <v>15</v>
      </c>
      <c r="C51" s="40"/>
      <c r="D51" s="40"/>
      <c r="E51" s="39"/>
      <c r="F51" s="39" t="str">
        <f t="shared" si="3"/>
        <v/>
      </c>
      <c r="G51" s="39"/>
      <c r="H51" s="39" t="str">
        <f t="shared" si="4"/>
        <v/>
      </c>
      <c r="I51" s="39">
        <v>9.2200000000000006</v>
      </c>
      <c r="J51" s="39">
        <f t="shared" si="5"/>
        <v>0.61466666666666669</v>
      </c>
      <c r="K51" s="39"/>
      <c r="L51" s="39" t="str">
        <f t="shared" si="6"/>
        <v/>
      </c>
      <c r="M51" s="39"/>
      <c r="N51" s="39" t="str">
        <f t="shared" si="7"/>
        <v/>
      </c>
      <c r="O51" s="40"/>
      <c r="P51" s="40"/>
      <c r="Q51" s="39">
        <v>8.11</v>
      </c>
      <c r="R51" s="39">
        <f t="shared" si="8"/>
        <v>0.54066666666666663</v>
      </c>
      <c r="S51" s="39"/>
      <c r="T51" s="39" t="str">
        <f t="shared" si="9"/>
        <v/>
      </c>
      <c r="U51" s="39">
        <f>5.53</f>
        <v>5.53</v>
      </c>
      <c r="V51" s="39">
        <f t="shared" si="10"/>
        <v>0.3686666666666667</v>
      </c>
      <c r="W51" s="39">
        <v>2.3679999999999999</v>
      </c>
      <c r="X51" s="39">
        <f t="shared" si="11"/>
        <v>0.15786666666666666</v>
      </c>
      <c r="Y51" s="39">
        <f>12.441</f>
        <v>12.441000000000001</v>
      </c>
      <c r="Z51" s="39">
        <f t="shared" si="12"/>
        <v>0.82940000000000003</v>
      </c>
      <c r="AA51" s="40"/>
      <c r="AB51" s="40"/>
      <c r="AC51" s="39"/>
      <c r="AD51" s="39" t="str">
        <f t="shared" si="13"/>
        <v/>
      </c>
      <c r="AE51" s="39"/>
      <c r="AF51" s="39" t="str">
        <f t="shared" si="14"/>
        <v/>
      </c>
      <c r="AG51" s="39"/>
      <c r="AH51" s="39" t="str">
        <f t="shared" si="15"/>
        <v/>
      </c>
      <c r="AI51" s="39">
        <v>6.4640000000000004</v>
      </c>
      <c r="AJ51" s="39">
        <f t="shared" si="16"/>
        <v>0.43093333333333333</v>
      </c>
      <c r="AK51" s="39"/>
      <c r="AL51" s="39" t="str">
        <f t="shared" si="17"/>
        <v/>
      </c>
      <c r="AM51" s="40"/>
      <c r="AN51" s="40"/>
      <c r="AO51" s="39">
        <f>4.74</f>
        <v>4.74</v>
      </c>
      <c r="AP51" s="39">
        <f t="shared" si="18"/>
        <v>0.316</v>
      </c>
      <c r="AQ51" s="39">
        <f>12.55</f>
        <v>12.55</v>
      </c>
      <c r="AR51" s="39">
        <f t="shared" si="19"/>
        <v>0.83666666666666667</v>
      </c>
      <c r="AS51" s="39">
        <f>6.82</f>
        <v>6.82</v>
      </c>
      <c r="AT51" s="39">
        <f t="shared" si="20"/>
        <v>0.45466666666666666</v>
      </c>
      <c r="AU51" s="39">
        <f>3.989</f>
        <v>3.9889999999999999</v>
      </c>
      <c r="AV51" s="39">
        <f t="shared" si="21"/>
        <v>0.2659333333333333</v>
      </c>
      <c r="AW51" s="39">
        <f>6.24</f>
        <v>6.24</v>
      </c>
      <c r="AX51" s="39">
        <f t="shared" si="22"/>
        <v>0.41600000000000004</v>
      </c>
      <c r="AY51" s="40"/>
      <c r="AZ51" s="40"/>
      <c r="BA51" s="39">
        <v>5.79</v>
      </c>
      <c r="BB51" s="39">
        <f t="shared" si="23"/>
        <v>0.38600000000000001</v>
      </c>
      <c r="BC51" s="71"/>
    </row>
    <row r="52" spans="1:56" x14ac:dyDescent="0.25">
      <c r="A52" s="22">
        <v>2</v>
      </c>
      <c r="B52" s="22">
        <v>15</v>
      </c>
      <c r="C52" s="40"/>
      <c r="D52" s="40"/>
      <c r="E52" s="39">
        <v>13.170999999999999</v>
      </c>
      <c r="F52" s="39">
        <f t="shared" si="3"/>
        <v>0.87806666666666666</v>
      </c>
      <c r="G52" s="39">
        <f>14.184</f>
        <v>14.183999999999999</v>
      </c>
      <c r="H52" s="39">
        <f t="shared" si="4"/>
        <v>0.9456</v>
      </c>
      <c r="I52" s="39">
        <f>12.175</f>
        <v>12.175000000000001</v>
      </c>
      <c r="J52" s="39">
        <f t="shared" si="5"/>
        <v>0.81166666666666676</v>
      </c>
      <c r="K52" s="39">
        <f>5.708</f>
        <v>5.7080000000000002</v>
      </c>
      <c r="L52" s="39">
        <f t="shared" si="6"/>
        <v>0.38053333333333333</v>
      </c>
      <c r="M52" s="39">
        <f>4.202</f>
        <v>4.202</v>
      </c>
      <c r="N52" s="39">
        <f t="shared" si="7"/>
        <v>0.28013333333333335</v>
      </c>
      <c r="O52" s="40"/>
      <c r="P52" s="40"/>
      <c r="Q52" s="39"/>
      <c r="R52" s="39" t="str">
        <f t="shared" si="8"/>
        <v/>
      </c>
      <c r="S52" s="39"/>
      <c r="T52" s="39" t="str">
        <f t="shared" si="9"/>
        <v/>
      </c>
      <c r="U52" s="39">
        <f>10.719</f>
        <v>10.718999999999999</v>
      </c>
      <c r="V52" s="39">
        <f t="shared" si="10"/>
        <v>0.71460000000000001</v>
      </c>
      <c r="W52" s="39"/>
      <c r="X52" s="39" t="str">
        <f t="shared" si="11"/>
        <v/>
      </c>
      <c r="Y52" s="39">
        <f>6.949</f>
        <v>6.9489999999999998</v>
      </c>
      <c r="Z52" s="39">
        <f t="shared" si="12"/>
        <v>0.46326666666666666</v>
      </c>
      <c r="AA52" s="40"/>
      <c r="AB52" s="40"/>
      <c r="AC52" s="39"/>
      <c r="AD52" s="39" t="str">
        <f t="shared" si="13"/>
        <v/>
      </c>
      <c r="AE52" s="39"/>
      <c r="AF52" s="39" t="str">
        <f t="shared" si="14"/>
        <v/>
      </c>
      <c r="AG52" s="39">
        <v>2.19</v>
      </c>
      <c r="AH52" s="39">
        <f t="shared" si="15"/>
        <v>0.14599999999999999</v>
      </c>
      <c r="AI52" s="39"/>
      <c r="AJ52" s="39" t="str">
        <f t="shared" si="16"/>
        <v/>
      </c>
      <c r="AK52" s="39">
        <f>4.308</f>
        <v>4.3079999999999998</v>
      </c>
      <c r="AL52" s="39">
        <f t="shared" si="17"/>
        <v>0.28720000000000001</v>
      </c>
      <c r="AM52" s="40"/>
      <c r="AN52" s="40"/>
      <c r="AO52" s="39"/>
      <c r="AP52" s="39" t="str">
        <f t="shared" si="18"/>
        <v/>
      </c>
      <c r="AQ52" s="39"/>
      <c r="AR52" s="39" t="str">
        <f t="shared" si="19"/>
        <v/>
      </c>
      <c r="AS52" s="39"/>
      <c r="AT52" s="39" t="str">
        <f t="shared" si="20"/>
        <v/>
      </c>
      <c r="AU52" s="39">
        <v>8.9469999999999992</v>
      </c>
      <c r="AV52" s="39">
        <f t="shared" si="21"/>
        <v>0.59646666666666659</v>
      </c>
      <c r="AW52" s="39"/>
      <c r="AX52" s="39" t="str">
        <f t="shared" si="22"/>
        <v/>
      </c>
      <c r="AY52" s="40"/>
      <c r="AZ52" s="40"/>
      <c r="BA52" s="39">
        <v>8.2769999999999992</v>
      </c>
      <c r="BB52" s="39">
        <f t="shared" si="23"/>
        <v>0.55179999999999996</v>
      </c>
      <c r="BC52" s="71"/>
    </row>
    <row r="53" spans="1:56" x14ac:dyDescent="0.25">
      <c r="A53" s="22">
        <v>2</v>
      </c>
      <c r="B53" s="23">
        <v>15</v>
      </c>
      <c r="C53" s="40"/>
      <c r="D53" s="40"/>
      <c r="E53" s="39"/>
      <c r="F53" s="39" t="str">
        <f t="shared" si="3"/>
        <v/>
      </c>
      <c r="G53" s="39"/>
      <c r="H53" s="39" t="str">
        <f t="shared" si="4"/>
        <v/>
      </c>
      <c r="I53" s="39"/>
      <c r="J53" s="39" t="str">
        <f t="shared" si="5"/>
        <v/>
      </c>
      <c r="K53" s="39"/>
      <c r="L53" s="39" t="str">
        <f t="shared" si="6"/>
        <v/>
      </c>
      <c r="M53" s="39"/>
      <c r="N53" s="39" t="str">
        <f t="shared" si="7"/>
        <v/>
      </c>
      <c r="O53" s="40"/>
      <c r="P53" s="40"/>
      <c r="Q53" s="39"/>
      <c r="R53" s="39" t="str">
        <f t="shared" si="8"/>
        <v/>
      </c>
      <c r="S53" s="39"/>
      <c r="T53" s="39" t="str">
        <f t="shared" si="9"/>
        <v/>
      </c>
      <c r="U53" s="39"/>
      <c r="V53" s="39" t="str">
        <f t="shared" si="10"/>
        <v/>
      </c>
      <c r="W53" s="39"/>
      <c r="X53" s="39" t="str">
        <f t="shared" si="11"/>
        <v/>
      </c>
      <c r="Y53" s="39"/>
      <c r="Z53" s="39" t="str">
        <f t="shared" si="12"/>
        <v/>
      </c>
      <c r="AA53" s="40"/>
      <c r="AB53" s="40"/>
      <c r="AC53" s="39"/>
      <c r="AD53" s="39" t="str">
        <f t="shared" si="13"/>
        <v/>
      </c>
      <c r="AE53" s="39"/>
      <c r="AF53" s="39" t="str">
        <f t="shared" si="14"/>
        <v/>
      </c>
      <c r="AG53" s="39"/>
      <c r="AH53" s="39" t="str">
        <f t="shared" si="15"/>
        <v/>
      </c>
      <c r="AI53" s="39"/>
      <c r="AJ53" s="39" t="str">
        <f t="shared" si="16"/>
        <v/>
      </c>
      <c r="AK53" s="39"/>
      <c r="AL53" s="39" t="str">
        <f t="shared" si="17"/>
        <v/>
      </c>
      <c r="AM53" s="40"/>
      <c r="AN53" s="40"/>
      <c r="AO53" s="39"/>
      <c r="AP53" s="39" t="str">
        <f t="shared" si="18"/>
        <v/>
      </c>
      <c r="AQ53" s="39"/>
      <c r="AR53" s="39" t="str">
        <f t="shared" si="19"/>
        <v/>
      </c>
      <c r="AS53" s="39"/>
      <c r="AT53" s="39" t="str">
        <f t="shared" si="20"/>
        <v/>
      </c>
      <c r="AU53" s="39"/>
      <c r="AV53" s="39" t="str">
        <f t="shared" si="21"/>
        <v/>
      </c>
      <c r="AW53" s="39"/>
      <c r="AX53" s="39" t="str">
        <f t="shared" si="22"/>
        <v/>
      </c>
      <c r="AY53" s="40"/>
      <c r="AZ53" s="40"/>
      <c r="BA53" s="39"/>
      <c r="BB53" s="39" t="str">
        <f t="shared" si="23"/>
        <v/>
      </c>
      <c r="BC53" s="71"/>
    </row>
    <row r="54" spans="1:56" x14ac:dyDescent="0.25">
      <c r="A54" s="22">
        <v>2</v>
      </c>
      <c r="B54" s="22">
        <v>24</v>
      </c>
      <c r="C54" s="40"/>
      <c r="D54" s="40"/>
      <c r="E54" s="39">
        <f>25.465+11.534</f>
        <v>36.999000000000002</v>
      </c>
      <c r="F54" s="39">
        <f t="shared" si="3"/>
        <v>1.541625</v>
      </c>
      <c r="G54" s="39">
        <f>8.106</f>
        <v>8.1059999999999999</v>
      </c>
      <c r="H54" s="39">
        <f t="shared" si="4"/>
        <v>0.33774999999999999</v>
      </c>
      <c r="I54" s="39">
        <f>19.179</f>
        <v>19.178999999999998</v>
      </c>
      <c r="J54" s="39">
        <f t="shared" si="5"/>
        <v>0.79912499999999997</v>
      </c>
      <c r="K54" s="39">
        <f>5.711</f>
        <v>5.7110000000000003</v>
      </c>
      <c r="L54" s="39">
        <f t="shared" si="6"/>
        <v>0.23795833333333336</v>
      </c>
      <c r="M54" s="39">
        <f>9.428</f>
        <v>9.4280000000000008</v>
      </c>
      <c r="N54" s="39">
        <f t="shared" si="7"/>
        <v>0.39283333333333337</v>
      </c>
      <c r="O54" s="40"/>
      <c r="P54" s="40"/>
      <c r="Q54" s="39">
        <f>26.246</f>
        <v>26.245999999999999</v>
      </c>
      <c r="R54" s="39">
        <f t="shared" si="8"/>
        <v>1.0935833333333334</v>
      </c>
      <c r="S54" s="39">
        <f>22.732+7.072</f>
        <v>29.803999999999998</v>
      </c>
      <c r="T54" s="39">
        <f t="shared" si="9"/>
        <v>1.2418333333333333</v>
      </c>
      <c r="U54" s="39">
        <f>25.116</f>
        <v>25.116</v>
      </c>
      <c r="V54" s="39">
        <f t="shared" si="10"/>
        <v>1.0465</v>
      </c>
      <c r="W54" s="39">
        <f>15.601</f>
        <v>15.601000000000001</v>
      </c>
      <c r="X54" s="39">
        <f t="shared" si="11"/>
        <v>0.65004166666666674</v>
      </c>
      <c r="Y54" s="39">
        <f>23.08</f>
        <v>23.08</v>
      </c>
      <c r="Z54" s="39">
        <f t="shared" si="12"/>
        <v>0.96166666666666656</v>
      </c>
      <c r="AA54" s="40"/>
      <c r="AB54" s="40"/>
      <c r="AC54" s="39">
        <f>11.04</f>
        <v>11.04</v>
      </c>
      <c r="AD54" s="39">
        <f t="shared" si="13"/>
        <v>0.45999999999999996</v>
      </c>
      <c r="AE54" s="39">
        <f>17.36</f>
        <v>17.36</v>
      </c>
      <c r="AF54" s="39">
        <f t="shared" si="14"/>
        <v>0.72333333333333327</v>
      </c>
      <c r="AG54" s="39">
        <v>23.963000000000001</v>
      </c>
      <c r="AH54" s="39">
        <f t="shared" si="15"/>
        <v>0.99845833333333334</v>
      </c>
      <c r="AI54" s="39">
        <v>14.935</v>
      </c>
      <c r="AJ54" s="39">
        <f t="shared" si="16"/>
        <v>0.62229166666666669</v>
      </c>
      <c r="AK54" s="39">
        <f>19.355</f>
        <v>19.355</v>
      </c>
      <c r="AL54" s="39">
        <f t="shared" si="17"/>
        <v>0.80645833333333339</v>
      </c>
      <c r="AM54" s="40"/>
      <c r="AN54" s="40"/>
      <c r="AO54" s="39">
        <f>15.349</f>
        <v>15.349</v>
      </c>
      <c r="AP54" s="39">
        <f t="shared" si="18"/>
        <v>0.63954166666666667</v>
      </c>
      <c r="AQ54" s="39">
        <f>14.254</f>
        <v>14.254</v>
      </c>
      <c r="AR54" s="39">
        <f t="shared" si="19"/>
        <v>0.59391666666666665</v>
      </c>
      <c r="AS54" s="39">
        <f>16.717</f>
        <v>16.716999999999999</v>
      </c>
      <c r="AT54" s="39">
        <f t="shared" si="20"/>
        <v>0.69654166666666661</v>
      </c>
      <c r="AU54" s="39">
        <f>0.784+8.366</f>
        <v>9.15</v>
      </c>
      <c r="AV54" s="39">
        <f t="shared" si="21"/>
        <v>0.38125000000000003</v>
      </c>
      <c r="AW54" s="39">
        <f>18.276</f>
        <v>18.276</v>
      </c>
      <c r="AX54" s="39">
        <f t="shared" si="22"/>
        <v>0.76149999999999995</v>
      </c>
      <c r="AY54" s="40"/>
      <c r="AZ54" s="40"/>
      <c r="BA54" s="39">
        <f>22.077</f>
        <v>22.077000000000002</v>
      </c>
      <c r="BB54" s="39">
        <f t="shared" si="23"/>
        <v>0.91987500000000011</v>
      </c>
      <c r="BC54" s="71"/>
    </row>
    <row r="55" spans="1:56" x14ac:dyDescent="0.25">
      <c r="A55" s="22">
        <v>2</v>
      </c>
      <c r="B55" s="22">
        <v>24</v>
      </c>
      <c r="C55" s="40"/>
      <c r="D55" s="40"/>
      <c r="E55" s="39">
        <f>18.674</f>
        <v>18.673999999999999</v>
      </c>
      <c r="F55" s="39">
        <f t="shared" si="3"/>
        <v>0.77808333333333335</v>
      </c>
      <c r="G55" s="39">
        <f>23.98+9.021</f>
        <v>33.001000000000005</v>
      </c>
      <c r="H55" s="39">
        <f t="shared" si="4"/>
        <v>1.3750416666666669</v>
      </c>
      <c r="I55" s="39">
        <f>21.505</f>
        <v>21.504999999999999</v>
      </c>
      <c r="J55" s="39">
        <f t="shared" si="5"/>
        <v>0.89604166666666663</v>
      </c>
      <c r="K55" s="39">
        <f>12.556</f>
        <v>12.555999999999999</v>
      </c>
      <c r="L55" s="39">
        <f t="shared" si="6"/>
        <v>0.52316666666666667</v>
      </c>
      <c r="M55" s="39">
        <f>17.02</f>
        <v>17.02</v>
      </c>
      <c r="N55" s="39">
        <f t="shared" si="7"/>
        <v>0.70916666666666661</v>
      </c>
      <c r="O55" s="40"/>
      <c r="P55" s="40"/>
      <c r="Q55" s="39">
        <f>20.439</f>
        <v>20.439</v>
      </c>
      <c r="R55" s="39">
        <f t="shared" si="8"/>
        <v>0.85162499999999997</v>
      </c>
      <c r="S55" s="39">
        <f>7.07</f>
        <v>7.07</v>
      </c>
      <c r="T55" s="39">
        <f t="shared" si="9"/>
        <v>0.29458333333333336</v>
      </c>
      <c r="U55" s="39">
        <f>10.695</f>
        <v>10.695</v>
      </c>
      <c r="V55" s="39">
        <f t="shared" si="10"/>
        <v>0.44562499999999999</v>
      </c>
      <c r="W55" s="39">
        <f>12.948</f>
        <v>12.948</v>
      </c>
      <c r="X55" s="39">
        <f t="shared" si="11"/>
        <v>0.53949999999999998</v>
      </c>
      <c r="Y55" s="39">
        <f>8.958</f>
        <v>8.9580000000000002</v>
      </c>
      <c r="Z55" s="39">
        <f t="shared" si="12"/>
        <v>0.37325000000000003</v>
      </c>
      <c r="AA55" s="40"/>
      <c r="AB55" s="40"/>
      <c r="AC55" s="39">
        <f>18.78</f>
        <v>18.78</v>
      </c>
      <c r="AD55" s="39">
        <f t="shared" si="13"/>
        <v>0.78250000000000008</v>
      </c>
      <c r="AE55" s="39">
        <f>13.509</f>
        <v>13.509</v>
      </c>
      <c r="AF55" s="39">
        <f t="shared" si="14"/>
        <v>0.56287500000000001</v>
      </c>
      <c r="AG55" s="39">
        <f>18.569</f>
        <v>18.568999999999999</v>
      </c>
      <c r="AH55" s="39">
        <f t="shared" si="15"/>
        <v>0.77370833333333333</v>
      </c>
      <c r="AI55" s="39">
        <f>4.567</f>
        <v>4.5670000000000002</v>
      </c>
      <c r="AJ55" s="39">
        <f t="shared" si="16"/>
        <v>0.19029166666666666</v>
      </c>
      <c r="AK55" s="39">
        <f>19.483</f>
        <v>19.483000000000001</v>
      </c>
      <c r="AL55" s="39">
        <f t="shared" si="17"/>
        <v>0.81179166666666669</v>
      </c>
      <c r="AM55" s="40"/>
      <c r="AN55" s="40"/>
      <c r="AO55" s="39">
        <f>19.743</f>
        <v>19.742999999999999</v>
      </c>
      <c r="AP55" s="39">
        <f t="shared" si="18"/>
        <v>0.82262499999999994</v>
      </c>
      <c r="AQ55" s="39">
        <f>9.484</f>
        <v>9.484</v>
      </c>
      <c r="AR55" s="39">
        <f t="shared" si="19"/>
        <v>0.39516666666666667</v>
      </c>
      <c r="AS55" s="39">
        <f>22.955</f>
        <v>22.954999999999998</v>
      </c>
      <c r="AT55" s="39">
        <f t="shared" si="20"/>
        <v>0.9564583333333333</v>
      </c>
      <c r="AU55" s="39">
        <f>10.147</f>
        <v>10.147</v>
      </c>
      <c r="AV55" s="39">
        <f t="shared" si="21"/>
        <v>0.42279166666666668</v>
      </c>
      <c r="AW55" s="39">
        <f>14.224</f>
        <v>14.224</v>
      </c>
      <c r="AX55" s="39">
        <f t="shared" si="22"/>
        <v>0.59266666666666667</v>
      </c>
      <c r="AY55" s="40"/>
      <c r="AZ55" s="40"/>
      <c r="BA55" s="39">
        <f>14.745</f>
        <v>14.744999999999999</v>
      </c>
      <c r="BB55" s="39">
        <f t="shared" si="23"/>
        <v>0.614375</v>
      </c>
      <c r="BC55" s="71"/>
    </row>
    <row r="56" spans="1:56" x14ac:dyDescent="0.25">
      <c r="A56" s="22">
        <v>2</v>
      </c>
      <c r="B56" s="22">
        <v>24</v>
      </c>
      <c r="C56" s="40"/>
      <c r="D56" s="40"/>
      <c r="E56" s="39">
        <f>8.43</f>
        <v>8.43</v>
      </c>
      <c r="F56" s="39">
        <f t="shared" si="3"/>
        <v>0.35125000000000001</v>
      </c>
      <c r="G56" s="39">
        <f>11.93</f>
        <v>11.93</v>
      </c>
      <c r="H56" s="39">
        <f t="shared" si="4"/>
        <v>0.49708333333333332</v>
      </c>
      <c r="I56" s="39">
        <v>21.61</v>
      </c>
      <c r="J56" s="39">
        <f>IF(I56="","",I56/B56)</f>
        <v>0.90041666666666664</v>
      </c>
      <c r="K56" s="39">
        <f>20.5+10.88</f>
        <v>31.380000000000003</v>
      </c>
      <c r="L56" s="39">
        <f t="shared" si="6"/>
        <v>1.3075000000000001</v>
      </c>
      <c r="M56" s="39">
        <f>19.165</f>
        <v>19.164999999999999</v>
      </c>
      <c r="N56" s="39">
        <f t="shared" si="7"/>
        <v>0.79854166666666659</v>
      </c>
      <c r="O56" s="40"/>
      <c r="P56" s="40"/>
      <c r="Q56" s="39">
        <f>22.311</f>
        <v>22.311</v>
      </c>
      <c r="R56" s="39">
        <f t="shared" si="8"/>
        <v>0.92962500000000003</v>
      </c>
      <c r="S56" s="39">
        <f>13.048</f>
        <v>13.048</v>
      </c>
      <c r="T56" s="39">
        <f t="shared" si="9"/>
        <v>0.54366666666666663</v>
      </c>
      <c r="U56" s="39">
        <f>7.509+11.12</f>
        <v>18.628999999999998</v>
      </c>
      <c r="V56" s="39">
        <f t="shared" si="10"/>
        <v>0.77620833333333328</v>
      </c>
      <c r="W56" s="39">
        <f>17.728</f>
        <v>17.728000000000002</v>
      </c>
      <c r="X56" s="39">
        <f t="shared" si="11"/>
        <v>0.73866666666666669</v>
      </c>
      <c r="Y56" s="39">
        <f>12.88</f>
        <v>12.88</v>
      </c>
      <c r="Z56" s="39">
        <f t="shared" si="12"/>
        <v>0.53666666666666674</v>
      </c>
      <c r="AA56" s="40"/>
      <c r="AB56" s="40"/>
      <c r="AC56" s="39">
        <f>18.923</f>
        <v>18.922999999999998</v>
      </c>
      <c r="AD56" s="39">
        <f t="shared" si="13"/>
        <v>0.78845833333333326</v>
      </c>
      <c r="AE56" s="39">
        <v>20.507999999999999</v>
      </c>
      <c r="AF56" s="39">
        <f t="shared" si="14"/>
        <v>0.85449999999999993</v>
      </c>
      <c r="AG56" s="39">
        <f>15.036</f>
        <v>15.036</v>
      </c>
      <c r="AH56" s="39">
        <f t="shared" si="15"/>
        <v>0.62649999999999995</v>
      </c>
      <c r="AI56" s="39">
        <v>20.792000000000002</v>
      </c>
      <c r="AJ56" s="39">
        <f t="shared" si="16"/>
        <v>0.8663333333333334</v>
      </c>
      <c r="AK56" s="39">
        <f>6.215</f>
        <v>6.2149999999999999</v>
      </c>
      <c r="AL56" s="39">
        <f t="shared" si="17"/>
        <v>0.25895833333333335</v>
      </c>
      <c r="AM56" s="40"/>
      <c r="AN56" s="40"/>
      <c r="AO56" s="39">
        <f>14.858</f>
        <v>14.858000000000001</v>
      </c>
      <c r="AP56" s="39">
        <f t="shared" si="18"/>
        <v>0.61908333333333332</v>
      </c>
      <c r="AQ56" s="39">
        <f>16.64+9.8</f>
        <v>26.44</v>
      </c>
      <c r="AR56" s="39">
        <f t="shared" si="19"/>
        <v>1.1016666666666668</v>
      </c>
      <c r="AS56" s="39">
        <v>21.57</v>
      </c>
      <c r="AT56" s="39">
        <f t="shared" si="20"/>
        <v>0.89875000000000005</v>
      </c>
      <c r="AU56" s="39">
        <f>16.75</f>
        <v>16.75</v>
      </c>
      <c r="AV56" s="39">
        <f t="shared" si="21"/>
        <v>0.69791666666666663</v>
      </c>
      <c r="AW56" s="39">
        <f>17.432</f>
        <v>17.431999999999999</v>
      </c>
      <c r="AX56" s="39">
        <f t="shared" si="22"/>
        <v>0.72633333333333328</v>
      </c>
      <c r="AY56" s="40"/>
      <c r="AZ56" s="40"/>
      <c r="BA56" s="39">
        <f>13.64</f>
        <v>13.64</v>
      </c>
      <c r="BB56" s="39">
        <f t="shared" si="23"/>
        <v>0.56833333333333336</v>
      </c>
      <c r="BC56" s="71"/>
    </row>
    <row r="57" spans="1:56" x14ac:dyDescent="0.25">
      <c r="A57" s="22">
        <v>2</v>
      </c>
      <c r="B57" s="22">
        <v>15</v>
      </c>
      <c r="C57" s="40"/>
      <c r="D57" s="40"/>
      <c r="E57" s="39">
        <f>7.029</f>
        <v>7.0289999999999999</v>
      </c>
      <c r="F57" s="39">
        <f t="shared" si="3"/>
        <v>0.46860000000000002</v>
      </c>
      <c r="G57" s="39">
        <f>9.352+5.862+2.374</f>
        <v>17.588000000000001</v>
      </c>
      <c r="H57" s="39">
        <f t="shared" si="4"/>
        <v>1.1725333333333334</v>
      </c>
      <c r="I57" s="39">
        <f>9.042</f>
        <v>9.0419999999999998</v>
      </c>
      <c r="J57" s="39">
        <f>IF(I57="","",I57/B57)</f>
        <v>0.6028</v>
      </c>
      <c r="K57" s="39">
        <f>11.013+1.35</f>
        <v>12.363</v>
      </c>
      <c r="L57" s="39">
        <f t="shared" si="6"/>
        <v>0.82419999999999993</v>
      </c>
      <c r="M57" s="39">
        <f>7.035+7.608</f>
        <v>14.643000000000001</v>
      </c>
      <c r="N57" s="39">
        <f t="shared" si="7"/>
        <v>0.97620000000000007</v>
      </c>
      <c r="O57" s="40"/>
      <c r="P57" s="40"/>
      <c r="Q57" s="39">
        <f>9.02+7.042</f>
        <v>16.061999999999998</v>
      </c>
      <c r="R57" s="39">
        <f t="shared" si="8"/>
        <v>1.0707999999999998</v>
      </c>
      <c r="S57" s="39">
        <f>5.548+12.873</f>
        <v>18.420999999999999</v>
      </c>
      <c r="T57" s="39">
        <f t="shared" si="9"/>
        <v>1.2280666666666666</v>
      </c>
      <c r="U57" s="39">
        <f>12.072</f>
        <v>12.071999999999999</v>
      </c>
      <c r="V57" s="39">
        <f t="shared" si="10"/>
        <v>0.80479999999999996</v>
      </c>
      <c r="W57" s="39">
        <f>7.147</f>
        <v>7.1470000000000002</v>
      </c>
      <c r="X57" s="39">
        <f t="shared" si="11"/>
        <v>0.4764666666666667</v>
      </c>
      <c r="Y57" s="39">
        <v>8.2509999999999994</v>
      </c>
      <c r="Z57" s="39">
        <f t="shared" si="12"/>
        <v>0.55006666666666659</v>
      </c>
      <c r="AA57" s="40"/>
      <c r="AB57" s="40"/>
      <c r="AC57" s="39">
        <f>12.439+3.884</f>
        <v>16.323</v>
      </c>
      <c r="AD57" s="39">
        <f t="shared" si="13"/>
        <v>1.0882000000000001</v>
      </c>
      <c r="AE57" s="39">
        <f>12.215+2.334</f>
        <v>14.548999999999999</v>
      </c>
      <c r="AF57" s="39">
        <f t="shared" si="14"/>
        <v>0.96993333333333331</v>
      </c>
      <c r="AG57" s="39">
        <f>5.999+0.068+1.287</f>
        <v>7.3539999999999992</v>
      </c>
      <c r="AH57" s="39">
        <f t="shared" si="15"/>
        <v>0.49026666666666663</v>
      </c>
      <c r="AI57" s="39">
        <v>5.0030000000000001</v>
      </c>
      <c r="AJ57" s="39">
        <f t="shared" si="16"/>
        <v>0.33353333333333335</v>
      </c>
      <c r="AK57" s="39">
        <f>6.326</f>
        <v>6.3259999999999996</v>
      </c>
      <c r="AL57" s="39">
        <f t="shared" si="17"/>
        <v>0.42173333333333329</v>
      </c>
      <c r="AM57" s="40"/>
      <c r="AN57" s="40"/>
      <c r="AO57" s="39">
        <f>11.042+2.761</f>
        <v>13.803000000000001</v>
      </c>
      <c r="AP57" s="39">
        <f t="shared" si="18"/>
        <v>0.92020000000000002</v>
      </c>
      <c r="AQ57" s="39">
        <f>4.748</f>
        <v>4.7480000000000002</v>
      </c>
      <c r="AR57" s="39">
        <f t="shared" si="19"/>
        <v>0.31653333333333333</v>
      </c>
      <c r="AS57" s="39">
        <f>6.631+6.453</f>
        <v>13.084</v>
      </c>
      <c r="AT57" s="39">
        <f t="shared" si="20"/>
        <v>0.87226666666666663</v>
      </c>
      <c r="AU57" s="39">
        <v>7.5419999999999998</v>
      </c>
      <c r="AV57" s="39">
        <f t="shared" si="21"/>
        <v>0.50280000000000002</v>
      </c>
      <c r="AW57" s="39">
        <v>4.569</v>
      </c>
      <c r="AX57" s="39">
        <f t="shared" si="22"/>
        <v>0.30459999999999998</v>
      </c>
      <c r="AY57" s="40"/>
      <c r="AZ57" s="40"/>
      <c r="BA57" s="39">
        <f>5.054+1.167</f>
        <v>6.2210000000000001</v>
      </c>
      <c r="BB57" s="39">
        <f t="shared" si="23"/>
        <v>0.41473333333333334</v>
      </c>
      <c r="BC57" s="71"/>
    </row>
    <row r="58" spans="1:56" x14ac:dyDescent="0.25"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</row>
    <row r="59" spans="1:56" x14ac:dyDescent="0.25">
      <c r="A59" s="30" t="s">
        <v>12</v>
      </c>
      <c r="C59" s="67"/>
      <c r="D59" s="67"/>
      <c r="E59" s="45">
        <f>IF(E65="","",SUM(E34:E57))</f>
        <v>220.39699999999999</v>
      </c>
      <c r="F59" s="45">
        <f t="shared" ref="F59:BB59" si="24">IF(F65="","",SUM(F34:F57))</f>
        <v>10.963533333333334</v>
      </c>
      <c r="G59" s="45">
        <f t="shared" si="24"/>
        <v>250.572</v>
      </c>
      <c r="H59" s="45">
        <f t="shared" si="24"/>
        <v>13.885149999999999</v>
      </c>
      <c r="I59" s="45">
        <f t="shared" si="24"/>
        <v>240.03800000000004</v>
      </c>
      <c r="J59" s="45">
        <f t="shared" si="24"/>
        <v>12.477783333333337</v>
      </c>
      <c r="K59" s="45">
        <f t="shared" si="24"/>
        <v>200.47100000000003</v>
      </c>
      <c r="L59" s="45">
        <f t="shared" si="24"/>
        <v>10.913433333333332</v>
      </c>
      <c r="M59" s="45">
        <f t="shared" si="24"/>
        <v>172.00499999999997</v>
      </c>
      <c r="N59" s="45">
        <f t="shared" si="24"/>
        <v>9.0968499999999999</v>
      </c>
      <c r="O59" s="67"/>
      <c r="P59" s="67"/>
      <c r="Q59" s="45">
        <f t="shared" si="24"/>
        <v>230.31599999999997</v>
      </c>
      <c r="R59" s="45">
        <f t="shared" si="24"/>
        <v>12.194100000000001</v>
      </c>
      <c r="S59" s="45">
        <f t="shared" si="24"/>
        <v>196.702</v>
      </c>
      <c r="T59" s="45">
        <f t="shared" si="24"/>
        <v>10.312416666666667</v>
      </c>
      <c r="U59" s="45">
        <f t="shared" si="24"/>
        <v>186.446</v>
      </c>
      <c r="V59" s="45">
        <f t="shared" si="24"/>
        <v>10.172608333333333</v>
      </c>
      <c r="W59" s="45">
        <f t="shared" si="24"/>
        <v>200.04300000000001</v>
      </c>
      <c r="X59" s="45">
        <f t="shared" si="24"/>
        <v>10.5259</v>
      </c>
      <c r="Y59" s="45">
        <f t="shared" si="24"/>
        <v>184.64699999999999</v>
      </c>
      <c r="Z59" s="45">
        <f t="shared" si="24"/>
        <v>10.154949999999999</v>
      </c>
      <c r="AA59" s="67"/>
      <c r="AB59" s="67"/>
      <c r="AC59" s="45">
        <f t="shared" si="24"/>
        <v>196.70500000000001</v>
      </c>
      <c r="AD59" s="45">
        <f t="shared" si="24"/>
        <v>9.7418666666666667</v>
      </c>
      <c r="AE59" s="45">
        <f t="shared" si="24"/>
        <v>193.05400000000003</v>
      </c>
      <c r="AF59" s="45">
        <f t="shared" si="24"/>
        <v>10.462291666666667</v>
      </c>
      <c r="AG59" s="45">
        <f t="shared" si="24"/>
        <v>188.202</v>
      </c>
      <c r="AH59" s="45">
        <f t="shared" si="24"/>
        <v>9.175749999999999</v>
      </c>
      <c r="AI59" s="45">
        <f t="shared" si="24"/>
        <v>187.76500000000004</v>
      </c>
      <c r="AJ59" s="45">
        <f t="shared" si="24"/>
        <v>10.584266666666668</v>
      </c>
      <c r="AK59" s="45">
        <f t="shared" si="24"/>
        <v>160.25</v>
      </c>
      <c r="AL59" s="45">
        <f t="shared" si="24"/>
        <v>8.7523083333333354</v>
      </c>
      <c r="AM59" s="45"/>
      <c r="AN59" s="45"/>
      <c r="AO59" s="45">
        <f t="shared" si="24"/>
        <v>210.56399999999996</v>
      </c>
      <c r="AP59" s="45">
        <f t="shared" si="24"/>
        <v>11.225658333333334</v>
      </c>
      <c r="AQ59" s="45">
        <f t="shared" si="24"/>
        <v>197.98399999999998</v>
      </c>
      <c r="AR59" s="45">
        <f t="shared" si="24"/>
        <v>10.558758333333333</v>
      </c>
      <c r="AS59" s="45">
        <f t="shared" si="24"/>
        <v>220.37599999999998</v>
      </c>
      <c r="AT59" s="45">
        <f t="shared" si="24"/>
        <v>11.412683333333336</v>
      </c>
      <c r="AU59" s="45">
        <f t="shared" si="24"/>
        <v>197.88</v>
      </c>
      <c r="AV59" s="45">
        <f t="shared" si="24"/>
        <v>10.200117307692308</v>
      </c>
      <c r="AW59" s="45">
        <f t="shared" si="24"/>
        <v>168.11999999999995</v>
      </c>
      <c r="AX59" s="45">
        <f t="shared" si="24"/>
        <v>8.6380096153846164</v>
      </c>
      <c r="AY59" s="45"/>
      <c r="AZ59" s="45"/>
      <c r="BA59" s="45">
        <f t="shared" si="24"/>
        <v>181.33000000000004</v>
      </c>
      <c r="BB59" s="45">
        <f t="shared" si="24"/>
        <v>9.5068916666666663</v>
      </c>
      <c r="BC59" s="87">
        <f>SUM(E59,G59,I59,K59,M59,Q59,S59,U59,W59,Y59,AC59,AE59,AG59,AI59,AK59,AO59,AQ59,AS59,AU59,AW59,BA59)</f>
        <v>4183.8669999999993</v>
      </c>
      <c r="BD59" s="49">
        <f>AVERAGE(C59,D59,E59,G59,M59,O59,P59,Q59,S59,Y59,AA59,AB59,AC59,AE59,AM59,AN59,AO59,AQ59,AS59,AU59,AW59,BA59)</f>
        <v>201.47514285714286</v>
      </c>
    </row>
    <row r="60" spans="1:56" x14ac:dyDescent="0.25">
      <c r="A60" s="30" t="s">
        <v>19</v>
      </c>
      <c r="C60" s="66"/>
      <c r="D60" s="66"/>
      <c r="E60" s="46">
        <f>IF(E65="","",AVERAGE(F34:F57))</f>
        <v>0.60908518518518528</v>
      </c>
      <c r="F60" s="46"/>
      <c r="G60" s="46">
        <f t="shared" ref="G60:AW60" si="25">IF(G65="","",AVERAGE(H34:H57))</f>
        <v>0.77139722222222218</v>
      </c>
      <c r="H60" s="46"/>
      <c r="I60" s="46">
        <f t="shared" si="25"/>
        <v>0.6932101851851854</v>
      </c>
      <c r="J60" s="46"/>
      <c r="K60" s="46">
        <f t="shared" si="25"/>
        <v>0.64196666666666657</v>
      </c>
      <c r="L60" s="46"/>
      <c r="M60" s="46">
        <f t="shared" si="25"/>
        <v>0.5351088235294118</v>
      </c>
      <c r="N60" s="46"/>
      <c r="O60" s="66"/>
      <c r="P60" s="66"/>
      <c r="Q60" s="46">
        <f t="shared" si="25"/>
        <v>0.67745</v>
      </c>
      <c r="R60" s="46"/>
      <c r="S60" s="46">
        <f t="shared" si="25"/>
        <v>0.60661274509803931</v>
      </c>
      <c r="T60" s="46"/>
      <c r="U60" s="46">
        <f t="shared" si="25"/>
        <v>0.56514490740740742</v>
      </c>
      <c r="V60" s="46"/>
      <c r="W60" s="46">
        <f t="shared" si="25"/>
        <v>0.55399473684210532</v>
      </c>
      <c r="X60" s="46"/>
      <c r="Y60" s="46">
        <f t="shared" si="25"/>
        <v>0.63468437499999997</v>
      </c>
      <c r="Z60" s="46"/>
      <c r="AA60" s="66"/>
      <c r="AB60" s="66"/>
      <c r="AC60" s="46">
        <f t="shared" si="25"/>
        <v>0.54121481481481482</v>
      </c>
      <c r="AD60" s="46"/>
      <c r="AE60" s="46">
        <f t="shared" si="25"/>
        <v>0.6154289215686275</v>
      </c>
      <c r="AF60" s="46"/>
      <c r="AG60" s="46">
        <f t="shared" si="25"/>
        <v>0.48293421052631574</v>
      </c>
      <c r="AH60" s="46"/>
      <c r="AI60" s="46">
        <f t="shared" si="25"/>
        <v>0.62260392156862754</v>
      </c>
      <c r="AJ60" s="46"/>
      <c r="AK60" s="46">
        <f t="shared" si="25"/>
        <v>0.54701927083333346</v>
      </c>
      <c r="AL60" s="46"/>
      <c r="AM60" s="46"/>
      <c r="AN60" s="46"/>
      <c r="AO60" s="46">
        <f t="shared" si="25"/>
        <v>0.53455515873015869</v>
      </c>
      <c r="AP60" s="46"/>
      <c r="AQ60" s="46">
        <f t="shared" si="25"/>
        <v>0.62110343137254898</v>
      </c>
      <c r="AR60" s="46"/>
      <c r="AS60" s="46">
        <f t="shared" si="25"/>
        <v>0.57063416666666678</v>
      </c>
      <c r="AT60" s="46"/>
      <c r="AU60" s="46">
        <f t="shared" si="25"/>
        <v>0.51000586538461534</v>
      </c>
      <c r="AV60" s="46"/>
      <c r="AW60" s="46">
        <f t="shared" si="25"/>
        <v>0.43190048076923082</v>
      </c>
      <c r="AX60" s="46"/>
      <c r="AY60" s="46"/>
      <c r="AZ60" s="46"/>
      <c r="BA60" s="46">
        <f t="shared" ref="BA60" si="26">IF(BA65="","",AVERAGE(BB34:BB57))</f>
        <v>0.52816064814814812</v>
      </c>
      <c r="BB60" s="46"/>
      <c r="BC60" s="73"/>
      <c r="BD60" s="50">
        <f t="shared" ref="BD60:BD62" si="27">AVERAGE(C60,D60,E60,G60,M60,O60,P60,Q60,S60,Y60,AA60,AB60,AC60,AE60,AM60,AN60,AO60,AQ60,AS60,AU60,AW60,BA60)</f>
        <v>0.58481013132069071</v>
      </c>
    </row>
    <row r="61" spans="1:56" x14ac:dyDescent="0.25">
      <c r="C61" s="72"/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2"/>
      <c r="AW61" s="72"/>
      <c r="AX61" s="72"/>
      <c r="AY61" s="72"/>
      <c r="AZ61" s="72"/>
      <c r="BA61" s="72"/>
      <c r="BB61" s="72"/>
      <c r="BC61" s="73"/>
      <c r="BD61" s="49"/>
    </row>
    <row r="62" spans="1:56" x14ac:dyDescent="0.25">
      <c r="A62" s="30" t="s">
        <v>20</v>
      </c>
      <c r="C62" s="66"/>
      <c r="D62" s="66"/>
      <c r="E62" s="46">
        <f t="shared" ref="E62:BA62" si="28">IF(E65="","",(20-COUNTBLANK(E34:E53))/20)</f>
        <v>0.7</v>
      </c>
      <c r="F62" s="46"/>
      <c r="G62" s="46">
        <f t="shared" si="28"/>
        <v>0.7</v>
      </c>
      <c r="H62" s="46"/>
      <c r="I62" s="46">
        <f t="shared" si="28"/>
        <v>0.7</v>
      </c>
      <c r="J62" s="46"/>
      <c r="K62" s="46">
        <f t="shared" si="28"/>
        <v>0.65</v>
      </c>
      <c r="L62" s="46"/>
      <c r="M62" s="46">
        <f t="shared" si="28"/>
        <v>0.65</v>
      </c>
      <c r="N62" s="46"/>
      <c r="O62" s="66"/>
      <c r="P62" s="66"/>
      <c r="Q62" s="46">
        <f t="shared" si="28"/>
        <v>0.7</v>
      </c>
      <c r="R62" s="46"/>
      <c r="S62" s="46">
        <f t="shared" si="28"/>
        <v>0.65</v>
      </c>
      <c r="T62" s="46"/>
      <c r="U62" s="46">
        <f t="shared" si="28"/>
        <v>0.7</v>
      </c>
      <c r="V62" s="46"/>
      <c r="W62" s="46">
        <f t="shared" si="28"/>
        <v>0.75</v>
      </c>
      <c r="X62" s="46"/>
      <c r="Y62" s="46">
        <f t="shared" si="28"/>
        <v>0.6</v>
      </c>
      <c r="Z62" s="46"/>
      <c r="AA62" s="66"/>
      <c r="AB62" s="66"/>
      <c r="AC62" s="46">
        <f t="shared" si="28"/>
        <v>0.7</v>
      </c>
      <c r="AD62" s="46"/>
      <c r="AE62" s="46">
        <f t="shared" si="28"/>
        <v>0.65</v>
      </c>
      <c r="AF62" s="46"/>
      <c r="AG62" s="46">
        <f t="shared" si="28"/>
        <v>0.75</v>
      </c>
      <c r="AH62" s="46"/>
      <c r="AI62" s="46">
        <f t="shared" si="28"/>
        <v>0.65</v>
      </c>
      <c r="AJ62" s="46"/>
      <c r="AK62" s="46">
        <f t="shared" si="28"/>
        <v>0.6</v>
      </c>
      <c r="AL62" s="46"/>
      <c r="AM62" s="46"/>
      <c r="AN62" s="46"/>
      <c r="AO62" s="46">
        <f t="shared" si="28"/>
        <v>0.85</v>
      </c>
      <c r="AP62" s="46"/>
      <c r="AQ62" s="46">
        <f t="shared" si="28"/>
        <v>0.65</v>
      </c>
      <c r="AR62" s="46"/>
      <c r="AS62" s="46">
        <f t="shared" si="28"/>
        <v>0.8</v>
      </c>
      <c r="AT62" s="46"/>
      <c r="AU62" s="46">
        <f t="shared" si="28"/>
        <v>0.8</v>
      </c>
      <c r="AV62" s="46"/>
      <c r="AW62" s="46">
        <f t="shared" si="28"/>
        <v>0.8</v>
      </c>
      <c r="AX62" s="46"/>
      <c r="AY62" s="46"/>
      <c r="AZ62" s="46"/>
      <c r="BA62" s="46">
        <f t="shared" si="28"/>
        <v>0.7</v>
      </c>
      <c r="BB62" s="46"/>
      <c r="BC62" s="73"/>
      <c r="BD62" s="50">
        <f t="shared" si="27"/>
        <v>0.71071428571428574</v>
      </c>
    </row>
    <row r="63" spans="1:56" x14ac:dyDescent="0.25"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3"/>
      <c r="BD63" s="48"/>
    </row>
    <row r="64" spans="1:56" x14ac:dyDescent="0.25">
      <c r="A64" s="27" t="s">
        <v>13</v>
      </c>
      <c r="C64" s="34">
        <v>41699</v>
      </c>
      <c r="D64" s="34">
        <v>41700</v>
      </c>
      <c r="E64" s="59">
        <v>41701</v>
      </c>
      <c r="F64" s="59"/>
      <c r="G64" s="59">
        <v>41702</v>
      </c>
      <c r="H64" s="59"/>
      <c r="I64" s="59">
        <v>41703</v>
      </c>
      <c r="J64" s="59"/>
      <c r="K64" s="59">
        <v>41704</v>
      </c>
      <c r="L64" s="59"/>
      <c r="M64" s="59">
        <v>41705</v>
      </c>
      <c r="N64" s="59"/>
      <c r="O64" s="34">
        <v>41706</v>
      </c>
      <c r="P64" s="34">
        <v>41707</v>
      </c>
      <c r="Q64" s="59">
        <v>41708</v>
      </c>
      <c r="R64" s="59"/>
      <c r="S64" s="59">
        <v>41709</v>
      </c>
      <c r="T64" s="59"/>
      <c r="U64" s="59">
        <v>41710</v>
      </c>
      <c r="V64" s="59"/>
      <c r="W64" s="59">
        <v>41711</v>
      </c>
      <c r="X64" s="59"/>
      <c r="Y64" s="59">
        <v>41712</v>
      </c>
      <c r="Z64" s="59"/>
      <c r="AA64" s="34">
        <v>41713</v>
      </c>
      <c r="AB64" s="34">
        <v>41714</v>
      </c>
      <c r="AC64" s="59">
        <v>41715</v>
      </c>
      <c r="AD64" s="59"/>
      <c r="AE64" s="59">
        <v>41716</v>
      </c>
      <c r="AF64" s="59"/>
      <c r="AG64" s="59">
        <v>41717</v>
      </c>
      <c r="AH64" s="59"/>
      <c r="AI64" s="59">
        <v>41718</v>
      </c>
      <c r="AJ64" s="59"/>
      <c r="AK64" s="59">
        <v>41719</v>
      </c>
      <c r="AL64" s="59"/>
      <c r="AM64" s="34">
        <v>41720</v>
      </c>
      <c r="AN64" s="34">
        <v>41721</v>
      </c>
      <c r="AO64" s="59">
        <v>41722</v>
      </c>
      <c r="AP64" s="59"/>
      <c r="AQ64" s="59">
        <v>41723</v>
      </c>
      <c r="AR64" s="59"/>
      <c r="AS64" s="59">
        <v>41724</v>
      </c>
      <c r="AT64" s="59"/>
      <c r="AU64" s="59">
        <v>41725</v>
      </c>
      <c r="AV64" s="59"/>
      <c r="AW64" s="59">
        <v>41726</v>
      </c>
      <c r="AX64" s="59"/>
      <c r="AY64" s="34">
        <v>41727</v>
      </c>
      <c r="AZ64" s="34">
        <v>41728</v>
      </c>
      <c r="BA64" s="59">
        <v>41729</v>
      </c>
      <c r="BB64" s="57"/>
      <c r="BC64" s="73"/>
      <c r="BD64" s="48"/>
    </row>
    <row r="65" spans="1:56" x14ac:dyDescent="0.25">
      <c r="A65" s="28">
        <v>3</v>
      </c>
      <c r="B65" s="28">
        <v>24</v>
      </c>
      <c r="C65" s="37"/>
      <c r="D65" s="37"/>
      <c r="E65" s="39">
        <v>21.446999999999999</v>
      </c>
      <c r="F65" s="39">
        <f t="shared" ref="F65:L70" si="29">IF(E65="","",E65/$B$34)</f>
        <v>0.893625</v>
      </c>
      <c r="G65" s="39">
        <f>23.663</f>
        <v>23.663</v>
      </c>
      <c r="H65" s="39">
        <f t="shared" si="29"/>
        <v>0.98595833333333338</v>
      </c>
      <c r="I65" s="39">
        <v>12.853</v>
      </c>
      <c r="J65" s="39">
        <f t="shared" si="29"/>
        <v>0.53554166666666669</v>
      </c>
      <c r="K65" s="39">
        <f>6.038</f>
        <v>6.0380000000000003</v>
      </c>
      <c r="L65" s="39">
        <f t="shared" si="29"/>
        <v>0.25158333333333333</v>
      </c>
      <c r="M65" s="39">
        <v>11.064</v>
      </c>
      <c r="N65" s="39">
        <f>IF(M65="","",M65/$B$34)</f>
        <v>0.46100000000000002</v>
      </c>
      <c r="O65" s="40"/>
      <c r="P65" s="40"/>
      <c r="Q65" s="39">
        <f>22.509</f>
        <v>22.509</v>
      </c>
      <c r="R65" s="39">
        <f t="shared" ref="R65:AF65" si="30">IF(Q65="","",Q65/$B$34)</f>
        <v>0.93787500000000001</v>
      </c>
      <c r="S65" s="39">
        <v>24.995999999999999</v>
      </c>
      <c r="T65" s="39">
        <f t="shared" si="30"/>
        <v>1.0414999999999999</v>
      </c>
      <c r="U65" s="39">
        <f>24.662</f>
        <v>24.661999999999999</v>
      </c>
      <c r="V65" s="39">
        <f t="shared" si="30"/>
        <v>1.0275833333333333</v>
      </c>
      <c r="W65" s="39">
        <f>17.018</f>
        <v>17.018000000000001</v>
      </c>
      <c r="X65" s="39">
        <f t="shared" si="30"/>
        <v>0.7090833333333334</v>
      </c>
      <c r="Y65" s="39">
        <v>21.727</v>
      </c>
      <c r="Z65" s="39">
        <f t="shared" si="30"/>
        <v>0.90529166666666672</v>
      </c>
      <c r="AA65" s="40"/>
      <c r="AB65" s="40"/>
      <c r="AC65" s="39">
        <v>9.0630000000000006</v>
      </c>
      <c r="AD65" s="39">
        <f t="shared" si="30"/>
        <v>0.37762500000000004</v>
      </c>
      <c r="AE65" s="39">
        <f>14.824</f>
        <v>14.824</v>
      </c>
      <c r="AF65" s="39">
        <f t="shared" si="30"/>
        <v>0.6176666666666667</v>
      </c>
      <c r="AG65" s="39">
        <f>10.821</f>
        <v>10.821</v>
      </c>
      <c r="AH65" s="39">
        <f t="shared" ref="AH65:AV65" si="31">IF(AG65="","",AG65/$B$34)</f>
        <v>0.45087499999999997</v>
      </c>
      <c r="AI65" s="39">
        <v>17.905000000000001</v>
      </c>
      <c r="AJ65" s="39">
        <f t="shared" si="31"/>
        <v>0.74604166666666671</v>
      </c>
      <c r="AK65" s="39">
        <f>15.422</f>
        <v>15.422000000000001</v>
      </c>
      <c r="AL65" s="39">
        <f t="shared" si="31"/>
        <v>0.6425833333333334</v>
      </c>
      <c r="AM65" s="40"/>
      <c r="AN65" s="40"/>
      <c r="AO65" s="39">
        <v>11.124000000000001</v>
      </c>
      <c r="AP65" s="39">
        <f t="shared" si="31"/>
        <v>0.46350000000000002</v>
      </c>
      <c r="AQ65" s="39">
        <v>9.673</v>
      </c>
      <c r="AR65" s="39">
        <f t="shared" si="31"/>
        <v>0.40304166666666669</v>
      </c>
      <c r="AS65" s="39">
        <v>24.643000000000001</v>
      </c>
      <c r="AT65" s="39">
        <f t="shared" si="31"/>
        <v>1.0267916666666668</v>
      </c>
      <c r="AU65" s="39">
        <v>24.193999999999999</v>
      </c>
      <c r="AV65" s="39">
        <f t="shared" si="31"/>
        <v>1.0080833333333332</v>
      </c>
      <c r="AW65" s="39">
        <f>15.459</f>
        <v>15.459</v>
      </c>
      <c r="AX65" s="39">
        <f t="shared" ref="R65:AX70" si="32">IF(AW65="","",AW65/$B$34)</f>
        <v>0.64412499999999995</v>
      </c>
      <c r="AY65" s="40"/>
      <c r="AZ65" s="40"/>
      <c r="BA65" s="39">
        <v>23.317</v>
      </c>
      <c r="BB65" s="39">
        <f t="shared" ref="BB65:BB70" si="33">IF(BA65="","",BA65/$B$34)</f>
        <v>0.97154166666666664</v>
      </c>
      <c r="BC65" s="73"/>
      <c r="BD65" s="48"/>
    </row>
    <row r="66" spans="1:56" x14ac:dyDescent="0.25">
      <c r="A66" s="28">
        <v>3</v>
      </c>
      <c r="B66" s="27">
        <v>24</v>
      </c>
      <c r="C66" s="37"/>
      <c r="D66" s="37"/>
      <c r="E66" s="55">
        <f>7.104</f>
        <v>7.1040000000000001</v>
      </c>
      <c r="F66" s="55">
        <f t="shared" si="29"/>
        <v>0.29599999999999999</v>
      </c>
      <c r="G66" s="55">
        <f>8.009</f>
        <v>8.0090000000000003</v>
      </c>
      <c r="H66" s="55">
        <f t="shared" si="29"/>
        <v>0.33370833333333333</v>
      </c>
      <c r="I66" s="55">
        <f>18.916</f>
        <v>18.916</v>
      </c>
      <c r="J66" s="55">
        <f t="shared" si="29"/>
        <v>0.78816666666666668</v>
      </c>
      <c r="K66" s="55">
        <f>18.948</f>
        <v>18.948</v>
      </c>
      <c r="L66" s="55">
        <f t="shared" si="29"/>
        <v>0.78949999999999998</v>
      </c>
      <c r="M66" s="55">
        <v>18.798999999999999</v>
      </c>
      <c r="N66" s="55">
        <f t="shared" ref="N66:N70" si="34">IF(M66="","",M66/$B$34)</f>
        <v>0.78329166666666661</v>
      </c>
      <c r="O66" s="37"/>
      <c r="P66" s="37"/>
      <c r="Q66" s="55">
        <f>11.77</f>
        <v>11.77</v>
      </c>
      <c r="R66" s="55">
        <f t="shared" si="32"/>
        <v>0.49041666666666667</v>
      </c>
      <c r="S66" s="55">
        <f>10.858</f>
        <v>10.858000000000001</v>
      </c>
      <c r="T66" s="55">
        <f t="shared" si="32"/>
        <v>0.45241666666666669</v>
      </c>
      <c r="U66" s="55">
        <f>16.291</f>
        <v>16.291</v>
      </c>
      <c r="V66" s="55">
        <f t="shared" si="32"/>
        <v>0.67879166666666668</v>
      </c>
      <c r="W66" s="55">
        <f>10.639</f>
        <v>10.638999999999999</v>
      </c>
      <c r="X66" s="55">
        <f t="shared" si="32"/>
        <v>0.44329166666666664</v>
      </c>
      <c r="Y66" s="55">
        <f>0.596</f>
        <v>0.59599999999999997</v>
      </c>
      <c r="Z66" s="55">
        <f t="shared" si="32"/>
        <v>2.4833333333333332E-2</v>
      </c>
      <c r="AA66" s="37"/>
      <c r="AB66" s="37"/>
      <c r="AC66" s="55">
        <f>4.504</f>
        <v>4.5039999999999996</v>
      </c>
      <c r="AD66" s="55">
        <f t="shared" si="32"/>
        <v>0.18766666666666665</v>
      </c>
      <c r="AE66" s="55">
        <f>21.883</f>
        <v>21.882999999999999</v>
      </c>
      <c r="AF66" s="55">
        <f t="shared" si="32"/>
        <v>0.91179166666666667</v>
      </c>
      <c r="AG66" s="55">
        <v>11.093999999999999</v>
      </c>
      <c r="AH66" s="55">
        <f t="shared" si="32"/>
        <v>0.46224999999999999</v>
      </c>
      <c r="AI66" s="55">
        <f>19.972</f>
        <v>19.972000000000001</v>
      </c>
      <c r="AJ66" s="55">
        <f t="shared" si="32"/>
        <v>0.83216666666666672</v>
      </c>
      <c r="AK66" s="55">
        <f>18.031</f>
        <v>18.030999999999999</v>
      </c>
      <c r="AL66" s="55">
        <f t="shared" si="32"/>
        <v>0.75129166666666658</v>
      </c>
      <c r="AM66" s="37"/>
      <c r="AN66" s="37"/>
      <c r="AO66" s="56">
        <f>13.945</f>
        <v>13.945</v>
      </c>
      <c r="AP66" s="55">
        <f t="shared" si="32"/>
        <v>0.58104166666666668</v>
      </c>
      <c r="AQ66" s="55">
        <f>6.826</f>
        <v>6.8259999999999996</v>
      </c>
      <c r="AR66" s="55">
        <f t="shared" si="32"/>
        <v>0.28441666666666665</v>
      </c>
      <c r="AS66" s="55">
        <v>6.266</v>
      </c>
      <c r="AT66" s="55">
        <f t="shared" si="32"/>
        <v>0.26108333333333333</v>
      </c>
      <c r="AU66" s="55">
        <f>7.648</f>
        <v>7.6479999999999997</v>
      </c>
      <c r="AV66" s="55">
        <f t="shared" si="32"/>
        <v>0.31866666666666665</v>
      </c>
      <c r="AW66" s="55">
        <v>20.059000000000001</v>
      </c>
      <c r="AX66" s="55">
        <f t="shared" si="32"/>
        <v>0.83579166666666671</v>
      </c>
      <c r="AY66" s="37"/>
      <c r="AZ66" s="37"/>
      <c r="BA66" s="55">
        <f>21.48</f>
        <v>21.48</v>
      </c>
      <c r="BB66" s="55">
        <f t="shared" si="33"/>
        <v>0.89500000000000002</v>
      </c>
      <c r="BC66" s="73"/>
      <c r="BD66" s="48"/>
    </row>
    <row r="67" spans="1:56" x14ac:dyDescent="0.25">
      <c r="A67" s="28">
        <v>3</v>
      </c>
      <c r="B67" s="27">
        <v>24</v>
      </c>
      <c r="C67" s="37"/>
      <c r="D67" s="37"/>
      <c r="E67" s="55">
        <f>6.014</f>
        <v>6.0140000000000002</v>
      </c>
      <c r="F67" s="55">
        <f t="shared" si="29"/>
        <v>0.25058333333333332</v>
      </c>
      <c r="G67" s="55">
        <f>7.318</f>
        <v>7.3179999999999996</v>
      </c>
      <c r="H67" s="55">
        <f t="shared" si="29"/>
        <v>0.30491666666666667</v>
      </c>
      <c r="I67" s="55">
        <f>8.695</f>
        <v>8.6950000000000003</v>
      </c>
      <c r="J67" s="55">
        <f t="shared" si="29"/>
        <v>0.36229166666666668</v>
      </c>
      <c r="K67" s="55">
        <f>15.134</f>
        <v>15.134</v>
      </c>
      <c r="L67" s="55">
        <f t="shared" si="29"/>
        <v>0.63058333333333338</v>
      </c>
      <c r="M67" s="55">
        <f>8.091</f>
        <v>8.0909999999999993</v>
      </c>
      <c r="N67" s="55">
        <f t="shared" si="34"/>
        <v>0.33712499999999995</v>
      </c>
      <c r="O67" s="37"/>
      <c r="P67" s="37"/>
      <c r="Q67" s="55">
        <f>10.889</f>
        <v>10.888999999999999</v>
      </c>
      <c r="R67" s="55">
        <f t="shared" si="32"/>
        <v>0.45370833333333332</v>
      </c>
      <c r="S67" s="55">
        <f>18.121</f>
        <v>18.120999999999999</v>
      </c>
      <c r="T67" s="55">
        <f t="shared" si="32"/>
        <v>0.75504166666666661</v>
      </c>
      <c r="U67" s="55">
        <f>7.712</f>
        <v>7.7119999999999997</v>
      </c>
      <c r="V67" s="55">
        <f>IF(U67="","",U67/$B$34)</f>
        <v>0.3213333333333333</v>
      </c>
      <c r="W67" s="55">
        <f>13.864</f>
        <v>13.864000000000001</v>
      </c>
      <c r="X67" s="55">
        <f t="shared" si="32"/>
        <v>0.57766666666666666</v>
      </c>
      <c r="Y67" s="55">
        <f>12.436</f>
        <v>12.436</v>
      </c>
      <c r="Z67" s="55">
        <f t="shared" si="32"/>
        <v>0.51816666666666666</v>
      </c>
      <c r="AA67" s="37"/>
      <c r="AB67" s="37"/>
      <c r="AC67" s="55">
        <f>9.628</f>
        <v>9.6280000000000001</v>
      </c>
      <c r="AD67" s="55">
        <f t="shared" si="32"/>
        <v>0.40116666666666667</v>
      </c>
      <c r="AE67" s="55">
        <f>19.853</f>
        <v>19.853000000000002</v>
      </c>
      <c r="AF67" s="55">
        <f t="shared" si="32"/>
        <v>0.82720833333333343</v>
      </c>
      <c r="AG67" s="55">
        <f>18.876</f>
        <v>18.876000000000001</v>
      </c>
      <c r="AH67" s="55">
        <f t="shared" si="32"/>
        <v>0.78650000000000009</v>
      </c>
      <c r="AI67" s="55">
        <f>4.203</f>
        <v>4.2030000000000003</v>
      </c>
      <c r="AJ67" s="55">
        <f t="shared" si="32"/>
        <v>0.175125</v>
      </c>
      <c r="AK67" s="55">
        <f>16.281</f>
        <v>16.280999999999999</v>
      </c>
      <c r="AL67" s="55">
        <f t="shared" si="32"/>
        <v>0.67837499999999995</v>
      </c>
      <c r="AM67" s="37"/>
      <c r="AN67" s="37"/>
      <c r="AO67" s="56">
        <f>10.462</f>
        <v>10.462</v>
      </c>
      <c r="AP67" s="55">
        <f t="shared" si="32"/>
        <v>0.43591666666666667</v>
      </c>
      <c r="AQ67" s="55">
        <f>19.748</f>
        <v>19.748000000000001</v>
      </c>
      <c r="AR67" s="55">
        <f t="shared" si="32"/>
        <v>0.82283333333333342</v>
      </c>
      <c r="AS67" s="55">
        <f>24.896</f>
        <v>24.896000000000001</v>
      </c>
      <c r="AT67" s="55">
        <f t="shared" si="32"/>
        <v>1.0373333333333334</v>
      </c>
      <c r="AU67" s="55">
        <f>20.394</f>
        <v>20.393999999999998</v>
      </c>
      <c r="AV67" s="55">
        <f t="shared" si="32"/>
        <v>0.84974999999999989</v>
      </c>
      <c r="AW67" s="55">
        <f>20.133</f>
        <v>20.132999999999999</v>
      </c>
      <c r="AX67" s="55">
        <f t="shared" si="32"/>
        <v>0.83887499999999993</v>
      </c>
      <c r="AY67" s="37"/>
      <c r="AZ67" s="37"/>
      <c r="BA67" s="55">
        <f>21.123</f>
        <v>21.123000000000001</v>
      </c>
      <c r="BB67" s="55">
        <f t="shared" si="33"/>
        <v>0.88012500000000005</v>
      </c>
      <c r="BC67" s="73"/>
      <c r="BD67" s="48"/>
    </row>
    <row r="68" spans="1:56" x14ac:dyDescent="0.25">
      <c r="A68" s="28">
        <v>3</v>
      </c>
      <c r="B68" s="28">
        <v>24</v>
      </c>
      <c r="C68" s="37"/>
      <c r="D68" s="37"/>
      <c r="E68" s="39">
        <v>15.972</v>
      </c>
      <c r="F68" s="39">
        <f t="shared" si="29"/>
        <v>0.66549999999999998</v>
      </c>
      <c r="G68" s="39">
        <f>3.844</f>
        <v>3.8439999999999999</v>
      </c>
      <c r="H68" s="39">
        <f t="shared" si="29"/>
        <v>0.16016666666666665</v>
      </c>
      <c r="I68" s="39">
        <f>24.177</f>
        <v>24.177</v>
      </c>
      <c r="J68" s="39">
        <f t="shared" si="29"/>
        <v>1.0073749999999999</v>
      </c>
      <c r="K68" s="39">
        <f>8.194</f>
        <v>8.1940000000000008</v>
      </c>
      <c r="L68" s="39">
        <f t="shared" si="29"/>
        <v>0.3414166666666667</v>
      </c>
      <c r="M68" s="39">
        <f>22.197</f>
        <v>22.196999999999999</v>
      </c>
      <c r="N68" s="39">
        <f t="shared" si="34"/>
        <v>0.924875</v>
      </c>
      <c r="O68" s="37"/>
      <c r="P68" s="37"/>
      <c r="Q68" s="39">
        <v>14.164</v>
      </c>
      <c r="R68" s="39">
        <f t="shared" si="32"/>
        <v>0.59016666666666662</v>
      </c>
      <c r="S68" s="39">
        <f>18.628</f>
        <v>18.628</v>
      </c>
      <c r="T68" s="39">
        <f t="shared" si="32"/>
        <v>0.77616666666666667</v>
      </c>
      <c r="U68" s="39">
        <f>23.066</f>
        <v>23.065999999999999</v>
      </c>
      <c r="V68" s="39">
        <f t="shared" ref="V68:V70" si="35">IF(U68="","",U68/$B$34)</f>
        <v>0.96108333333333329</v>
      </c>
      <c r="W68" s="39"/>
      <c r="X68" s="39" t="str">
        <f t="shared" si="32"/>
        <v/>
      </c>
      <c r="Y68" s="39">
        <v>20.012</v>
      </c>
      <c r="Z68" s="39">
        <f t="shared" si="32"/>
        <v>0.83383333333333332</v>
      </c>
      <c r="AA68" s="37"/>
      <c r="AB68" s="37"/>
      <c r="AC68" s="39">
        <f>14.098</f>
        <v>14.098000000000001</v>
      </c>
      <c r="AD68" s="39">
        <f t="shared" si="32"/>
        <v>0.5874166666666667</v>
      </c>
      <c r="AE68" s="39">
        <f>18.239</f>
        <v>18.239000000000001</v>
      </c>
      <c r="AF68" s="39">
        <f t="shared" si="32"/>
        <v>0.7599583333333334</v>
      </c>
      <c r="AG68" s="39">
        <f>17.28</f>
        <v>17.28</v>
      </c>
      <c r="AH68" s="39">
        <f t="shared" si="32"/>
        <v>0.72000000000000008</v>
      </c>
      <c r="AI68" s="39">
        <f>3.115</f>
        <v>3.1150000000000002</v>
      </c>
      <c r="AJ68" s="39">
        <f t="shared" si="32"/>
        <v>0.12979166666666667</v>
      </c>
      <c r="AK68" s="39">
        <f>7.455</f>
        <v>7.4550000000000001</v>
      </c>
      <c r="AL68" s="39">
        <f t="shared" si="32"/>
        <v>0.31062499999999998</v>
      </c>
      <c r="AM68" s="37"/>
      <c r="AN68" s="37"/>
      <c r="AO68" s="36">
        <f>14.063</f>
        <v>14.063000000000001</v>
      </c>
      <c r="AP68" s="39">
        <f t="shared" si="32"/>
        <v>0.58595833333333336</v>
      </c>
      <c r="AQ68" s="39">
        <f>19.074</f>
        <v>19.074000000000002</v>
      </c>
      <c r="AR68" s="39">
        <f t="shared" si="32"/>
        <v>0.79475000000000007</v>
      </c>
      <c r="AS68" s="39">
        <f>24.567</f>
        <v>24.567</v>
      </c>
      <c r="AT68" s="39">
        <f t="shared" si="32"/>
        <v>1.023625</v>
      </c>
      <c r="AU68" s="39">
        <f>10.812</f>
        <v>10.811999999999999</v>
      </c>
      <c r="AV68" s="39">
        <f t="shared" si="32"/>
        <v>0.45049999999999996</v>
      </c>
      <c r="AW68" s="39">
        <v>19.742999999999999</v>
      </c>
      <c r="AX68" s="39">
        <f t="shared" si="32"/>
        <v>0.82262499999999994</v>
      </c>
      <c r="AY68" s="37"/>
      <c r="AZ68" s="37"/>
      <c r="BA68" s="39">
        <f>25.849</f>
        <v>25.849</v>
      </c>
      <c r="BB68" s="39">
        <f t="shared" si="33"/>
        <v>1.0770416666666667</v>
      </c>
      <c r="BC68" s="73"/>
      <c r="BD68" s="48"/>
    </row>
    <row r="69" spans="1:56" x14ac:dyDescent="0.25">
      <c r="A69" s="28">
        <v>3</v>
      </c>
      <c r="B69" s="27">
        <v>24</v>
      </c>
      <c r="C69" s="37"/>
      <c r="D69" s="37"/>
      <c r="E69" s="56"/>
      <c r="F69" s="55" t="str">
        <f t="shared" si="29"/>
        <v/>
      </c>
      <c r="G69" s="55"/>
      <c r="H69" s="55" t="str">
        <f t="shared" si="29"/>
        <v/>
      </c>
      <c r="I69" s="55">
        <f>21.164</f>
        <v>21.164000000000001</v>
      </c>
      <c r="J69" s="55">
        <f t="shared" si="29"/>
        <v>0.88183333333333336</v>
      </c>
      <c r="K69" s="55"/>
      <c r="L69" s="55" t="str">
        <f t="shared" si="29"/>
        <v/>
      </c>
      <c r="M69" s="55"/>
      <c r="N69" s="55" t="str">
        <f t="shared" si="34"/>
        <v/>
      </c>
      <c r="O69" s="37"/>
      <c r="P69" s="37"/>
      <c r="Q69" s="55"/>
      <c r="R69" s="55" t="str">
        <f t="shared" si="32"/>
        <v/>
      </c>
      <c r="S69" s="55"/>
      <c r="T69" s="55" t="str">
        <f t="shared" si="32"/>
        <v/>
      </c>
      <c r="U69" s="55">
        <f>8.024</f>
        <v>8.0239999999999991</v>
      </c>
      <c r="V69" s="55">
        <f t="shared" si="35"/>
        <v>0.33433333333333332</v>
      </c>
      <c r="W69" s="55"/>
      <c r="X69" s="55" t="str">
        <f t="shared" si="32"/>
        <v/>
      </c>
      <c r="Y69" s="55">
        <f>14.104</f>
        <v>14.103999999999999</v>
      </c>
      <c r="Z69" s="55">
        <f t="shared" si="32"/>
        <v>0.58766666666666667</v>
      </c>
      <c r="AA69" s="37"/>
      <c r="AB69" s="37"/>
      <c r="AC69" s="55"/>
      <c r="AD69" s="55" t="str">
        <f t="shared" si="32"/>
        <v/>
      </c>
      <c r="AE69" s="55"/>
      <c r="AF69" s="55" t="str">
        <f t="shared" si="32"/>
        <v/>
      </c>
      <c r="AG69" s="55"/>
      <c r="AH69" s="55" t="str">
        <f t="shared" si="32"/>
        <v/>
      </c>
      <c r="AI69" s="56"/>
      <c r="AJ69" s="55" t="str">
        <f t="shared" si="32"/>
        <v/>
      </c>
      <c r="AK69" s="55">
        <f>9.346</f>
        <v>9.3460000000000001</v>
      </c>
      <c r="AL69" s="55">
        <f t="shared" si="32"/>
        <v>0.38941666666666669</v>
      </c>
      <c r="AM69" s="37"/>
      <c r="AN69" s="37"/>
      <c r="AO69" s="56"/>
      <c r="AP69" s="55" t="str">
        <f t="shared" si="32"/>
        <v/>
      </c>
      <c r="AQ69" s="55">
        <f>1.803</f>
        <v>1.8029999999999999</v>
      </c>
      <c r="AR69" s="55">
        <f t="shared" si="32"/>
        <v>7.5124999999999997E-2</v>
      </c>
      <c r="AS69" s="55"/>
      <c r="AT69" s="55" t="str">
        <f t="shared" si="32"/>
        <v/>
      </c>
      <c r="AU69" s="55"/>
      <c r="AV69" s="55" t="str">
        <f t="shared" si="32"/>
        <v/>
      </c>
      <c r="AW69" s="55">
        <v>11.092000000000001</v>
      </c>
      <c r="AX69" s="55">
        <f t="shared" si="32"/>
        <v>0.46216666666666667</v>
      </c>
      <c r="AY69" s="37"/>
      <c r="AZ69" s="37"/>
      <c r="BA69" s="56"/>
      <c r="BB69" s="55" t="str">
        <f t="shared" si="33"/>
        <v/>
      </c>
      <c r="BC69" s="73"/>
      <c r="BD69" s="48"/>
    </row>
    <row r="70" spans="1:56" x14ac:dyDescent="0.25">
      <c r="A70" s="28">
        <v>3</v>
      </c>
      <c r="B70" s="27">
        <v>24</v>
      </c>
      <c r="C70" s="37"/>
      <c r="D70" s="37"/>
      <c r="E70" s="56"/>
      <c r="F70" s="55" t="str">
        <f t="shared" si="29"/>
        <v/>
      </c>
      <c r="G70" s="55">
        <v>7.0090000000000003</v>
      </c>
      <c r="H70" s="55">
        <f t="shared" si="29"/>
        <v>0.2920416666666667</v>
      </c>
      <c r="I70" s="56"/>
      <c r="J70" s="55" t="str">
        <f t="shared" si="29"/>
        <v/>
      </c>
      <c r="K70" s="56"/>
      <c r="L70" s="55" t="str">
        <f t="shared" si="29"/>
        <v/>
      </c>
      <c r="M70" s="55">
        <f>6.326</f>
        <v>6.3259999999999996</v>
      </c>
      <c r="N70" s="55">
        <f t="shared" si="34"/>
        <v>0.26358333333333334</v>
      </c>
      <c r="O70" s="37"/>
      <c r="P70" s="37"/>
      <c r="Q70" s="56"/>
      <c r="R70" s="55" t="str">
        <f t="shared" si="32"/>
        <v/>
      </c>
      <c r="S70" s="56"/>
      <c r="T70" s="55" t="str">
        <f t="shared" si="32"/>
        <v/>
      </c>
      <c r="U70" s="55"/>
      <c r="V70" s="55" t="str">
        <f t="shared" si="35"/>
        <v/>
      </c>
      <c r="W70" s="55"/>
      <c r="X70" s="55" t="str">
        <f t="shared" si="32"/>
        <v/>
      </c>
      <c r="Y70" s="55">
        <v>14.948</v>
      </c>
      <c r="Z70" s="55">
        <f t="shared" si="32"/>
        <v>0.62283333333333335</v>
      </c>
      <c r="AA70" s="37"/>
      <c r="AB70" s="37"/>
      <c r="AC70" s="55"/>
      <c r="AD70" s="55" t="str">
        <f t="shared" si="32"/>
        <v/>
      </c>
      <c r="AE70" s="55"/>
      <c r="AF70" s="55" t="str">
        <f t="shared" si="32"/>
        <v/>
      </c>
      <c r="AG70" s="55">
        <v>6.9619999999999997</v>
      </c>
      <c r="AH70" s="55">
        <f t="shared" si="32"/>
        <v>0.2900833333333333</v>
      </c>
      <c r="AI70" s="56"/>
      <c r="AJ70" s="55" t="str">
        <f t="shared" si="32"/>
        <v/>
      </c>
      <c r="AK70" s="55">
        <f>9.184</f>
        <v>9.1839999999999993</v>
      </c>
      <c r="AL70" s="55">
        <f t="shared" si="32"/>
        <v>0.38266666666666665</v>
      </c>
      <c r="AM70" s="37"/>
      <c r="AN70" s="37"/>
      <c r="AO70" s="56"/>
      <c r="AP70" s="55" t="str">
        <f t="shared" si="32"/>
        <v/>
      </c>
      <c r="AQ70" s="55">
        <v>4.1680000000000001</v>
      </c>
      <c r="AR70" s="55">
        <f t="shared" si="32"/>
        <v>0.17366666666666666</v>
      </c>
      <c r="AS70" s="55"/>
      <c r="AT70" s="55" t="str">
        <f t="shared" si="32"/>
        <v/>
      </c>
      <c r="AU70" s="55"/>
      <c r="AV70" s="55" t="str">
        <f t="shared" si="32"/>
        <v/>
      </c>
      <c r="AW70" s="55">
        <v>6.5350000000000001</v>
      </c>
      <c r="AX70" s="55">
        <f t="shared" si="32"/>
        <v>0.27229166666666665</v>
      </c>
      <c r="AY70" s="37"/>
      <c r="AZ70" s="37"/>
      <c r="BA70" s="56"/>
      <c r="BB70" s="55" t="str">
        <f t="shared" si="33"/>
        <v/>
      </c>
      <c r="BC70" s="73"/>
      <c r="BD70" s="48"/>
    </row>
    <row r="71" spans="1:56" x14ac:dyDescent="0.25"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3"/>
      <c r="BD71" s="48"/>
    </row>
    <row r="72" spans="1:56" x14ac:dyDescent="0.25">
      <c r="A72" s="30" t="s">
        <v>18</v>
      </c>
      <c r="B72" s="64"/>
      <c r="C72" s="46"/>
      <c r="D72" s="46"/>
      <c r="E72" s="46">
        <f>IF(E65="","",AVERAGE(F65:F70))</f>
        <v>0.52642708333333332</v>
      </c>
      <c r="F72" s="46"/>
      <c r="G72" s="46">
        <f t="shared" ref="G72:AW72" si="36">IF(G65="","",AVERAGE(H65:H70))</f>
        <v>0.41535833333333338</v>
      </c>
      <c r="H72" s="46"/>
      <c r="I72" s="46">
        <f t="shared" si="36"/>
        <v>0.71504166666666658</v>
      </c>
      <c r="J72" s="46"/>
      <c r="K72" s="46">
        <f t="shared" si="36"/>
        <v>0.50327083333333333</v>
      </c>
      <c r="L72" s="46"/>
      <c r="M72" s="46">
        <f t="shared" si="36"/>
        <v>0.553975</v>
      </c>
      <c r="N72" s="46"/>
      <c r="O72" s="46"/>
      <c r="P72" s="46"/>
      <c r="Q72" s="46">
        <f t="shared" si="36"/>
        <v>0.61804166666666671</v>
      </c>
      <c r="R72" s="46"/>
      <c r="S72" s="46">
        <f t="shared" si="36"/>
        <v>0.75628125000000002</v>
      </c>
      <c r="T72" s="46"/>
      <c r="U72" s="46">
        <f t="shared" si="36"/>
        <v>0.66462500000000002</v>
      </c>
      <c r="V72" s="46"/>
      <c r="W72" s="46">
        <f t="shared" si="36"/>
        <v>0.57668055555555553</v>
      </c>
      <c r="X72" s="46"/>
      <c r="Y72" s="46">
        <f t="shared" si="36"/>
        <v>0.58210416666666676</v>
      </c>
      <c r="Z72" s="46"/>
      <c r="AA72" s="46"/>
      <c r="AB72" s="46"/>
      <c r="AC72" s="46">
        <f t="shared" si="36"/>
        <v>0.38846875000000003</v>
      </c>
      <c r="AD72" s="46"/>
      <c r="AE72" s="46">
        <f t="shared" si="36"/>
        <v>0.77915625000000011</v>
      </c>
      <c r="AF72" s="46"/>
      <c r="AG72" s="46">
        <f t="shared" si="36"/>
        <v>0.54194166666666677</v>
      </c>
      <c r="AH72" s="46"/>
      <c r="AI72" s="46">
        <f t="shared" si="36"/>
        <v>0.47078125000000004</v>
      </c>
      <c r="AJ72" s="46"/>
      <c r="AK72" s="46">
        <f t="shared" si="36"/>
        <v>0.52582638888888888</v>
      </c>
      <c r="AL72" s="46"/>
      <c r="AM72" s="46"/>
      <c r="AN72" s="46"/>
      <c r="AO72" s="46">
        <f t="shared" si="36"/>
        <v>0.51660416666666675</v>
      </c>
      <c r="AP72" s="46"/>
      <c r="AQ72" s="46">
        <f t="shared" si="36"/>
        <v>0.4256388888888889</v>
      </c>
      <c r="AR72" s="46"/>
      <c r="AS72" s="46">
        <f t="shared" si="36"/>
        <v>0.83720833333333333</v>
      </c>
      <c r="AT72" s="46"/>
      <c r="AU72" s="46">
        <f t="shared" si="36"/>
        <v>0.65674999999999994</v>
      </c>
      <c r="AV72" s="46"/>
      <c r="AW72" s="46">
        <f t="shared" si="36"/>
        <v>0.64597916666666666</v>
      </c>
      <c r="AX72" s="46"/>
      <c r="AY72" s="46"/>
      <c r="AZ72" s="46"/>
      <c r="BA72" s="46">
        <f t="shared" ref="BA72" si="37">IF(BA65="","",AVERAGE(BB65:BB70))</f>
        <v>0.95592708333333332</v>
      </c>
      <c r="BB72" s="46"/>
      <c r="BC72" s="73"/>
      <c r="BD72" s="50">
        <f>AVERAGE(C72:BA72)</f>
        <v>0.60267083333333338</v>
      </c>
    </row>
    <row r="73" spans="1:56" x14ac:dyDescent="0.25"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  <c r="AV73" s="72"/>
      <c r="AW73" s="72"/>
      <c r="AX73" s="72"/>
      <c r="AY73" s="72"/>
      <c r="AZ73" s="72"/>
      <c r="BA73" s="72"/>
      <c r="BB73" s="72"/>
      <c r="BC73" s="73"/>
      <c r="BD73" s="50"/>
    </row>
    <row r="74" spans="1:56" x14ac:dyDescent="0.25">
      <c r="A74" s="30" t="s">
        <v>12</v>
      </c>
      <c r="C74" s="72"/>
      <c r="D74" s="72"/>
      <c r="E74" s="72">
        <f t="shared" ref="E74:BA74" si="38">SUM(E65:E70)</f>
        <v>50.536999999999999</v>
      </c>
      <c r="F74" s="72"/>
      <c r="G74" s="72">
        <f t="shared" si="38"/>
        <v>49.843000000000004</v>
      </c>
      <c r="H74" s="72"/>
      <c r="I74" s="72">
        <f t="shared" si="38"/>
        <v>85.804999999999993</v>
      </c>
      <c r="J74" s="72"/>
      <c r="K74" s="72">
        <f t="shared" si="38"/>
        <v>48.314000000000007</v>
      </c>
      <c r="L74" s="72"/>
      <c r="M74" s="72">
        <f t="shared" si="38"/>
        <v>66.47699999999999</v>
      </c>
      <c r="N74" s="72"/>
      <c r="O74" s="72"/>
      <c r="P74" s="72"/>
      <c r="Q74" s="72">
        <f t="shared" si="38"/>
        <v>59.331999999999994</v>
      </c>
      <c r="R74" s="72"/>
      <c r="S74" s="72">
        <f t="shared" si="38"/>
        <v>72.602999999999994</v>
      </c>
      <c r="T74" s="72"/>
      <c r="U74" s="72">
        <f t="shared" si="38"/>
        <v>79.75500000000001</v>
      </c>
      <c r="V74" s="72"/>
      <c r="W74" s="72">
        <f t="shared" si="38"/>
        <v>41.521000000000001</v>
      </c>
      <c r="X74" s="72"/>
      <c r="Y74" s="72">
        <f t="shared" si="38"/>
        <v>83.823000000000008</v>
      </c>
      <c r="Z74" s="72"/>
      <c r="AA74" s="72"/>
      <c r="AB74" s="72"/>
      <c r="AC74" s="72">
        <f t="shared" si="38"/>
        <v>37.292999999999999</v>
      </c>
      <c r="AD74" s="72"/>
      <c r="AE74" s="72">
        <f t="shared" si="38"/>
        <v>74.799000000000007</v>
      </c>
      <c r="AF74" s="72"/>
      <c r="AG74" s="72">
        <f t="shared" si="38"/>
        <v>65.033000000000001</v>
      </c>
      <c r="AH74" s="72"/>
      <c r="AI74" s="72">
        <f t="shared" si="38"/>
        <v>45.195000000000007</v>
      </c>
      <c r="AJ74" s="72"/>
      <c r="AK74" s="72">
        <f t="shared" si="38"/>
        <v>75.718999999999994</v>
      </c>
      <c r="AL74" s="72"/>
      <c r="AM74" s="72"/>
      <c r="AN74" s="72"/>
      <c r="AO74" s="72">
        <f t="shared" si="38"/>
        <v>49.594000000000008</v>
      </c>
      <c r="AP74" s="72"/>
      <c r="AQ74" s="72">
        <f t="shared" si="38"/>
        <v>61.291999999999994</v>
      </c>
      <c r="AR74" s="72"/>
      <c r="AS74" s="72">
        <f t="shared" si="38"/>
        <v>80.372</v>
      </c>
      <c r="AT74" s="72"/>
      <c r="AU74" s="72">
        <f t="shared" si="38"/>
        <v>63.047999999999995</v>
      </c>
      <c r="AV74" s="72"/>
      <c r="AW74" s="72">
        <f t="shared" si="38"/>
        <v>93.020999999999987</v>
      </c>
      <c r="AX74" s="72"/>
      <c r="AY74" s="72"/>
      <c r="AZ74" s="72"/>
      <c r="BA74" s="72">
        <f t="shared" si="38"/>
        <v>91.769000000000005</v>
      </c>
      <c r="BB74" s="72"/>
      <c r="BC74" s="73"/>
      <c r="BD74" s="50"/>
    </row>
    <row r="75" spans="1:56" x14ac:dyDescent="0.25">
      <c r="A75" s="29" t="s">
        <v>14</v>
      </c>
      <c r="B75" s="64"/>
      <c r="C75" s="46"/>
      <c r="D75" s="46"/>
      <c r="E75" s="46">
        <f>IF(E74=0,"",(SUM(E65:E70)/(E59+E74)))</f>
        <v>0.18652882251766115</v>
      </c>
      <c r="F75" s="46"/>
      <c r="G75" s="46">
        <f t="shared" ref="G75:BB75" si="39">IF(G74=0,"",(SUM(G65:G70)/(G59+G74)))</f>
        <v>0.16591381921675016</v>
      </c>
      <c r="H75" s="46"/>
      <c r="I75" s="46">
        <f t="shared" si="39"/>
        <v>0.26333234103540659</v>
      </c>
      <c r="J75" s="46"/>
      <c r="K75" s="46">
        <f t="shared" si="39"/>
        <v>0.19419981108185783</v>
      </c>
      <c r="L75" s="46"/>
      <c r="M75" s="46">
        <f t="shared" si="39"/>
        <v>0.27875059752937326</v>
      </c>
      <c r="N75" s="46"/>
      <c r="O75" s="46"/>
      <c r="P75" s="46"/>
      <c r="Q75" s="46">
        <f t="shared" si="39"/>
        <v>0.20484173893829752</v>
      </c>
      <c r="R75" s="46"/>
      <c r="S75" s="46">
        <f t="shared" si="39"/>
        <v>0.26959395480960247</v>
      </c>
      <c r="T75" s="46"/>
      <c r="U75" s="46">
        <f t="shared" si="39"/>
        <v>0.29960443424329736</v>
      </c>
      <c r="V75" s="46"/>
      <c r="W75" s="46">
        <f t="shared" si="39"/>
        <v>0.17188405557119438</v>
      </c>
      <c r="X75" s="46"/>
      <c r="Y75" s="46">
        <f t="shared" si="39"/>
        <v>0.31222482958989833</v>
      </c>
      <c r="Z75" s="46"/>
      <c r="AA75" s="46"/>
      <c r="AB75" s="46"/>
      <c r="AC75" s="46">
        <f t="shared" si="39"/>
        <v>0.15937315703553021</v>
      </c>
      <c r="AD75" s="46"/>
      <c r="AE75" s="46">
        <f t="shared" si="39"/>
        <v>0.27925391912728248</v>
      </c>
      <c r="AF75" s="46"/>
      <c r="AG75" s="46">
        <f t="shared" si="39"/>
        <v>0.25680889292554349</v>
      </c>
      <c r="AH75" s="46"/>
      <c r="AI75" s="46">
        <f t="shared" si="39"/>
        <v>0.19400326236263737</v>
      </c>
      <c r="AJ75" s="46"/>
      <c r="AK75" s="46">
        <f t="shared" si="39"/>
        <v>0.32088537053596022</v>
      </c>
      <c r="AL75" s="46"/>
      <c r="AM75" s="46"/>
      <c r="AN75" s="46"/>
      <c r="AO75" s="46">
        <f t="shared" si="39"/>
        <v>0.19063030927359534</v>
      </c>
      <c r="AP75" s="46"/>
      <c r="AQ75" s="46">
        <f t="shared" si="39"/>
        <v>0.23639673552507753</v>
      </c>
      <c r="AR75" s="46"/>
      <c r="AS75" s="46">
        <f t="shared" si="39"/>
        <v>0.26724034740048147</v>
      </c>
      <c r="AT75" s="46"/>
      <c r="AU75" s="46">
        <f t="shared" si="39"/>
        <v>0.2416298749080206</v>
      </c>
      <c r="AV75" s="46"/>
      <c r="AW75" s="46">
        <f t="shared" si="39"/>
        <v>0.35620986363688584</v>
      </c>
      <c r="AX75" s="46"/>
      <c r="AY75" s="46" t="str">
        <f t="shared" si="39"/>
        <v/>
      </c>
      <c r="AZ75" s="46" t="str">
        <f t="shared" si="39"/>
        <v/>
      </c>
      <c r="BA75" s="46">
        <f t="shared" si="39"/>
        <v>0.33602832672400845</v>
      </c>
      <c r="BB75" s="46" t="str">
        <f t="shared" si="39"/>
        <v/>
      </c>
      <c r="BC75" s="73"/>
      <c r="BD75" s="50">
        <f t="shared" ref="BD75" si="40">AVERAGE(C75:BA75)</f>
        <v>0.24692068876135059</v>
      </c>
    </row>
    <row r="76" spans="1:56" x14ac:dyDescent="0.25"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</row>
    <row r="77" spans="1:56" x14ac:dyDescent="0.25"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</row>
    <row r="78" spans="1:56" x14ac:dyDescent="0.25">
      <c r="A78" s="27" t="s">
        <v>29</v>
      </c>
      <c r="C78" s="18">
        <v>41699</v>
      </c>
      <c r="D78" s="18">
        <v>41700</v>
      </c>
      <c r="E78" s="57">
        <v>41701</v>
      </c>
      <c r="F78" s="57"/>
      <c r="G78" s="57">
        <v>41702</v>
      </c>
      <c r="H78" s="57"/>
      <c r="I78" s="57">
        <v>41703</v>
      </c>
      <c r="J78" s="57"/>
      <c r="K78" s="57">
        <v>41704</v>
      </c>
      <c r="L78" s="57"/>
      <c r="M78" s="57">
        <v>41705</v>
      </c>
      <c r="N78" s="57"/>
      <c r="O78" s="18">
        <v>41706</v>
      </c>
      <c r="P78" s="18">
        <v>41707</v>
      </c>
      <c r="Q78" s="57">
        <v>41708</v>
      </c>
      <c r="R78" s="57"/>
      <c r="S78" s="57">
        <v>41709</v>
      </c>
      <c r="T78" s="57"/>
      <c r="U78" s="57">
        <v>41710</v>
      </c>
      <c r="V78" s="57"/>
      <c r="W78" s="57">
        <v>41711</v>
      </c>
      <c r="X78" s="57"/>
      <c r="Y78" s="57">
        <v>41712</v>
      </c>
      <c r="Z78" s="57"/>
      <c r="AA78" s="18">
        <v>41713</v>
      </c>
      <c r="AB78" s="18">
        <v>41714</v>
      </c>
      <c r="AC78" s="57">
        <v>41715</v>
      </c>
      <c r="AD78" s="57"/>
      <c r="AE78" s="57">
        <v>41716</v>
      </c>
      <c r="AF78" s="57"/>
      <c r="AG78" s="57">
        <v>41717</v>
      </c>
      <c r="AH78" s="57"/>
      <c r="AI78" s="57">
        <v>41718</v>
      </c>
      <c r="AJ78" s="57"/>
      <c r="AK78" s="57">
        <v>41719</v>
      </c>
      <c r="AL78" s="57"/>
      <c r="AM78" s="18">
        <v>41720</v>
      </c>
      <c r="AN78" s="18">
        <v>41721</v>
      </c>
      <c r="AO78" s="57">
        <v>41722</v>
      </c>
      <c r="AP78" s="57"/>
      <c r="AQ78" s="57">
        <v>41723</v>
      </c>
      <c r="AR78" s="57"/>
      <c r="AS78" s="57">
        <v>41724</v>
      </c>
      <c r="AT78" s="57"/>
      <c r="AU78" s="57">
        <v>41725</v>
      </c>
      <c r="AV78" s="57"/>
      <c r="AW78" s="57">
        <v>41726</v>
      </c>
      <c r="AX78" s="57"/>
      <c r="AY78" s="18">
        <v>41727</v>
      </c>
      <c r="AZ78" s="18">
        <v>41728</v>
      </c>
      <c r="BA78" s="57">
        <v>41729</v>
      </c>
      <c r="BB78" s="57"/>
      <c r="BC78" s="76"/>
    </row>
    <row r="79" spans="1:56" x14ac:dyDescent="0.25">
      <c r="A79" s="26">
        <v>4</v>
      </c>
      <c r="C79" s="66"/>
      <c r="D79" s="60"/>
      <c r="E79" s="70">
        <f>0.498+1.283+0.257+1.229+5</f>
        <v>8.2669999999999995</v>
      </c>
      <c r="F79" s="68"/>
      <c r="G79" s="70">
        <f>2.404+1.4+1.256+4.011+0.564</f>
        <v>9.6349999999999998</v>
      </c>
      <c r="H79" s="68"/>
      <c r="I79" s="70">
        <f>1.4+1.4</f>
        <v>2.8</v>
      </c>
      <c r="J79" s="69"/>
      <c r="K79" s="68"/>
      <c r="L79" s="68"/>
      <c r="M79" s="70">
        <f>20.23+1.189+1.227+2.662+2.391+2.446+14.953+11</f>
        <v>56.097999999999999</v>
      </c>
      <c r="N79" s="69"/>
      <c r="O79" s="66"/>
      <c r="P79" s="66"/>
      <c r="Q79" s="70">
        <f>1.217+1.256+0.218</f>
        <v>2.6909999999999998</v>
      </c>
      <c r="R79" s="70"/>
      <c r="S79" s="70">
        <f>13+12+1.256+0.307</f>
        <v>26.562999999999999</v>
      </c>
      <c r="T79" s="70"/>
      <c r="U79" s="70">
        <f>2.674+0.502</f>
        <v>3.1760000000000002</v>
      </c>
      <c r="V79" s="70"/>
      <c r="W79" s="70">
        <f>1.078+1.4</f>
        <v>2.4779999999999998</v>
      </c>
      <c r="X79" s="68"/>
      <c r="Y79" s="70">
        <f>6.584</f>
        <v>6.5839999999999996</v>
      </c>
      <c r="Z79" s="68"/>
      <c r="AA79" s="66"/>
      <c r="AB79" s="66"/>
      <c r="AC79" s="70">
        <f>1.193</f>
        <v>1.1930000000000001</v>
      </c>
      <c r="AD79" s="69"/>
      <c r="AE79" s="70">
        <f>3.496+0.472</f>
        <v>3.968</v>
      </c>
      <c r="AF79" s="68"/>
      <c r="AG79" s="70">
        <f>2.349+10.066</f>
        <v>12.415000000000001</v>
      </c>
      <c r="AH79" s="68"/>
      <c r="AI79" s="70">
        <f>2.434+1.4</f>
        <v>3.8340000000000001</v>
      </c>
      <c r="AJ79" s="68"/>
      <c r="AK79" s="70">
        <f>22.944+1.409+3.075</f>
        <v>27.427999999999997</v>
      </c>
      <c r="AL79" s="68"/>
      <c r="AM79" s="60"/>
      <c r="AN79" s="60"/>
      <c r="AO79" s="68">
        <f>1.189+2.512+23.528+2.136</f>
        <v>29.364999999999998</v>
      </c>
      <c r="AP79" s="68"/>
      <c r="AQ79" s="70">
        <f>1.255+0.486+4.868+18+0.95+0.219</f>
        <v>25.778000000000002</v>
      </c>
      <c r="AR79" s="70"/>
      <c r="AS79" s="70">
        <f>10.966</f>
        <v>10.965999999999999</v>
      </c>
      <c r="AT79" s="68"/>
      <c r="AU79" s="70">
        <f>1.075+11.327</f>
        <v>12.401999999999999</v>
      </c>
      <c r="AV79" s="68"/>
      <c r="AW79" s="70">
        <f>2.458+1.229+1.217</f>
        <v>4.9039999999999999</v>
      </c>
      <c r="AX79" s="68"/>
      <c r="AY79" s="60"/>
      <c r="AZ79" s="60"/>
      <c r="BA79" s="70">
        <f>1.256+3.58+2.836</f>
        <v>7.6720000000000006</v>
      </c>
      <c r="BB79" s="68"/>
      <c r="BC79" s="79">
        <f>SUM(E79:M79,Q79:Y79,AC79:AK79,AO79:AW79,BA79)</f>
        <v>258.21699999999998</v>
      </c>
    </row>
    <row r="80" spans="1:56" x14ac:dyDescent="0.25">
      <c r="A80" s="26">
        <v>4</v>
      </c>
      <c r="C80" s="60"/>
      <c r="D80" s="60"/>
      <c r="E80" s="70">
        <f>3.086</f>
        <v>3.0859999999999999</v>
      </c>
      <c r="F80" s="69"/>
      <c r="G80" s="70"/>
      <c r="H80" s="69"/>
      <c r="I80" s="70">
        <f>6.879</f>
        <v>6.8789999999999996</v>
      </c>
      <c r="J80" s="68"/>
      <c r="K80" s="68"/>
      <c r="L80" s="68"/>
      <c r="M80" s="70">
        <f>0.06+0.384</f>
        <v>0.44400000000000001</v>
      </c>
      <c r="N80" s="68"/>
      <c r="O80" s="60"/>
      <c r="P80" s="66"/>
      <c r="Q80" s="69">
        <f>1.238</f>
        <v>1.238</v>
      </c>
      <c r="R80" s="69"/>
      <c r="S80" s="70"/>
      <c r="T80" s="69"/>
      <c r="U80" s="70">
        <f>4.69+0.636</f>
        <v>5.3260000000000005</v>
      </c>
      <c r="V80" s="68"/>
      <c r="W80" s="70">
        <f>1.603</f>
        <v>1.603</v>
      </c>
      <c r="X80" s="68"/>
      <c r="Y80" s="70">
        <v>0.69099999999999995</v>
      </c>
      <c r="Z80" s="68"/>
      <c r="AA80" s="66"/>
      <c r="AB80" s="66"/>
      <c r="AC80" s="70">
        <f>0.231+0.215</f>
        <v>0.44600000000000001</v>
      </c>
      <c r="AD80" s="69"/>
      <c r="AE80" s="70">
        <f>6.9+1.941</f>
        <v>8.8410000000000011</v>
      </c>
      <c r="AF80" s="68"/>
      <c r="AG80" s="70">
        <f>1.115</f>
        <v>1.115</v>
      </c>
      <c r="AH80" s="68"/>
      <c r="AI80" s="70">
        <v>0.183</v>
      </c>
      <c r="AJ80" s="68"/>
      <c r="AK80" s="70">
        <f>2.912</f>
        <v>2.9119999999999999</v>
      </c>
      <c r="AL80" s="68"/>
      <c r="AM80" s="60"/>
      <c r="AN80" s="60"/>
      <c r="AO80" s="68"/>
      <c r="AP80" s="68"/>
      <c r="AQ80" s="70">
        <f>0.949</f>
        <v>0.94899999999999995</v>
      </c>
      <c r="AR80" s="70"/>
      <c r="AS80" s="70">
        <f>1.06+1.84+1.096</f>
        <v>3.9960000000000004</v>
      </c>
      <c r="AT80" s="68"/>
      <c r="AU80" s="70">
        <f>24.53+1.09</f>
        <v>25.62</v>
      </c>
      <c r="AV80" s="68"/>
      <c r="AW80" s="70">
        <f>2.644+5.96</f>
        <v>8.6039999999999992</v>
      </c>
      <c r="AX80" s="68"/>
      <c r="AY80" s="60"/>
      <c r="AZ80" s="60"/>
      <c r="BA80" s="70">
        <v>1.615</v>
      </c>
      <c r="BB80" s="68"/>
      <c r="BC80" s="79">
        <f t="shared" ref="BC80:BC87" si="41">SUM(E80:M80,Q80:Y80,AC80:AK80,AO80:AW80,BA80)</f>
        <v>73.548000000000002</v>
      </c>
    </row>
    <row r="81" spans="1:58" x14ac:dyDescent="0.25">
      <c r="A81" s="26">
        <v>4</v>
      </c>
      <c r="C81" s="60"/>
      <c r="D81" s="60"/>
      <c r="E81" s="70">
        <f>0.068+0.15+1.22</f>
        <v>1.4379999999999999</v>
      </c>
      <c r="F81" s="68"/>
      <c r="G81" s="70">
        <f>1.017+1.167+0.578</f>
        <v>2.762</v>
      </c>
      <c r="H81" s="68"/>
      <c r="I81" s="70">
        <f>4.238+0.488+1.339</f>
        <v>6.0650000000000013</v>
      </c>
      <c r="J81" s="69"/>
      <c r="K81" s="70">
        <f>1.856+1.785</f>
        <v>3.641</v>
      </c>
      <c r="L81" s="68"/>
      <c r="M81" s="70">
        <f>2.422</f>
        <v>2.4220000000000002</v>
      </c>
      <c r="N81" s="69"/>
      <c r="O81" s="60"/>
      <c r="P81" s="60"/>
      <c r="Q81" s="69">
        <f>0.675+1.072</f>
        <v>1.7470000000000001</v>
      </c>
      <c r="R81" s="69"/>
      <c r="S81" s="70"/>
      <c r="T81" s="69"/>
      <c r="U81" s="70">
        <f>0.215+0.09+1.194</f>
        <v>1.4989999999999999</v>
      </c>
      <c r="V81" s="68"/>
      <c r="W81" s="70">
        <f>2.536</f>
        <v>2.536</v>
      </c>
      <c r="X81" s="68"/>
      <c r="Y81" s="70">
        <f>2.592+0.835</f>
        <v>3.427</v>
      </c>
      <c r="Z81" s="68"/>
      <c r="AA81" s="60"/>
      <c r="AB81" s="66"/>
      <c r="AC81" s="70">
        <f>1.105+2.334</f>
        <v>3.4390000000000001</v>
      </c>
      <c r="AD81" s="69"/>
      <c r="AE81" s="70"/>
      <c r="AF81" s="68"/>
      <c r="AG81" s="70">
        <f>2.265</f>
        <v>2.2650000000000001</v>
      </c>
      <c r="AH81" s="68"/>
      <c r="AI81" s="70">
        <f>2.43+3.773</f>
        <v>6.2030000000000003</v>
      </c>
      <c r="AJ81" s="68"/>
      <c r="AK81" s="70">
        <f>1.696+1.167</f>
        <v>2.863</v>
      </c>
      <c r="AL81" s="68"/>
      <c r="AM81" s="60"/>
      <c r="AN81" s="60"/>
      <c r="AO81" s="68">
        <v>0.60299999999999998</v>
      </c>
      <c r="AP81" s="68"/>
      <c r="AQ81" s="70">
        <f>0.567</f>
        <v>0.56699999999999995</v>
      </c>
      <c r="AR81" s="70"/>
      <c r="AS81" s="70">
        <f>0.633</f>
        <v>0.63300000000000001</v>
      </c>
      <c r="AT81" s="68"/>
      <c r="AU81" s="70"/>
      <c r="AV81" s="68"/>
      <c r="AW81" s="70"/>
      <c r="AX81" s="68"/>
      <c r="AY81" s="60"/>
      <c r="AZ81" s="60"/>
      <c r="BA81" s="70"/>
      <c r="BB81" s="68"/>
      <c r="BC81" s="79">
        <f t="shared" si="41"/>
        <v>42.110000000000007</v>
      </c>
    </row>
    <row r="82" spans="1:58" x14ac:dyDescent="0.25">
      <c r="A82" s="26">
        <v>4</v>
      </c>
      <c r="C82" s="60"/>
      <c r="D82" s="60"/>
      <c r="E82" s="70">
        <f>1.2</f>
        <v>1.2</v>
      </c>
      <c r="F82" s="68"/>
      <c r="G82" s="70">
        <f>2.653</f>
        <v>2.653</v>
      </c>
      <c r="H82" s="69"/>
      <c r="I82" s="70">
        <f>3.185</f>
        <v>3.1850000000000001</v>
      </c>
      <c r="J82" s="68"/>
      <c r="K82" s="70">
        <f>0.86</f>
        <v>0.86</v>
      </c>
      <c r="L82" s="68"/>
      <c r="M82" s="70"/>
      <c r="N82" s="68"/>
      <c r="O82" s="60"/>
      <c r="P82" s="60"/>
      <c r="Q82" s="69">
        <v>0.86299999999999999</v>
      </c>
      <c r="R82" s="69"/>
      <c r="S82" s="70"/>
      <c r="T82" s="69"/>
      <c r="U82" s="70">
        <f>2.68</f>
        <v>2.68</v>
      </c>
      <c r="V82" s="69"/>
      <c r="W82" s="70"/>
      <c r="X82" s="68"/>
      <c r="Y82" s="70"/>
      <c r="Z82" s="68"/>
      <c r="AA82" s="60"/>
      <c r="AB82" s="66"/>
      <c r="AC82" s="70"/>
      <c r="AD82" s="69"/>
      <c r="AE82" s="68"/>
      <c r="AF82" s="68"/>
      <c r="AG82" s="70">
        <f>1.01</f>
        <v>1.01</v>
      </c>
      <c r="AH82" s="68"/>
      <c r="AI82" s="70"/>
      <c r="AJ82" s="68"/>
      <c r="AK82" s="70">
        <f>2.407</f>
        <v>2.407</v>
      </c>
      <c r="AL82" s="68"/>
      <c r="AM82" s="60"/>
      <c r="AN82" s="60"/>
      <c r="AO82" s="68">
        <f>1.245</f>
        <v>1.2450000000000001</v>
      </c>
      <c r="AP82" s="68"/>
      <c r="AQ82" s="70"/>
      <c r="AR82" s="70"/>
      <c r="AS82" s="70"/>
      <c r="AT82" s="68"/>
      <c r="AU82" s="70">
        <f>0.645</f>
        <v>0.64500000000000002</v>
      </c>
      <c r="AV82" s="68"/>
      <c r="AW82" s="70"/>
      <c r="AX82" s="68"/>
      <c r="AY82" s="60"/>
      <c r="AZ82" s="60"/>
      <c r="BA82" s="70">
        <f>1.36</f>
        <v>1.36</v>
      </c>
      <c r="BB82" s="68"/>
      <c r="BC82" s="79">
        <f t="shared" si="41"/>
        <v>18.108000000000001</v>
      </c>
    </row>
    <row r="83" spans="1:58" x14ac:dyDescent="0.25">
      <c r="A83" s="26">
        <v>4</v>
      </c>
      <c r="C83" s="60"/>
      <c r="D83" s="60"/>
      <c r="E83" s="70">
        <f>18.832</f>
        <v>18.832000000000001</v>
      </c>
      <c r="F83" s="68"/>
      <c r="G83" s="70"/>
      <c r="H83" s="68"/>
      <c r="I83" s="70"/>
      <c r="J83" s="68"/>
      <c r="K83" s="70"/>
      <c r="L83" s="68"/>
      <c r="M83" s="70"/>
      <c r="N83" s="68"/>
      <c r="O83" s="60"/>
      <c r="P83" s="60"/>
      <c r="Q83" s="68"/>
      <c r="R83" s="68"/>
      <c r="S83" s="70"/>
      <c r="T83" s="68"/>
      <c r="U83" s="70">
        <v>21.33</v>
      </c>
      <c r="V83" s="68"/>
      <c r="W83" s="70"/>
      <c r="X83" s="68"/>
      <c r="Y83" s="70"/>
      <c r="Z83" s="68"/>
      <c r="AA83" s="60"/>
      <c r="AB83" s="60"/>
      <c r="AC83" s="70"/>
      <c r="AD83" s="69"/>
      <c r="AE83" s="68"/>
      <c r="AF83" s="68"/>
      <c r="AG83" s="70"/>
      <c r="AH83" s="68"/>
      <c r="AI83" s="68"/>
      <c r="AJ83" s="68"/>
      <c r="AK83" s="70"/>
      <c r="AL83" s="68"/>
      <c r="AM83" s="60"/>
      <c r="AN83" s="60"/>
      <c r="AO83" s="68"/>
      <c r="AP83" s="68"/>
      <c r="AQ83" s="70"/>
      <c r="AR83" s="70"/>
      <c r="AS83" s="70">
        <f>4.175</f>
        <v>4.1749999999999998</v>
      </c>
      <c r="AT83" s="68"/>
      <c r="AU83" s="70">
        <f>1.218+16.725</f>
        <v>17.943000000000001</v>
      </c>
      <c r="AV83" s="68"/>
      <c r="AW83" s="70"/>
      <c r="AX83" s="68"/>
      <c r="AY83" s="60"/>
      <c r="AZ83" s="60"/>
      <c r="BA83" s="70"/>
      <c r="BB83" s="68"/>
      <c r="BC83" s="79">
        <f t="shared" si="41"/>
        <v>62.28</v>
      </c>
    </row>
    <row r="84" spans="1:58" x14ac:dyDescent="0.25">
      <c r="A84" s="26">
        <v>4</v>
      </c>
      <c r="C84" s="60"/>
      <c r="D84" s="60"/>
      <c r="E84" s="70"/>
      <c r="F84" s="68"/>
      <c r="G84" s="70"/>
      <c r="H84" s="68"/>
      <c r="I84" s="70"/>
      <c r="J84" s="68"/>
      <c r="K84" s="70"/>
      <c r="L84" s="68"/>
      <c r="M84" s="70"/>
      <c r="N84" s="68"/>
      <c r="O84" s="60"/>
      <c r="P84" s="60"/>
      <c r="Q84" s="68"/>
      <c r="R84" s="68"/>
      <c r="S84" s="70">
        <f>2.04</f>
        <v>2.04</v>
      </c>
      <c r="T84" s="68"/>
      <c r="U84" s="70"/>
      <c r="V84" s="68"/>
      <c r="W84" s="70"/>
      <c r="X84" s="68"/>
      <c r="Y84" s="70"/>
      <c r="Z84" s="68"/>
      <c r="AA84" s="60"/>
      <c r="AB84" s="60"/>
      <c r="AC84" s="70"/>
      <c r="AD84" s="69"/>
      <c r="AE84" s="68"/>
      <c r="AF84" s="68"/>
      <c r="AG84" s="70">
        <f>1.015</f>
        <v>1.0149999999999999</v>
      </c>
      <c r="AH84" s="68"/>
      <c r="AI84" s="68"/>
      <c r="AJ84" s="68"/>
      <c r="AK84" s="70"/>
      <c r="AL84" s="68"/>
      <c r="AM84" s="60"/>
      <c r="AN84" s="60"/>
      <c r="AO84" s="68"/>
      <c r="AP84" s="68"/>
      <c r="AQ84" s="70"/>
      <c r="AR84" s="70"/>
      <c r="AS84" s="70"/>
      <c r="AT84" s="68"/>
      <c r="AU84" s="70"/>
      <c r="AV84" s="68"/>
      <c r="AW84" s="70">
        <f>0.065</f>
        <v>6.5000000000000002E-2</v>
      </c>
      <c r="AX84" s="68"/>
      <c r="AY84" s="60"/>
      <c r="AZ84" s="60"/>
      <c r="BA84" s="70"/>
      <c r="BB84" s="68"/>
      <c r="BC84" s="79">
        <f t="shared" si="41"/>
        <v>3.1199999999999997</v>
      </c>
    </row>
    <row r="85" spans="1:58" x14ac:dyDescent="0.25">
      <c r="A85" s="26">
        <v>4</v>
      </c>
      <c r="C85" s="60"/>
      <c r="D85" s="60"/>
      <c r="E85" s="70">
        <v>1.905</v>
      </c>
      <c r="F85" s="68"/>
      <c r="G85" s="70"/>
      <c r="H85" s="68"/>
      <c r="I85" s="70">
        <v>0.46600000000000003</v>
      </c>
      <c r="J85" s="69"/>
      <c r="K85" s="70">
        <f>1.465</f>
        <v>1.4650000000000001</v>
      </c>
      <c r="L85" s="68"/>
      <c r="M85" s="70">
        <v>2.4460000000000002</v>
      </c>
      <c r="N85" s="69"/>
      <c r="O85" s="60"/>
      <c r="P85" s="60"/>
      <c r="Q85" s="68">
        <f>0.075</f>
        <v>7.4999999999999997E-2</v>
      </c>
      <c r="R85" s="68"/>
      <c r="S85" s="70">
        <f>0.412</f>
        <v>0.41199999999999998</v>
      </c>
      <c r="T85" s="68"/>
      <c r="U85" s="70">
        <v>1.9570000000000001</v>
      </c>
      <c r="V85" s="68"/>
      <c r="W85" s="70"/>
      <c r="X85" s="68"/>
      <c r="Y85" s="70">
        <f>2.584</f>
        <v>2.5840000000000001</v>
      </c>
      <c r="Z85" s="68"/>
      <c r="AA85" s="66"/>
      <c r="AB85" s="60"/>
      <c r="AC85" s="70"/>
      <c r="AD85" s="69"/>
      <c r="AE85" s="68"/>
      <c r="AF85" s="68"/>
      <c r="AG85" s="70"/>
      <c r="AH85" s="68"/>
      <c r="AI85" s="68"/>
      <c r="AJ85" s="68"/>
      <c r="AK85" s="70">
        <f>4.838</f>
        <v>4.8380000000000001</v>
      </c>
      <c r="AL85" s="68"/>
      <c r="AM85" s="60"/>
      <c r="AN85" s="60"/>
      <c r="AO85" s="68">
        <f>1.545</f>
        <v>1.5449999999999999</v>
      </c>
      <c r="AP85" s="68"/>
      <c r="AQ85" s="70">
        <v>3.492</v>
      </c>
      <c r="AR85" s="70"/>
      <c r="AS85" s="70"/>
      <c r="AT85" s="68"/>
      <c r="AU85" s="70"/>
      <c r="AV85" s="68"/>
      <c r="AW85" s="70">
        <f>0.933</f>
        <v>0.93300000000000005</v>
      </c>
      <c r="AX85" s="68"/>
      <c r="AY85" s="60"/>
      <c r="AZ85" s="60"/>
      <c r="BA85" s="70"/>
      <c r="BB85" s="68"/>
      <c r="BC85" s="79">
        <f t="shared" si="41"/>
        <v>22.117999999999999</v>
      </c>
    </row>
    <row r="86" spans="1:58" x14ac:dyDescent="0.25">
      <c r="A86" s="26">
        <v>4</v>
      </c>
      <c r="C86" s="60"/>
      <c r="D86" s="60"/>
      <c r="E86" s="70"/>
      <c r="F86" s="68"/>
      <c r="G86" s="70"/>
      <c r="H86" s="68"/>
      <c r="I86" s="68"/>
      <c r="J86" s="68"/>
      <c r="K86" s="68"/>
      <c r="L86" s="68"/>
      <c r="M86" s="70"/>
      <c r="N86" s="68"/>
      <c r="O86" s="60"/>
      <c r="P86" s="60"/>
      <c r="Q86" s="68"/>
      <c r="R86" s="68"/>
      <c r="S86" s="70"/>
      <c r="T86" s="68"/>
      <c r="U86" s="70"/>
      <c r="V86" s="68"/>
      <c r="W86" s="68"/>
      <c r="X86" s="68"/>
      <c r="Y86" s="70"/>
      <c r="Z86" s="68"/>
      <c r="AA86" s="60"/>
      <c r="AB86" s="60"/>
      <c r="AC86" s="70"/>
      <c r="AD86" s="69"/>
      <c r="AE86" s="68"/>
      <c r="AF86" s="68"/>
      <c r="AG86" s="70"/>
      <c r="AH86" s="68"/>
      <c r="AI86" s="68"/>
      <c r="AJ86" s="68"/>
      <c r="AK86" s="70"/>
      <c r="AL86" s="68"/>
      <c r="AM86" s="60"/>
      <c r="AN86" s="60"/>
      <c r="AO86" s="68"/>
      <c r="AP86" s="68"/>
      <c r="AQ86" s="70"/>
      <c r="AR86" s="70"/>
      <c r="AS86" s="70"/>
      <c r="AT86" s="68"/>
      <c r="AU86" s="70"/>
      <c r="AV86" s="68"/>
      <c r="AW86" s="70"/>
      <c r="AX86" s="68"/>
      <c r="AY86" s="60"/>
      <c r="AZ86" s="60"/>
      <c r="BA86" s="68"/>
      <c r="BB86" s="68"/>
      <c r="BC86" s="79">
        <f t="shared" si="41"/>
        <v>0</v>
      </c>
    </row>
    <row r="87" spans="1:58" x14ac:dyDescent="0.25">
      <c r="A87" s="26">
        <v>4</v>
      </c>
      <c r="C87" s="60"/>
      <c r="D87" s="60"/>
      <c r="E87" s="70">
        <f>1.641</f>
        <v>1.641</v>
      </c>
      <c r="F87" s="68"/>
      <c r="G87" s="70"/>
      <c r="H87" s="68"/>
      <c r="I87" s="68"/>
      <c r="J87" s="68"/>
      <c r="K87" s="68"/>
      <c r="L87" s="68"/>
      <c r="M87" s="70">
        <f>1.899</f>
        <v>1.899</v>
      </c>
      <c r="N87" s="68"/>
      <c r="O87" s="60"/>
      <c r="P87" s="60"/>
      <c r="Q87" s="68"/>
      <c r="R87" s="68"/>
      <c r="S87" s="70"/>
      <c r="T87" s="68"/>
      <c r="U87" s="68"/>
      <c r="V87" s="68"/>
      <c r="W87" s="68"/>
      <c r="X87" s="68"/>
      <c r="Y87" s="70"/>
      <c r="Z87" s="68"/>
      <c r="AA87" s="60"/>
      <c r="AB87" s="60"/>
      <c r="AC87" s="70"/>
      <c r="AD87" s="69"/>
      <c r="AE87" s="68"/>
      <c r="AF87" s="68"/>
      <c r="AG87" s="68"/>
      <c r="AH87" s="68"/>
      <c r="AI87" s="68"/>
      <c r="AJ87" s="68"/>
      <c r="AK87" s="68"/>
      <c r="AL87" s="68"/>
      <c r="AM87" s="60"/>
      <c r="AN87" s="60"/>
      <c r="AO87" s="68"/>
      <c r="AP87" s="68"/>
      <c r="AQ87" s="70"/>
      <c r="AR87" s="70"/>
      <c r="AS87" s="70">
        <f>0.159</f>
        <v>0.159</v>
      </c>
      <c r="AT87" s="68"/>
      <c r="AU87" s="68"/>
      <c r="AV87" s="68"/>
      <c r="AW87" s="70"/>
      <c r="AX87" s="68"/>
      <c r="AY87" s="60"/>
      <c r="AZ87" s="60"/>
      <c r="BA87" s="68"/>
      <c r="BB87" s="68"/>
      <c r="BC87" s="79">
        <f t="shared" si="41"/>
        <v>3.6989999999999998</v>
      </c>
    </row>
    <row r="88" spans="1:58" x14ac:dyDescent="0.25"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7"/>
      <c r="BD88" s="62"/>
    </row>
    <row r="89" spans="1:58" x14ac:dyDescent="0.25">
      <c r="A89" s="64" t="s">
        <v>23</v>
      </c>
      <c r="B89" s="64"/>
      <c r="C89" s="29"/>
      <c r="D89" s="29"/>
      <c r="E89" s="45">
        <f>IF(E65="","",SUM(E79:E87))</f>
        <v>36.369</v>
      </c>
      <c r="F89" s="29"/>
      <c r="G89" s="29">
        <f t="shared" ref="G89:BA89" si="42">IF(G65="","",SUM(G79:G87))</f>
        <v>15.05</v>
      </c>
      <c r="H89" s="29"/>
      <c r="I89" s="45">
        <f t="shared" si="42"/>
        <v>19.395</v>
      </c>
      <c r="J89" s="29"/>
      <c r="K89" s="45">
        <f t="shared" si="42"/>
        <v>5.9660000000000002</v>
      </c>
      <c r="L89" s="29"/>
      <c r="M89" s="45">
        <f t="shared" si="42"/>
        <v>63.308999999999997</v>
      </c>
      <c r="N89" s="29"/>
      <c r="O89" s="29"/>
      <c r="P89" s="29"/>
      <c r="Q89" s="45">
        <f t="shared" si="42"/>
        <v>6.6139999999999999</v>
      </c>
      <c r="R89" s="29"/>
      <c r="S89" s="45">
        <f t="shared" si="42"/>
        <v>29.014999999999997</v>
      </c>
      <c r="T89" s="29"/>
      <c r="U89" s="45">
        <f t="shared" si="42"/>
        <v>35.967999999999996</v>
      </c>
      <c r="V89" s="29"/>
      <c r="W89" s="45">
        <f t="shared" si="42"/>
        <v>6.6169999999999991</v>
      </c>
      <c r="X89" s="29"/>
      <c r="Y89" s="45">
        <f t="shared" si="42"/>
        <v>13.286</v>
      </c>
      <c r="Z89" s="29"/>
      <c r="AA89" s="29"/>
      <c r="AB89" s="29"/>
      <c r="AC89" s="29">
        <f t="shared" si="42"/>
        <v>5.0780000000000003</v>
      </c>
      <c r="AD89" s="29"/>
      <c r="AE89" s="29">
        <f t="shared" si="42"/>
        <v>12.809000000000001</v>
      </c>
      <c r="AF89" s="29"/>
      <c r="AG89" s="29">
        <f t="shared" si="42"/>
        <v>17.820000000000004</v>
      </c>
      <c r="AH89" s="29"/>
      <c r="AI89" s="29">
        <f t="shared" si="42"/>
        <v>10.220000000000001</v>
      </c>
      <c r="AJ89" s="29"/>
      <c r="AK89" s="29">
        <f t="shared" si="42"/>
        <v>40.448</v>
      </c>
      <c r="AL89" s="29"/>
      <c r="AM89" s="29"/>
      <c r="AN89" s="29"/>
      <c r="AO89" s="29">
        <f t="shared" si="42"/>
        <v>32.758000000000003</v>
      </c>
      <c r="AP89" s="29"/>
      <c r="AQ89" s="29">
        <f t="shared" si="42"/>
        <v>30.786000000000005</v>
      </c>
      <c r="AR89" s="29"/>
      <c r="AS89" s="29">
        <f t="shared" si="42"/>
        <v>19.928999999999998</v>
      </c>
      <c r="AT89" s="29"/>
      <c r="AU89" s="29">
        <f t="shared" si="42"/>
        <v>56.61</v>
      </c>
      <c r="AV89" s="29"/>
      <c r="AW89" s="45">
        <f t="shared" si="42"/>
        <v>14.505999999999998</v>
      </c>
      <c r="AX89" s="45"/>
      <c r="AY89" s="45"/>
      <c r="AZ89" s="45"/>
      <c r="BA89" s="45">
        <f t="shared" si="42"/>
        <v>10.647</v>
      </c>
      <c r="BB89" s="29"/>
      <c r="BC89" s="79">
        <f>SUM(C89:BA89)</f>
        <v>483.19999999999993</v>
      </c>
      <c r="BD89" s="80">
        <f>AVERAGE(C89:BA89)</f>
        <v>23.009523809523806</v>
      </c>
      <c r="BE89" s="77"/>
    </row>
    <row r="90" spans="1:58" x14ac:dyDescent="0.25"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7"/>
      <c r="BD90" s="86"/>
    </row>
    <row r="91" spans="1:58" x14ac:dyDescent="0.25">
      <c r="A91" s="64" t="s">
        <v>24</v>
      </c>
      <c r="B91" s="64"/>
      <c r="C91" s="45"/>
      <c r="D91" s="45"/>
      <c r="E91" s="45">
        <f>IF(E65="","",E89+E59)</f>
        <v>256.76599999999996</v>
      </c>
      <c r="F91" s="45"/>
      <c r="G91" s="45">
        <f t="shared" ref="G91:BA91" si="43">IF(G65="","",G89+G59)</f>
        <v>265.62200000000001</v>
      </c>
      <c r="H91" s="45"/>
      <c r="I91" s="45">
        <f t="shared" si="43"/>
        <v>259.43300000000005</v>
      </c>
      <c r="J91" s="45"/>
      <c r="K91" s="45">
        <f t="shared" si="43"/>
        <v>206.43700000000004</v>
      </c>
      <c r="L91" s="45"/>
      <c r="M91" s="45">
        <f t="shared" si="43"/>
        <v>235.31399999999996</v>
      </c>
      <c r="N91" s="45"/>
      <c r="O91" s="45"/>
      <c r="P91" s="45"/>
      <c r="Q91" s="45">
        <f t="shared" si="43"/>
        <v>236.92999999999998</v>
      </c>
      <c r="R91" s="45"/>
      <c r="S91" s="45">
        <f t="shared" si="43"/>
        <v>225.71699999999998</v>
      </c>
      <c r="T91" s="45"/>
      <c r="U91" s="45">
        <f t="shared" si="43"/>
        <v>222.41399999999999</v>
      </c>
      <c r="V91" s="45"/>
      <c r="W91" s="45">
        <f t="shared" si="43"/>
        <v>206.66</v>
      </c>
      <c r="X91" s="45"/>
      <c r="Y91" s="45">
        <f t="shared" si="43"/>
        <v>197.93299999999999</v>
      </c>
      <c r="Z91" s="45"/>
      <c r="AA91" s="45"/>
      <c r="AB91" s="45"/>
      <c r="AC91" s="45">
        <f t="shared" si="43"/>
        <v>201.78300000000002</v>
      </c>
      <c r="AD91" s="45"/>
      <c r="AE91" s="45">
        <f t="shared" si="43"/>
        <v>205.86300000000003</v>
      </c>
      <c r="AF91" s="45"/>
      <c r="AG91" s="45">
        <f t="shared" si="43"/>
        <v>206.02199999999999</v>
      </c>
      <c r="AH91" s="45"/>
      <c r="AI91" s="45">
        <f t="shared" si="43"/>
        <v>197.98500000000004</v>
      </c>
      <c r="AJ91" s="45"/>
      <c r="AK91" s="45">
        <f t="shared" si="43"/>
        <v>200.69800000000001</v>
      </c>
      <c r="AL91" s="45"/>
      <c r="AM91" s="45"/>
      <c r="AN91" s="45"/>
      <c r="AO91" s="45">
        <f t="shared" si="43"/>
        <v>243.32199999999997</v>
      </c>
      <c r="AP91" s="45"/>
      <c r="AQ91" s="45">
        <f t="shared" si="43"/>
        <v>228.76999999999998</v>
      </c>
      <c r="AR91" s="45"/>
      <c r="AS91" s="45">
        <f t="shared" si="43"/>
        <v>240.30499999999998</v>
      </c>
      <c r="AT91" s="45"/>
      <c r="AU91" s="45">
        <f t="shared" si="43"/>
        <v>254.49</v>
      </c>
      <c r="AV91" s="45"/>
      <c r="AW91" s="45">
        <f t="shared" si="43"/>
        <v>182.62599999999995</v>
      </c>
      <c r="AX91" s="45"/>
      <c r="AY91" s="45"/>
      <c r="AZ91" s="45"/>
      <c r="BA91" s="45">
        <f t="shared" si="43"/>
        <v>191.97700000000003</v>
      </c>
      <c r="BB91" s="45"/>
      <c r="BC91" s="80">
        <f t="shared" ref="BC91" si="44">SUM(C91:BA91)</f>
        <v>4667.067</v>
      </c>
      <c r="BD91" s="80">
        <f t="shared" ref="BD91:BD93" si="45">AVERAGE(C91:BA91)</f>
        <v>222.24128571428571</v>
      </c>
    </row>
    <row r="92" spans="1:58" x14ac:dyDescent="0.25"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7"/>
      <c r="BD92" s="86"/>
    </row>
    <row r="93" spans="1:58" x14ac:dyDescent="0.25">
      <c r="A93" s="64" t="s">
        <v>25</v>
      </c>
      <c r="B93" s="64"/>
      <c r="C93" s="46"/>
      <c r="D93" s="46"/>
      <c r="E93" s="46">
        <f>IF(E65="","",E89/((E89+E59)+SUM(E65:E70)))</f>
        <v>0.11834899106093988</v>
      </c>
      <c r="F93" s="46"/>
      <c r="G93" s="46">
        <f t="shared" ref="G93:BA93" si="46">IF(G65="","",G89/((G89+G59)+SUM(G65:G70)))</f>
        <v>4.7707352638169047E-2</v>
      </c>
      <c r="H93" s="46"/>
      <c r="I93" s="46">
        <f t="shared" si="46"/>
        <v>5.6178636187209974E-2</v>
      </c>
      <c r="J93" s="46"/>
      <c r="K93" s="46">
        <f t="shared" si="46"/>
        <v>2.3418946343684615E-2</v>
      </c>
      <c r="L93" s="46"/>
      <c r="M93" s="46">
        <f t="shared" si="46"/>
        <v>0.20977762756344626</v>
      </c>
      <c r="N93" s="46"/>
      <c r="O93" s="46"/>
      <c r="P93" s="46"/>
      <c r="Q93" s="46">
        <f t="shared" si="46"/>
        <v>2.2324834099547025E-2</v>
      </c>
      <c r="R93" s="46"/>
      <c r="S93" s="46">
        <f t="shared" si="46"/>
        <v>9.7261330115312405E-2</v>
      </c>
      <c r="T93" s="46"/>
      <c r="U93" s="46">
        <f t="shared" si="46"/>
        <v>0.11903272671915384</v>
      </c>
      <c r="V93" s="46"/>
      <c r="W93" s="46">
        <f t="shared" si="46"/>
        <v>2.6661992658583853E-2</v>
      </c>
      <c r="X93" s="46"/>
      <c r="Y93" s="46">
        <f t="shared" si="46"/>
        <v>4.715427533042775E-2</v>
      </c>
      <c r="Z93" s="46"/>
      <c r="AA93" s="46"/>
      <c r="AB93" s="46"/>
      <c r="AC93" s="46">
        <f t="shared" si="46"/>
        <v>2.1240107748163765E-2</v>
      </c>
      <c r="AD93" s="46"/>
      <c r="AE93" s="46">
        <f t="shared" si="46"/>
        <v>4.5638526056252716E-2</v>
      </c>
      <c r="AF93" s="46"/>
      <c r="AG93" s="46">
        <f t="shared" si="46"/>
        <v>6.5743114865986621E-2</v>
      </c>
      <c r="AH93" s="46"/>
      <c r="AI93" s="46">
        <f t="shared" si="46"/>
        <v>4.2026482440990207E-2</v>
      </c>
      <c r="AJ93" s="46"/>
      <c r="AK93" s="46">
        <f t="shared" si="46"/>
        <v>0.14632963963866186</v>
      </c>
      <c r="AL93" s="46"/>
      <c r="AM93" s="46"/>
      <c r="AN93" s="46"/>
      <c r="AO93" s="46">
        <f t="shared" si="46"/>
        <v>0.11183410943751794</v>
      </c>
      <c r="AP93" s="46"/>
      <c r="AQ93" s="46">
        <f t="shared" si="46"/>
        <v>0.10613592955988722</v>
      </c>
      <c r="AR93" s="46"/>
      <c r="AS93" s="46">
        <f t="shared" si="46"/>
        <v>6.2146646002051914E-2</v>
      </c>
      <c r="AT93" s="46"/>
      <c r="AU93" s="46">
        <f t="shared" si="46"/>
        <v>0.17827787540388865</v>
      </c>
      <c r="AV93" s="46"/>
      <c r="AW93" s="46">
        <f t="shared" si="46"/>
        <v>5.2625277982346993E-2</v>
      </c>
      <c r="AX93" s="46"/>
      <c r="AY93" s="46"/>
      <c r="AZ93" s="46"/>
      <c r="BA93" s="46">
        <f t="shared" si="46"/>
        <v>3.7522995918885194E-2</v>
      </c>
      <c r="BB93" s="46"/>
      <c r="BC93" s="80"/>
      <c r="BD93" s="80">
        <f t="shared" si="45"/>
        <v>7.7970829417671791E-2</v>
      </c>
      <c r="BF93" s="47"/>
    </row>
    <row r="94" spans="1:58" x14ac:dyDescent="0.25">
      <c r="BC94" s="62"/>
      <c r="BD94" s="62"/>
    </row>
  </sheetData>
  <mergeCells count="1">
    <mergeCell ref="G3:O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F93"/>
  <sheetViews>
    <sheetView zoomScale="55" zoomScaleNormal="55" workbookViewId="0">
      <pane xSplit="1" ySplit="10" topLeftCell="B50" activePane="bottomRight" state="frozen"/>
      <selection pane="topRight" activeCell="B1" sqref="B1"/>
      <selection pane="bottomLeft" activeCell="A11" sqref="A11"/>
      <selection pane="bottomRight" activeCell="A79" sqref="A79:A87"/>
    </sheetView>
  </sheetViews>
  <sheetFormatPr baseColWidth="10" defaultRowHeight="15" x14ac:dyDescent="0.25"/>
  <cols>
    <col min="1" max="1" width="28.85546875" bestFit="1" customWidth="1"/>
    <col min="2" max="2" width="4.28515625" style="20" bestFit="1" customWidth="1"/>
    <col min="3" max="3" width="7" customWidth="1"/>
    <col min="4" max="4" width="7" style="26" customWidth="1"/>
    <col min="5" max="5" width="8.5703125" customWidth="1"/>
    <col min="6" max="6" width="6.28515625" style="26" customWidth="1"/>
    <col min="7" max="7" width="8.85546875" customWidth="1"/>
    <col min="8" max="8" width="6.42578125" style="26" customWidth="1"/>
    <col min="9" max="9" width="8.7109375" bestFit="1" customWidth="1"/>
    <col min="10" max="10" width="6.42578125" style="26" customWidth="1"/>
    <col min="11" max="13" width="7.28515625" customWidth="1"/>
    <col min="14" max="14" width="6.42578125" style="26" customWidth="1"/>
    <col min="15" max="15" width="8.5703125" customWidth="1"/>
    <col min="16" max="16" width="6.42578125" style="26" customWidth="1"/>
    <col min="17" max="17" width="7.5703125" customWidth="1"/>
    <col min="18" max="18" width="6.42578125" style="26" customWidth="1"/>
    <col min="19" max="19" width="7.140625" customWidth="1"/>
    <col min="20" max="20" width="6.42578125" style="26" customWidth="1"/>
    <col min="21" max="21" width="7.28515625" customWidth="1"/>
    <col min="22" max="22" width="6.42578125" style="26" customWidth="1"/>
    <col min="23" max="23" width="7.5703125" customWidth="1"/>
    <col min="24" max="24" width="8" customWidth="1"/>
    <col min="25" max="25" width="7.7109375" customWidth="1"/>
    <col min="26" max="26" width="6.42578125" style="26" customWidth="1"/>
    <col min="27" max="27" width="8" customWidth="1"/>
    <col min="28" max="28" width="6.42578125" style="26" customWidth="1"/>
    <col min="29" max="29" width="7.5703125" customWidth="1"/>
    <col min="30" max="30" width="6.42578125" style="26" customWidth="1"/>
    <col min="31" max="31" width="7" customWidth="1"/>
    <col min="32" max="32" width="6.42578125" style="26" customWidth="1"/>
    <col min="33" max="33" width="7.42578125" customWidth="1"/>
    <col min="34" max="34" width="6.42578125" style="26" customWidth="1"/>
    <col min="35" max="35" width="7.28515625" customWidth="1"/>
    <col min="36" max="36" width="8.28515625" customWidth="1"/>
    <col min="37" max="38" width="7.28515625" customWidth="1"/>
    <col min="39" max="39" width="6.42578125" style="26" customWidth="1"/>
    <col min="40" max="40" width="7.7109375" customWidth="1"/>
    <col min="41" max="41" width="7.140625" style="26" customWidth="1"/>
    <col min="42" max="42" width="7.5703125" customWidth="1"/>
    <col min="43" max="43" width="6.42578125" style="26" customWidth="1"/>
    <col min="44" max="44" width="7.7109375" customWidth="1"/>
    <col min="45" max="45" width="6.42578125" style="26" customWidth="1"/>
    <col min="46" max="46" width="7.28515625" customWidth="1"/>
    <col min="47" max="48" width="7.7109375" bestFit="1" customWidth="1"/>
    <col min="49" max="49" width="6.42578125" style="26" customWidth="1"/>
    <col min="50" max="50" width="8.28515625" customWidth="1"/>
    <col min="51" max="51" width="6.42578125" style="26" customWidth="1"/>
    <col min="52" max="52" width="7.85546875" customWidth="1"/>
    <col min="53" max="53" width="8.140625" customWidth="1"/>
    <col min="54" max="54" width="7.85546875" customWidth="1"/>
    <col min="55" max="55" width="11.42578125" customWidth="1"/>
  </cols>
  <sheetData>
    <row r="1" spans="1:55" ht="12" customHeight="1" x14ac:dyDescent="0.25">
      <c r="A1" s="14"/>
      <c r="B1" s="42"/>
      <c r="C1" s="1" t="s">
        <v>3</v>
      </c>
      <c r="D1" s="9"/>
      <c r="L1" s="1"/>
      <c r="M1" s="1"/>
      <c r="N1" s="9"/>
      <c r="O1" s="1"/>
      <c r="P1" s="9"/>
      <c r="Q1" s="1"/>
      <c r="R1" s="9"/>
      <c r="S1" s="2"/>
      <c r="T1" s="9"/>
    </row>
    <row r="2" spans="1:55" ht="11.25" customHeight="1" x14ac:dyDescent="0.25">
      <c r="A2" s="3"/>
      <c r="B2" s="10"/>
      <c r="C2" s="1" t="s">
        <v>4</v>
      </c>
      <c r="D2" s="9"/>
      <c r="K2" s="62"/>
      <c r="L2" s="9"/>
      <c r="M2" s="9"/>
      <c r="N2" s="9"/>
      <c r="O2" s="9"/>
      <c r="P2" s="9"/>
      <c r="Q2" s="1"/>
      <c r="R2" s="9"/>
      <c r="S2" s="2"/>
      <c r="T2" s="9"/>
    </row>
    <row r="3" spans="1:55" ht="12" customHeight="1" x14ac:dyDescent="0.25">
      <c r="A3" s="4"/>
      <c r="B3" s="11"/>
      <c r="C3" s="1" t="s">
        <v>0</v>
      </c>
      <c r="D3" s="9"/>
      <c r="G3" s="152" t="s">
        <v>27</v>
      </c>
      <c r="H3" s="152"/>
      <c r="I3" s="152"/>
      <c r="J3" s="152"/>
      <c r="K3" s="152"/>
      <c r="L3" s="152"/>
      <c r="M3" s="152"/>
      <c r="N3" s="85"/>
      <c r="O3" s="85"/>
      <c r="P3" s="85"/>
      <c r="Q3" s="85"/>
      <c r="R3" s="9"/>
      <c r="S3" s="2"/>
      <c r="T3" s="9"/>
    </row>
    <row r="4" spans="1:55" ht="12" customHeight="1" x14ac:dyDescent="0.25">
      <c r="A4" s="5"/>
      <c r="B4" s="12"/>
      <c r="C4" s="1" t="s">
        <v>5</v>
      </c>
      <c r="D4" s="9"/>
      <c r="G4" s="152"/>
      <c r="H4" s="152"/>
      <c r="I4" s="152"/>
      <c r="J4" s="152"/>
      <c r="K4" s="152"/>
      <c r="L4" s="152"/>
      <c r="M4" s="152"/>
      <c r="N4" s="85"/>
      <c r="O4" s="85"/>
      <c r="P4" s="85"/>
      <c r="Q4" s="85"/>
      <c r="R4" s="9"/>
      <c r="S4" s="2"/>
      <c r="T4" s="9"/>
    </row>
    <row r="5" spans="1:55" ht="11.25" customHeight="1" x14ac:dyDescent="0.25">
      <c r="A5" s="6"/>
      <c r="B5" s="24"/>
      <c r="C5" s="1" t="s">
        <v>6</v>
      </c>
      <c r="D5" s="9"/>
      <c r="G5" s="152"/>
      <c r="H5" s="152"/>
      <c r="I5" s="152"/>
      <c r="J5" s="152"/>
      <c r="K5" s="152"/>
      <c r="L5" s="152"/>
      <c r="M5" s="152"/>
      <c r="N5" s="85"/>
      <c r="O5" s="85"/>
      <c r="P5" s="85"/>
      <c r="Q5" s="85"/>
      <c r="R5" s="9"/>
      <c r="S5" s="1"/>
      <c r="T5" s="9"/>
    </row>
    <row r="6" spans="1:55" ht="13.5" customHeight="1" x14ac:dyDescent="0.25">
      <c r="A6" s="7"/>
      <c r="B6" s="13"/>
      <c r="C6" s="1" t="s">
        <v>7</v>
      </c>
      <c r="D6" s="9"/>
      <c r="K6" s="85"/>
      <c r="L6" s="85"/>
      <c r="M6" s="85"/>
      <c r="N6" s="85"/>
      <c r="O6" s="85"/>
      <c r="P6" s="85"/>
      <c r="Q6" s="85"/>
      <c r="R6" s="9"/>
      <c r="S6" s="1"/>
      <c r="T6" s="9"/>
    </row>
    <row r="7" spans="1:55" ht="18.75" x14ac:dyDescent="0.25">
      <c r="A7" s="8"/>
      <c r="B7" s="25"/>
      <c r="C7" s="1" t="s">
        <v>8</v>
      </c>
      <c r="D7" s="9"/>
      <c r="K7" s="85"/>
      <c r="L7" s="85"/>
      <c r="M7" s="85"/>
      <c r="N7" s="85"/>
      <c r="O7" s="85"/>
      <c r="P7" s="85"/>
      <c r="Q7" s="85"/>
      <c r="R7" s="9"/>
      <c r="S7" s="2"/>
      <c r="T7" s="9"/>
    </row>
    <row r="8" spans="1:55" x14ac:dyDescent="0.25">
      <c r="A8" s="53"/>
    </row>
    <row r="10" spans="1:55" x14ac:dyDescent="0.25">
      <c r="C10" s="16">
        <v>41730</v>
      </c>
      <c r="D10" s="16"/>
      <c r="E10" s="16">
        <v>41731</v>
      </c>
      <c r="F10" s="16"/>
      <c r="G10" s="16">
        <v>41732</v>
      </c>
      <c r="H10" s="16"/>
      <c r="I10" s="16">
        <v>41733</v>
      </c>
      <c r="J10" s="16"/>
      <c r="K10" s="18">
        <v>41734</v>
      </c>
      <c r="L10" s="18">
        <v>41735</v>
      </c>
      <c r="M10" s="16">
        <v>41736</v>
      </c>
      <c r="N10" s="16"/>
      <c r="O10" s="16">
        <v>41737</v>
      </c>
      <c r="P10" s="16"/>
      <c r="Q10" s="16">
        <v>41738</v>
      </c>
      <c r="R10" s="16"/>
      <c r="S10" s="16">
        <v>41739</v>
      </c>
      <c r="T10" s="16"/>
      <c r="U10" s="16">
        <v>41740</v>
      </c>
      <c r="V10" s="16"/>
      <c r="W10" s="18">
        <v>41741</v>
      </c>
      <c r="X10" s="18">
        <v>41742</v>
      </c>
      <c r="Y10" s="16">
        <v>41743</v>
      </c>
      <c r="Z10" s="16"/>
      <c r="AA10" s="16">
        <v>41744</v>
      </c>
      <c r="AB10" s="16"/>
      <c r="AC10" s="16">
        <v>41745</v>
      </c>
      <c r="AD10" s="16"/>
      <c r="AE10" s="16">
        <v>41746</v>
      </c>
      <c r="AF10" s="16"/>
      <c r="AG10" s="16">
        <v>41747</v>
      </c>
      <c r="AH10" s="16"/>
      <c r="AI10" s="18">
        <v>41748</v>
      </c>
      <c r="AJ10" s="18">
        <v>41749</v>
      </c>
      <c r="AK10" s="18">
        <v>41750</v>
      </c>
      <c r="AL10" s="16">
        <v>41751</v>
      </c>
      <c r="AM10" s="16"/>
      <c r="AN10" s="16">
        <v>41752</v>
      </c>
      <c r="AO10" s="16"/>
      <c r="AP10" s="16">
        <v>41753</v>
      </c>
      <c r="AQ10" s="16"/>
      <c r="AR10" s="16">
        <v>41754</v>
      </c>
      <c r="AS10" s="16"/>
      <c r="AT10" s="18">
        <v>41755</v>
      </c>
      <c r="AU10" s="18">
        <v>41756</v>
      </c>
      <c r="AV10" s="16">
        <v>41757</v>
      </c>
      <c r="AW10" s="16"/>
      <c r="AX10" s="16">
        <v>41758</v>
      </c>
      <c r="AY10" s="16"/>
      <c r="AZ10" s="16">
        <v>41759</v>
      </c>
      <c r="BA10" s="16"/>
      <c r="BB10" s="91" t="s">
        <v>15</v>
      </c>
      <c r="BC10" s="29" t="s">
        <v>16</v>
      </c>
    </row>
    <row r="11" spans="1:55" x14ac:dyDescent="0.25">
      <c r="A11" s="17">
        <v>1</v>
      </c>
      <c r="B11" s="17"/>
      <c r="C11" s="36">
        <v>1</v>
      </c>
      <c r="D11" s="36"/>
      <c r="E11" s="36">
        <v>1</v>
      </c>
      <c r="F11" s="36"/>
      <c r="G11" s="36">
        <v>1</v>
      </c>
      <c r="H11" s="36"/>
      <c r="I11" s="43" t="s">
        <v>2</v>
      </c>
      <c r="J11" s="43" t="s">
        <v>2</v>
      </c>
      <c r="K11" s="37"/>
      <c r="L11" s="37"/>
      <c r="M11" s="36">
        <v>1</v>
      </c>
      <c r="N11" s="36"/>
      <c r="O11" s="36">
        <v>1</v>
      </c>
      <c r="P11" s="36"/>
      <c r="Q11" s="36">
        <v>1</v>
      </c>
      <c r="R11" s="36"/>
      <c r="S11" s="36">
        <v>1</v>
      </c>
      <c r="T11" s="36"/>
      <c r="U11" s="36">
        <v>1</v>
      </c>
      <c r="V11" s="36"/>
      <c r="W11" s="37"/>
      <c r="X11" s="37"/>
      <c r="Y11" s="36">
        <v>1</v>
      </c>
      <c r="Z11" s="36"/>
      <c r="AA11" s="36">
        <v>1</v>
      </c>
      <c r="AB11" s="36"/>
      <c r="AC11" s="36">
        <v>1</v>
      </c>
      <c r="AD11" s="36"/>
      <c r="AE11" s="36">
        <v>1</v>
      </c>
      <c r="AF11" s="36"/>
      <c r="AG11" s="36">
        <v>1</v>
      </c>
      <c r="AH11" s="36"/>
      <c r="AI11" s="37"/>
      <c r="AJ11" s="37"/>
      <c r="AK11" s="37"/>
      <c r="AL11" s="36">
        <v>1</v>
      </c>
      <c r="AM11" s="36"/>
      <c r="AN11" s="36">
        <v>1</v>
      </c>
      <c r="AO11" s="36"/>
      <c r="AP11" s="36">
        <v>1</v>
      </c>
      <c r="AQ11" s="36"/>
      <c r="AR11" s="36">
        <v>1</v>
      </c>
      <c r="AS11" s="36"/>
      <c r="AT11" s="37"/>
      <c r="AU11" s="37"/>
      <c r="AV11" s="36">
        <v>1</v>
      </c>
      <c r="AW11" s="36"/>
      <c r="AX11" s="36">
        <v>1</v>
      </c>
      <c r="AY11" s="36"/>
      <c r="AZ11" s="36">
        <v>1</v>
      </c>
      <c r="BA11" s="36"/>
    </row>
    <row r="12" spans="1:55" x14ac:dyDescent="0.25">
      <c r="A12" s="17">
        <v>1</v>
      </c>
      <c r="B12" s="17"/>
      <c r="C12" s="51" t="s">
        <v>26</v>
      </c>
      <c r="D12" s="51" t="s">
        <v>26</v>
      </c>
      <c r="E12" s="51" t="s">
        <v>26</v>
      </c>
      <c r="F12" s="51" t="s">
        <v>26</v>
      </c>
      <c r="G12" s="51" t="s">
        <v>26</v>
      </c>
      <c r="H12" s="51" t="s">
        <v>26</v>
      </c>
      <c r="I12" s="51" t="s">
        <v>26</v>
      </c>
      <c r="J12" s="51" t="s">
        <v>26</v>
      </c>
      <c r="K12" s="37"/>
      <c r="L12" s="37"/>
      <c r="M12" s="51" t="s">
        <v>26</v>
      </c>
      <c r="N12" s="51" t="s">
        <v>26</v>
      </c>
      <c r="O12" s="51" t="s">
        <v>26</v>
      </c>
      <c r="P12" s="51" t="s">
        <v>26</v>
      </c>
      <c r="Q12" s="51" t="s">
        <v>26</v>
      </c>
      <c r="R12" s="51" t="s">
        <v>26</v>
      </c>
      <c r="S12" s="51" t="s">
        <v>26</v>
      </c>
      <c r="T12" s="51" t="s">
        <v>26</v>
      </c>
      <c r="U12" s="51" t="s">
        <v>26</v>
      </c>
      <c r="V12" s="51" t="s">
        <v>26</v>
      </c>
      <c r="W12" s="37"/>
      <c r="X12" s="37"/>
      <c r="Y12" s="51" t="s">
        <v>26</v>
      </c>
      <c r="Z12" s="51" t="s">
        <v>26</v>
      </c>
      <c r="AA12" s="51" t="s">
        <v>26</v>
      </c>
      <c r="AB12" s="51" t="s">
        <v>26</v>
      </c>
      <c r="AC12" s="51" t="s">
        <v>26</v>
      </c>
      <c r="AD12" s="51" t="s">
        <v>26</v>
      </c>
      <c r="AE12" s="51" t="s">
        <v>26</v>
      </c>
      <c r="AF12" s="51" t="s">
        <v>26</v>
      </c>
      <c r="AG12" s="51" t="s">
        <v>26</v>
      </c>
      <c r="AH12" s="51" t="s">
        <v>26</v>
      </c>
      <c r="AI12" s="37"/>
      <c r="AJ12" s="37"/>
      <c r="AK12" s="37"/>
      <c r="AL12" s="51" t="s">
        <v>26</v>
      </c>
      <c r="AM12" s="51" t="s">
        <v>26</v>
      </c>
      <c r="AN12" s="51" t="s">
        <v>26</v>
      </c>
      <c r="AO12" s="51" t="s">
        <v>26</v>
      </c>
      <c r="AP12" s="51" t="s">
        <v>26</v>
      </c>
      <c r="AQ12" s="51" t="s">
        <v>26</v>
      </c>
      <c r="AR12" s="51" t="s">
        <v>26</v>
      </c>
      <c r="AS12" s="51" t="s">
        <v>26</v>
      </c>
      <c r="AT12" s="37"/>
      <c r="AU12" s="37"/>
      <c r="AV12" s="51" t="s">
        <v>26</v>
      </c>
      <c r="AW12" s="51" t="s">
        <v>26</v>
      </c>
      <c r="AX12" s="51" t="s">
        <v>26</v>
      </c>
      <c r="AY12" s="51" t="s">
        <v>26</v>
      </c>
      <c r="AZ12" s="51" t="s">
        <v>26</v>
      </c>
      <c r="BA12" s="51" t="s">
        <v>26</v>
      </c>
    </row>
    <row r="13" spans="1:55" x14ac:dyDescent="0.25">
      <c r="A13" s="17">
        <v>1</v>
      </c>
      <c r="B13" s="17"/>
      <c r="C13" s="36">
        <v>1</v>
      </c>
      <c r="D13" s="36"/>
      <c r="E13" s="36">
        <v>1</v>
      </c>
      <c r="F13" s="36"/>
      <c r="G13" s="36">
        <v>1</v>
      </c>
      <c r="H13" s="36"/>
      <c r="I13" s="36">
        <v>1</v>
      </c>
      <c r="J13" s="36"/>
      <c r="K13" s="37"/>
      <c r="L13" s="37"/>
      <c r="M13" s="36">
        <v>1</v>
      </c>
      <c r="N13" s="36"/>
      <c r="O13" s="36">
        <v>1</v>
      </c>
      <c r="P13" s="36"/>
      <c r="Q13" s="36">
        <v>1</v>
      </c>
      <c r="R13" s="36"/>
      <c r="S13" s="36">
        <v>1</v>
      </c>
      <c r="T13" s="36"/>
      <c r="U13" s="41" t="s">
        <v>1</v>
      </c>
      <c r="V13" s="41" t="s">
        <v>1</v>
      </c>
      <c r="W13" s="37"/>
      <c r="X13" s="37"/>
      <c r="Y13" s="41" t="s">
        <v>1</v>
      </c>
      <c r="Z13" s="41" t="s">
        <v>1</v>
      </c>
      <c r="AA13" s="36">
        <v>1</v>
      </c>
      <c r="AB13" s="36"/>
      <c r="AC13" s="36">
        <v>1</v>
      </c>
      <c r="AD13" s="36"/>
      <c r="AE13" s="36">
        <v>1</v>
      </c>
      <c r="AF13" s="36"/>
      <c r="AG13" s="36">
        <v>1</v>
      </c>
      <c r="AH13" s="36"/>
      <c r="AI13" s="37"/>
      <c r="AJ13" s="37"/>
      <c r="AK13" s="37"/>
      <c r="AL13" s="36">
        <v>1</v>
      </c>
      <c r="AM13" s="36"/>
      <c r="AN13" s="36">
        <v>1</v>
      </c>
      <c r="AO13" s="36"/>
      <c r="AP13" s="36">
        <v>1</v>
      </c>
      <c r="AQ13" s="36"/>
      <c r="AR13" s="36">
        <v>1</v>
      </c>
      <c r="AS13" s="36"/>
      <c r="AT13" s="37"/>
      <c r="AU13" s="37"/>
      <c r="AV13" s="41" t="s">
        <v>1</v>
      </c>
      <c r="AW13" s="41" t="s">
        <v>1</v>
      </c>
      <c r="AX13" s="41" t="s">
        <v>1</v>
      </c>
      <c r="AY13" s="41" t="s">
        <v>1</v>
      </c>
      <c r="AZ13" s="41" t="s">
        <v>1</v>
      </c>
      <c r="BA13" s="41" t="s">
        <v>1</v>
      </c>
    </row>
    <row r="14" spans="1:55" x14ac:dyDescent="0.25">
      <c r="A14" s="17">
        <v>1</v>
      </c>
      <c r="B14" s="17"/>
      <c r="C14" s="36">
        <v>1</v>
      </c>
      <c r="D14" s="36"/>
      <c r="E14" s="36">
        <v>1</v>
      </c>
      <c r="F14" s="36"/>
      <c r="G14" s="36">
        <v>1</v>
      </c>
      <c r="H14" s="36"/>
      <c r="I14" s="36">
        <v>1</v>
      </c>
      <c r="J14" s="36"/>
      <c r="K14" s="37"/>
      <c r="L14" s="37"/>
      <c r="M14" s="41" t="s">
        <v>1</v>
      </c>
      <c r="N14" s="41" t="s">
        <v>1</v>
      </c>
      <c r="O14" s="41" t="s">
        <v>1</v>
      </c>
      <c r="P14" s="41" t="s">
        <v>1</v>
      </c>
      <c r="Q14" s="41" t="s">
        <v>1</v>
      </c>
      <c r="R14" s="41" t="s">
        <v>1</v>
      </c>
      <c r="S14" s="41" t="s">
        <v>1</v>
      </c>
      <c r="T14" s="41" t="s">
        <v>1</v>
      </c>
      <c r="U14" s="41" t="s">
        <v>1</v>
      </c>
      <c r="V14" s="41" t="s">
        <v>1</v>
      </c>
      <c r="W14" s="37"/>
      <c r="X14" s="37"/>
      <c r="Y14" s="43" t="s">
        <v>2</v>
      </c>
      <c r="Z14" s="43" t="s">
        <v>2</v>
      </c>
      <c r="AA14" s="43" t="s">
        <v>2</v>
      </c>
      <c r="AB14" s="43" t="s">
        <v>2</v>
      </c>
      <c r="AC14" s="36">
        <v>1</v>
      </c>
      <c r="AD14" s="36"/>
      <c r="AE14" s="36">
        <v>1</v>
      </c>
      <c r="AF14" s="36"/>
      <c r="AG14" s="43" t="s">
        <v>2</v>
      </c>
      <c r="AH14" s="43" t="s">
        <v>2</v>
      </c>
      <c r="AI14" s="37"/>
      <c r="AJ14" s="37"/>
      <c r="AK14" s="37"/>
      <c r="AL14" s="36">
        <v>1</v>
      </c>
      <c r="AM14" s="36"/>
      <c r="AN14" s="36">
        <v>1</v>
      </c>
      <c r="AO14" s="36"/>
      <c r="AP14" s="36">
        <v>1</v>
      </c>
      <c r="AQ14" s="36"/>
      <c r="AR14" s="36">
        <v>1</v>
      </c>
      <c r="AS14" s="36"/>
      <c r="AT14" s="37"/>
      <c r="AU14" s="37"/>
      <c r="AV14" s="36">
        <v>1</v>
      </c>
      <c r="AW14" s="36"/>
      <c r="AX14" s="36">
        <v>1</v>
      </c>
      <c r="AY14" s="36"/>
      <c r="AZ14" s="36">
        <v>1</v>
      </c>
      <c r="BA14" s="36"/>
    </row>
    <row r="15" spans="1:55" x14ac:dyDescent="0.25">
      <c r="A15" s="17">
        <v>1</v>
      </c>
      <c r="B15" s="17"/>
      <c r="C15" s="36">
        <v>1</v>
      </c>
      <c r="D15" s="36"/>
      <c r="E15" s="36">
        <v>1</v>
      </c>
      <c r="F15" s="36"/>
      <c r="G15" s="36">
        <v>1</v>
      </c>
      <c r="H15" s="36"/>
      <c r="I15" s="36">
        <v>1</v>
      </c>
      <c r="J15" s="36"/>
      <c r="K15" s="37"/>
      <c r="L15" s="37"/>
      <c r="M15" s="36">
        <v>1</v>
      </c>
      <c r="N15" s="36"/>
      <c r="O15" s="36">
        <v>1</v>
      </c>
      <c r="P15" s="36"/>
      <c r="Q15" s="36">
        <v>1</v>
      </c>
      <c r="R15" s="36"/>
      <c r="S15" s="36">
        <v>1</v>
      </c>
      <c r="T15" s="36"/>
      <c r="U15" s="36">
        <v>1</v>
      </c>
      <c r="V15" s="36"/>
      <c r="W15" s="37"/>
      <c r="X15" s="37"/>
      <c r="Y15" s="43" t="s">
        <v>2</v>
      </c>
      <c r="Z15" s="43" t="s">
        <v>2</v>
      </c>
      <c r="AA15" s="43" t="s">
        <v>2</v>
      </c>
      <c r="AB15" s="43" t="s">
        <v>2</v>
      </c>
      <c r="AC15" s="43" t="s">
        <v>2</v>
      </c>
      <c r="AD15" s="43" t="s">
        <v>2</v>
      </c>
      <c r="AE15" s="43" t="s">
        <v>2</v>
      </c>
      <c r="AF15" s="43" t="s">
        <v>2</v>
      </c>
      <c r="AG15" s="43" t="s">
        <v>2</v>
      </c>
      <c r="AH15" s="43" t="s">
        <v>2</v>
      </c>
      <c r="AI15" s="37"/>
      <c r="AJ15" s="37"/>
      <c r="AK15" s="37"/>
      <c r="AL15" s="36">
        <v>1</v>
      </c>
      <c r="AM15" s="36"/>
      <c r="AN15" s="43" t="s">
        <v>2</v>
      </c>
      <c r="AO15" s="43" t="s">
        <v>2</v>
      </c>
      <c r="AP15" s="43" t="s">
        <v>2</v>
      </c>
      <c r="AQ15" s="43" t="s">
        <v>2</v>
      </c>
      <c r="AR15" s="43" t="s">
        <v>2</v>
      </c>
      <c r="AS15" s="43" t="s">
        <v>2</v>
      </c>
      <c r="AT15" s="37"/>
      <c r="AU15" s="37"/>
      <c r="AV15" s="41" t="s">
        <v>1</v>
      </c>
      <c r="AW15" s="41" t="s">
        <v>1</v>
      </c>
      <c r="AX15" s="41" t="s">
        <v>1</v>
      </c>
      <c r="AY15" s="41" t="s">
        <v>1</v>
      </c>
      <c r="AZ15" s="41" t="s">
        <v>1</v>
      </c>
      <c r="BA15" s="41" t="s">
        <v>1</v>
      </c>
    </row>
    <row r="16" spans="1:55" x14ac:dyDescent="0.25">
      <c r="A16" s="17">
        <v>1</v>
      </c>
      <c r="B16" s="17"/>
      <c r="C16" s="36">
        <v>1</v>
      </c>
      <c r="D16" s="36"/>
      <c r="E16" s="36">
        <v>1</v>
      </c>
      <c r="F16" s="36"/>
      <c r="G16" s="36">
        <v>1</v>
      </c>
      <c r="H16" s="36"/>
      <c r="I16" s="36">
        <v>1</v>
      </c>
      <c r="J16" s="36"/>
      <c r="K16" s="37"/>
      <c r="L16" s="37"/>
      <c r="M16" s="36">
        <v>1</v>
      </c>
      <c r="N16" s="36"/>
      <c r="O16" s="36">
        <v>1</v>
      </c>
      <c r="P16" s="36"/>
      <c r="Q16" s="36">
        <v>1</v>
      </c>
      <c r="R16" s="36"/>
      <c r="S16" s="36">
        <v>1</v>
      </c>
      <c r="T16" s="36"/>
      <c r="U16" s="36">
        <v>1</v>
      </c>
      <c r="V16" s="36"/>
      <c r="W16" s="37"/>
      <c r="X16" s="37"/>
      <c r="Y16" s="36">
        <v>1</v>
      </c>
      <c r="Z16" s="36"/>
      <c r="AA16" s="36">
        <v>1</v>
      </c>
      <c r="AB16" s="36"/>
      <c r="AC16" s="36">
        <v>1</v>
      </c>
      <c r="AD16" s="36"/>
      <c r="AE16" s="36">
        <v>1</v>
      </c>
      <c r="AF16" s="36"/>
      <c r="AG16" s="36">
        <v>1</v>
      </c>
      <c r="AH16" s="36"/>
      <c r="AI16" s="37"/>
      <c r="AJ16" s="37"/>
      <c r="AK16" s="37"/>
      <c r="AL16" s="36">
        <v>1</v>
      </c>
      <c r="AM16" s="36"/>
      <c r="AN16" s="36">
        <v>1</v>
      </c>
      <c r="AO16" s="36"/>
      <c r="AP16" s="36">
        <v>1</v>
      </c>
      <c r="AQ16" s="36"/>
      <c r="AR16" s="36">
        <v>1</v>
      </c>
      <c r="AS16" s="36"/>
      <c r="AT16" s="37"/>
      <c r="AU16" s="37"/>
      <c r="AV16" s="36">
        <v>1</v>
      </c>
      <c r="AW16" s="36"/>
      <c r="AX16" s="36">
        <v>1</v>
      </c>
      <c r="AY16" s="36"/>
      <c r="AZ16" s="36">
        <v>1</v>
      </c>
      <c r="BA16" s="36"/>
    </row>
    <row r="17" spans="1:58" x14ac:dyDescent="0.25">
      <c r="A17" s="17">
        <v>1</v>
      </c>
      <c r="B17" s="17"/>
      <c r="C17" s="36">
        <v>1</v>
      </c>
      <c r="D17" s="36"/>
      <c r="E17" s="36">
        <v>1</v>
      </c>
      <c r="F17" s="36"/>
      <c r="G17" s="36">
        <v>1</v>
      </c>
      <c r="H17" s="36"/>
      <c r="I17" s="36">
        <v>1</v>
      </c>
      <c r="J17" s="36"/>
      <c r="K17" s="37"/>
      <c r="L17" s="37"/>
      <c r="M17" s="36">
        <v>1</v>
      </c>
      <c r="N17" s="36"/>
      <c r="O17" s="36">
        <v>1</v>
      </c>
      <c r="P17" s="36"/>
      <c r="Q17" s="36">
        <v>1</v>
      </c>
      <c r="R17" s="36"/>
      <c r="S17" s="36">
        <v>1</v>
      </c>
      <c r="T17" s="36"/>
      <c r="U17" s="36">
        <v>1</v>
      </c>
      <c r="V17" s="36"/>
      <c r="W17" s="37"/>
      <c r="X17" s="37"/>
      <c r="Y17" s="36">
        <v>1</v>
      </c>
      <c r="Z17" s="36"/>
      <c r="AA17" s="36">
        <v>1</v>
      </c>
      <c r="AB17" s="36"/>
      <c r="AC17" s="36">
        <v>1</v>
      </c>
      <c r="AD17" s="36"/>
      <c r="AE17" s="36">
        <v>1</v>
      </c>
      <c r="AF17" s="36"/>
      <c r="AG17" s="36">
        <v>1</v>
      </c>
      <c r="AH17" s="36"/>
      <c r="AI17" s="37"/>
      <c r="AJ17" s="37"/>
      <c r="AK17" s="37"/>
      <c r="AL17" s="36">
        <v>1</v>
      </c>
      <c r="AM17" s="36"/>
      <c r="AN17" s="36">
        <v>1</v>
      </c>
      <c r="AO17" s="36"/>
      <c r="AP17" s="36">
        <v>1</v>
      </c>
      <c r="AQ17" s="36"/>
      <c r="AR17" s="36">
        <v>1</v>
      </c>
      <c r="AS17" s="36"/>
      <c r="AT17" s="37"/>
      <c r="AU17" s="37"/>
      <c r="AV17" s="36">
        <v>1</v>
      </c>
      <c r="AW17" s="36"/>
      <c r="AX17" s="36">
        <v>1</v>
      </c>
      <c r="AY17" s="36"/>
      <c r="AZ17" s="36">
        <v>1</v>
      </c>
      <c r="BA17" s="36"/>
    </row>
    <row r="18" spans="1:58" x14ac:dyDescent="0.25">
      <c r="A18" s="17">
        <v>1</v>
      </c>
      <c r="B18" s="17"/>
      <c r="C18" s="36">
        <v>1</v>
      </c>
      <c r="D18" s="36"/>
      <c r="E18" s="36">
        <v>1</v>
      </c>
      <c r="F18" s="36"/>
      <c r="G18" s="36">
        <v>1</v>
      </c>
      <c r="H18" s="36"/>
      <c r="I18" s="36">
        <v>1</v>
      </c>
      <c r="J18" s="36"/>
      <c r="K18" s="37"/>
      <c r="L18" s="37"/>
      <c r="M18" s="36">
        <v>1</v>
      </c>
      <c r="N18" s="36"/>
      <c r="O18" s="36">
        <v>1</v>
      </c>
      <c r="P18" s="36"/>
      <c r="Q18" s="36">
        <v>1</v>
      </c>
      <c r="R18" s="36"/>
      <c r="S18" s="36">
        <v>1</v>
      </c>
      <c r="T18" s="36"/>
      <c r="U18" s="36">
        <v>1</v>
      </c>
      <c r="V18" s="36"/>
      <c r="W18" s="37"/>
      <c r="X18" s="37"/>
      <c r="Y18" s="52" t="s">
        <v>17</v>
      </c>
      <c r="Z18" s="52" t="s">
        <v>17</v>
      </c>
      <c r="AA18" s="52" t="s">
        <v>17</v>
      </c>
      <c r="AB18" s="52" t="s">
        <v>17</v>
      </c>
      <c r="AC18" s="52" t="s">
        <v>17</v>
      </c>
      <c r="AD18" s="52" t="s">
        <v>17</v>
      </c>
      <c r="AE18" s="52" t="s">
        <v>17</v>
      </c>
      <c r="AF18" s="52" t="s">
        <v>17</v>
      </c>
      <c r="AG18" s="52" t="s">
        <v>17</v>
      </c>
      <c r="AH18" s="52" t="s">
        <v>17</v>
      </c>
      <c r="AI18" s="37"/>
      <c r="AJ18" s="37"/>
      <c r="AK18" s="37"/>
      <c r="AL18" s="36">
        <v>1</v>
      </c>
      <c r="AM18" s="36"/>
      <c r="AN18" s="36">
        <v>1</v>
      </c>
      <c r="AO18" s="36"/>
      <c r="AP18" s="36">
        <v>1</v>
      </c>
      <c r="AQ18" s="36"/>
      <c r="AR18" s="36">
        <v>1</v>
      </c>
      <c r="AS18" s="36"/>
      <c r="AT18" s="37"/>
      <c r="AU18" s="37"/>
      <c r="AV18" s="36">
        <v>1</v>
      </c>
      <c r="AW18" s="36"/>
      <c r="AX18" s="36">
        <v>1</v>
      </c>
      <c r="AY18" s="36"/>
      <c r="AZ18" s="36">
        <v>1</v>
      </c>
      <c r="BA18" s="36"/>
    </row>
    <row r="19" spans="1:58" x14ac:dyDescent="0.25">
      <c r="A19" s="17">
        <v>1</v>
      </c>
      <c r="B19" s="15"/>
      <c r="C19" s="38">
        <v>1</v>
      </c>
      <c r="D19" s="38"/>
      <c r="E19" s="38">
        <v>1</v>
      </c>
      <c r="F19" s="38"/>
      <c r="G19" s="38">
        <v>1</v>
      </c>
      <c r="H19" s="38"/>
      <c r="I19" s="38">
        <v>1</v>
      </c>
      <c r="J19" s="38"/>
      <c r="K19" s="37"/>
      <c r="L19" s="37"/>
      <c r="M19" s="38">
        <v>1</v>
      </c>
      <c r="N19" s="38"/>
      <c r="O19" s="38">
        <v>1</v>
      </c>
      <c r="P19" s="38"/>
      <c r="Q19" s="38">
        <v>1</v>
      </c>
      <c r="R19" s="38"/>
      <c r="S19" s="38">
        <v>1</v>
      </c>
      <c r="T19" s="38"/>
      <c r="U19" s="38">
        <v>1</v>
      </c>
      <c r="V19" s="38"/>
      <c r="W19" s="37"/>
      <c r="X19" s="37"/>
      <c r="Y19" s="38">
        <v>1</v>
      </c>
      <c r="Z19" s="38"/>
      <c r="AA19" s="38">
        <v>1</v>
      </c>
      <c r="AB19" s="38"/>
      <c r="AC19" s="38">
        <v>1</v>
      </c>
      <c r="AD19" s="38"/>
      <c r="AE19" s="38">
        <v>1</v>
      </c>
      <c r="AF19" s="38"/>
      <c r="AG19" s="38">
        <v>1</v>
      </c>
      <c r="AH19" s="38"/>
      <c r="AI19" s="37"/>
      <c r="AJ19" s="37"/>
      <c r="AK19" s="37"/>
      <c r="AL19" s="38">
        <v>1</v>
      </c>
      <c r="AM19" s="38"/>
      <c r="AN19" s="38">
        <v>1</v>
      </c>
      <c r="AO19" s="38"/>
      <c r="AP19" s="38">
        <v>1</v>
      </c>
      <c r="AQ19" s="38"/>
      <c r="AR19" s="38">
        <v>1</v>
      </c>
      <c r="AS19" s="38"/>
      <c r="AT19" s="37"/>
      <c r="AU19" s="37"/>
      <c r="AV19" s="38">
        <v>1</v>
      </c>
      <c r="AW19" s="38"/>
      <c r="AX19" s="38">
        <v>1</v>
      </c>
      <c r="AY19" s="38"/>
      <c r="AZ19" s="38">
        <v>1</v>
      </c>
      <c r="BA19" s="38"/>
    </row>
    <row r="20" spans="1:58" x14ac:dyDescent="0.25">
      <c r="A20" s="17">
        <v>1</v>
      </c>
      <c r="B20" s="15"/>
      <c r="C20" s="43" t="s">
        <v>2</v>
      </c>
      <c r="D20" s="43" t="s">
        <v>2</v>
      </c>
      <c r="E20" s="38">
        <v>1</v>
      </c>
      <c r="F20" s="38"/>
      <c r="G20" s="38">
        <v>1</v>
      </c>
      <c r="H20" s="38"/>
      <c r="I20" s="38">
        <v>1</v>
      </c>
      <c r="J20" s="38"/>
      <c r="K20" s="37"/>
      <c r="L20" s="37"/>
      <c r="M20" s="38">
        <v>1</v>
      </c>
      <c r="N20" s="38"/>
      <c r="O20" s="38">
        <v>1</v>
      </c>
      <c r="P20" s="38"/>
      <c r="Q20" s="38">
        <v>1</v>
      </c>
      <c r="R20" s="38"/>
      <c r="S20" s="38">
        <v>1</v>
      </c>
      <c r="T20" s="38"/>
      <c r="U20" s="38">
        <v>1</v>
      </c>
      <c r="V20" s="38"/>
      <c r="W20" s="37"/>
      <c r="X20" s="37"/>
      <c r="Y20" s="38">
        <v>1</v>
      </c>
      <c r="Z20" s="38"/>
      <c r="AA20" s="38">
        <v>1</v>
      </c>
      <c r="AB20" s="38"/>
      <c r="AC20" s="38">
        <v>1</v>
      </c>
      <c r="AD20" s="38"/>
      <c r="AE20" s="38">
        <v>1</v>
      </c>
      <c r="AF20" s="38"/>
      <c r="AG20" s="38">
        <v>1</v>
      </c>
      <c r="AH20" s="38"/>
      <c r="AI20" s="37"/>
      <c r="AJ20" s="37"/>
      <c r="AK20" s="37"/>
      <c r="AL20" s="38">
        <v>1</v>
      </c>
      <c r="AM20" s="38"/>
      <c r="AN20" s="38">
        <v>1</v>
      </c>
      <c r="AO20" s="38"/>
      <c r="AP20" s="38">
        <v>1</v>
      </c>
      <c r="AQ20" s="38"/>
      <c r="AR20" s="38">
        <v>1</v>
      </c>
      <c r="AS20" s="38"/>
      <c r="AT20" s="37"/>
      <c r="AU20" s="37"/>
      <c r="AV20" s="38">
        <v>1</v>
      </c>
      <c r="AW20" s="38"/>
      <c r="AX20" s="38">
        <v>1</v>
      </c>
      <c r="AY20" s="38"/>
      <c r="AZ20" s="38">
        <v>1</v>
      </c>
      <c r="BA20" s="38"/>
    </row>
    <row r="21" spans="1:58" x14ac:dyDescent="0.25">
      <c r="A21" s="17">
        <v>1</v>
      </c>
      <c r="B21" s="15"/>
      <c r="C21" s="38">
        <v>1</v>
      </c>
      <c r="D21" s="38"/>
      <c r="E21" s="38">
        <v>1</v>
      </c>
      <c r="F21" s="38"/>
      <c r="G21" s="38">
        <v>1</v>
      </c>
      <c r="H21" s="38"/>
      <c r="I21" s="38">
        <v>1</v>
      </c>
      <c r="J21" s="38"/>
      <c r="K21" s="37"/>
      <c r="L21" s="37"/>
      <c r="M21" s="38">
        <v>1</v>
      </c>
      <c r="N21" s="38"/>
      <c r="O21" s="38">
        <v>1</v>
      </c>
      <c r="P21" s="38"/>
      <c r="Q21" s="38">
        <v>1</v>
      </c>
      <c r="R21" s="38"/>
      <c r="S21" s="38">
        <v>1</v>
      </c>
      <c r="T21" s="38"/>
      <c r="U21" s="38">
        <v>1</v>
      </c>
      <c r="V21" s="38"/>
      <c r="W21" s="37"/>
      <c r="X21" s="37"/>
      <c r="Y21" s="38">
        <v>1</v>
      </c>
      <c r="Z21" s="38"/>
      <c r="AA21" s="43" t="s">
        <v>2</v>
      </c>
      <c r="AB21" s="43" t="s">
        <v>2</v>
      </c>
      <c r="AC21" s="38">
        <v>1</v>
      </c>
      <c r="AD21" s="38"/>
      <c r="AE21" s="38">
        <v>1</v>
      </c>
      <c r="AF21" s="38"/>
      <c r="AG21" s="38">
        <v>1</v>
      </c>
      <c r="AH21" s="38"/>
      <c r="AI21" s="37"/>
      <c r="AJ21" s="37"/>
      <c r="AK21" s="37"/>
      <c r="AL21" s="38">
        <v>1</v>
      </c>
      <c r="AM21" s="38"/>
      <c r="AN21" s="38">
        <v>1</v>
      </c>
      <c r="AO21" s="38"/>
      <c r="AP21" s="38">
        <v>1</v>
      </c>
      <c r="AQ21" s="38"/>
      <c r="AR21" s="38">
        <v>1</v>
      </c>
      <c r="AS21" s="38"/>
      <c r="AT21" s="37"/>
      <c r="AU21" s="37"/>
      <c r="AV21" s="38">
        <v>1</v>
      </c>
      <c r="AW21" s="38"/>
      <c r="AX21" s="38">
        <v>1</v>
      </c>
      <c r="AY21" s="38"/>
      <c r="AZ21" s="38">
        <v>1</v>
      </c>
      <c r="BA21" s="38"/>
    </row>
    <row r="22" spans="1:58" x14ac:dyDescent="0.25">
      <c r="A22" s="17">
        <v>1</v>
      </c>
      <c r="B22" s="15"/>
      <c r="C22" s="38">
        <v>1</v>
      </c>
      <c r="D22" s="38"/>
      <c r="E22" s="38">
        <v>1</v>
      </c>
      <c r="F22" s="38"/>
      <c r="G22" s="38">
        <v>1</v>
      </c>
      <c r="H22" s="38"/>
      <c r="I22" s="38">
        <v>1</v>
      </c>
      <c r="J22" s="38"/>
      <c r="K22" s="37"/>
      <c r="L22" s="37"/>
      <c r="M22" s="38">
        <v>1</v>
      </c>
      <c r="N22" s="38"/>
      <c r="O22" s="38">
        <v>1</v>
      </c>
      <c r="P22" s="38"/>
      <c r="Q22" s="38">
        <v>1</v>
      </c>
      <c r="R22" s="38"/>
      <c r="S22" s="38">
        <v>1</v>
      </c>
      <c r="T22" s="38"/>
      <c r="U22" s="43" t="s">
        <v>2</v>
      </c>
      <c r="V22" s="43" t="s">
        <v>2</v>
      </c>
      <c r="W22" s="37"/>
      <c r="X22" s="37"/>
      <c r="Y22" s="38">
        <v>1</v>
      </c>
      <c r="Z22" s="38"/>
      <c r="AA22" s="38">
        <v>1</v>
      </c>
      <c r="AB22" s="38"/>
      <c r="AC22" s="38">
        <v>1</v>
      </c>
      <c r="AD22" s="38"/>
      <c r="AE22" s="38">
        <v>1</v>
      </c>
      <c r="AF22" s="38"/>
      <c r="AG22" s="38">
        <v>1</v>
      </c>
      <c r="AH22" s="38"/>
      <c r="AI22" s="37"/>
      <c r="AJ22" s="37"/>
      <c r="AK22" s="37"/>
      <c r="AL22" s="38">
        <v>1</v>
      </c>
      <c r="AM22" s="38"/>
      <c r="AN22" s="43" t="s">
        <v>2</v>
      </c>
      <c r="AO22" s="43" t="s">
        <v>2</v>
      </c>
      <c r="AP22" s="38">
        <v>1</v>
      </c>
      <c r="AQ22" s="38"/>
      <c r="AR22" s="38">
        <v>1</v>
      </c>
      <c r="AS22" s="38"/>
      <c r="AT22" s="37"/>
      <c r="AU22" s="37"/>
      <c r="AV22" s="38">
        <v>1</v>
      </c>
      <c r="AW22" s="38"/>
      <c r="AX22" s="38">
        <v>1</v>
      </c>
      <c r="AY22" s="38"/>
      <c r="AZ22" s="38">
        <v>1</v>
      </c>
      <c r="BA22" s="38"/>
    </row>
    <row r="23" spans="1:58" x14ac:dyDescent="0.25">
      <c r="A23" s="17">
        <v>1</v>
      </c>
      <c r="B23" s="17"/>
      <c r="C23" s="36">
        <v>1</v>
      </c>
      <c r="D23" s="36"/>
      <c r="E23" s="36">
        <v>1</v>
      </c>
      <c r="F23" s="36"/>
      <c r="G23" s="36">
        <v>1</v>
      </c>
      <c r="H23" s="36"/>
      <c r="I23" s="36">
        <v>1</v>
      </c>
      <c r="J23" s="36"/>
      <c r="K23" s="37"/>
      <c r="L23" s="37"/>
      <c r="M23" s="36">
        <v>1</v>
      </c>
      <c r="N23" s="36"/>
      <c r="O23" s="36">
        <v>1</v>
      </c>
      <c r="P23" s="36"/>
      <c r="Q23" s="36">
        <v>1</v>
      </c>
      <c r="R23" s="36"/>
      <c r="S23" s="36">
        <v>1</v>
      </c>
      <c r="T23" s="36"/>
      <c r="U23" s="36">
        <v>1</v>
      </c>
      <c r="V23" s="36"/>
      <c r="W23" s="37"/>
      <c r="X23" s="37"/>
      <c r="Y23" s="36">
        <v>1</v>
      </c>
      <c r="Z23" s="36"/>
      <c r="AA23" s="36">
        <v>1</v>
      </c>
      <c r="AB23" s="36"/>
      <c r="AC23" s="36">
        <v>1</v>
      </c>
      <c r="AD23" s="36"/>
      <c r="AE23" s="36">
        <v>1</v>
      </c>
      <c r="AF23" s="36"/>
      <c r="AG23" s="36">
        <v>1</v>
      </c>
      <c r="AH23" s="36"/>
      <c r="AI23" s="37"/>
      <c r="AJ23" s="37"/>
      <c r="AK23" s="37"/>
      <c r="AL23" s="36">
        <v>1</v>
      </c>
      <c r="AM23" s="36"/>
      <c r="AN23" s="36">
        <v>1</v>
      </c>
      <c r="AO23" s="36"/>
      <c r="AP23" s="36">
        <v>1</v>
      </c>
      <c r="AQ23" s="36"/>
      <c r="AR23" s="36">
        <v>1</v>
      </c>
      <c r="AS23" s="36"/>
      <c r="AT23" s="37"/>
      <c r="AU23" s="37"/>
      <c r="AV23" s="36">
        <v>1</v>
      </c>
      <c r="AW23" s="36"/>
      <c r="AX23" s="36">
        <v>1</v>
      </c>
      <c r="AY23" s="36"/>
      <c r="AZ23" s="36">
        <v>1</v>
      </c>
      <c r="BA23" s="36"/>
    </row>
    <row r="24" spans="1:58" x14ac:dyDescent="0.25">
      <c r="A24" s="17">
        <v>1</v>
      </c>
      <c r="B24" s="17"/>
      <c r="C24" s="43" t="s">
        <v>2</v>
      </c>
      <c r="D24" s="43" t="s">
        <v>2</v>
      </c>
      <c r="E24" s="36">
        <v>1</v>
      </c>
      <c r="F24" s="36"/>
      <c r="G24" s="36">
        <v>1</v>
      </c>
      <c r="H24" s="36"/>
      <c r="I24" s="36">
        <v>1</v>
      </c>
      <c r="J24" s="36"/>
      <c r="K24" s="37"/>
      <c r="L24" s="37"/>
      <c r="M24" s="36">
        <v>1</v>
      </c>
      <c r="N24" s="36"/>
      <c r="O24" s="36">
        <v>1</v>
      </c>
      <c r="P24" s="36"/>
      <c r="Q24" s="36">
        <v>1</v>
      </c>
      <c r="R24" s="36"/>
      <c r="S24" s="36">
        <v>1</v>
      </c>
      <c r="T24" s="36"/>
      <c r="U24" s="36">
        <v>1</v>
      </c>
      <c r="V24" s="36"/>
      <c r="W24" s="37"/>
      <c r="X24" s="37"/>
      <c r="Y24" s="36">
        <v>1</v>
      </c>
      <c r="Z24" s="36"/>
      <c r="AA24" s="36">
        <v>1</v>
      </c>
      <c r="AB24" s="36"/>
      <c r="AC24" s="36">
        <v>1</v>
      </c>
      <c r="AD24" s="36"/>
      <c r="AE24" s="36">
        <v>1</v>
      </c>
      <c r="AF24" s="36"/>
      <c r="AG24" s="36">
        <v>1</v>
      </c>
      <c r="AH24" s="36"/>
      <c r="AI24" s="37"/>
      <c r="AJ24" s="37"/>
      <c r="AK24" s="37"/>
      <c r="AL24" s="36">
        <v>1</v>
      </c>
      <c r="AM24" s="36"/>
      <c r="AN24" s="36">
        <v>1</v>
      </c>
      <c r="AO24" s="36"/>
      <c r="AP24" s="36">
        <v>1</v>
      </c>
      <c r="AQ24" s="36"/>
      <c r="AR24" s="36">
        <v>1</v>
      </c>
      <c r="AS24" s="36"/>
      <c r="AT24" s="37"/>
      <c r="AU24" s="37"/>
      <c r="AV24" s="36">
        <v>1</v>
      </c>
      <c r="AW24" s="36"/>
      <c r="AX24" s="36">
        <v>1</v>
      </c>
      <c r="AY24" s="36"/>
      <c r="AZ24" s="36">
        <v>1</v>
      </c>
      <c r="BA24" s="36"/>
    </row>
    <row r="25" spans="1:58" x14ac:dyDescent="0.25">
      <c r="A25" s="17">
        <v>1</v>
      </c>
      <c r="B25" s="17"/>
      <c r="C25" s="43" t="s">
        <v>2</v>
      </c>
      <c r="D25" s="43" t="s">
        <v>2</v>
      </c>
      <c r="E25" s="43" t="s">
        <v>2</v>
      </c>
      <c r="F25" s="43" t="s">
        <v>2</v>
      </c>
      <c r="G25" s="36">
        <v>1</v>
      </c>
      <c r="H25" s="36"/>
      <c r="I25" s="36">
        <v>1</v>
      </c>
      <c r="J25" s="36"/>
      <c r="K25" s="37"/>
      <c r="L25" s="37"/>
      <c r="M25" s="36">
        <v>1</v>
      </c>
      <c r="N25" s="36"/>
      <c r="O25" s="36">
        <v>1</v>
      </c>
      <c r="P25" s="36"/>
      <c r="Q25" s="36">
        <v>1</v>
      </c>
      <c r="R25" s="36"/>
      <c r="S25" s="36">
        <v>1</v>
      </c>
      <c r="T25" s="36"/>
      <c r="U25" s="36">
        <v>1</v>
      </c>
      <c r="V25" s="36"/>
      <c r="W25" s="37"/>
      <c r="X25" s="37"/>
      <c r="Y25" s="36">
        <v>1</v>
      </c>
      <c r="Z25" s="36"/>
      <c r="AA25" s="36">
        <v>1</v>
      </c>
      <c r="AB25" s="36"/>
      <c r="AC25" s="36">
        <v>1</v>
      </c>
      <c r="AD25" s="36"/>
      <c r="AE25" s="36">
        <v>1</v>
      </c>
      <c r="AF25" s="36"/>
      <c r="AG25" s="36">
        <v>1</v>
      </c>
      <c r="AH25" s="36"/>
      <c r="AI25" s="37"/>
      <c r="AJ25" s="37"/>
      <c r="AK25" s="37"/>
      <c r="AL25" s="36">
        <v>1</v>
      </c>
      <c r="AM25" s="36"/>
      <c r="AN25" s="36">
        <v>1</v>
      </c>
      <c r="AO25" s="36"/>
      <c r="AP25" s="36">
        <v>1</v>
      </c>
      <c r="AQ25" s="36"/>
      <c r="AR25" s="36">
        <v>1</v>
      </c>
      <c r="AS25" s="36"/>
      <c r="AT25" s="37"/>
      <c r="AU25" s="37"/>
      <c r="AV25" s="36">
        <v>1</v>
      </c>
      <c r="AW25" s="36"/>
      <c r="AX25" s="36">
        <v>1</v>
      </c>
      <c r="AY25" s="36"/>
      <c r="AZ25" s="36">
        <v>1</v>
      </c>
      <c r="BA25" s="36"/>
    </row>
    <row r="26" spans="1:58" x14ac:dyDescent="0.25">
      <c r="A26" s="17">
        <v>1</v>
      </c>
      <c r="B26" s="17"/>
      <c r="C26" s="36">
        <v>1</v>
      </c>
      <c r="D26" s="36"/>
      <c r="E26" s="36">
        <v>1</v>
      </c>
      <c r="F26" s="36"/>
      <c r="G26" s="36">
        <v>1</v>
      </c>
      <c r="H26" s="36"/>
      <c r="I26" s="36">
        <v>1</v>
      </c>
      <c r="J26" s="36"/>
      <c r="K26" s="37"/>
      <c r="L26" s="37"/>
      <c r="M26" s="36">
        <v>1</v>
      </c>
      <c r="N26" s="36"/>
      <c r="O26" s="36">
        <v>1</v>
      </c>
      <c r="P26" s="36"/>
      <c r="Q26" s="36">
        <v>1</v>
      </c>
      <c r="R26" s="36"/>
      <c r="S26" s="36">
        <v>1</v>
      </c>
      <c r="T26" s="36"/>
      <c r="U26" s="36">
        <v>1</v>
      </c>
      <c r="V26" s="36"/>
      <c r="W26" s="37"/>
      <c r="X26" s="37"/>
      <c r="Y26" s="36">
        <v>1</v>
      </c>
      <c r="Z26" s="36"/>
      <c r="AA26" s="36">
        <v>1</v>
      </c>
      <c r="AB26" s="36"/>
      <c r="AC26" s="36">
        <v>1</v>
      </c>
      <c r="AD26" s="36"/>
      <c r="AE26" s="36">
        <v>1</v>
      </c>
      <c r="AF26" s="36"/>
      <c r="AG26" s="36">
        <v>1</v>
      </c>
      <c r="AH26" s="36"/>
      <c r="AI26" s="37"/>
      <c r="AJ26" s="37"/>
      <c r="AK26" s="37"/>
      <c r="AL26" s="36">
        <v>1</v>
      </c>
      <c r="AM26" s="36"/>
      <c r="AN26" s="36">
        <v>1</v>
      </c>
      <c r="AO26" s="36"/>
      <c r="AP26" s="36">
        <v>1</v>
      </c>
      <c r="AQ26" s="36"/>
      <c r="AR26" s="36">
        <v>1</v>
      </c>
      <c r="AS26" s="36"/>
      <c r="AT26" s="37"/>
      <c r="AU26" s="37"/>
      <c r="AV26" s="36">
        <v>1</v>
      </c>
      <c r="AW26" s="36"/>
      <c r="AX26" s="36">
        <v>1</v>
      </c>
      <c r="AY26" s="36"/>
      <c r="AZ26" s="36">
        <v>1</v>
      </c>
      <c r="BA26" s="36"/>
    </row>
    <row r="27" spans="1:58" x14ac:dyDescent="0.25">
      <c r="A27" s="17">
        <v>1</v>
      </c>
      <c r="B27" s="17"/>
      <c r="C27" s="36">
        <v>1</v>
      </c>
      <c r="D27" s="36"/>
      <c r="E27" s="36">
        <v>1</v>
      </c>
      <c r="F27" s="36"/>
      <c r="G27" s="36">
        <v>1</v>
      </c>
      <c r="H27" s="36"/>
      <c r="I27" s="36">
        <v>1</v>
      </c>
      <c r="J27" s="36"/>
      <c r="K27" s="37"/>
      <c r="L27" s="37"/>
      <c r="M27" s="36">
        <v>1</v>
      </c>
      <c r="N27" s="36"/>
      <c r="O27" s="36">
        <v>1</v>
      </c>
      <c r="P27" s="36"/>
      <c r="Q27" s="36">
        <v>1</v>
      </c>
      <c r="R27" s="36"/>
      <c r="S27" s="36">
        <v>1</v>
      </c>
      <c r="T27" s="36"/>
      <c r="U27" s="36">
        <v>1</v>
      </c>
      <c r="V27" s="36"/>
      <c r="W27" s="37"/>
      <c r="X27" s="37"/>
      <c r="Y27" s="36">
        <v>1</v>
      </c>
      <c r="Z27" s="36"/>
      <c r="AA27" s="36">
        <v>1</v>
      </c>
      <c r="AB27" s="36"/>
      <c r="AC27" s="36">
        <v>1</v>
      </c>
      <c r="AD27" s="36"/>
      <c r="AE27" s="36">
        <v>1</v>
      </c>
      <c r="AF27" s="36"/>
      <c r="AG27" s="36">
        <v>1</v>
      </c>
      <c r="AH27" s="36"/>
      <c r="AI27" s="37"/>
      <c r="AJ27" s="37"/>
      <c r="AK27" s="37"/>
      <c r="AL27" s="36">
        <v>1</v>
      </c>
      <c r="AM27" s="36"/>
      <c r="AN27" s="36">
        <v>1</v>
      </c>
      <c r="AO27" s="36"/>
      <c r="AP27" s="36">
        <v>1</v>
      </c>
      <c r="AQ27" s="36"/>
      <c r="AR27" s="36">
        <v>1</v>
      </c>
      <c r="AS27" s="36"/>
      <c r="AT27" s="37"/>
      <c r="AU27" s="37"/>
      <c r="AV27" s="43" t="s">
        <v>2</v>
      </c>
      <c r="AW27" s="43" t="s">
        <v>2</v>
      </c>
      <c r="AX27" s="43" t="s">
        <v>2</v>
      </c>
      <c r="AY27" s="43" t="s">
        <v>2</v>
      </c>
      <c r="AZ27" s="43" t="s">
        <v>2</v>
      </c>
      <c r="BA27" s="43" t="s">
        <v>2</v>
      </c>
    </row>
    <row r="28" spans="1:58" x14ac:dyDescent="0.25">
      <c r="A28" s="17">
        <v>1</v>
      </c>
      <c r="B28" s="17"/>
      <c r="C28" s="43" t="s">
        <v>2</v>
      </c>
      <c r="D28" s="43" t="s">
        <v>2</v>
      </c>
      <c r="E28" s="36">
        <v>1</v>
      </c>
      <c r="F28" s="36"/>
      <c r="G28" s="36">
        <v>1</v>
      </c>
      <c r="H28" s="36"/>
      <c r="I28" s="36">
        <v>1</v>
      </c>
      <c r="J28" s="36"/>
      <c r="K28" s="37"/>
      <c r="L28" s="37"/>
      <c r="M28" s="36">
        <v>1</v>
      </c>
      <c r="N28" s="36"/>
      <c r="O28" s="36">
        <v>1</v>
      </c>
      <c r="P28" s="36"/>
      <c r="Q28" s="36">
        <v>1</v>
      </c>
      <c r="R28" s="36"/>
      <c r="S28" s="36">
        <v>1</v>
      </c>
      <c r="T28" s="36"/>
      <c r="U28" s="36">
        <v>1</v>
      </c>
      <c r="V28" s="36"/>
      <c r="W28" s="37"/>
      <c r="X28" s="37"/>
      <c r="Y28" s="36">
        <v>1</v>
      </c>
      <c r="Z28" s="36"/>
      <c r="AA28" s="43" t="s">
        <v>2</v>
      </c>
      <c r="AB28" s="43" t="s">
        <v>2</v>
      </c>
      <c r="AC28" s="36">
        <v>1</v>
      </c>
      <c r="AD28" s="36"/>
      <c r="AE28" s="36">
        <v>1</v>
      </c>
      <c r="AF28" s="36"/>
      <c r="AG28" s="36">
        <v>1</v>
      </c>
      <c r="AH28" s="36"/>
      <c r="AI28" s="37"/>
      <c r="AJ28" s="37"/>
      <c r="AK28" s="37"/>
      <c r="AL28" s="36">
        <v>1</v>
      </c>
      <c r="AM28" s="36"/>
      <c r="AN28" s="36">
        <v>1</v>
      </c>
      <c r="AO28" s="36"/>
      <c r="AP28" s="36">
        <v>1</v>
      </c>
      <c r="AQ28" s="36"/>
      <c r="AR28" s="36">
        <v>1</v>
      </c>
      <c r="AS28" s="36"/>
      <c r="AT28" s="37"/>
      <c r="AU28" s="37"/>
      <c r="AV28" s="36">
        <v>1</v>
      </c>
      <c r="AW28" s="36"/>
      <c r="AX28" s="36">
        <v>1</v>
      </c>
      <c r="AY28" s="36"/>
      <c r="AZ28" s="43" t="s">
        <v>2</v>
      </c>
      <c r="BA28" s="43" t="s">
        <v>2</v>
      </c>
    </row>
    <row r="29" spans="1:58" x14ac:dyDescent="0.25">
      <c r="BA29" s="26"/>
      <c r="BD29" t="s">
        <v>2</v>
      </c>
      <c r="BE29" t="s">
        <v>1</v>
      </c>
      <c r="BF29" t="s">
        <v>80</v>
      </c>
    </row>
    <row r="30" spans="1:58" x14ac:dyDescent="0.25">
      <c r="A30" s="35" t="s">
        <v>9</v>
      </c>
      <c r="B30" s="19"/>
      <c r="C30" s="27">
        <f>IF(C11="","",SUM(C11:C28))</f>
        <v>13</v>
      </c>
      <c r="D30" s="27" t="str">
        <f t="shared" ref="D30:BA30" si="0">IF(D11="","",SUM(D11:D28))</f>
        <v/>
      </c>
      <c r="E30" s="27">
        <f t="shared" si="0"/>
        <v>16</v>
      </c>
      <c r="F30" s="27" t="str">
        <f t="shared" si="0"/>
        <v/>
      </c>
      <c r="G30" s="27">
        <f t="shared" si="0"/>
        <v>17</v>
      </c>
      <c r="H30" s="27" t="str">
        <f t="shared" si="0"/>
        <v/>
      </c>
      <c r="I30" s="27">
        <f t="shared" si="0"/>
        <v>16</v>
      </c>
      <c r="J30" s="27">
        <f t="shared" si="0"/>
        <v>0</v>
      </c>
      <c r="K30" s="27" t="str">
        <f t="shared" si="0"/>
        <v/>
      </c>
      <c r="L30" s="27" t="str">
        <f t="shared" si="0"/>
        <v/>
      </c>
      <c r="M30" s="27">
        <f t="shared" si="0"/>
        <v>16</v>
      </c>
      <c r="N30" s="27" t="str">
        <f t="shared" si="0"/>
        <v/>
      </c>
      <c r="O30" s="27">
        <f t="shared" si="0"/>
        <v>16</v>
      </c>
      <c r="P30" s="27" t="str">
        <f t="shared" si="0"/>
        <v/>
      </c>
      <c r="Q30" s="27">
        <f t="shared" si="0"/>
        <v>16</v>
      </c>
      <c r="R30" s="27" t="str">
        <f t="shared" si="0"/>
        <v/>
      </c>
      <c r="S30" s="27">
        <f t="shared" si="0"/>
        <v>16</v>
      </c>
      <c r="T30" s="27" t="str">
        <f t="shared" si="0"/>
        <v/>
      </c>
      <c r="U30" s="27">
        <f t="shared" si="0"/>
        <v>14</v>
      </c>
      <c r="V30" s="27" t="str">
        <f t="shared" si="0"/>
        <v/>
      </c>
      <c r="W30" s="27" t="str">
        <f t="shared" si="0"/>
        <v/>
      </c>
      <c r="X30" s="27" t="str">
        <f t="shared" si="0"/>
        <v/>
      </c>
      <c r="Y30" s="27">
        <f t="shared" si="0"/>
        <v>13</v>
      </c>
      <c r="Z30" s="27" t="str">
        <f t="shared" si="0"/>
        <v/>
      </c>
      <c r="AA30" s="27">
        <f t="shared" si="0"/>
        <v>12</v>
      </c>
      <c r="AB30" s="27" t="str">
        <f t="shared" si="0"/>
        <v/>
      </c>
      <c r="AC30" s="27">
        <f>IF(AC11="","",SUM(AC11:AC28))</f>
        <v>15</v>
      </c>
      <c r="AD30" s="27" t="str">
        <f t="shared" si="0"/>
        <v/>
      </c>
      <c r="AE30" s="27">
        <f t="shared" si="0"/>
        <v>15</v>
      </c>
      <c r="AF30" s="27" t="str">
        <f t="shared" si="0"/>
        <v/>
      </c>
      <c r="AG30" s="27">
        <f t="shared" si="0"/>
        <v>14</v>
      </c>
      <c r="AH30" s="27" t="str">
        <f t="shared" si="0"/>
        <v/>
      </c>
      <c r="AI30" s="27" t="str">
        <f t="shared" si="0"/>
        <v/>
      </c>
      <c r="AJ30" s="27" t="str">
        <f t="shared" si="0"/>
        <v/>
      </c>
      <c r="AK30" s="27" t="str">
        <f t="shared" si="0"/>
        <v/>
      </c>
      <c r="AL30" s="27">
        <f t="shared" si="0"/>
        <v>17</v>
      </c>
      <c r="AM30" s="27" t="str">
        <f t="shared" si="0"/>
        <v/>
      </c>
      <c r="AN30" s="27">
        <f t="shared" si="0"/>
        <v>15</v>
      </c>
      <c r="AO30" s="27" t="str">
        <f t="shared" si="0"/>
        <v/>
      </c>
      <c r="AP30" s="27">
        <f t="shared" si="0"/>
        <v>16</v>
      </c>
      <c r="AQ30" s="27" t="str">
        <f t="shared" si="0"/>
        <v/>
      </c>
      <c r="AR30" s="27">
        <f t="shared" si="0"/>
        <v>16</v>
      </c>
      <c r="AS30" s="27" t="str">
        <f t="shared" si="0"/>
        <v/>
      </c>
      <c r="AT30" s="27" t="str">
        <f t="shared" si="0"/>
        <v/>
      </c>
      <c r="AU30" s="27" t="str">
        <f t="shared" si="0"/>
        <v/>
      </c>
      <c r="AV30" s="27">
        <f t="shared" si="0"/>
        <v>14</v>
      </c>
      <c r="AW30" s="27" t="str">
        <f t="shared" si="0"/>
        <v/>
      </c>
      <c r="AX30" s="27">
        <f t="shared" si="0"/>
        <v>14</v>
      </c>
      <c r="AY30" s="27" t="str">
        <f t="shared" si="0"/>
        <v/>
      </c>
      <c r="AZ30" s="27">
        <f t="shared" si="0"/>
        <v>13</v>
      </c>
      <c r="BA30" s="27" t="str">
        <f t="shared" si="0"/>
        <v/>
      </c>
      <c r="BC30" s="50">
        <f>AVERAGE(C30:AZ30)</f>
        <v>14.272727272727273</v>
      </c>
      <c r="BD30" s="127">
        <f>COUNTIF((C11:BA28),"RTT")/2</f>
        <v>25</v>
      </c>
      <c r="BE30" s="64">
        <f>COUNTIF((C11:BA28),"CP")/2</f>
        <v>13</v>
      </c>
      <c r="BF30" s="128">
        <f>COUNTIF((C11:BA28),"1")</f>
        <v>314</v>
      </c>
    </row>
    <row r="31" spans="1:58" x14ac:dyDescent="0.25">
      <c r="A31" s="35" t="s">
        <v>10</v>
      </c>
      <c r="B31" s="19"/>
      <c r="C31" s="27">
        <f>IF(C30="","",(18-C30))</f>
        <v>5</v>
      </c>
      <c r="D31" s="27" t="str">
        <f t="shared" ref="D31:BA31" si="1">IF(D30="","",(18-D30))</f>
        <v/>
      </c>
      <c r="E31" s="27">
        <f t="shared" si="1"/>
        <v>2</v>
      </c>
      <c r="F31" s="27" t="str">
        <f t="shared" si="1"/>
        <v/>
      </c>
      <c r="G31" s="27">
        <f t="shared" si="1"/>
        <v>1</v>
      </c>
      <c r="H31" s="27" t="str">
        <f t="shared" si="1"/>
        <v/>
      </c>
      <c r="I31" s="27">
        <f t="shared" si="1"/>
        <v>2</v>
      </c>
      <c r="J31" s="27">
        <f t="shared" si="1"/>
        <v>18</v>
      </c>
      <c r="K31" s="27" t="str">
        <f t="shared" si="1"/>
        <v/>
      </c>
      <c r="L31" s="27" t="str">
        <f t="shared" si="1"/>
        <v/>
      </c>
      <c r="M31" s="27">
        <f t="shared" si="1"/>
        <v>2</v>
      </c>
      <c r="N31" s="27" t="str">
        <f t="shared" si="1"/>
        <v/>
      </c>
      <c r="O31" s="27">
        <f t="shared" si="1"/>
        <v>2</v>
      </c>
      <c r="P31" s="27" t="str">
        <f t="shared" si="1"/>
        <v/>
      </c>
      <c r="Q31" s="27">
        <f t="shared" si="1"/>
        <v>2</v>
      </c>
      <c r="R31" s="27" t="str">
        <f t="shared" si="1"/>
        <v/>
      </c>
      <c r="S31" s="27">
        <f t="shared" si="1"/>
        <v>2</v>
      </c>
      <c r="T31" s="27" t="str">
        <f t="shared" si="1"/>
        <v/>
      </c>
      <c r="U31" s="27">
        <f t="shared" si="1"/>
        <v>4</v>
      </c>
      <c r="V31" s="27" t="str">
        <f t="shared" si="1"/>
        <v/>
      </c>
      <c r="W31" s="27" t="str">
        <f t="shared" si="1"/>
        <v/>
      </c>
      <c r="X31" s="27" t="str">
        <f t="shared" si="1"/>
        <v/>
      </c>
      <c r="Y31" s="27">
        <f t="shared" si="1"/>
        <v>5</v>
      </c>
      <c r="Z31" s="27" t="str">
        <f t="shared" si="1"/>
        <v/>
      </c>
      <c r="AA31" s="27">
        <f t="shared" si="1"/>
        <v>6</v>
      </c>
      <c r="AB31" s="27" t="str">
        <f t="shared" si="1"/>
        <v/>
      </c>
      <c r="AC31" s="27">
        <f t="shared" si="1"/>
        <v>3</v>
      </c>
      <c r="AD31" s="27" t="str">
        <f t="shared" si="1"/>
        <v/>
      </c>
      <c r="AE31" s="27">
        <f t="shared" si="1"/>
        <v>3</v>
      </c>
      <c r="AF31" s="27" t="str">
        <f t="shared" si="1"/>
        <v/>
      </c>
      <c r="AG31" s="27">
        <f t="shared" si="1"/>
        <v>4</v>
      </c>
      <c r="AH31" s="27" t="str">
        <f t="shared" si="1"/>
        <v/>
      </c>
      <c r="AI31" s="27" t="str">
        <f t="shared" si="1"/>
        <v/>
      </c>
      <c r="AJ31" s="27" t="str">
        <f t="shared" si="1"/>
        <v/>
      </c>
      <c r="AK31" s="27" t="str">
        <f t="shared" si="1"/>
        <v/>
      </c>
      <c r="AL31" s="27">
        <f t="shared" si="1"/>
        <v>1</v>
      </c>
      <c r="AM31" s="27" t="str">
        <f t="shared" si="1"/>
        <v/>
      </c>
      <c r="AN31" s="27">
        <f t="shared" si="1"/>
        <v>3</v>
      </c>
      <c r="AO31" s="27" t="str">
        <f t="shared" si="1"/>
        <v/>
      </c>
      <c r="AP31" s="27">
        <f t="shared" si="1"/>
        <v>2</v>
      </c>
      <c r="AQ31" s="27" t="str">
        <f t="shared" si="1"/>
        <v/>
      </c>
      <c r="AR31" s="27">
        <f t="shared" si="1"/>
        <v>2</v>
      </c>
      <c r="AS31" s="27" t="str">
        <f t="shared" si="1"/>
        <v/>
      </c>
      <c r="AT31" s="27" t="str">
        <f t="shared" si="1"/>
        <v/>
      </c>
      <c r="AU31" s="27" t="str">
        <f t="shared" si="1"/>
        <v/>
      </c>
      <c r="AV31" s="27">
        <f t="shared" si="1"/>
        <v>4</v>
      </c>
      <c r="AW31" s="27" t="str">
        <f t="shared" si="1"/>
        <v/>
      </c>
      <c r="AX31" s="27">
        <f t="shared" si="1"/>
        <v>4</v>
      </c>
      <c r="AY31" s="27" t="str">
        <f t="shared" si="1"/>
        <v/>
      </c>
      <c r="AZ31" s="27">
        <f t="shared" si="1"/>
        <v>5</v>
      </c>
      <c r="BA31" s="27" t="str">
        <f t="shared" si="1"/>
        <v/>
      </c>
      <c r="BC31" s="50">
        <f>AVERAGE(C31:AZ31)</f>
        <v>3.7272727272727271</v>
      </c>
    </row>
    <row r="32" spans="1:58" s="20" customFormat="1" x14ac:dyDescent="0.25">
      <c r="D32" s="26"/>
      <c r="F32" s="26"/>
      <c r="H32" s="26"/>
      <c r="J32" s="26"/>
      <c r="N32" s="26"/>
      <c r="P32" s="26"/>
      <c r="R32" s="26"/>
      <c r="T32" s="26"/>
      <c r="V32" s="26"/>
      <c r="Z32" s="26"/>
      <c r="AB32" s="26"/>
      <c r="AD32" s="26"/>
      <c r="AF32" s="26"/>
      <c r="AH32" s="26"/>
      <c r="AM32" s="26"/>
      <c r="AO32" s="26"/>
      <c r="AQ32" s="26"/>
      <c r="AS32" s="26"/>
      <c r="AW32" s="26"/>
      <c r="AY32" s="26"/>
      <c r="BA32" s="26"/>
    </row>
    <row r="33" spans="1:53" x14ac:dyDescent="0.25">
      <c r="B33" s="20" t="s">
        <v>11</v>
      </c>
      <c r="C33" s="16">
        <v>41730</v>
      </c>
      <c r="D33" s="16"/>
      <c r="E33" s="16">
        <v>41731</v>
      </c>
      <c r="F33" s="16"/>
      <c r="G33" s="16">
        <v>41732</v>
      </c>
      <c r="H33" s="16"/>
      <c r="I33" s="16">
        <v>41733</v>
      </c>
      <c r="J33" s="16"/>
      <c r="K33" s="18">
        <v>41734</v>
      </c>
      <c r="L33" s="18">
        <v>41735</v>
      </c>
      <c r="M33" s="16">
        <v>41736</v>
      </c>
      <c r="N33" s="16"/>
      <c r="O33" s="16">
        <v>41737</v>
      </c>
      <c r="P33" s="16"/>
      <c r="Q33" s="16">
        <v>41738</v>
      </c>
      <c r="R33" s="16"/>
      <c r="S33" s="16">
        <v>41739</v>
      </c>
      <c r="T33" s="16"/>
      <c r="U33" s="16">
        <v>41740</v>
      </c>
      <c r="V33" s="16"/>
      <c r="W33" s="18">
        <v>41741</v>
      </c>
      <c r="X33" s="18">
        <v>41742</v>
      </c>
      <c r="Y33" s="16">
        <v>41743</v>
      </c>
      <c r="Z33" s="16"/>
      <c r="AA33" s="16">
        <v>41744</v>
      </c>
      <c r="AB33" s="16"/>
      <c r="AC33" s="16">
        <v>41745</v>
      </c>
      <c r="AD33" s="16"/>
      <c r="AE33" s="16">
        <v>41746</v>
      </c>
      <c r="AF33" s="16"/>
      <c r="AG33" s="16">
        <v>41747</v>
      </c>
      <c r="AH33" s="16"/>
      <c r="AI33" s="18">
        <v>41748</v>
      </c>
      <c r="AJ33" s="18">
        <v>41749</v>
      </c>
      <c r="AK33" s="18">
        <v>41750</v>
      </c>
      <c r="AL33" s="16">
        <v>41751</v>
      </c>
      <c r="AM33" s="16"/>
      <c r="AN33" s="16">
        <v>41752</v>
      </c>
      <c r="AO33" s="16"/>
      <c r="AP33" s="16">
        <v>41753</v>
      </c>
      <c r="AQ33" s="16"/>
      <c r="AR33" s="16">
        <v>41754</v>
      </c>
      <c r="AS33" s="16"/>
      <c r="AT33" s="18">
        <v>41755</v>
      </c>
      <c r="AU33" s="18">
        <v>41756</v>
      </c>
      <c r="AV33" s="16">
        <v>41757</v>
      </c>
      <c r="AW33" s="16"/>
      <c r="AX33" s="16">
        <v>41758</v>
      </c>
      <c r="AY33" s="16"/>
      <c r="AZ33" s="16">
        <v>41759</v>
      </c>
      <c r="BA33" s="16"/>
    </row>
    <row r="34" spans="1:53" x14ac:dyDescent="0.25">
      <c r="A34" s="22">
        <v>2</v>
      </c>
      <c r="B34" s="22">
        <v>24</v>
      </c>
      <c r="C34" s="39"/>
      <c r="D34" s="39" t="str">
        <f>IF(C34="","",C34/B34)</f>
        <v/>
      </c>
      <c r="E34" s="39">
        <v>7.8230000000000004</v>
      </c>
      <c r="F34" s="39">
        <f>IF(E34="","",E34/B34)</f>
        <v>0.32595833333333335</v>
      </c>
      <c r="G34" s="39">
        <v>23.803000000000001</v>
      </c>
      <c r="H34" s="39">
        <f>IF(G34="","",G34/B34)</f>
        <v>0.99179166666666674</v>
      </c>
      <c r="I34" s="39">
        <v>8.4960000000000004</v>
      </c>
      <c r="J34" s="39">
        <f>IF(I34="","",I34/B34)</f>
        <v>0.35400000000000004</v>
      </c>
      <c r="K34" s="40"/>
      <c r="L34" s="40"/>
      <c r="M34" s="39">
        <v>5.7889999999999997</v>
      </c>
      <c r="N34" s="39">
        <f>IF(M34="","",M34/B34)</f>
        <v>0.24120833333333333</v>
      </c>
      <c r="O34" s="39">
        <v>21.231999999999999</v>
      </c>
      <c r="P34" s="39">
        <f>IF(O34="","",O34/B34)</f>
        <v>0.8846666666666666</v>
      </c>
      <c r="Q34" s="39">
        <v>13.17</v>
      </c>
      <c r="R34" s="39">
        <f>IF(Q34="","",Q34/B34)</f>
        <v>0.54874999999999996</v>
      </c>
      <c r="S34" s="39">
        <v>15.417</v>
      </c>
      <c r="T34" s="39">
        <f>IF(S34="","",S34/B34)</f>
        <v>0.64237500000000003</v>
      </c>
      <c r="U34" s="39">
        <v>0.72</v>
      </c>
      <c r="V34" s="39">
        <f>IF(U34="","",U34/B34)</f>
        <v>0.03</v>
      </c>
      <c r="W34" s="40"/>
      <c r="X34" s="40"/>
      <c r="Y34" s="39">
        <v>9.8450000000000006</v>
      </c>
      <c r="Z34" s="39">
        <f>IF(Y34="","",Y34/B34)</f>
        <v>0.41020833333333334</v>
      </c>
      <c r="AA34" s="39">
        <v>22.756</v>
      </c>
      <c r="AB34" s="39">
        <f>IF(AA34="","",AA34/B34)</f>
        <v>0.94816666666666671</v>
      </c>
      <c r="AC34" s="39">
        <v>6.5229999999999997</v>
      </c>
      <c r="AD34" s="39">
        <f>IF(AC34="","",AC34/B34)</f>
        <v>0.27179166666666665</v>
      </c>
      <c r="AE34" s="39">
        <v>20.826000000000001</v>
      </c>
      <c r="AF34" s="39">
        <f>IF(AE34="","",AE34/B34)</f>
        <v>0.86775000000000002</v>
      </c>
      <c r="AG34" s="39">
        <v>6.0750000000000002</v>
      </c>
      <c r="AH34" s="39">
        <f>IF(AG34="","",AG34/B34)</f>
        <v>0.25312499999999999</v>
      </c>
      <c r="AI34" s="40"/>
      <c r="AJ34" s="40"/>
      <c r="AK34" s="40"/>
      <c r="AL34" s="39">
        <v>4.3109999999999999</v>
      </c>
      <c r="AM34" s="39">
        <f t="shared" ref="AM34:AM57" si="2">IF(AL34="","",AL34/B34)</f>
        <v>0.17962500000000001</v>
      </c>
      <c r="AN34" s="39">
        <v>5.3120000000000003</v>
      </c>
      <c r="AO34" s="39">
        <f t="shared" ref="AO34:AO57" si="3">IF(AN34="","",AN34/B34)</f>
        <v>0.22133333333333335</v>
      </c>
      <c r="AP34" s="39">
        <v>24.332000000000001</v>
      </c>
      <c r="AQ34" s="39">
        <f t="shared" ref="AQ34:AQ57" si="4">IF(AP34="","",AP34/B34)</f>
        <v>1.0138333333333334</v>
      </c>
      <c r="AR34" s="39">
        <v>11.435</v>
      </c>
      <c r="AS34" s="39">
        <f t="shared" ref="AS34:AS57" si="5">IF(AR34="","",AR34/B34)</f>
        <v>0.47645833333333337</v>
      </c>
      <c r="AT34" s="40"/>
      <c r="AU34" s="40"/>
      <c r="AV34" s="39">
        <v>16.661999999999999</v>
      </c>
      <c r="AW34" s="39">
        <f t="shared" ref="AW34:AW57" si="6">IF(AV34="","",AV34/B34)</f>
        <v>0.69424999999999992</v>
      </c>
      <c r="AX34" s="39">
        <v>20.931999999999999</v>
      </c>
      <c r="AY34" s="39">
        <f t="shared" ref="AY34:AY57" si="7">IF(AX34="","",AX34/B34)</f>
        <v>0.87216666666666665</v>
      </c>
      <c r="AZ34" s="39">
        <v>5.3579999999999997</v>
      </c>
      <c r="BA34" s="39">
        <f>IF(AZ34="","",AZ34/B34)</f>
        <v>0.22324999999999998</v>
      </c>
    </row>
    <row r="35" spans="1:53" x14ac:dyDescent="0.25">
      <c r="A35" s="22">
        <v>2</v>
      </c>
      <c r="B35" s="22">
        <v>15</v>
      </c>
      <c r="C35" s="39">
        <v>4.7</v>
      </c>
      <c r="D35" s="39">
        <f>IF(C35="","",C35/B35)</f>
        <v>0.31333333333333335</v>
      </c>
      <c r="E35" s="39">
        <v>6.9269999999999996</v>
      </c>
      <c r="F35" s="39">
        <f t="shared" ref="F35:F57" si="8">IF(E35="","",E35/B35)</f>
        <v>0.46179999999999999</v>
      </c>
      <c r="G35" s="39">
        <v>6.2729999999999997</v>
      </c>
      <c r="H35" s="39">
        <f t="shared" ref="H35:H57" si="9">IF(G35="","",G35/B35)</f>
        <v>0.41819999999999996</v>
      </c>
      <c r="I35" s="39">
        <v>15.362</v>
      </c>
      <c r="J35" s="39">
        <f t="shared" ref="J35:J57" si="10">IF(I35="","",I35/B35)</f>
        <v>1.0241333333333333</v>
      </c>
      <c r="K35" s="40"/>
      <c r="L35" s="40"/>
      <c r="M35" s="39">
        <v>14.743</v>
      </c>
      <c r="N35" s="39">
        <f t="shared" ref="N35:N57" si="11">IF(M35="","",M35/B35)</f>
        <v>0.98286666666666667</v>
      </c>
      <c r="O35" s="39">
        <v>8.42</v>
      </c>
      <c r="P35" s="39">
        <f t="shared" ref="P35:P57" si="12">IF(O35="","",O35/B35)</f>
        <v>0.56133333333333335</v>
      </c>
      <c r="Q35" s="39">
        <v>12.05</v>
      </c>
      <c r="R35" s="39">
        <f t="shared" ref="R35:R57" si="13">IF(Q35="","",Q35/B35)</f>
        <v>0.80333333333333334</v>
      </c>
      <c r="S35" s="39">
        <v>7.06</v>
      </c>
      <c r="T35" s="39">
        <f t="shared" ref="T35:T57" si="14">IF(S35="","",S35/B35)</f>
        <v>0.47066666666666662</v>
      </c>
      <c r="U35" s="39">
        <v>3.59</v>
      </c>
      <c r="V35" s="39">
        <f t="shared" ref="V35:V57" si="15">IF(U35="","",U35/B35)</f>
        <v>0.23933333333333331</v>
      </c>
      <c r="W35" s="40"/>
      <c r="X35" s="40"/>
      <c r="Y35" s="39">
        <v>1.2889999999999999</v>
      </c>
      <c r="Z35" s="39">
        <f t="shared" ref="Z35:Z57" si="16">IF(Y35="","",Y35/B35)</f>
        <v>8.5933333333333334E-2</v>
      </c>
      <c r="AA35" s="39">
        <v>8.2970000000000006</v>
      </c>
      <c r="AB35" s="39">
        <f t="shared" ref="AB35:AB57" si="17">IF(AA35="","",AA35/B35)</f>
        <v>0.55313333333333337</v>
      </c>
      <c r="AC35" s="39">
        <v>5.5810000000000004</v>
      </c>
      <c r="AD35" s="39">
        <f t="shared" ref="AD35:AD57" si="18">IF(AC35="","",AC35/B35)</f>
        <v>0.37206666666666671</v>
      </c>
      <c r="AE35" s="39">
        <v>9.1620000000000008</v>
      </c>
      <c r="AF35" s="39">
        <f t="shared" ref="AF35:AF57" si="19">IF(AE35="","",AE35/B35)</f>
        <v>0.61080000000000001</v>
      </c>
      <c r="AG35" s="39">
        <v>3.867</v>
      </c>
      <c r="AH35" s="39">
        <f t="shared" ref="AH35:AH57" si="20">IF(AG35="","",AG35/B35)</f>
        <v>0.25779999999999997</v>
      </c>
      <c r="AI35" s="40"/>
      <c r="AJ35" s="40"/>
      <c r="AK35" s="40"/>
      <c r="AL35" s="39">
        <v>12.638</v>
      </c>
      <c r="AM35" s="39">
        <f t="shared" si="2"/>
        <v>0.84253333333333336</v>
      </c>
      <c r="AN35" s="39">
        <v>12.115</v>
      </c>
      <c r="AO35" s="39">
        <f t="shared" si="3"/>
        <v>0.80766666666666664</v>
      </c>
      <c r="AP35" s="39">
        <v>2.9660000000000002</v>
      </c>
      <c r="AQ35" s="39">
        <f t="shared" si="4"/>
        <v>0.19773333333333334</v>
      </c>
      <c r="AR35" s="39">
        <v>11.802</v>
      </c>
      <c r="AS35" s="39">
        <f t="shared" si="5"/>
        <v>0.78679999999999994</v>
      </c>
      <c r="AT35" s="40"/>
      <c r="AU35" s="40"/>
      <c r="AV35" s="39">
        <v>4.2089999999999996</v>
      </c>
      <c r="AW35" s="39">
        <f t="shared" si="6"/>
        <v>0.28059999999999996</v>
      </c>
      <c r="AX35" s="39">
        <v>4.048</v>
      </c>
      <c r="AY35" s="39">
        <f t="shared" si="7"/>
        <v>0.26986666666666664</v>
      </c>
      <c r="AZ35" s="39">
        <v>10.366</v>
      </c>
      <c r="BA35" s="39">
        <f t="shared" ref="BA35:BA42" si="21">IF(AZ35="","",AZ35/B35)</f>
        <v>0.69106666666666661</v>
      </c>
    </row>
    <row r="36" spans="1:53" x14ac:dyDescent="0.25">
      <c r="A36" s="22">
        <v>2</v>
      </c>
      <c r="B36" s="22">
        <v>15</v>
      </c>
      <c r="C36" s="39"/>
      <c r="D36" s="39" t="str">
        <f t="shared" ref="D36:D57" si="22">IF(C36="","",C36/B36)</f>
        <v/>
      </c>
      <c r="E36" s="39"/>
      <c r="F36" s="39" t="str">
        <f t="shared" si="8"/>
        <v/>
      </c>
      <c r="G36" s="39">
        <v>8.94</v>
      </c>
      <c r="H36" s="39">
        <f t="shared" si="9"/>
        <v>0.59599999999999997</v>
      </c>
      <c r="I36" s="39">
        <v>5.91</v>
      </c>
      <c r="J36" s="39">
        <f t="shared" si="10"/>
        <v>0.39400000000000002</v>
      </c>
      <c r="K36" s="40"/>
      <c r="L36" s="40"/>
      <c r="M36" s="39">
        <v>11.11</v>
      </c>
      <c r="N36" s="39">
        <f t="shared" si="11"/>
        <v>0.74066666666666658</v>
      </c>
      <c r="O36" s="39">
        <v>13.56</v>
      </c>
      <c r="P36" s="39">
        <f t="shared" si="12"/>
        <v>0.90400000000000003</v>
      </c>
      <c r="Q36" s="39">
        <v>14.3</v>
      </c>
      <c r="R36" s="39">
        <f t="shared" si="13"/>
        <v>0.95333333333333337</v>
      </c>
      <c r="S36" s="39">
        <v>9.74</v>
      </c>
      <c r="T36" s="39">
        <f t="shared" si="14"/>
        <v>0.64933333333333332</v>
      </c>
      <c r="U36" s="39">
        <v>13.7</v>
      </c>
      <c r="V36" s="39">
        <f t="shared" si="15"/>
        <v>0.91333333333333333</v>
      </c>
      <c r="W36" s="40"/>
      <c r="X36" s="40"/>
      <c r="Y36" s="39">
        <v>13.098000000000001</v>
      </c>
      <c r="Z36" s="39">
        <f t="shared" si="16"/>
        <v>0.87320000000000009</v>
      </c>
      <c r="AA36" s="39">
        <v>5.5010000000000003</v>
      </c>
      <c r="AB36" s="39">
        <f t="shared" si="17"/>
        <v>0.36673333333333336</v>
      </c>
      <c r="AC36" s="39">
        <v>16.388000000000002</v>
      </c>
      <c r="AD36" s="39">
        <f t="shared" si="18"/>
        <v>1.0925333333333334</v>
      </c>
      <c r="AE36" s="39">
        <v>11.17</v>
      </c>
      <c r="AF36" s="39">
        <f t="shared" si="19"/>
        <v>0.7446666666666667</v>
      </c>
      <c r="AG36" s="39">
        <v>13.670999999999999</v>
      </c>
      <c r="AH36" s="39">
        <f t="shared" si="20"/>
        <v>0.91139999999999999</v>
      </c>
      <c r="AI36" s="40"/>
      <c r="AJ36" s="40"/>
      <c r="AK36" s="40"/>
      <c r="AL36" s="39">
        <v>9.1690000000000005</v>
      </c>
      <c r="AM36" s="39">
        <f t="shared" si="2"/>
        <v>0.61126666666666674</v>
      </c>
      <c r="AN36" s="39">
        <v>7.8209999999999997</v>
      </c>
      <c r="AO36" s="39">
        <f t="shared" si="3"/>
        <v>0.52139999999999997</v>
      </c>
      <c r="AP36" s="39">
        <v>9.19</v>
      </c>
      <c r="AQ36" s="39">
        <f t="shared" si="4"/>
        <v>0.61266666666666658</v>
      </c>
      <c r="AR36" s="39">
        <v>6.8310000000000004</v>
      </c>
      <c r="AS36" s="39">
        <f t="shared" si="5"/>
        <v>0.45540000000000003</v>
      </c>
      <c r="AT36" s="40"/>
      <c r="AU36" s="40"/>
      <c r="AV36" s="39">
        <v>11.180999999999999</v>
      </c>
      <c r="AW36" s="39">
        <f t="shared" si="6"/>
        <v>0.74539999999999995</v>
      </c>
      <c r="AX36" s="39">
        <v>16.081</v>
      </c>
      <c r="AY36" s="39">
        <f t="shared" si="7"/>
        <v>1.0720666666666667</v>
      </c>
      <c r="AZ36" s="39">
        <v>9.125</v>
      </c>
      <c r="BA36" s="39">
        <f t="shared" si="21"/>
        <v>0.60833333333333328</v>
      </c>
    </row>
    <row r="37" spans="1:53" x14ac:dyDescent="0.25">
      <c r="A37" s="22">
        <v>2</v>
      </c>
      <c r="B37" s="22">
        <v>15</v>
      </c>
      <c r="C37" s="39">
        <v>14.308999999999999</v>
      </c>
      <c r="D37" s="39">
        <f t="shared" si="22"/>
        <v>0.9539333333333333</v>
      </c>
      <c r="E37" s="39">
        <v>4.18</v>
      </c>
      <c r="F37" s="39">
        <f t="shared" si="8"/>
        <v>0.27866666666666667</v>
      </c>
      <c r="G37" s="39">
        <v>4.7880000000000003</v>
      </c>
      <c r="H37" s="39">
        <f t="shared" si="9"/>
        <v>0.31920000000000004</v>
      </c>
      <c r="I37" s="39">
        <v>9.8870000000000005</v>
      </c>
      <c r="J37" s="39">
        <f t="shared" si="10"/>
        <v>0.65913333333333335</v>
      </c>
      <c r="K37" s="40"/>
      <c r="L37" s="40"/>
      <c r="M37" s="39">
        <v>14.75</v>
      </c>
      <c r="N37" s="39">
        <f t="shared" si="11"/>
        <v>0.98333333333333328</v>
      </c>
      <c r="O37" s="39">
        <v>13.56</v>
      </c>
      <c r="P37" s="39">
        <f t="shared" si="12"/>
        <v>0.90400000000000003</v>
      </c>
      <c r="Q37" s="39">
        <v>5.15</v>
      </c>
      <c r="R37" s="39">
        <f t="shared" si="13"/>
        <v>0.34333333333333338</v>
      </c>
      <c r="S37" s="39">
        <v>5.44</v>
      </c>
      <c r="T37" s="39">
        <f t="shared" si="14"/>
        <v>0.36266666666666669</v>
      </c>
      <c r="U37" s="39">
        <v>12.885</v>
      </c>
      <c r="V37" s="39">
        <f t="shared" si="15"/>
        <v>0.85899999999999999</v>
      </c>
      <c r="W37" s="40"/>
      <c r="X37" s="40"/>
      <c r="Y37" s="39">
        <v>3.3519999999999999</v>
      </c>
      <c r="Z37" s="39">
        <f t="shared" si="16"/>
        <v>0.22346666666666665</v>
      </c>
      <c r="AA37" s="39">
        <v>3.6</v>
      </c>
      <c r="AB37" s="39">
        <f t="shared" si="17"/>
        <v>0.24000000000000002</v>
      </c>
      <c r="AC37" s="39">
        <v>11.138999999999999</v>
      </c>
      <c r="AD37" s="39">
        <f t="shared" si="18"/>
        <v>0.74259999999999993</v>
      </c>
      <c r="AE37" s="39">
        <v>8.7959999999999994</v>
      </c>
      <c r="AF37" s="39">
        <f t="shared" si="19"/>
        <v>0.58639999999999992</v>
      </c>
      <c r="AG37" s="39">
        <v>9.7469999999999999</v>
      </c>
      <c r="AH37" s="39">
        <f t="shared" si="20"/>
        <v>0.64980000000000004</v>
      </c>
      <c r="AI37" s="40"/>
      <c r="AJ37" s="40"/>
      <c r="AK37" s="40"/>
      <c r="AL37" s="39">
        <v>2.641</v>
      </c>
      <c r="AM37" s="39">
        <f t="shared" si="2"/>
        <v>0.17606666666666668</v>
      </c>
      <c r="AN37" s="39">
        <f>3.38+11.769</f>
        <v>15.149000000000001</v>
      </c>
      <c r="AO37" s="39">
        <f t="shared" si="3"/>
        <v>1.0099333333333333</v>
      </c>
      <c r="AP37" s="39">
        <v>4.91</v>
      </c>
      <c r="AQ37" s="39">
        <f t="shared" si="4"/>
        <v>0.32733333333333337</v>
      </c>
      <c r="AR37" s="39">
        <v>8.0779999999999994</v>
      </c>
      <c r="AS37" s="39">
        <f t="shared" si="5"/>
        <v>0.53853333333333331</v>
      </c>
      <c r="AT37" s="40"/>
      <c r="AU37" s="40"/>
      <c r="AV37" s="39">
        <v>13.670999999999999</v>
      </c>
      <c r="AW37" s="39">
        <f t="shared" si="6"/>
        <v>0.91139999999999999</v>
      </c>
      <c r="AX37" s="39">
        <v>10.295999999999999</v>
      </c>
      <c r="AY37" s="39">
        <f t="shared" si="7"/>
        <v>0.68640000000000001</v>
      </c>
      <c r="AZ37" s="39">
        <v>4.6260000000000003</v>
      </c>
      <c r="BA37" s="39">
        <f t="shared" si="21"/>
        <v>0.30840000000000001</v>
      </c>
    </row>
    <row r="38" spans="1:53" x14ac:dyDescent="0.25">
      <c r="A38" s="22">
        <v>2</v>
      </c>
      <c r="B38" s="22">
        <v>15</v>
      </c>
      <c r="C38" s="39"/>
      <c r="D38" s="39" t="str">
        <f t="shared" si="22"/>
        <v/>
      </c>
      <c r="E38" s="39">
        <v>3.194</v>
      </c>
      <c r="F38" s="39">
        <f t="shared" si="8"/>
        <v>0.21293333333333334</v>
      </c>
      <c r="G38" s="39">
        <v>12.151999999999999</v>
      </c>
      <c r="H38" s="39">
        <f t="shared" si="9"/>
        <v>0.81013333333333326</v>
      </c>
      <c r="I38" s="39">
        <v>6.4429999999999996</v>
      </c>
      <c r="J38" s="39">
        <f t="shared" si="10"/>
        <v>0.42953333333333332</v>
      </c>
      <c r="K38" s="40"/>
      <c r="L38" s="40"/>
      <c r="M38" s="39">
        <f>10.633+12.47</f>
        <v>23.103000000000002</v>
      </c>
      <c r="N38" s="39">
        <f t="shared" si="11"/>
        <v>1.5402</v>
      </c>
      <c r="O38" s="39">
        <v>11.11</v>
      </c>
      <c r="P38" s="39">
        <f t="shared" si="12"/>
        <v>0.74066666666666658</v>
      </c>
      <c r="Q38" s="39">
        <v>1.87</v>
      </c>
      <c r="R38" s="39">
        <f t="shared" si="13"/>
        <v>0.12466666666666668</v>
      </c>
      <c r="S38" s="39">
        <v>10.378</v>
      </c>
      <c r="T38" s="39">
        <f t="shared" si="14"/>
        <v>0.69186666666666663</v>
      </c>
      <c r="U38" s="39">
        <v>4.37</v>
      </c>
      <c r="V38" s="39">
        <f t="shared" si="15"/>
        <v>0.29133333333333333</v>
      </c>
      <c r="W38" s="40"/>
      <c r="X38" s="40"/>
      <c r="Y38" s="39">
        <v>9.9695</v>
      </c>
      <c r="Z38" s="39">
        <f t="shared" si="16"/>
        <v>0.6646333333333333</v>
      </c>
      <c r="AA38" s="39"/>
      <c r="AB38" s="39" t="str">
        <f t="shared" si="17"/>
        <v/>
      </c>
      <c r="AC38" s="39">
        <v>10.657</v>
      </c>
      <c r="AD38" s="39">
        <f t="shared" si="18"/>
        <v>0.71046666666666669</v>
      </c>
      <c r="AE38" s="39">
        <v>13.162000000000001</v>
      </c>
      <c r="AF38" s="39">
        <f t="shared" si="19"/>
        <v>0.87746666666666673</v>
      </c>
      <c r="AG38" s="39">
        <v>10.157999999999999</v>
      </c>
      <c r="AH38" s="39">
        <f t="shared" si="20"/>
        <v>0.67719999999999991</v>
      </c>
      <c r="AI38" s="40"/>
      <c r="AJ38" s="40"/>
      <c r="AK38" s="40"/>
      <c r="AL38" s="39">
        <v>11.082000000000001</v>
      </c>
      <c r="AM38" s="39">
        <f t="shared" si="2"/>
        <v>0.73880000000000001</v>
      </c>
      <c r="AN38" s="39"/>
      <c r="AO38" s="39" t="str">
        <f t="shared" si="3"/>
        <v/>
      </c>
      <c r="AP38" s="39">
        <v>10.997</v>
      </c>
      <c r="AQ38" s="39">
        <f t="shared" si="4"/>
        <v>0.7331333333333333</v>
      </c>
      <c r="AR38" s="39">
        <v>6.7619999999999996</v>
      </c>
      <c r="AS38" s="39">
        <f t="shared" si="5"/>
        <v>0.45079999999999998</v>
      </c>
      <c r="AT38" s="40"/>
      <c r="AU38" s="40"/>
      <c r="AV38" s="39">
        <v>6.8319999999999999</v>
      </c>
      <c r="AW38" s="39">
        <f t="shared" si="6"/>
        <v>0.45546666666666663</v>
      </c>
      <c r="AX38" s="39">
        <v>13.721</v>
      </c>
      <c r="AY38" s="39">
        <f t="shared" si="7"/>
        <v>0.91473333333333329</v>
      </c>
      <c r="AZ38" s="39"/>
      <c r="BA38" s="39" t="str">
        <f t="shared" si="21"/>
        <v/>
      </c>
    </row>
    <row r="39" spans="1:53" x14ac:dyDescent="0.25">
      <c r="A39" s="22">
        <v>2</v>
      </c>
      <c r="B39" s="22">
        <v>15</v>
      </c>
      <c r="C39" s="39">
        <v>5.1920000000000002</v>
      </c>
      <c r="D39" s="39">
        <f t="shared" si="22"/>
        <v>0.34613333333333335</v>
      </c>
      <c r="E39" s="39">
        <v>4.6180000000000003</v>
      </c>
      <c r="F39" s="39">
        <f t="shared" si="8"/>
        <v>0.30786666666666668</v>
      </c>
      <c r="G39" s="39">
        <v>10.69</v>
      </c>
      <c r="H39" s="39">
        <f t="shared" si="9"/>
        <v>0.71266666666666667</v>
      </c>
      <c r="I39" s="39">
        <v>10.542999999999999</v>
      </c>
      <c r="J39" s="39">
        <f t="shared" si="10"/>
        <v>0.70286666666666664</v>
      </c>
      <c r="K39" s="40"/>
      <c r="L39" s="40"/>
      <c r="M39" s="39">
        <v>3.2</v>
      </c>
      <c r="N39" s="39">
        <f t="shared" si="11"/>
        <v>0.21333333333333335</v>
      </c>
      <c r="O39" s="39">
        <v>8.8800000000000008</v>
      </c>
      <c r="P39" s="39">
        <f t="shared" si="12"/>
        <v>0.59200000000000008</v>
      </c>
      <c r="Q39" s="39">
        <v>9.93</v>
      </c>
      <c r="R39" s="39">
        <f t="shared" si="13"/>
        <v>0.66200000000000003</v>
      </c>
      <c r="S39" s="39">
        <v>3.88</v>
      </c>
      <c r="T39" s="39">
        <f t="shared" si="14"/>
        <v>0.25866666666666666</v>
      </c>
      <c r="U39" s="39">
        <v>7.14</v>
      </c>
      <c r="V39" s="39">
        <f t="shared" si="15"/>
        <v>0.47599999999999998</v>
      </c>
      <c r="W39" s="40"/>
      <c r="X39" s="40"/>
      <c r="Y39" s="39">
        <v>8.01</v>
      </c>
      <c r="Z39" s="39">
        <f t="shared" si="16"/>
        <v>0.53400000000000003</v>
      </c>
      <c r="AA39" s="39">
        <v>4.0289999999999999</v>
      </c>
      <c r="AB39" s="39">
        <f t="shared" si="17"/>
        <v>0.26860000000000001</v>
      </c>
      <c r="AC39" s="39">
        <v>4.7839999999999998</v>
      </c>
      <c r="AD39" s="39">
        <f t="shared" si="18"/>
        <v>0.31893333333333335</v>
      </c>
      <c r="AE39" s="39">
        <v>10.49</v>
      </c>
      <c r="AF39" s="39">
        <f t="shared" si="19"/>
        <v>0.69933333333333336</v>
      </c>
      <c r="AG39" s="39">
        <v>3.0219999999999998</v>
      </c>
      <c r="AH39" s="39">
        <f t="shared" si="20"/>
        <v>0.20146666666666666</v>
      </c>
      <c r="AI39" s="40"/>
      <c r="AJ39" s="40"/>
      <c r="AK39" s="40"/>
      <c r="AL39" s="39">
        <v>8.2590000000000003</v>
      </c>
      <c r="AM39" s="39">
        <f t="shared" si="2"/>
        <v>0.55059999999999998</v>
      </c>
      <c r="AN39" s="39">
        <v>5.8150000000000004</v>
      </c>
      <c r="AO39" s="39">
        <f t="shared" si="3"/>
        <v>0.38766666666666671</v>
      </c>
      <c r="AP39" s="39"/>
      <c r="AQ39" s="39" t="str">
        <f t="shared" si="4"/>
        <v/>
      </c>
      <c r="AR39" s="39">
        <v>3.4820000000000002</v>
      </c>
      <c r="AS39" s="39">
        <f t="shared" si="5"/>
        <v>0.23213333333333336</v>
      </c>
      <c r="AT39" s="40"/>
      <c r="AU39" s="40"/>
      <c r="AV39" s="39"/>
      <c r="AW39" s="39" t="str">
        <f t="shared" si="6"/>
        <v/>
      </c>
      <c r="AX39" s="39"/>
      <c r="AY39" s="39" t="str">
        <f t="shared" si="7"/>
        <v/>
      </c>
      <c r="AZ39" s="39"/>
      <c r="BA39" s="39" t="str">
        <f t="shared" si="21"/>
        <v/>
      </c>
    </row>
    <row r="40" spans="1:53" x14ac:dyDescent="0.25">
      <c r="A40" s="22">
        <v>2</v>
      </c>
      <c r="B40" s="21">
        <v>24</v>
      </c>
      <c r="C40" s="55">
        <v>7.95</v>
      </c>
      <c r="D40" s="55">
        <f t="shared" si="22"/>
        <v>0.33124999999999999</v>
      </c>
      <c r="E40" s="55">
        <v>23.131</v>
      </c>
      <c r="F40" s="55">
        <f t="shared" si="8"/>
        <v>0.96379166666666671</v>
      </c>
      <c r="G40" s="55">
        <v>13.54</v>
      </c>
      <c r="H40" s="55">
        <f t="shared" si="9"/>
        <v>0.56416666666666659</v>
      </c>
      <c r="I40" s="55">
        <v>17.760000000000002</v>
      </c>
      <c r="J40" s="55">
        <f t="shared" si="10"/>
        <v>0.7400000000000001</v>
      </c>
      <c r="K40" s="40"/>
      <c r="L40" s="40"/>
      <c r="M40" s="55">
        <v>4.92</v>
      </c>
      <c r="N40" s="55">
        <f t="shared" si="11"/>
        <v>0.20499999999999999</v>
      </c>
      <c r="O40" s="55">
        <v>8.33</v>
      </c>
      <c r="P40" s="55">
        <f t="shared" si="12"/>
        <v>0.34708333333333335</v>
      </c>
      <c r="Q40" s="55">
        <v>14.15</v>
      </c>
      <c r="R40" s="55">
        <f t="shared" si="13"/>
        <v>0.58958333333333335</v>
      </c>
      <c r="S40" s="55">
        <v>15.12</v>
      </c>
      <c r="T40" s="55">
        <f t="shared" si="14"/>
        <v>0.63</v>
      </c>
      <c r="U40" s="55">
        <v>11.96</v>
      </c>
      <c r="V40" s="55">
        <f t="shared" si="15"/>
        <v>0.49833333333333335</v>
      </c>
      <c r="W40" s="40"/>
      <c r="X40" s="40"/>
      <c r="Y40" s="55">
        <v>5.6</v>
      </c>
      <c r="Z40" s="55">
        <f t="shared" si="16"/>
        <v>0.23333333333333331</v>
      </c>
      <c r="AA40" s="55">
        <v>19.074000000000002</v>
      </c>
      <c r="AB40" s="55">
        <f t="shared" si="17"/>
        <v>0.79475000000000007</v>
      </c>
      <c r="AC40" s="55">
        <v>23.965</v>
      </c>
      <c r="AD40" s="55">
        <f t="shared" si="18"/>
        <v>0.99854166666666666</v>
      </c>
      <c r="AE40" s="55">
        <v>15.106999999999999</v>
      </c>
      <c r="AF40" s="55">
        <f t="shared" si="19"/>
        <v>0.62945833333333334</v>
      </c>
      <c r="AG40" s="55">
        <v>20.553999999999998</v>
      </c>
      <c r="AH40" s="55">
        <f t="shared" si="20"/>
        <v>0.8564166666666666</v>
      </c>
      <c r="AI40" s="40"/>
      <c r="AJ40" s="40"/>
      <c r="AK40" s="40"/>
      <c r="AL40" s="55">
        <v>12.039</v>
      </c>
      <c r="AM40" s="55">
        <f t="shared" si="2"/>
        <v>0.50162499999999999</v>
      </c>
      <c r="AN40" s="55">
        <v>7.84</v>
      </c>
      <c r="AO40" s="55">
        <f t="shared" si="3"/>
        <v>0.32666666666666666</v>
      </c>
      <c r="AP40" s="55">
        <v>13.57</v>
      </c>
      <c r="AQ40" s="55">
        <f t="shared" si="4"/>
        <v>0.56541666666666668</v>
      </c>
      <c r="AR40" s="55">
        <v>12.843999999999999</v>
      </c>
      <c r="AS40" s="55">
        <f t="shared" si="5"/>
        <v>0.53516666666666668</v>
      </c>
      <c r="AT40" s="40"/>
      <c r="AU40" s="40"/>
      <c r="AV40" s="55">
        <v>10.082000000000001</v>
      </c>
      <c r="AW40" s="55">
        <f t="shared" si="6"/>
        <v>0.42008333333333336</v>
      </c>
      <c r="AX40" s="55">
        <v>14.826000000000001</v>
      </c>
      <c r="AY40" s="55">
        <f t="shared" si="7"/>
        <v>0.61775000000000002</v>
      </c>
      <c r="AZ40" s="55">
        <v>21.15</v>
      </c>
      <c r="BA40" s="55">
        <f t="shared" si="21"/>
        <v>0.88124999999999998</v>
      </c>
    </row>
    <row r="41" spans="1:53" x14ac:dyDescent="0.25">
      <c r="A41" s="22">
        <v>2</v>
      </c>
      <c r="B41" s="21">
        <v>13</v>
      </c>
      <c r="C41" s="55"/>
      <c r="D41" s="55" t="str">
        <f t="shared" si="22"/>
        <v/>
      </c>
      <c r="E41" s="55">
        <v>7.78</v>
      </c>
      <c r="F41" s="55">
        <f t="shared" si="8"/>
        <v>0.59846153846153849</v>
      </c>
      <c r="G41" s="55">
        <v>7.74</v>
      </c>
      <c r="H41" s="55">
        <f t="shared" si="9"/>
        <v>0.5953846153846154</v>
      </c>
      <c r="I41" s="55">
        <v>4.8099999999999996</v>
      </c>
      <c r="J41" s="55">
        <f t="shared" si="10"/>
        <v>0.37</v>
      </c>
      <c r="K41" s="40"/>
      <c r="L41" s="40"/>
      <c r="M41" s="55"/>
      <c r="N41" s="55" t="str">
        <f t="shared" si="11"/>
        <v/>
      </c>
      <c r="O41" s="55">
        <v>9.39</v>
      </c>
      <c r="P41" s="55">
        <f t="shared" si="12"/>
        <v>0.72230769230769232</v>
      </c>
      <c r="Q41" s="55">
        <v>8.7899999999999991</v>
      </c>
      <c r="R41" s="55">
        <f t="shared" si="13"/>
        <v>0.67615384615384611</v>
      </c>
      <c r="S41" s="55">
        <v>2.5299999999999998</v>
      </c>
      <c r="T41" s="55">
        <f t="shared" si="14"/>
        <v>0.19461538461538461</v>
      </c>
      <c r="U41" s="55">
        <v>8.65</v>
      </c>
      <c r="V41" s="55">
        <f t="shared" si="15"/>
        <v>0.66538461538461546</v>
      </c>
      <c r="W41" s="40"/>
      <c r="X41" s="40"/>
      <c r="Y41" s="55">
        <v>9.4</v>
      </c>
      <c r="Z41" s="55">
        <f t="shared" si="16"/>
        <v>0.72307692307692306</v>
      </c>
      <c r="AA41" s="55"/>
      <c r="AB41" s="55" t="str">
        <f t="shared" si="17"/>
        <v/>
      </c>
      <c r="AC41" s="55">
        <v>8.74</v>
      </c>
      <c r="AD41" s="55">
        <f t="shared" si="18"/>
        <v>0.67230769230769227</v>
      </c>
      <c r="AE41" s="55">
        <v>11.981999999999999</v>
      </c>
      <c r="AF41" s="55">
        <f t="shared" si="19"/>
        <v>0.92169230769230759</v>
      </c>
      <c r="AG41" s="55">
        <v>4.6849999999999996</v>
      </c>
      <c r="AH41" s="55">
        <f t="shared" si="20"/>
        <v>0.36038461538461536</v>
      </c>
      <c r="AI41" s="40"/>
      <c r="AJ41" s="40"/>
      <c r="AK41" s="40"/>
      <c r="AL41" s="55">
        <v>6.08</v>
      </c>
      <c r="AM41" s="55">
        <f t="shared" si="2"/>
        <v>0.46769230769230768</v>
      </c>
      <c r="AN41" s="55">
        <v>3.95</v>
      </c>
      <c r="AO41" s="55">
        <f t="shared" si="3"/>
        <v>0.30384615384615388</v>
      </c>
      <c r="AP41" s="55">
        <v>10.01</v>
      </c>
      <c r="AQ41" s="55">
        <f t="shared" si="4"/>
        <v>0.77</v>
      </c>
      <c r="AR41" s="55">
        <v>12.544</v>
      </c>
      <c r="AS41" s="55">
        <f t="shared" si="5"/>
        <v>0.96492307692307699</v>
      </c>
      <c r="AT41" s="40"/>
      <c r="AU41" s="40"/>
      <c r="AV41" s="55">
        <v>9.51</v>
      </c>
      <c r="AW41" s="55">
        <f t="shared" si="6"/>
        <v>0.73153846153846147</v>
      </c>
      <c r="AX41" s="55">
        <v>9.4580000000000002</v>
      </c>
      <c r="AY41" s="55">
        <f t="shared" si="7"/>
        <v>0.72753846153846158</v>
      </c>
      <c r="AZ41" s="55">
        <v>3.16</v>
      </c>
      <c r="BA41" s="55">
        <f t="shared" si="21"/>
        <v>0.24307692307692308</v>
      </c>
    </row>
    <row r="42" spans="1:53" x14ac:dyDescent="0.25">
      <c r="A42" s="22">
        <v>2</v>
      </c>
      <c r="B42" s="21">
        <v>15</v>
      </c>
      <c r="C42" s="55">
        <v>10.528</v>
      </c>
      <c r="D42" s="55">
        <f t="shared" si="22"/>
        <v>0.70186666666666675</v>
      </c>
      <c r="E42" s="55">
        <v>6.8780000000000001</v>
      </c>
      <c r="F42" s="55">
        <f t="shared" si="8"/>
        <v>0.45853333333333335</v>
      </c>
      <c r="G42" s="55">
        <v>7.4089999999999998</v>
      </c>
      <c r="H42" s="55">
        <f t="shared" si="9"/>
        <v>0.49393333333333334</v>
      </c>
      <c r="I42" s="55">
        <v>14.311</v>
      </c>
      <c r="J42" s="55">
        <f t="shared" si="10"/>
        <v>0.95406666666666662</v>
      </c>
      <c r="K42" s="40"/>
      <c r="L42" s="40"/>
      <c r="M42" s="55">
        <v>5.3360000000000003</v>
      </c>
      <c r="N42" s="55">
        <f t="shared" si="11"/>
        <v>0.35573333333333335</v>
      </c>
      <c r="O42" s="55">
        <v>6.19</v>
      </c>
      <c r="P42" s="55">
        <f t="shared" si="12"/>
        <v>0.41266666666666668</v>
      </c>
      <c r="Q42" s="55">
        <v>4.62</v>
      </c>
      <c r="R42" s="55">
        <f t="shared" si="13"/>
        <v>0.308</v>
      </c>
      <c r="S42" s="55">
        <v>10.51</v>
      </c>
      <c r="T42" s="55">
        <f t="shared" si="14"/>
        <v>0.70066666666666666</v>
      </c>
      <c r="U42" s="55">
        <v>3.63</v>
      </c>
      <c r="V42" s="55">
        <f t="shared" si="15"/>
        <v>0.24199999999999999</v>
      </c>
      <c r="W42" s="40"/>
      <c r="X42" s="40"/>
      <c r="Y42" s="55">
        <v>13.917999999999999</v>
      </c>
      <c r="Z42" s="55">
        <f t="shared" si="16"/>
        <v>0.92786666666666662</v>
      </c>
      <c r="AA42" s="55">
        <v>14.862</v>
      </c>
      <c r="AB42" s="55">
        <f t="shared" si="17"/>
        <v>0.99080000000000001</v>
      </c>
      <c r="AC42" s="55">
        <v>5.17</v>
      </c>
      <c r="AD42" s="55">
        <f t="shared" si="18"/>
        <v>0.34466666666666668</v>
      </c>
      <c r="AE42" s="55">
        <v>7.6929999999999996</v>
      </c>
      <c r="AF42" s="55">
        <f t="shared" si="19"/>
        <v>0.51286666666666669</v>
      </c>
      <c r="AG42" s="55">
        <v>10.936</v>
      </c>
      <c r="AH42" s="55">
        <f t="shared" si="20"/>
        <v>0.72906666666666664</v>
      </c>
      <c r="AI42" s="40"/>
      <c r="AJ42" s="40"/>
      <c r="AK42" s="40"/>
      <c r="AL42" s="55">
        <v>8.4339999999999993</v>
      </c>
      <c r="AM42" s="55">
        <f t="shared" si="2"/>
        <v>0.56226666666666658</v>
      </c>
      <c r="AN42" s="55">
        <v>11.151</v>
      </c>
      <c r="AO42" s="55">
        <f t="shared" si="3"/>
        <v>0.74339999999999995</v>
      </c>
      <c r="AP42" s="55">
        <v>8.4499999999999993</v>
      </c>
      <c r="AQ42" s="55">
        <f t="shared" si="4"/>
        <v>0.56333333333333324</v>
      </c>
      <c r="AR42" s="55">
        <v>9.3650000000000002</v>
      </c>
      <c r="AS42" s="55">
        <f t="shared" si="5"/>
        <v>0.6243333333333333</v>
      </c>
      <c r="AT42" s="40"/>
      <c r="AU42" s="40"/>
      <c r="AV42" s="55">
        <v>5.9489999999999998</v>
      </c>
      <c r="AW42" s="55">
        <f t="shared" si="6"/>
        <v>0.39660000000000001</v>
      </c>
      <c r="AX42" s="55">
        <f>12.696</f>
        <v>12.696</v>
      </c>
      <c r="AY42" s="55">
        <f t="shared" si="7"/>
        <v>0.84639999999999993</v>
      </c>
      <c r="AZ42" s="55">
        <v>5.343</v>
      </c>
      <c r="BA42" s="55">
        <f t="shared" si="21"/>
        <v>0.35620000000000002</v>
      </c>
    </row>
    <row r="43" spans="1:53" x14ac:dyDescent="0.25">
      <c r="A43" s="22">
        <v>2</v>
      </c>
      <c r="B43" s="21">
        <v>24</v>
      </c>
      <c r="C43" s="55">
        <v>12.87</v>
      </c>
      <c r="D43" s="55">
        <f t="shared" si="22"/>
        <v>0.53625</v>
      </c>
      <c r="E43" s="55"/>
      <c r="F43" s="55" t="str">
        <f t="shared" si="8"/>
        <v/>
      </c>
      <c r="G43" s="55">
        <v>11.439</v>
      </c>
      <c r="H43" s="55">
        <f t="shared" si="9"/>
        <v>0.47662500000000002</v>
      </c>
      <c r="I43" s="55">
        <v>12.87</v>
      </c>
      <c r="J43" s="55">
        <f t="shared" si="10"/>
        <v>0.53625</v>
      </c>
      <c r="K43" s="40"/>
      <c r="L43" s="40"/>
      <c r="M43" s="55">
        <v>10.1</v>
      </c>
      <c r="N43" s="55">
        <f t="shared" si="11"/>
        <v>0.42083333333333334</v>
      </c>
      <c r="O43" s="55">
        <v>10.89</v>
      </c>
      <c r="P43" s="55">
        <f t="shared" si="12"/>
        <v>0.45375000000000004</v>
      </c>
      <c r="Q43" s="55">
        <v>8.58</v>
      </c>
      <c r="R43" s="55">
        <f t="shared" si="13"/>
        <v>0.35749999999999998</v>
      </c>
      <c r="S43" s="55">
        <v>10.01</v>
      </c>
      <c r="T43" s="55">
        <f t="shared" si="14"/>
        <v>0.41708333333333331</v>
      </c>
      <c r="U43" s="55"/>
      <c r="V43" s="55" t="str">
        <f t="shared" si="15"/>
        <v/>
      </c>
      <c r="W43" s="40"/>
      <c r="X43" s="40"/>
      <c r="Y43" s="55">
        <v>4.9260000000000002</v>
      </c>
      <c r="Z43" s="55">
        <f t="shared" si="16"/>
        <v>0.20525000000000002</v>
      </c>
      <c r="AA43" s="55">
        <v>10.01</v>
      </c>
      <c r="AB43" s="55">
        <f t="shared" si="17"/>
        <v>0.41708333333333331</v>
      </c>
      <c r="AC43" s="55">
        <v>3.51</v>
      </c>
      <c r="AD43" s="55">
        <f t="shared" si="18"/>
        <v>0.14624999999999999</v>
      </c>
      <c r="AE43" s="55"/>
      <c r="AF43" s="55" t="str">
        <f t="shared" si="19"/>
        <v/>
      </c>
      <c r="AG43" s="55">
        <v>11.981999999999999</v>
      </c>
      <c r="AH43" s="55">
        <f t="shared" si="20"/>
        <v>0.49924999999999997</v>
      </c>
      <c r="AI43" s="40"/>
      <c r="AJ43" s="40"/>
      <c r="AK43" s="40"/>
      <c r="AL43" s="55">
        <f>6</f>
        <v>6</v>
      </c>
      <c r="AM43" s="55">
        <f t="shared" si="2"/>
        <v>0.25</v>
      </c>
      <c r="AN43" s="55"/>
      <c r="AO43" s="55" t="str">
        <f t="shared" si="3"/>
        <v/>
      </c>
      <c r="AP43" s="55">
        <v>6.95</v>
      </c>
      <c r="AQ43" s="55">
        <f t="shared" si="4"/>
        <v>0.28958333333333336</v>
      </c>
      <c r="AR43" s="55">
        <v>12</v>
      </c>
      <c r="AS43" s="55">
        <f t="shared" si="5"/>
        <v>0.5</v>
      </c>
      <c r="AT43" s="40"/>
      <c r="AU43" s="40"/>
      <c r="AV43" s="55">
        <v>10.01</v>
      </c>
      <c r="AW43" s="55">
        <f t="shared" si="6"/>
        <v>0.41708333333333331</v>
      </c>
      <c r="AX43" s="55">
        <v>20.056000000000001</v>
      </c>
      <c r="AY43" s="55">
        <f t="shared" si="7"/>
        <v>0.83566666666666667</v>
      </c>
      <c r="AZ43" s="55"/>
      <c r="BA43" s="55" t="str">
        <f>IF(AZ43="","",AZ43/B43)</f>
        <v/>
      </c>
    </row>
    <row r="44" spans="1:53" x14ac:dyDescent="0.25">
      <c r="A44" s="22">
        <v>2</v>
      </c>
      <c r="B44" s="21">
        <v>15</v>
      </c>
      <c r="C44" s="55">
        <f>11.079+2.19</f>
        <v>13.269</v>
      </c>
      <c r="D44" s="55">
        <f t="shared" si="22"/>
        <v>0.88460000000000005</v>
      </c>
      <c r="E44" s="55">
        <f>7.78+6.22</f>
        <v>14</v>
      </c>
      <c r="F44" s="55">
        <f t="shared" si="8"/>
        <v>0.93333333333333335</v>
      </c>
      <c r="G44" s="55">
        <v>4.88</v>
      </c>
      <c r="H44" s="55">
        <f t="shared" si="9"/>
        <v>0.32533333333333331</v>
      </c>
      <c r="I44" s="55">
        <v>15.41</v>
      </c>
      <c r="J44" s="55">
        <f t="shared" si="10"/>
        <v>1.0273333333333334</v>
      </c>
      <c r="K44" s="40"/>
      <c r="L44" s="40"/>
      <c r="M44" s="55">
        <v>4.2789999999999999</v>
      </c>
      <c r="N44" s="55">
        <f t="shared" si="11"/>
        <v>0.28526666666666667</v>
      </c>
      <c r="O44" s="55">
        <v>3.41</v>
      </c>
      <c r="P44" s="55">
        <f t="shared" si="12"/>
        <v>0.22733333333333333</v>
      </c>
      <c r="Q44" s="55">
        <f>2.44</f>
        <v>2.44</v>
      </c>
      <c r="R44" s="55">
        <f t="shared" si="13"/>
        <v>0.16266666666666665</v>
      </c>
      <c r="S44" s="55">
        <v>14.686</v>
      </c>
      <c r="T44" s="55">
        <f t="shared" si="14"/>
        <v>0.97906666666666664</v>
      </c>
      <c r="U44" s="55">
        <v>4.79</v>
      </c>
      <c r="V44" s="55">
        <f t="shared" si="15"/>
        <v>0.31933333333333336</v>
      </c>
      <c r="W44" s="40"/>
      <c r="X44" s="40"/>
      <c r="Y44" s="55">
        <v>3.66</v>
      </c>
      <c r="Z44" s="55">
        <f t="shared" si="16"/>
        <v>0.24400000000000002</v>
      </c>
      <c r="AA44" s="55">
        <v>7.51</v>
      </c>
      <c r="AB44" s="55">
        <f t="shared" si="17"/>
        <v>0.5006666666666667</v>
      </c>
      <c r="AC44" s="55"/>
      <c r="AD44" s="55" t="str">
        <f t="shared" si="18"/>
        <v/>
      </c>
      <c r="AE44" s="55">
        <v>4.63</v>
      </c>
      <c r="AF44" s="55">
        <f t="shared" si="19"/>
        <v>0.30866666666666664</v>
      </c>
      <c r="AG44" s="55">
        <v>4.71</v>
      </c>
      <c r="AH44" s="55">
        <f t="shared" si="20"/>
        <v>0.314</v>
      </c>
      <c r="AI44" s="40"/>
      <c r="AJ44" s="40"/>
      <c r="AK44" s="40"/>
      <c r="AL44" s="55">
        <f>2.19+2.44</f>
        <v>4.63</v>
      </c>
      <c r="AM44" s="55">
        <f t="shared" si="2"/>
        <v>0.30866666666666664</v>
      </c>
      <c r="AN44" s="55">
        <f>2.44+4.219</f>
        <v>6.6590000000000007</v>
      </c>
      <c r="AO44" s="55">
        <f t="shared" si="3"/>
        <v>0.4439333333333334</v>
      </c>
      <c r="AP44" s="55">
        <f>4.63+16</f>
        <v>20.63</v>
      </c>
      <c r="AQ44" s="55">
        <f t="shared" si="4"/>
        <v>1.3753333333333333</v>
      </c>
      <c r="AR44" s="55">
        <f>4.44</f>
        <v>4.4400000000000004</v>
      </c>
      <c r="AS44" s="55">
        <f t="shared" si="5"/>
        <v>0.29600000000000004</v>
      </c>
      <c r="AT44" s="40"/>
      <c r="AU44" s="40"/>
      <c r="AV44" s="55"/>
      <c r="AW44" s="55" t="str">
        <f t="shared" si="6"/>
        <v/>
      </c>
      <c r="AX44" s="55">
        <f>8.366</f>
        <v>8.3659999999999997</v>
      </c>
      <c r="AY44" s="55">
        <f t="shared" si="7"/>
        <v>0.5577333333333333</v>
      </c>
      <c r="AZ44" s="55">
        <f>14.518+3.88</f>
        <v>18.398</v>
      </c>
      <c r="BA44" s="55">
        <f t="shared" ref="BA44:BA46" si="23">IF(AZ44="","",AZ44/B44)</f>
        <v>1.2265333333333333</v>
      </c>
    </row>
    <row r="45" spans="1:53" x14ac:dyDescent="0.25">
      <c r="A45" s="22">
        <v>2</v>
      </c>
      <c r="B45" s="22">
        <v>24</v>
      </c>
      <c r="C45" s="39"/>
      <c r="D45" s="39" t="str">
        <f t="shared" si="22"/>
        <v/>
      </c>
      <c r="E45" s="39">
        <v>19.059999999999999</v>
      </c>
      <c r="F45" s="39">
        <f t="shared" si="8"/>
        <v>0.79416666666666658</v>
      </c>
      <c r="G45" s="39"/>
      <c r="H45" s="39" t="str">
        <f t="shared" si="9"/>
        <v/>
      </c>
      <c r="I45" s="39">
        <v>13.08</v>
      </c>
      <c r="J45" s="39">
        <f t="shared" si="10"/>
        <v>0.54500000000000004</v>
      </c>
      <c r="K45" s="40"/>
      <c r="L45" s="40"/>
      <c r="M45" s="39">
        <v>23</v>
      </c>
      <c r="N45" s="39">
        <f t="shared" si="11"/>
        <v>0.95833333333333337</v>
      </c>
      <c r="O45" s="39"/>
      <c r="P45" s="39" t="str">
        <f t="shared" si="12"/>
        <v/>
      </c>
      <c r="Q45" s="39">
        <v>20.88</v>
      </c>
      <c r="R45" s="39">
        <f t="shared" si="13"/>
        <v>0.87</v>
      </c>
      <c r="S45" s="39"/>
      <c r="T45" s="39" t="str">
        <f t="shared" si="14"/>
        <v/>
      </c>
      <c r="U45" s="39">
        <v>17.03</v>
      </c>
      <c r="V45" s="39">
        <f t="shared" si="15"/>
        <v>0.70958333333333334</v>
      </c>
      <c r="W45" s="40"/>
      <c r="X45" s="40"/>
      <c r="Y45" s="39">
        <v>23.827000000000002</v>
      </c>
      <c r="Z45" s="39">
        <f t="shared" si="16"/>
        <v>0.99279166666666674</v>
      </c>
      <c r="AA45" s="39"/>
      <c r="AB45" s="39" t="str">
        <f t="shared" si="17"/>
        <v/>
      </c>
      <c r="AC45" s="39">
        <v>17.829999999999998</v>
      </c>
      <c r="AD45" s="39">
        <f t="shared" si="18"/>
        <v>0.74291666666666656</v>
      </c>
      <c r="AE45" s="39"/>
      <c r="AF45" s="39" t="str">
        <f t="shared" si="19"/>
        <v/>
      </c>
      <c r="AG45" s="39">
        <v>24.47</v>
      </c>
      <c r="AH45" s="39">
        <f t="shared" si="20"/>
        <v>1.0195833333333333</v>
      </c>
      <c r="AI45" s="40"/>
      <c r="AJ45" s="40"/>
      <c r="AK45" s="40"/>
      <c r="AL45" s="39">
        <v>24.920999999999999</v>
      </c>
      <c r="AM45" s="39">
        <f t="shared" si="2"/>
        <v>1.038375</v>
      </c>
      <c r="AN45" s="39"/>
      <c r="AO45" s="39" t="str">
        <f t="shared" si="3"/>
        <v/>
      </c>
      <c r="AP45" s="39">
        <v>23.024999999999999</v>
      </c>
      <c r="AQ45" s="39">
        <f t="shared" si="4"/>
        <v>0.95937499999999998</v>
      </c>
      <c r="AR45" s="39"/>
      <c r="AS45" s="39" t="str">
        <f t="shared" si="5"/>
        <v/>
      </c>
      <c r="AT45" s="40"/>
      <c r="AU45" s="40"/>
      <c r="AV45" s="39">
        <v>20.524000000000001</v>
      </c>
      <c r="AW45" s="39">
        <f t="shared" si="6"/>
        <v>0.85516666666666674</v>
      </c>
      <c r="AX45" s="39"/>
      <c r="AY45" s="39" t="str">
        <f t="shared" si="7"/>
        <v/>
      </c>
      <c r="AZ45" s="39">
        <v>11.548</v>
      </c>
      <c r="BA45" s="39">
        <f t="shared" si="23"/>
        <v>0.48116666666666669</v>
      </c>
    </row>
    <row r="46" spans="1:53" x14ac:dyDescent="0.25">
      <c r="A46" s="22">
        <v>2</v>
      </c>
      <c r="B46" s="22">
        <v>24</v>
      </c>
      <c r="C46" s="39">
        <v>22.1</v>
      </c>
      <c r="D46" s="39">
        <f t="shared" si="22"/>
        <v>0.92083333333333339</v>
      </c>
      <c r="E46" s="39"/>
      <c r="F46" s="39" t="str">
        <f t="shared" si="8"/>
        <v/>
      </c>
      <c r="G46" s="39">
        <f>12.88+20.36</f>
        <v>33.24</v>
      </c>
      <c r="H46" s="39">
        <f t="shared" si="9"/>
        <v>1.385</v>
      </c>
      <c r="I46" s="39">
        <v>15.19</v>
      </c>
      <c r="J46" s="39">
        <f t="shared" si="10"/>
        <v>0.63291666666666668</v>
      </c>
      <c r="K46" s="40"/>
      <c r="L46" s="40"/>
      <c r="M46" s="39">
        <v>24.5</v>
      </c>
      <c r="N46" s="39">
        <f t="shared" si="11"/>
        <v>1.0208333333333333</v>
      </c>
      <c r="O46" s="39"/>
      <c r="P46" s="39" t="str">
        <f t="shared" si="12"/>
        <v/>
      </c>
      <c r="Q46" s="39">
        <v>3.52</v>
      </c>
      <c r="R46" s="39">
        <f t="shared" si="13"/>
        <v>0.14666666666666667</v>
      </c>
      <c r="S46" s="39">
        <v>18.309999999999999</v>
      </c>
      <c r="T46" s="39">
        <f t="shared" si="14"/>
        <v>0.76291666666666658</v>
      </c>
      <c r="U46" s="39"/>
      <c r="V46" s="39" t="str">
        <f t="shared" si="15"/>
        <v/>
      </c>
      <c r="W46" s="40"/>
      <c r="X46" s="40"/>
      <c r="Y46" s="39">
        <v>11.691000000000001</v>
      </c>
      <c r="Z46" s="39">
        <f t="shared" si="16"/>
        <v>0.48712500000000003</v>
      </c>
      <c r="AA46" s="39"/>
      <c r="AB46" s="39" t="str">
        <f t="shared" si="17"/>
        <v/>
      </c>
      <c r="AC46" s="39"/>
      <c r="AD46" s="39" t="str">
        <f t="shared" si="18"/>
        <v/>
      </c>
      <c r="AE46" s="39"/>
      <c r="AF46" s="39" t="str">
        <f t="shared" si="19"/>
        <v/>
      </c>
      <c r="AG46" s="39"/>
      <c r="AH46" s="39" t="str">
        <f t="shared" si="20"/>
        <v/>
      </c>
      <c r="AI46" s="40"/>
      <c r="AJ46" s="40"/>
      <c r="AK46" s="40"/>
      <c r="AL46" s="39">
        <f>22.375+10.809</f>
        <v>33.183999999999997</v>
      </c>
      <c r="AM46" s="39">
        <f t="shared" si="2"/>
        <v>1.3826666666666665</v>
      </c>
      <c r="AN46" s="39"/>
      <c r="AO46" s="39" t="str">
        <f t="shared" si="3"/>
        <v/>
      </c>
      <c r="AP46" s="39"/>
      <c r="AQ46" s="39" t="str">
        <f t="shared" si="4"/>
        <v/>
      </c>
      <c r="AR46" s="39"/>
      <c r="AS46" s="39" t="str">
        <f t="shared" si="5"/>
        <v/>
      </c>
      <c r="AT46" s="40"/>
      <c r="AU46" s="40"/>
      <c r="AV46" s="39"/>
      <c r="AW46" s="39" t="str">
        <f t="shared" si="6"/>
        <v/>
      </c>
      <c r="AX46" s="39"/>
      <c r="AY46" s="39" t="str">
        <f t="shared" si="7"/>
        <v/>
      </c>
      <c r="AZ46" s="39"/>
      <c r="BA46" s="39" t="str">
        <f t="shared" si="23"/>
        <v/>
      </c>
    </row>
    <row r="47" spans="1:53" x14ac:dyDescent="0.25">
      <c r="A47" s="22">
        <v>2</v>
      </c>
      <c r="B47" s="22">
        <v>15</v>
      </c>
      <c r="C47" s="39">
        <v>2.93</v>
      </c>
      <c r="D47" s="39">
        <f t="shared" si="22"/>
        <v>0.19533333333333333</v>
      </c>
      <c r="E47" s="39">
        <v>3.9780000000000002</v>
      </c>
      <c r="F47" s="39">
        <f t="shared" si="8"/>
        <v>0.26519999999999999</v>
      </c>
      <c r="G47" s="39">
        <v>7.87</v>
      </c>
      <c r="H47" s="39">
        <f t="shared" si="9"/>
        <v>0.52466666666666673</v>
      </c>
      <c r="I47" s="39">
        <v>7.14</v>
      </c>
      <c r="J47" s="39">
        <f t="shared" si="10"/>
        <v>0.47599999999999998</v>
      </c>
      <c r="K47" s="40"/>
      <c r="L47" s="40"/>
      <c r="M47" s="39"/>
      <c r="N47" s="39" t="str">
        <f t="shared" si="11"/>
        <v/>
      </c>
      <c r="O47" s="39"/>
      <c r="P47" s="39" t="str">
        <f t="shared" si="12"/>
        <v/>
      </c>
      <c r="Q47" s="39"/>
      <c r="R47" s="39" t="str">
        <f t="shared" si="13"/>
        <v/>
      </c>
      <c r="S47" s="39"/>
      <c r="T47" s="39" t="str">
        <f t="shared" si="14"/>
        <v/>
      </c>
      <c r="U47" s="39"/>
      <c r="V47" s="39" t="str">
        <f t="shared" si="15"/>
        <v/>
      </c>
      <c r="W47" s="40"/>
      <c r="X47" s="40"/>
      <c r="Y47" s="39"/>
      <c r="Z47" s="39" t="str">
        <f t="shared" si="16"/>
        <v/>
      </c>
      <c r="AA47" s="39"/>
      <c r="AB47" s="39" t="str">
        <f t="shared" si="17"/>
        <v/>
      </c>
      <c r="AC47" s="39">
        <v>10.866</v>
      </c>
      <c r="AD47" s="39">
        <f t="shared" si="18"/>
        <v>0.72439999999999993</v>
      </c>
      <c r="AE47" s="39">
        <v>7.1909999999999998</v>
      </c>
      <c r="AF47" s="39">
        <f t="shared" si="19"/>
        <v>0.47939999999999999</v>
      </c>
      <c r="AG47" s="39"/>
      <c r="AH47" s="39" t="str">
        <f t="shared" si="20"/>
        <v/>
      </c>
      <c r="AI47" s="40"/>
      <c r="AJ47" s="40"/>
      <c r="AK47" s="40"/>
      <c r="AL47" s="39">
        <f>9.7</f>
        <v>9.6999999999999993</v>
      </c>
      <c r="AM47" s="39">
        <f t="shared" si="2"/>
        <v>0.64666666666666661</v>
      </c>
      <c r="AN47" s="39">
        <v>8.5050000000000008</v>
      </c>
      <c r="AO47" s="39">
        <f t="shared" si="3"/>
        <v>0.56700000000000006</v>
      </c>
      <c r="AP47" s="39">
        <f>10.2+4.52</f>
        <v>14.719999999999999</v>
      </c>
      <c r="AQ47" s="39">
        <f t="shared" si="4"/>
        <v>0.98133333333333328</v>
      </c>
      <c r="AR47" s="39">
        <v>6.907</v>
      </c>
      <c r="AS47" s="39">
        <f t="shared" si="5"/>
        <v>0.46046666666666669</v>
      </c>
      <c r="AT47" s="40"/>
      <c r="AU47" s="40"/>
      <c r="AV47" s="39">
        <v>4.1379999999999999</v>
      </c>
      <c r="AW47" s="39">
        <f t="shared" si="6"/>
        <v>0.27586666666666665</v>
      </c>
      <c r="AX47" s="39">
        <f>9.306</f>
        <v>9.3059999999999992</v>
      </c>
      <c r="AY47" s="39">
        <f t="shared" si="7"/>
        <v>0.62039999999999995</v>
      </c>
      <c r="AZ47" s="39">
        <v>9.1950000000000003</v>
      </c>
      <c r="BA47" s="39">
        <f t="shared" ref="BA47:BA57" si="24">IF(AZ47="","",AZ47/B47)</f>
        <v>0.61299999999999999</v>
      </c>
    </row>
    <row r="48" spans="1:53" x14ac:dyDescent="0.25">
      <c r="A48" s="22">
        <v>2</v>
      </c>
      <c r="B48" s="22">
        <v>24</v>
      </c>
      <c r="C48" s="39">
        <v>13.5</v>
      </c>
      <c r="D48" s="39">
        <f t="shared" si="22"/>
        <v>0.5625</v>
      </c>
      <c r="E48" s="39">
        <v>15.4</v>
      </c>
      <c r="F48" s="39">
        <f t="shared" si="8"/>
        <v>0.64166666666666672</v>
      </c>
      <c r="G48" s="39">
        <v>16.420000000000002</v>
      </c>
      <c r="H48" s="39">
        <f t="shared" si="9"/>
        <v>0.6841666666666667</v>
      </c>
      <c r="I48" s="39">
        <f>15.96+17.86</f>
        <v>33.82</v>
      </c>
      <c r="J48" s="39">
        <f t="shared" si="10"/>
        <v>1.4091666666666667</v>
      </c>
      <c r="K48" s="40"/>
      <c r="L48" s="40"/>
      <c r="M48" s="39">
        <v>13.63</v>
      </c>
      <c r="N48" s="39">
        <f t="shared" si="11"/>
        <v>0.56791666666666674</v>
      </c>
      <c r="O48" s="39">
        <v>7.32</v>
      </c>
      <c r="P48" s="39">
        <f t="shared" si="12"/>
        <v>0.30499999999999999</v>
      </c>
      <c r="Q48" s="39">
        <v>5.85</v>
      </c>
      <c r="R48" s="39">
        <f t="shared" si="13"/>
        <v>0.24374999999999999</v>
      </c>
      <c r="S48" s="39">
        <v>11</v>
      </c>
      <c r="T48" s="39">
        <f t="shared" si="14"/>
        <v>0.45833333333333331</v>
      </c>
      <c r="U48" s="39"/>
      <c r="V48" s="39" t="str">
        <f t="shared" si="15"/>
        <v/>
      </c>
      <c r="W48" s="40"/>
      <c r="X48" s="40"/>
      <c r="Y48" s="39"/>
      <c r="Z48" s="39" t="str">
        <f t="shared" si="16"/>
        <v/>
      </c>
      <c r="AA48" s="39">
        <v>3.7330000000000001</v>
      </c>
      <c r="AB48" s="39">
        <f t="shared" si="17"/>
        <v>0.15554166666666666</v>
      </c>
      <c r="AC48" s="39">
        <v>23.9</v>
      </c>
      <c r="AD48" s="39">
        <f t="shared" si="18"/>
        <v>0.99583333333333324</v>
      </c>
      <c r="AE48" s="39">
        <v>11.532</v>
      </c>
      <c r="AF48" s="39">
        <f t="shared" si="19"/>
        <v>0.48049999999999998</v>
      </c>
      <c r="AG48" s="39">
        <v>9.15</v>
      </c>
      <c r="AH48" s="39">
        <f t="shared" si="20"/>
        <v>0.38125000000000003</v>
      </c>
      <c r="AI48" s="40"/>
      <c r="AJ48" s="40"/>
      <c r="AK48" s="40"/>
      <c r="AL48" s="39">
        <v>9.68</v>
      </c>
      <c r="AM48" s="39">
        <f t="shared" si="2"/>
        <v>0.40333333333333332</v>
      </c>
      <c r="AN48" s="39">
        <v>15.94</v>
      </c>
      <c r="AO48" s="39">
        <f t="shared" si="3"/>
        <v>0.66416666666666668</v>
      </c>
      <c r="AP48" s="39">
        <v>17.18</v>
      </c>
      <c r="AQ48" s="39">
        <f t="shared" si="4"/>
        <v>0.71583333333333332</v>
      </c>
      <c r="AR48" s="39">
        <f>5.85+11.7</f>
        <v>17.549999999999997</v>
      </c>
      <c r="AS48" s="39">
        <f t="shared" si="5"/>
        <v>0.73124999999999984</v>
      </c>
      <c r="AT48" s="40"/>
      <c r="AU48" s="40"/>
      <c r="AV48" s="39"/>
      <c r="AW48" s="39" t="str">
        <f t="shared" si="6"/>
        <v/>
      </c>
      <c r="AX48" s="39"/>
      <c r="AY48" s="39" t="str">
        <f t="shared" si="7"/>
        <v/>
      </c>
      <c r="AZ48" s="39"/>
      <c r="BA48" s="39" t="str">
        <f t="shared" si="24"/>
        <v/>
      </c>
    </row>
    <row r="49" spans="1:55" x14ac:dyDescent="0.25">
      <c r="A49" s="22">
        <v>2</v>
      </c>
      <c r="B49" s="22">
        <v>24</v>
      </c>
      <c r="C49" s="39">
        <v>18.7</v>
      </c>
      <c r="D49" s="39">
        <f t="shared" si="22"/>
        <v>0.77916666666666667</v>
      </c>
      <c r="E49" s="39">
        <f>7.95+1.2</f>
        <v>9.15</v>
      </c>
      <c r="F49" s="39">
        <f t="shared" si="8"/>
        <v>0.38125000000000003</v>
      </c>
      <c r="G49" s="39">
        <f>14.22</f>
        <v>14.22</v>
      </c>
      <c r="H49" s="39">
        <f t="shared" si="9"/>
        <v>0.59250000000000003</v>
      </c>
      <c r="I49" s="39"/>
      <c r="J49" s="39" t="str">
        <f t="shared" si="10"/>
        <v/>
      </c>
      <c r="K49" s="40"/>
      <c r="L49" s="40"/>
      <c r="M49" s="39">
        <v>16.62</v>
      </c>
      <c r="N49" s="39">
        <f t="shared" si="11"/>
        <v>0.6925</v>
      </c>
      <c r="O49" s="39">
        <v>15.11</v>
      </c>
      <c r="P49" s="39">
        <f t="shared" si="12"/>
        <v>0.62958333333333327</v>
      </c>
      <c r="Q49" s="39"/>
      <c r="R49" s="39" t="str">
        <f t="shared" si="13"/>
        <v/>
      </c>
      <c r="S49" s="39">
        <v>20.6</v>
      </c>
      <c r="T49" s="39">
        <f t="shared" si="14"/>
        <v>0.85833333333333339</v>
      </c>
      <c r="U49" s="39">
        <v>9.76</v>
      </c>
      <c r="V49" s="39">
        <f t="shared" si="15"/>
        <v>0.40666666666666668</v>
      </c>
      <c r="W49" s="40"/>
      <c r="X49" s="40"/>
      <c r="Y49" s="39"/>
      <c r="Z49" s="39" t="str">
        <f t="shared" si="16"/>
        <v/>
      </c>
      <c r="AA49" s="39">
        <v>10.928000000000001</v>
      </c>
      <c r="AB49" s="39">
        <f t="shared" si="17"/>
        <v>0.45533333333333337</v>
      </c>
      <c r="AC49" s="39">
        <v>19.21</v>
      </c>
      <c r="AD49" s="39">
        <f t="shared" si="18"/>
        <v>0.80041666666666667</v>
      </c>
      <c r="AE49" s="39">
        <v>18.835000000000001</v>
      </c>
      <c r="AF49" s="39">
        <f t="shared" si="19"/>
        <v>0.78479166666666667</v>
      </c>
      <c r="AG49" s="39">
        <v>4.1029999999999998</v>
      </c>
      <c r="AH49" s="39">
        <f t="shared" si="20"/>
        <v>0.17095833333333332</v>
      </c>
      <c r="AI49" s="40"/>
      <c r="AJ49" s="40"/>
      <c r="AK49" s="40"/>
      <c r="AL49" s="39">
        <v>20.71</v>
      </c>
      <c r="AM49" s="39">
        <f t="shared" si="2"/>
        <v>0.86291666666666667</v>
      </c>
      <c r="AN49" s="39">
        <v>8.11</v>
      </c>
      <c r="AO49" s="39">
        <f t="shared" si="3"/>
        <v>0.33791666666666664</v>
      </c>
      <c r="AP49" s="39">
        <v>1.58</v>
      </c>
      <c r="AQ49" s="39">
        <f t="shared" si="4"/>
        <v>6.5833333333333341E-2</v>
      </c>
      <c r="AR49" s="39">
        <v>20.239999999999998</v>
      </c>
      <c r="AS49" s="39">
        <f t="shared" si="5"/>
        <v>0.84333333333333327</v>
      </c>
      <c r="AT49" s="40"/>
      <c r="AU49" s="40"/>
      <c r="AV49" s="39">
        <v>16.079999999999998</v>
      </c>
      <c r="AW49" s="39">
        <f t="shared" si="6"/>
        <v>0.66999999999999993</v>
      </c>
      <c r="AX49" s="39">
        <v>10.127000000000001</v>
      </c>
      <c r="AY49" s="39">
        <f t="shared" si="7"/>
        <v>0.42195833333333338</v>
      </c>
      <c r="AZ49" s="39">
        <v>9.59</v>
      </c>
      <c r="BA49" s="39">
        <f t="shared" si="24"/>
        <v>0.39958333333333335</v>
      </c>
    </row>
    <row r="50" spans="1:55" x14ac:dyDescent="0.25">
      <c r="A50" s="22">
        <v>2</v>
      </c>
      <c r="B50" s="22">
        <v>15</v>
      </c>
      <c r="C50" s="39">
        <v>7.3</v>
      </c>
      <c r="D50" s="39">
        <f t="shared" si="22"/>
        <v>0.48666666666666664</v>
      </c>
      <c r="E50" s="39">
        <v>6.56</v>
      </c>
      <c r="F50" s="39">
        <f t="shared" si="8"/>
        <v>0.4373333333333333</v>
      </c>
      <c r="G50" s="39">
        <v>18.399999999999999</v>
      </c>
      <c r="H50" s="39">
        <f t="shared" si="9"/>
        <v>1.2266666666666666</v>
      </c>
      <c r="I50" s="39">
        <v>11.8</v>
      </c>
      <c r="J50" s="39">
        <f t="shared" si="10"/>
        <v>0.78666666666666674</v>
      </c>
      <c r="K50" s="40"/>
      <c r="L50" s="40"/>
      <c r="M50" s="39">
        <v>7.79</v>
      </c>
      <c r="N50" s="39">
        <f t="shared" si="11"/>
        <v>0.51933333333333331</v>
      </c>
      <c r="O50" s="39">
        <v>5.22</v>
      </c>
      <c r="P50" s="39">
        <f t="shared" si="12"/>
        <v>0.34799999999999998</v>
      </c>
      <c r="Q50" s="39">
        <v>14.44</v>
      </c>
      <c r="R50" s="39">
        <f t="shared" si="13"/>
        <v>0.96266666666666667</v>
      </c>
      <c r="S50" s="39">
        <v>15.4</v>
      </c>
      <c r="T50" s="39">
        <f t="shared" si="14"/>
        <v>1.0266666666666666</v>
      </c>
      <c r="U50" s="39">
        <v>4.29</v>
      </c>
      <c r="V50" s="39">
        <f t="shared" si="15"/>
        <v>0.28599999999999998</v>
      </c>
      <c r="W50" s="40"/>
      <c r="X50" s="40"/>
      <c r="Y50" s="39">
        <v>11.35</v>
      </c>
      <c r="Z50" s="39">
        <f t="shared" si="16"/>
        <v>0.7566666666666666</v>
      </c>
      <c r="AA50" s="39">
        <v>10.130000000000001</v>
      </c>
      <c r="AB50" s="39">
        <f t="shared" si="17"/>
        <v>0.67533333333333334</v>
      </c>
      <c r="AC50" s="39">
        <v>16.079999999999998</v>
      </c>
      <c r="AD50" s="39">
        <f t="shared" si="18"/>
        <v>1.0719999999999998</v>
      </c>
      <c r="AE50" s="39">
        <v>3.99</v>
      </c>
      <c r="AF50" s="39">
        <f t="shared" si="19"/>
        <v>0.26600000000000001</v>
      </c>
      <c r="AG50" s="39">
        <v>6.49</v>
      </c>
      <c r="AH50" s="39">
        <f t="shared" si="20"/>
        <v>0.4326666666666667</v>
      </c>
      <c r="AI50" s="40"/>
      <c r="AJ50" s="40"/>
      <c r="AK50" s="40"/>
      <c r="AL50" s="39">
        <v>9.7899999999999991</v>
      </c>
      <c r="AM50" s="39">
        <f t="shared" si="2"/>
        <v>0.65266666666666662</v>
      </c>
      <c r="AN50" s="39">
        <v>14.03</v>
      </c>
      <c r="AO50" s="39">
        <f t="shared" si="3"/>
        <v>0.93533333333333324</v>
      </c>
      <c r="AP50" s="39">
        <v>7.59</v>
      </c>
      <c r="AQ50" s="39">
        <f t="shared" si="4"/>
        <v>0.50600000000000001</v>
      </c>
      <c r="AR50" s="39">
        <v>5.18</v>
      </c>
      <c r="AS50" s="39">
        <f t="shared" si="5"/>
        <v>0.34533333333333333</v>
      </c>
      <c r="AT50" s="40"/>
      <c r="AU50" s="40"/>
      <c r="AV50" s="39">
        <v>11.005000000000001</v>
      </c>
      <c r="AW50" s="39">
        <f t="shared" si="6"/>
        <v>0.73366666666666669</v>
      </c>
      <c r="AX50" s="39">
        <f>13.3</f>
        <v>13.3</v>
      </c>
      <c r="AY50" s="39">
        <f t="shared" si="7"/>
        <v>0.88666666666666671</v>
      </c>
      <c r="AZ50" s="39">
        <v>9.52</v>
      </c>
      <c r="BA50" s="39">
        <f t="shared" si="24"/>
        <v>0.6346666666666666</v>
      </c>
    </row>
    <row r="51" spans="1:55" x14ac:dyDescent="0.25">
      <c r="A51" s="22">
        <v>2</v>
      </c>
      <c r="B51" s="22">
        <v>15</v>
      </c>
      <c r="C51" s="39">
        <v>12.5</v>
      </c>
      <c r="D51" s="39">
        <f t="shared" si="22"/>
        <v>0.83333333333333337</v>
      </c>
      <c r="E51" s="39"/>
      <c r="F51" s="39" t="str">
        <f t="shared" si="8"/>
        <v/>
      </c>
      <c r="G51" s="39">
        <v>5.64</v>
      </c>
      <c r="H51" s="39">
        <f t="shared" si="9"/>
        <v>0.376</v>
      </c>
      <c r="I51" s="39">
        <v>11.17</v>
      </c>
      <c r="J51" s="39">
        <f t="shared" si="10"/>
        <v>0.7446666666666667</v>
      </c>
      <c r="K51" s="40"/>
      <c r="L51" s="40"/>
      <c r="M51" s="39">
        <v>5.1100000000000003</v>
      </c>
      <c r="N51" s="39">
        <f t="shared" si="11"/>
        <v>0.34066666666666667</v>
      </c>
      <c r="O51" s="39">
        <v>9.4499999999999993</v>
      </c>
      <c r="P51" s="39">
        <f t="shared" si="12"/>
        <v>0.63</v>
      </c>
      <c r="Q51" s="39">
        <v>4.9800000000000004</v>
      </c>
      <c r="R51" s="39">
        <f t="shared" si="13"/>
        <v>0.33200000000000002</v>
      </c>
      <c r="S51" s="39"/>
      <c r="T51" s="39" t="str">
        <f t="shared" si="14"/>
        <v/>
      </c>
      <c r="U51" s="39">
        <v>11.98</v>
      </c>
      <c r="V51" s="39">
        <f t="shared" si="15"/>
        <v>0.79866666666666675</v>
      </c>
      <c r="W51" s="40"/>
      <c r="X51" s="40"/>
      <c r="Y51" s="39"/>
      <c r="Z51" s="39" t="str">
        <f t="shared" si="16"/>
        <v/>
      </c>
      <c r="AA51" s="39"/>
      <c r="AB51" s="39" t="str">
        <f t="shared" si="17"/>
        <v/>
      </c>
      <c r="AC51" s="39"/>
      <c r="AD51" s="39" t="str">
        <f t="shared" si="18"/>
        <v/>
      </c>
      <c r="AE51" s="39"/>
      <c r="AF51" s="39" t="str">
        <f t="shared" si="19"/>
        <v/>
      </c>
      <c r="AG51" s="39"/>
      <c r="AH51" s="39" t="str">
        <f t="shared" si="20"/>
        <v/>
      </c>
      <c r="AI51" s="40"/>
      <c r="AJ51" s="40"/>
      <c r="AK51" s="40"/>
      <c r="AL51" s="39"/>
      <c r="AM51" s="39" t="str">
        <f t="shared" si="2"/>
        <v/>
      </c>
      <c r="AN51" s="39"/>
      <c r="AO51" s="39" t="str">
        <f t="shared" si="3"/>
        <v/>
      </c>
      <c r="AP51" s="39"/>
      <c r="AQ51" s="39" t="str">
        <f t="shared" si="4"/>
        <v/>
      </c>
      <c r="AR51" s="39"/>
      <c r="AS51" s="39" t="str">
        <f t="shared" si="5"/>
        <v/>
      </c>
      <c r="AT51" s="40"/>
      <c r="AU51" s="40"/>
      <c r="AV51" s="39"/>
      <c r="AW51" s="39" t="str">
        <f t="shared" si="6"/>
        <v/>
      </c>
      <c r="AX51" s="39"/>
      <c r="AY51" s="39" t="str">
        <f t="shared" si="7"/>
        <v/>
      </c>
      <c r="AZ51" s="39">
        <v>7.73</v>
      </c>
      <c r="BA51" s="39">
        <f t="shared" si="24"/>
        <v>0.51533333333333331</v>
      </c>
    </row>
    <row r="52" spans="1:55" x14ac:dyDescent="0.25">
      <c r="A52" s="22">
        <v>2</v>
      </c>
      <c r="B52" s="22">
        <v>15</v>
      </c>
      <c r="C52" s="39"/>
      <c r="D52" s="39" t="str">
        <f t="shared" si="22"/>
        <v/>
      </c>
      <c r="E52" s="39">
        <v>7.4450000000000003</v>
      </c>
      <c r="F52" s="39">
        <f t="shared" si="8"/>
        <v>0.49633333333333335</v>
      </c>
      <c r="G52" s="39"/>
      <c r="H52" s="39" t="str">
        <f t="shared" si="9"/>
        <v/>
      </c>
      <c r="I52" s="39"/>
      <c r="J52" s="39" t="str">
        <f t="shared" si="10"/>
        <v/>
      </c>
      <c r="K52" s="40"/>
      <c r="L52" s="40"/>
      <c r="M52" s="39">
        <v>6.03</v>
      </c>
      <c r="N52" s="39">
        <f t="shared" si="11"/>
        <v>0.40200000000000002</v>
      </c>
      <c r="O52" s="39">
        <v>8.32</v>
      </c>
      <c r="P52" s="39">
        <f t="shared" si="12"/>
        <v>0.55466666666666664</v>
      </c>
      <c r="Q52" s="39">
        <v>13.4</v>
      </c>
      <c r="R52" s="39">
        <f t="shared" si="13"/>
        <v>0.89333333333333331</v>
      </c>
      <c r="S52" s="39">
        <v>11.15</v>
      </c>
      <c r="T52" s="39">
        <f t="shared" si="14"/>
        <v>0.7433333333333334</v>
      </c>
      <c r="U52" s="39">
        <v>14.29</v>
      </c>
      <c r="V52" s="39">
        <f t="shared" si="15"/>
        <v>0.95266666666666666</v>
      </c>
      <c r="W52" s="40"/>
      <c r="X52" s="40"/>
      <c r="Y52" s="39"/>
      <c r="Z52" s="39" t="str">
        <f t="shared" si="16"/>
        <v/>
      </c>
      <c r="AA52" s="39"/>
      <c r="AB52" s="39" t="str">
        <f t="shared" si="17"/>
        <v/>
      </c>
      <c r="AC52" s="39"/>
      <c r="AD52" s="39" t="str">
        <f t="shared" si="18"/>
        <v/>
      </c>
      <c r="AE52" s="39"/>
      <c r="AF52" s="39" t="str">
        <f t="shared" si="19"/>
        <v/>
      </c>
      <c r="AG52" s="39"/>
      <c r="AH52" s="39" t="str">
        <f t="shared" si="20"/>
        <v/>
      </c>
      <c r="AI52" s="40"/>
      <c r="AJ52" s="40"/>
      <c r="AK52" s="40"/>
      <c r="AL52" s="39"/>
      <c r="AM52" s="39" t="str">
        <f t="shared" si="2"/>
        <v/>
      </c>
      <c r="AN52" s="39"/>
      <c r="AO52" s="39" t="str">
        <f t="shared" si="3"/>
        <v/>
      </c>
      <c r="AP52" s="39">
        <v>2.81</v>
      </c>
      <c r="AQ52" s="39">
        <f t="shared" si="4"/>
        <v>0.18733333333333332</v>
      </c>
      <c r="AR52" s="39">
        <v>9.7780000000000005</v>
      </c>
      <c r="AS52" s="39">
        <f t="shared" si="5"/>
        <v>0.65186666666666671</v>
      </c>
      <c r="AT52" s="40"/>
      <c r="AU52" s="40"/>
      <c r="AV52" s="39"/>
      <c r="AW52" s="39" t="str">
        <f t="shared" si="6"/>
        <v/>
      </c>
      <c r="AX52" s="39">
        <v>9.8460000000000001</v>
      </c>
      <c r="AY52" s="39">
        <f t="shared" si="7"/>
        <v>0.65639999999999998</v>
      </c>
      <c r="AZ52" s="39">
        <v>9.8979999999999997</v>
      </c>
      <c r="BA52" s="39">
        <f t="shared" si="24"/>
        <v>0.6598666666666666</v>
      </c>
    </row>
    <row r="53" spans="1:55" x14ac:dyDescent="0.25">
      <c r="A53" s="22">
        <v>2</v>
      </c>
      <c r="B53" s="23">
        <v>15</v>
      </c>
      <c r="C53" s="39"/>
      <c r="D53" s="39" t="str">
        <f t="shared" si="22"/>
        <v/>
      </c>
      <c r="E53" s="39"/>
      <c r="F53" s="39" t="str">
        <f t="shared" si="8"/>
        <v/>
      </c>
      <c r="G53" s="39"/>
      <c r="H53" s="39" t="str">
        <f t="shared" si="9"/>
        <v/>
      </c>
      <c r="I53" s="39"/>
      <c r="J53" s="39" t="str">
        <f t="shared" si="10"/>
        <v/>
      </c>
      <c r="K53" s="40"/>
      <c r="L53" s="40"/>
      <c r="M53" s="39"/>
      <c r="N53" s="39" t="str">
        <f t="shared" si="11"/>
        <v/>
      </c>
      <c r="O53" s="39"/>
      <c r="P53" s="39" t="str">
        <f t="shared" si="12"/>
        <v/>
      </c>
      <c r="Q53" s="39"/>
      <c r="R53" s="39" t="str">
        <f t="shared" si="13"/>
        <v/>
      </c>
      <c r="S53" s="39"/>
      <c r="T53" s="39" t="str">
        <f t="shared" si="14"/>
        <v/>
      </c>
      <c r="U53" s="39"/>
      <c r="V53" s="39" t="str">
        <f t="shared" si="15"/>
        <v/>
      </c>
      <c r="W53" s="40"/>
      <c r="X53" s="40"/>
      <c r="Y53" s="39"/>
      <c r="Z53" s="39" t="str">
        <f t="shared" si="16"/>
        <v/>
      </c>
      <c r="AA53" s="39"/>
      <c r="AB53" s="39" t="str">
        <f t="shared" si="17"/>
        <v/>
      </c>
      <c r="AC53" s="39"/>
      <c r="AD53" s="39" t="str">
        <f t="shared" si="18"/>
        <v/>
      </c>
      <c r="AE53" s="39"/>
      <c r="AF53" s="39" t="str">
        <f t="shared" si="19"/>
        <v/>
      </c>
      <c r="AG53" s="39"/>
      <c r="AH53" s="39" t="str">
        <f t="shared" si="20"/>
        <v/>
      </c>
      <c r="AI53" s="40"/>
      <c r="AJ53" s="40"/>
      <c r="AK53" s="40"/>
      <c r="AL53" s="39"/>
      <c r="AM53" s="39" t="str">
        <f t="shared" si="2"/>
        <v/>
      </c>
      <c r="AN53" s="39"/>
      <c r="AO53" s="39" t="str">
        <f t="shared" si="3"/>
        <v/>
      </c>
      <c r="AP53" s="39"/>
      <c r="AQ53" s="39" t="str">
        <f t="shared" si="4"/>
        <v/>
      </c>
      <c r="AR53" s="39"/>
      <c r="AS53" s="39" t="str">
        <f t="shared" si="5"/>
        <v/>
      </c>
      <c r="AT53" s="40"/>
      <c r="AU53" s="40"/>
      <c r="AV53" s="39"/>
      <c r="AW53" s="39" t="str">
        <f t="shared" si="6"/>
        <v/>
      </c>
      <c r="AX53" s="39"/>
      <c r="AY53" s="39" t="str">
        <f t="shared" si="7"/>
        <v/>
      </c>
      <c r="AZ53" s="39"/>
      <c r="BA53" s="39" t="str">
        <f t="shared" si="24"/>
        <v/>
      </c>
    </row>
    <row r="54" spans="1:55" x14ac:dyDescent="0.25">
      <c r="A54" s="22">
        <v>2</v>
      </c>
      <c r="B54" s="22">
        <v>24</v>
      </c>
      <c r="C54" s="39">
        <v>24.132999999999999</v>
      </c>
      <c r="D54" s="39">
        <f t="shared" si="22"/>
        <v>1.0055416666666666</v>
      </c>
      <c r="E54" s="39">
        <v>17.64</v>
      </c>
      <c r="F54" s="39">
        <f t="shared" si="8"/>
        <v>0.73499999999999999</v>
      </c>
      <c r="G54" s="39">
        <v>18.899999999999999</v>
      </c>
      <c r="H54" s="39">
        <f t="shared" si="9"/>
        <v>0.78749999999999998</v>
      </c>
      <c r="I54" s="39">
        <v>18.149999999999999</v>
      </c>
      <c r="J54" s="39">
        <f t="shared" si="10"/>
        <v>0.75624999999999998</v>
      </c>
      <c r="K54" s="40"/>
      <c r="L54" s="40"/>
      <c r="M54" s="39">
        <v>17.91</v>
      </c>
      <c r="N54" s="39">
        <f t="shared" si="11"/>
        <v>0.74624999999999997</v>
      </c>
      <c r="O54" s="39">
        <v>10.119999999999999</v>
      </c>
      <c r="P54" s="39">
        <f t="shared" si="12"/>
        <v>0.42166666666666663</v>
      </c>
      <c r="Q54" s="39">
        <v>13.72</v>
      </c>
      <c r="R54" s="39">
        <f t="shared" si="13"/>
        <v>0.57166666666666666</v>
      </c>
      <c r="S54" s="39">
        <v>20.37</v>
      </c>
      <c r="T54" s="39">
        <f t="shared" si="14"/>
        <v>0.84875</v>
      </c>
      <c r="U54" s="39">
        <v>17.04</v>
      </c>
      <c r="V54" s="39">
        <f t="shared" si="15"/>
        <v>0.71</v>
      </c>
      <c r="W54" s="40"/>
      <c r="X54" s="40"/>
      <c r="Y54" s="39">
        <v>16.57</v>
      </c>
      <c r="Z54" s="39">
        <f t="shared" si="16"/>
        <v>0.69041666666666668</v>
      </c>
      <c r="AA54" s="39">
        <v>9.4</v>
      </c>
      <c r="AB54" s="39">
        <f t="shared" si="17"/>
        <v>0.39166666666666666</v>
      </c>
      <c r="AC54" s="39">
        <v>21.018999999999998</v>
      </c>
      <c r="AD54" s="39">
        <f t="shared" si="18"/>
        <v>0.87579166666666663</v>
      </c>
      <c r="AE54" s="39"/>
      <c r="AF54" s="39" t="str">
        <f t="shared" si="19"/>
        <v/>
      </c>
      <c r="AG54" s="39">
        <v>16.835999999999999</v>
      </c>
      <c r="AH54" s="39">
        <f t="shared" si="20"/>
        <v>0.7014999999999999</v>
      </c>
      <c r="AI54" s="40"/>
      <c r="AJ54" s="40"/>
      <c r="AK54" s="40"/>
      <c r="AL54" s="39">
        <v>23.19</v>
      </c>
      <c r="AM54" s="39">
        <f t="shared" si="2"/>
        <v>0.96625000000000005</v>
      </c>
      <c r="AN54" s="39">
        <v>11.567</v>
      </c>
      <c r="AO54" s="39">
        <f t="shared" si="3"/>
        <v>0.48195833333333332</v>
      </c>
      <c r="AP54" s="39">
        <v>8.8800000000000008</v>
      </c>
      <c r="AQ54" s="39">
        <f t="shared" si="4"/>
        <v>0.37000000000000005</v>
      </c>
      <c r="AR54" s="39">
        <v>20.295000000000002</v>
      </c>
      <c r="AS54" s="39">
        <f t="shared" si="5"/>
        <v>0.84562500000000007</v>
      </c>
      <c r="AT54" s="40"/>
      <c r="AU54" s="40"/>
      <c r="AV54" s="39">
        <v>8.8230000000000004</v>
      </c>
      <c r="AW54" s="39">
        <f t="shared" si="6"/>
        <v>0.36762500000000004</v>
      </c>
      <c r="AX54" s="39">
        <v>21.81</v>
      </c>
      <c r="AY54" s="39">
        <f t="shared" si="7"/>
        <v>0.90874999999999995</v>
      </c>
      <c r="AZ54" s="39">
        <v>5.6440000000000001</v>
      </c>
      <c r="BA54" s="39">
        <f t="shared" si="24"/>
        <v>0.23516666666666666</v>
      </c>
    </row>
    <row r="55" spans="1:55" s="26" customFormat="1" x14ac:dyDescent="0.25">
      <c r="A55" s="22">
        <v>2</v>
      </c>
      <c r="B55" s="22">
        <v>24</v>
      </c>
      <c r="C55" s="39">
        <v>15.907999999999999</v>
      </c>
      <c r="D55" s="39">
        <f t="shared" ref="D55:D56" si="25">IF(C55="","",C55/B55)</f>
        <v>0.66283333333333327</v>
      </c>
      <c r="E55" s="39">
        <v>12.595000000000001</v>
      </c>
      <c r="F55" s="39">
        <f t="shared" ref="F55:F56" si="26">IF(E55="","",E55/B55)</f>
        <v>0.52479166666666666</v>
      </c>
      <c r="G55" s="39">
        <v>18.350000000000001</v>
      </c>
      <c r="H55" s="39">
        <f t="shared" ref="H55:H56" si="27">IF(G55="","",G55/B55)</f>
        <v>0.76458333333333339</v>
      </c>
      <c r="I55" s="39">
        <v>12.82</v>
      </c>
      <c r="J55" s="39">
        <f t="shared" ref="J55:J56" si="28">IF(I55="","",I55/B55)</f>
        <v>0.53416666666666668</v>
      </c>
      <c r="K55" s="40"/>
      <c r="L55" s="40"/>
      <c r="M55" s="39">
        <v>18.388000000000002</v>
      </c>
      <c r="N55" s="39">
        <f t="shared" ref="N55:N56" si="29">IF(M55="","",M55/B55)</f>
        <v>0.76616666666666677</v>
      </c>
      <c r="O55" s="39">
        <v>14.24</v>
      </c>
      <c r="P55" s="39">
        <f t="shared" ref="P55:P56" si="30">IF(O55="","",O55/B55)</f>
        <v>0.59333333333333338</v>
      </c>
      <c r="Q55" s="39">
        <v>9.51</v>
      </c>
      <c r="R55" s="39">
        <f t="shared" ref="R55:R56" si="31">IF(Q55="","",Q55/B55)</f>
        <v>0.39624999999999999</v>
      </c>
      <c r="S55" s="39">
        <v>5.32</v>
      </c>
      <c r="T55" s="39">
        <f t="shared" ref="T55:T56" si="32">IF(S55="","",S55/B55)</f>
        <v>0.22166666666666668</v>
      </c>
      <c r="U55" s="39">
        <v>12.7</v>
      </c>
      <c r="V55" s="39">
        <f t="shared" ref="V55:V56" si="33">IF(U55="","",U55/B55)</f>
        <v>0.52916666666666667</v>
      </c>
      <c r="W55" s="40"/>
      <c r="X55" s="40"/>
      <c r="Y55" s="39">
        <v>20.811</v>
      </c>
      <c r="Z55" s="39">
        <f t="shared" ref="Z55:Z56" si="34">IF(Y55="","",Y55/B55)</f>
        <v>0.86712500000000003</v>
      </c>
      <c r="AA55" s="39">
        <v>5.1669999999999998</v>
      </c>
      <c r="AB55" s="39">
        <f t="shared" ref="AB55:AB56" si="35">IF(AA55="","",AA55/B55)</f>
        <v>0.21529166666666666</v>
      </c>
      <c r="AC55" s="39">
        <v>21.968</v>
      </c>
      <c r="AD55" s="39">
        <f t="shared" ref="AD55:AD56" si="36">IF(AC55="","",AC55/B55)</f>
        <v>0.91533333333333333</v>
      </c>
      <c r="AE55" s="39">
        <v>16.591999999999999</v>
      </c>
      <c r="AF55" s="39">
        <f t="shared" ref="AF55:AF56" si="37">IF(AE55="","",AE55/B55)</f>
        <v>0.69133333333333324</v>
      </c>
      <c r="AG55" s="39">
        <v>19.934999999999999</v>
      </c>
      <c r="AH55" s="39">
        <f t="shared" ref="AH55:AH56" si="38">IF(AG55="","",AG55/B55)</f>
        <v>0.83062499999999995</v>
      </c>
      <c r="AI55" s="40"/>
      <c r="AJ55" s="40"/>
      <c r="AK55" s="40"/>
      <c r="AL55" s="39">
        <f>12.344</f>
        <v>12.343999999999999</v>
      </c>
      <c r="AM55" s="39">
        <f t="shared" ref="AM55:AM56" si="39">IF(AL55="","",AL55/B55)</f>
        <v>0.51433333333333331</v>
      </c>
      <c r="AN55" s="39">
        <v>21.875</v>
      </c>
      <c r="AO55" s="39">
        <f t="shared" ref="AO55:AO56" si="40">IF(AN55="","",AN55/B55)</f>
        <v>0.91145833333333337</v>
      </c>
      <c r="AP55" s="39">
        <v>6.3</v>
      </c>
      <c r="AQ55" s="39">
        <f t="shared" ref="AQ55:AQ56" si="41">IF(AP55="","",AP55/B55)</f>
        <v>0.26250000000000001</v>
      </c>
      <c r="AR55" s="39">
        <v>8.93</v>
      </c>
      <c r="AS55" s="39">
        <f t="shared" ref="AS55:AS56" si="42">IF(AR55="","",AR55/B55)</f>
        <v>0.37208333333333332</v>
      </c>
      <c r="AT55" s="40"/>
      <c r="AU55" s="40"/>
      <c r="AV55" s="39">
        <v>16.548999999999999</v>
      </c>
      <c r="AW55" s="39">
        <f t="shared" ref="AW55:AW56" si="43">IF(AV55="","",AV55/B55)</f>
        <v>0.68954166666666661</v>
      </c>
      <c r="AX55" s="39">
        <v>15.081</v>
      </c>
      <c r="AY55" s="39">
        <f t="shared" ref="AY55:AY56" si="44">IF(AX55="","",AX55/B55)</f>
        <v>0.62837500000000002</v>
      </c>
      <c r="AZ55" s="39">
        <v>22.257999999999999</v>
      </c>
      <c r="BA55" s="39">
        <f t="shared" ref="BA55:BA56" si="45">IF(AZ55="","",AZ55/B55)</f>
        <v>0.92741666666666667</v>
      </c>
    </row>
    <row r="56" spans="1:55" s="26" customFormat="1" x14ac:dyDescent="0.25">
      <c r="A56" s="22">
        <v>2</v>
      </c>
      <c r="B56" s="22">
        <v>24</v>
      </c>
      <c r="C56" s="39">
        <v>23.25</v>
      </c>
      <c r="D56" s="39">
        <f t="shared" si="25"/>
        <v>0.96875</v>
      </c>
      <c r="E56" s="39">
        <v>23.34</v>
      </c>
      <c r="F56" s="39">
        <f t="shared" si="26"/>
        <v>0.97250000000000003</v>
      </c>
      <c r="G56" s="39">
        <v>11.417999999999999</v>
      </c>
      <c r="H56" s="39">
        <f t="shared" si="27"/>
        <v>0.47574999999999995</v>
      </c>
      <c r="I56" s="39">
        <v>18.829999999999998</v>
      </c>
      <c r="J56" s="39">
        <f t="shared" si="28"/>
        <v>0.7845833333333333</v>
      </c>
      <c r="K56" s="40"/>
      <c r="L56" s="40"/>
      <c r="M56" s="39">
        <v>7.62</v>
      </c>
      <c r="N56" s="39">
        <f t="shared" si="29"/>
        <v>0.3175</v>
      </c>
      <c r="O56" s="39">
        <v>12</v>
      </c>
      <c r="P56" s="39">
        <f t="shared" si="30"/>
        <v>0.5</v>
      </c>
      <c r="Q56" s="39">
        <v>10.72</v>
      </c>
      <c r="R56" s="39">
        <f t="shared" si="31"/>
        <v>0.44666666666666671</v>
      </c>
      <c r="S56" s="39">
        <v>19.07</v>
      </c>
      <c r="T56" s="39">
        <f t="shared" si="32"/>
        <v>0.79458333333333331</v>
      </c>
      <c r="U56" s="39">
        <v>13.57</v>
      </c>
      <c r="V56" s="39">
        <f t="shared" si="33"/>
        <v>0.56541666666666668</v>
      </c>
      <c r="W56" s="40"/>
      <c r="X56" s="40"/>
      <c r="Y56" s="39">
        <v>15.775</v>
      </c>
      <c r="Z56" s="39">
        <f t="shared" si="34"/>
        <v>0.65729166666666672</v>
      </c>
      <c r="AA56" s="39">
        <v>15.932</v>
      </c>
      <c r="AB56" s="39">
        <f t="shared" si="35"/>
        <v>0.66383333333333339</v>
      </c>
      <c r="AC56" s="39">
        <v>16.907</v>
      </c>
      <c r="AD56" s="39">
        <f t="shared" si="36"/>
        <v>0.7044583333333333</v>
      </c>
      <c r="AE56" s="39">
        <v>18.102</v>
      </c>
      <c r="AF56" s="39">
        <f t="shared" si="37"/>
        <v>0.75424999999999998</v>
      </c>
      <c r="AG56" s="39">
        <v>23.687000000000001</v>
      </c>
      <c r="AH56" s="39">
        <f t="shared" si="38"/>
        <v>0.98695833333333338</v>
      </c>
      <c r="AI56" s="40"/>
      <c r="AJ56" s="40"/>
      <c r="AK56" s="40"/>
      <c r="AL56" s="39">
        <f>22.368</f>
        <v>22.367999999999999</v>
      </c>
      <c r="AM56" s="39">
        <f t="shared" si="39"/>
        <v>0.93199999999999994</v>
      </c>
      <c r="AN56" s="39">
        <f>21.802+8.963</f>
        <v>30.765000000000001</v>
      </c>
      <c r="AO56" s="39">
        <f t="shared" si="40"/>
        <v>1.2818750000000001</v>
      </c>
      <c r="AP56" s="39">
        <v>10.3</v>
      </c>
      <c r="AQ56" s="39">
        <f t="shared" si="41"/>
        <v>0.4291666666666667</v>
      </c>
      <c r="AR56" s="39">
        <f>21.802+5.228</f>
        <v>27.03</v>
      </c>
      <c r="AS56" s="39">
        <f t="shared" si="42"/>
        <v>1.12625</v>
      </c>
      <c r="AT56" s="40"/>
      <c r="AU56" s="40"/>
      <c r="AV56" s="39">
        <v>4.74</v>
      </c>
      <c r="AW56" s="39">
        <f t="shared" si="43"/>
        <v>0.19750000000000001</v>
      </c>
      <c r="AX56" s="39">
        <v>17.95</v>
      </c>
      <c r="AY56" s="39">
        <f t="shared" si="44"/>
        <v>0.74791666666666667</v>
      </c>
      <c r="AZ56" s="39">
        <f>20.24+1.982</f>
        <v>22.221999999999998</v>
      </c>
      <c r="BA56" s="39">
        <f t="shared" si="45"/>
        <v>0.92591666666666661</v>
      </c>
    </row>
    <row r="57" spans="1:55" x14ac:dyDescent="0.25">
      <c r="A57" s="22">
        <v>2</v>
      </c>
      <c r="B57" s="22">
        <v>15</v>
      </c>
      <c r="C57" s="39">
        <f>2.97+7.08</f>
        <v>10.050000000000001</v>
      </c>
      <c r="D57" s="39">
        <f t="shared" si="22"/>
        <v>0.67</v>
      </c>
      <c r="E57" s="39">
        <f>2.55+6.22</f>
        <v>8.77</v>
      </c>
      <c r="F57" s="39">
        <f t="shared" si="8"/>
        <v>0.58466666666666667</v>
      </c>
      <c r="G57" s="39">
        <f>9.66</f>
        <v>9.66</v>
      </c>
      <c r="H57" s="39">
        <f t="shared" si="9"/>
        <v>0.64400000000000002</v>
      </c>
      <c r="I57" s="39">
        <v>10.6</v>
      </c>
      <c r="J57" s="39">
        <f t="shared" si="10"/>
        <v>0.70666666666666667</v>
      </c>
      <c r="K57" s="40"/>
      <c r="L57" s="40"/>
      <c r="M57" s="39">
        <f>10.7+3.17</f>
        <v>13.87</v>
      </c>
      <c r="N57" s="39">
        <f t="shared" si="11"/>
        <v>0.92466666666666664</v>
      </c>
      <c r="O57" s="39">
        <f>4.46+3.85</f>
        <v>8.31</v>
      </c>
      <c r="P57" s="39">
        <f t="shared" si="12"/>
        <v>0.55400000000000005</v>
      </c>
      <c r="Q57" s="39">
        <f>4.73+16.33</f>
        <v>21.06</v>
      </c>
      <c r="R57" s="39">
        <f t="shared" si="13"/>
        <v>1.4039999999999999</v>
      </c>
      <c r="S57" s="39">
        <v>9.44</v>
      </c>
      <c r="T57" s="39">
        <f t="shared" si="14"/>
        <v>0.6293333333333333</v>
      </c>
      <c r="U57" s="39">
        <v>12.83</v>
      </c>
      <c r="V57" s="39">
        <f t="shared" si="15"/>
        <v>0.85533333333333339</v>
      </c>
      <c r="W57" s="40"/>
      <c r="X57" s="40"/>
      <c r="Y57" s="39">
        <f>7.11+9</f>
        <v>16.11</v>
      </c>
      <c r="Z57" s="39">
        <f t="shared" si="16"/>
        <v>1.0740000000000001</v>
      </c>
      <c r="AA57" s="39">
        <f>11.37</f>
        <v>11.37</v>
      </c>
      <c r="AB57" s="39">
        <f t="shared" si="17"/>
        <v>0.7579999999999999</v>
      </c>
      <c r="AC57" s="39">
        <f>5.16+5.35</f>
        <v>10.51</v>
      </c>
      <c r="AD57" s="39">
        <f t="shared" si="18"/>
        <v>0.70066666666666666</v>
      </c>
      <c r="AE57" s="39">
        <f>14.91</f>
        <v>14.91</v>
      </c>
      <c r="AF57" s="39">
        <f t="shared" si="19"/>
        <v>0.99399999999999999</v>
      </c>
      <c r="AG57" s="39">
        <v>8.43</v>
      </c>
      <c r="AH57" s="39">
        <f t="shared" si="20"/>
        <v>0.56199999999999994</v>
      </c>
      <c r="AI57" s="40"/>
      <c r="AJ57" s="40"/>
      <c r="AK57" s="40"/>
      <c r="AL57" s="39">
        <v>8.31</v>
      </c>
      <c r="AM57" s="39">
        <f t="shared" si="2"/>
        <v>0.55400000000000005</v>
      </c>
      <c r="AN57" s="39">
        <f>5.85+6.12</f>
        <v>11.969999999999999</v>
      </c>
      <c r="AO57" s="39">
        <f t="shared" si="3"/>
        <v>0.79799999999999993</v>
      </c>
      <c r="AP57" s="39">
        <v>10.27</v>
      </c>
      <c r="AQ57" s="39">
        <f t="shared" si="4"/>
        <v>0.68466666666666665</v>
      </c>
      <c r="AR57" s="39">
        <f>10.81</f>
        <v>10.81</v>
      </c>
      <c r="AS57" s="39">
        <f t="shared" si="5"/>
        <v>0.72066666666666668</v>
      </c>
      <c r="AT57" s="40"/>
      <c r="AU57" s="40"/>
      <c r="AV57" s="39">
        <f>9.477+13.307</f>
        <v>22.783999999999999</v>
      </c>
      <c r="AW57" s="39">
        <f t="shared" si="6"/>
        <v>1.5189333333333332</v>
      </c>
      <c r="AX57" s="39">
        <f>7.084+8.16</f>
        <v>15.244</v>
      </c>
      <c r="AY57" s="39">
        <f t="shared" si="7"/>
        <v>1.0162666666666667</v>
      </c>
      <c r="AZ57" s="39">
        <v>8.6539999999999999</v>
      </c>
      <c r="BA57" s="39">
        <f t="shared" si="24"/>
        <v>0.5769333333333333</v>
      </c>
    </row>
    <row r="58" spans="1:55" x14ac:dyDescent="0.25">
      <c r="BA58" s="26"/>
    </row>
    <row r="59" spans="1:55" x14ac:dyDescent="0.25">
      <c r="A59" s="30" t="s">
        <v>12</v>
      </c>
      <c r="C59" s="45">
        <f>IF(C65="","",SUM(C34:C57))</f>
        <v>219.18900000000002</v>
      </c>
      <c r="D59" s="45">
        <f t="shared" ref="D59:BA59" si="46">IF(D65="","",SUM(D34:D57))</f>
        <v>11.152324999999999</v>
      </c>
      <c r="E59" s="45">
        <f t="shared" si="46"/>
        <v>202.46900000000002</v>
      </c>
      <c r="F59" s="45">
        <f t="shared" si="46"/>
        <v>10.374253205128205</v>
      </c>
      <c r="G59" s="45">
        <f t="shared" si="46"/>
        <v>265.77200000000005</v>
      </c>
      <c r="H59" s="45">
        <f t="shared" si="46"/>
        <v>13.764267948717947</v>
      </c>
      <c r="I59" s="45">
        <f t="shared" si="46"/>
        <v>274.40199999999999</v>
      </c>
      <c r="J59" s="45">
        <f t="shared" si="46"/>
        <v>14.567400000000003</v>
      </c>
      <c r="K59" s="45" t="str">
        <f t="shared" si="46"/>
        <v/>
      </c>
      <c r="L59" s="45" t="str">
        <f t="shared" si="46"/>
        <v/>
      </c>
      <c r="M59" s="45">
        <f t="shared" si="46"/>
        <v>251.798</v>
      </c>
      <c r="N59" s="45">
        <f t="shared" si="46"/>
        <v>13.224608333333334</v>
      </c>
      <c r="O59" s="45">
        <f t="shared" si="46"/>
        <v>205.06199999999998</v>
      </c>
      <c r="P59" s="45">
        <f t="shared" si="46"/>
        <v>11.286057692307692</v>
      </c>
      <c r="Q59" s="45">
        <f t="shared" si="46"/>
        <v>213.12999999999997</v>
      </c>
      <c r="R59" s="45">
        <f t="shared" si="46"/>
        <v>11.796320512820513</v>
      </c>
      <c r="S59" s="45">
        <f t="shared" si="46"/>
        <v>235.43100000000001</v>
      </c>
      <c r="T59" s="45">
        <f t="shared" si="46"/>
        <v>12.340923717948719</v>
      </c>
      <c r="U59" s="45">
        <f t="shared" si="46"/>
        <v>184.92500000000001</v>
      </c>
      <c r="V59" s="45">
        <f t="shared" si="46"/>
        <v>10.347551282051281</v>
      </c>
      <c r="W59" s="45" t="str">
        <f t="shared" si="46"/>
        <v/>
      </c>
      <c r="X59" s="45" t="str">
        <f t="shared" si="46"/>
        <v/>
      </c>
      <c r="Y59" s="45">
        <f>IF(Y65="","",SUM(Y34:Y57))</f>
        <v>199.20150000000001</v>
      </c>
      <c r="Z59" s="45">
        <f t="shared" si="46"/>
        <v>10.650385256410258</v>
      </c>
      <c r="AA59" s="45">
        <f t="shared" si="46"/>
        <v>162.29900000000001</v>
      </c>
      <c r="AB59" s="45">
        <f t="shared" si="46"/>
        <v>8.3949333333333325</v>
      </c>
      <c r="AC59" s="45">
        <f t="shared" si="46"/>
        <v>254.74700000000001</v>
      </c>
      <c r="AD59" s="45">
        <f t="shared" si="46"/>
        <v>13.201974358974358</v>
      </c>
      <c r="AE59" s="45">
        <f t="shared" si="46"/>
        <v>204.17000000000002</v>
      </c>
      <c r="AF59" s="45">
        <f t="shared" si="46"/>
        <v>11.209375641025639</v>
      </c>
      <c r="AG59" s="45">
        <f t="shared" si="46"/>
        <v>212.50800000000004</v>
      </c>
      <c r="AH59" s="45">
        <f>SUM(AH34:AH57)</f>
        <v>10.79545128205128</v>
      </c>
      <c r="AI59" s="45" t="str">
        <f t="shared" si="46"/>
        <v/>
      </c>
      <c r="AJ59" s="45" t="str">
        <f t="shared" si="46"/>
        <v/>
      </c>
      <c r="AK59" s="45" t="str">
        <f t="shared" si="46"/>
        <v/>
      </c>
      <c r="AL59" s="45">
        <f t="shared" si="46"/>
        <v>259.47999999999996</v>
      </c>
      <c r="AM59" s="45">
        <f t="shared" si="46"/>
        <v>13.142350641025644</v>
      </c>
      <c r="AN59" s="45">
        <f t="shared" si="46"/>
        <v>198.57399999999998</v>
      </c>
      <c r="AO59" s="45">
        <f t="shared" si="46"/>
        <v>10.743554487179487</v>
      </c>
      <c r="AP59" s="45">
        <f t="shared" si="46"/>
        <v>214.66000000000005</v>
      </c>
      <c r="AQ59" s="45">
        <f t="shared" si="46"/>
        <v>11.610408333333334</v>
      </c>
      <c r="AR59" s="45">
        <f t="shared" si="46"/>
        <v>226.30300000000003</v>
      </c>
      <c r="AS59" s="45">
        <f t="shared" si="46"/>
        <v>11.957423076923076</v>
      </c>
      <c r="AT59" s="45" t="str">
        <f t="shared" si="46"/>
        <v/>
      </c>
      <c r="AU59" s="45" t="str">
        <f t="shared" si="46"/>
        <v/>
      </c>
      <c r="AV59" s="45">
        <f t="shared" si="46"/>
        <v>192.74900000000002</v>
      </c>
      <c r="AW59" s="45">
        <f t="shared" si="46"/>
        <v>10.360721794871795</v>
      </c>
      <c r="AX59" s="45">
        <f t="shared" si="46"/>
        <v>243.14400000000001</v>
      </c>
      <c r="AY59" s="45">
        <f t="shared" si="46"/>
        <v>13.287055128205127</v>
      </c>
      <c r="AZ59" s="45">
        <f t="shared" si="46"/>
        <v>193.78500000000003</v>
      </c>
      <c r="BA59" s="45">
        <f t="shared" si="46"/>
        <v>10.507160256410254</v>
      </c>
      <c r="BB59" s="87">
        <f>SUM(C59,E59,G59,I59,M59,O59,Q59,S59,U59,Y59,AA59,AC59,AE59,AG59,AL59,AN59,AP59,AR59,AV59,AX59,AZ59)</f>
        <v>4613.7984999999999</v>
      </c>
      <c r="BC59" s="89">
        <f>AVERAGE(C59,E59,G59,I59,M59,O59,Q59,S59,U59,Y59,AA59,AC59,AE59,AG59,AL59,AN59,AP59,AR59,AV59,AX59,AZ59)</f>
        <v>219.70469047619048</v>
      </c>
    </row>
    <row r="60" spans="1:55" x14ac:dyDescent="0.25">
      <c r="A60" s="30" t="s">
        <v>19</v>
      </c>
      <c r="C60" s="46">
        <f>IF(C65="","",AVERAGE(D34:D57))</f>
        <v>0.65601911764705878</v>
      </c>
      <c r="D60" s="46"/>
      <c r="E60" s="46">
        <f>IF(E65="","",AVERAGE(F34:F57))</f>
        <v>0.54601332658569501</v>
      </c>
      <c r="F60" s="46"/>
      <c r="G60" s="46">
        <f>IF(G65="","",AVERAGE(H34:H57))</f>
        <v>0.65544133089133083</v>
      </c>
      <c r="H60" s="46"/>
      <c r="I60" s="46">
        <f>IF(I65="","",AVERAGE(J34:J57))</f>
        <v>0.69368571428571446</v>
      </c>
      <c r="J60" s="46"/>
      <c r="K60" s="46" t="str">
        <f>IF(K65="","",AVERAGE(L34:L57))</f>
        <v/>
      </c>
      <c r="L60" s="46" t="str">
        <f>IF(L65="","",AVERAGE(M34:M57))</f>
        <v/>
      </c>
      <c r="M60" s="46">
        <f>IF(M65="","",AVERAGE(N34:N57))</f>
        <v>0.62974325396825404</v>
      </c>
      <c r="N60" s="46"/>
      <c r="O60" s="46">
        <f>IF(O65="","",AVERAGE(P34:P57))</f>
        <v>0.56430288461538458</v>
      </c>
      <c r="P60" s="46"/>
      <c r="Q60" s="46">
        <f>IF(Q65="","",AVERAGE(R34:R57))</f>
        <v>0.56172954822954824</v>
      </c>
      <c r="R60" s="46"/>
      <c r="S60" s="46">
        <f>IF(S65="","",AVERAGE(T34:T57))</f>
        <v>0.61704618589743598</v>
      </c>
      <c r="T60" s="46"/>
      <c r="U60" s="46">
        <f>IF(U65="","",AVERAGE(V34:V57))</f>
        <v>0.54460796221322527</v>
      </c>
      <c r="V60" s="46"/>
      <c r="W60" s="46" t="str">
        <f>IF(W65="","",AVERAGE(X34:X57))</f>
        <v/>
      </c>
      <c r="X60" s="46" t="str">
        <f>IF(X65="","",AVERAGE(Y34:Y57))</f>
        <v/>
      </c>
      <c r="Y60" s="45">
        <f>IF(Y65="","",AVERAGE(Z34:Z57))</f>
        <v>0.59168806980056987</v>
      </c>
      <c r="Z60" s="46"/>
      <c r="AA60" s="46">
        <f>IF(AA65="","",AVERAGE(AB34:AB57))</f>
        <v>0.52468333333333328</v>
      </c>
      <c r="AB60" s="46"/>
      <c r="AC60" s="46">
        <f>IF(AC65="","",AVERAGE(AD34:AD57))</f>
        <v>0.69484075573549253</v>
      </c>
      <c r="AD60" s="46"/>
      <c r="AE60" s="46">
        <f>IF(AE65="","",AVERAGE(AF34:AF57))</f>
        <v>0.65937503770739059</v>
      </c>
      <c r="AF60" s="46"/>
      <c r="AG60" s="46">
        <f>AVERAGE(AH34:AH57)</f>
        <v>0.56818164642375157</v>
      </c>
      <c r="AH60" s="46"/>
      <c r="AI60" s="46" t="str">
        <f>IF(AI65="","",AVERAGE(AJ34:AJ57))</f>
        <v/>
      </c>
      <c r="AJ60" s="46" t="str">
        <f>IF(AJ65="","",AVERAGE(AK34:AK57))</f>
        <v/>
      </c>
      <c r="AK60" s="46" t="str">
        <f>IF(AK65="","",AVERAGE(#REF!))</f>
        <v/>
      </c>
      <c r="AL60" s="46">
        <f>IF(AL65="","",AVERAGE(AM34:AM57))</f>
        <v>0.62582622100122109</v>
      </c>
      <c r="AM60" s="46"/>
      <c r="AN60" s="46">
        <f>IF(AN65="","",AVERAGE(AO34:AO57))</f>
        <v>0.63197379336349924</v>
      </c>
      <c r="AO60" s="46"/>
      <c r="AP60" s="46">
        <f>IF(AP65="","",AVERAGE(AQ34:AQ57))</f>
        <v>0.58052041666666665</v>
      </c>
      <c r="AQ60" s="46"/>
      <c r="AR60" s="46">
        <f>IF(AR65="","",AVERAGE(AS34:AS57))</f>
        <v>0.59787115384615386</v>
      </c>
      <c r="AS60" s="46"/>
      <c r="AT60" s="46" t="str">
        <f>IF(AT65="","",AVERAGE(AU34:AU57))</f>
        <v/>
      </c>
      <c r="AU60" s="46" t="str">
        <f>IF(AU65="","",AVERAGE(AV34:AV57))</f>
        <v/>
      </c>
      <c r="AV60" s="46">
        <f>IF(AV65="","",AVERAGE(AW34:AW57))</f>
        <v>0.60945422322775267</v>
      </c>
      <c r="AW60" s="46"/>
      <c r="AX60" s="46">
        <f>IF(AX65="","",AVERAGE(AY34:AY57))</f>
        <v>0.73816972934472924</v>
      </c>
      <c r="AY60" s="46"/>
      <c r="AZ60" s="46">
        <f>IF(AZ65="","",AVERAGE(BA34:BA57))</f>
        <v>0.58373112535612526</v>
      </c>
      <c r="BA60" s="45"/>
      <c r="BB60" s="74"/>
      <c r="BC60" s="90">
        <f>AVERAGE(C60:AZ60)</f>
        <v>0.61309070619715877</v>
      </c>
    </row>
    <row r="61" spans="1:55" x14ac:dyDescent="0.25"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32"/>
      <c r="BB61" s="74"/>
      <c r="BC61" s="50"/>
    </row>
    <row r="62" spans="1:55" x14ac:dyDescent="0.25">
      <c r="A62" s="30" t="s">
        <v>20</v>
      </c>
      <c r="C62" s="46">
        <f>IF(C65="","",(20-COUNTBLANK(C34:C53))/20)</f>
        <v>0.65</v>
      </c>
      <c r="D62" s="46"/>
      <c r="E62" s="46">
        <f t="shared" ref="E62:AZ62" si="47">IF(E65="","",(20-COUNTBLANK(E34:E53))/20)</f>
        <v>0.75</v>
      </c>
      <c r="F62" s="46"/>
      <c r="G62" s="46">
        <f t="shared" si="47"/>
        <v>0.85</v>
      </c>
      <c r="H62" s="46"/>
      <c r="I62" s="46">
        <f t="shared" si="47"/>
        <v>0.85</v>
      </c>
      <c r="J62" s="46"/>
      <c r="K62" s="46" t="str">
        <f t="shared" si="47"/>
        <v/>
      </c>
      <c r="L62" s="46" t="str">
        <f t="shared" si="47"/>
        <v/>
      </c>
      <c r="M62" s="46">
        <f t="shared" si="47"/>
        <v>0.85</v>
      </c>
      <c r="N62" s="46"/>
      <c r="O62" s="46">
        <f t="shared" si="47"/>
        <v>0.8</v>
      </c>
      <c r="P62" s="46"/>
      <c r="Q62" s="46">
        <f t="shared" si="47"/>
        <v>0.85</v>
      </c>
      <c r="R62" s="46"/>
      <c r="S62" s="46">
        <f t="shared" si="47"/>
        <v>0.8</v>
      </c>
      <c r="T62" s="46"/>
      <c r="U62" s="46">
        <f t="shared" si="47"/>
        <v>0.75</v>
      </c>
      <c r="V62" s="46"/>
      <c r="W62" s="46" t="str">
        <f t="shared" si="47"/>
        <v/>
      </c>
      <c r="X62" s="46" t="str">
        <f t="shared" si="47"/>
        <v/>
      </c>
      <c r="Y62" s="46">
        <f t="shared" si="47"/>
        <v>0.7</v>
      </c>
      <c r="Z62" s="46"/>
      <c r="AA62" s="46">
        <f t="shared" si="47"/>
        <v>0.6</v>
      </c>
      <c r="AB62" s="46"/>
      <c r="AC62" s="46">
        <f t="shared" si="47"/>
        <v>0.75</v>
      </c>
      <c r="AD62" s="46"/>
      <c r="AE62" s="46">
        <f t="shared" si="47"/>
        <v>0.7</v>
      </c>
      <c r="AF62" s="46"/>
      <c r="AG62" s="46">
        <f>(20-COUNTBLANK(AG34:AG53))/20</f>
        <v>0.75</v>
      </c>
      <c r="AH62" s="46"/>
      <c r="AI62" s="46" t="str">
        <f t="shared" si="47"/>
        <v/>
      </c>
      <c r="AJ62" s="46" t="str">
        <f t="shared" si="47"/>
        <v/>
      </c>
      <c r="AK62" s="46" t="str">
        <f t="shared" si="47"/>
        <v/>
      </c>
      <c r="AL62" s="46">
        <f t="shared" si="47"/>
        <v>0.85</v>
      </c>
      <c r="AM62" s="46"/>
      <c r="AN62" s="46">
        <f t="shared" si="47"/>
        <v>0.65</v>
      </c>
      <c r="AO62" s="46"/>
      <c r="AP62" s="46">
        <f t="shared" si="47"/>
        <v>0.8</v>
      </c>
      <c r="AQ62" s="46"/>
      <c r="AR62" s="46">
        <f t="shared" si="47"/>
        <v>0.8</v>
      </c>
      <c r="AS62" s="46"/>
      <c r="AT62" s="46" t="str">
        <f t="shared" si="47"/>
        <v/>
      </c>
      <c r="AU62" s="46" t="str">
        <f t="shared" si="47"/>
        <v/>
      </c>
      <c r="AV62" s="46">
        <f t="shared" si="47"/>
        <v>0.65</v>
      </c>
      <c r="AW62" s="46"/>
      <c r="AX62" s="46">
        <f t="shared" si="47"/>
        <v>0.7</v>
      </c>
      <c r="AY62" s="46"/>
      <c r="AZ62" s="46">
        <f t="shared" si="47"/>
        <v>0.7</v>
      </c>
      <c r="BA62" s="45"/>
      <c r="BB62" s="74"/>
      <c r="BC62" s="90">
        <f>AVERAGE(C62:AZ62)</f>
        <v>0.75238095238095237</v>
      </c>
    </row>
    <row r="63" spans="1:55" x14ac:dyDescent="0.25">
      <c r="BA63" s="26"/>
      <c r="BB63" s="74"/>
      <c r="BC63" s="48"/>
    </row>
    <row r="64" spans="1:55" x14ac:dyDescent="0.25">
      <c r="A64" s="27" t="s">
        <v>13</v>
      </c>
      <c r="C64" s="33">
        <v>41730</v>
      </c>
      <c r="D64" s="33"/>
      <c r="E64" s="33">
        <v>41731</v>
      </c>
      <c r="F64" s="33"/>
      <c r="G64" s="33">
        <v>41732</v>
      </c>
      <c r="H64" s="33"/>
      <c r="I64" s="33">
        <v>41733</v>
      </c>
      <c r="J64" s="33"/>
      <c r="K64" s="34">
        <v>41734</v>
      </c>
      <c r="L64" s="34">
        <v>41735</v>
      </c>
      <c r="M64" s="33">
        <v>41736</v>
      </c>
      <c r="N64" s="33"/>
      <c r="O64" s="33">
        <v>41737</v>
      </c>
      <c r="P64" s="33"/>
      <c r="Q64" s="33">
        <v>41738</v>
      </c>
      <c r="R64" s="33"/>
      <c r="S64" s="33">
        <v>41739</v>
      </c>
      <c r="T64" s="33"/>
      <c r="U64" s="33">
        <v>41740</v>
      </c>
      <c r="V64" s="33"/>
      <c r="W64" s="34">
        <v>41741</v>
      </c>
      <c r="X64" s="34">
        <v>41742</v>
      </c>
      <c r="Y64" s="33">
        <v>41743</v>
      </c>
      <c r="Z64" s="33"/>
      <c r="AA64" s="33">
        <v>41744</v>
      </c>
      <c r="AB64" s="33"/>
      <c r="AC64" s="33">
        <v>41745</v>
      </c>
      <c r="AD64" s="33"/>
      <c r="AE64" s="33">
        <v>41746</v>
      </c>
      <c r="AF64" s="33"/>
      <c r="AG64" s="33">
        <v>41747</v>
      </c>
      <c r="AH64" s="33"/>
      <c r="AI64" s="34">
        <v>41748</v>
      </c>
      <c r="AJ64" s="34">
        <v>41749</v>
      </c>
      <c r="AK64" s="34">
        <v>41750</v>
      </c>
      <c r="AL64" s="33">
        <v>41751</v>
      </c>
      <c r="AM64" s="33"/>
      <c r="AN64" s="33">
        <v>41752</v>
      </c>
      <c r="AO64" s="33"/>
      <c r="AP64" s="33">
        <v>41753</v>
      </c>
      <c r="AQ64" s="33"/>
      <c r="AR64" s="33">
        <v>41754</v>
      </c>
      <c r="AS64" s="33"/>
      <c r="AT64" s="34">
        <v>41755</v>
      </c>
      <c r="AU64" s="34">
        <v>41756</v>
      </c>
      <c r="AV64" s="33">
        <v>41757</v>
      </c>
      <c r="AW64" s="33"/>
      <c r="AX64" s="33">
        <v>41758</v>
      </c>
      <c r="AY64" s="33"/>
      <c r="AZ64" s="33">
        <v>41759</v>
      </c>
      <c r="BA64" s="33"/>
      <c r="BB64" s="74"/>
      <c r="BC64" s="48"/>
    </row>
    <row r="65" spans="1:55" x14ac:dyDescent="0.25">
      <c r="A65" s="28">
        <v>3</v>
      </c>
      <c r="B65" s="28">
        <v>24</v>
      </c>
      <c r="C65" s="36">
        <v>11.997999999999999</v>
      </c>
      <c r="D65" s="39">
        <f t="shared" ref="D65:D70" si="48">IF(C65="","",C65/$B$34)</f>
        <v>0.49991666666666662</v>
      </c>
      <c r="E65" s="82">
        <v>14.539</v>
      </c>
      <c r="F65" s="39">
        <f t="shared" ref="F65:F70" si="49">IF(E65="","",E65/$B$34)</f>
        <v>0.60579166666666662</v>
      </c>
      <c r="G65" s="82">
        <v>16.247</v>
      </c>
      <c r="H65" s="39">
        <f t="shared" ref="H65:H70" si="50">IF(G65="","",G65/$B$34)</f>
        <v>0.67695833333333333</v>
      </c>
      <c r="I65" s="82">
        <v>19.219000000000001</v>
      </c>
      <c r="J65" s="39">
        <f t="shared" ref="J65:J70" si="51">IF(I65="","",I65/$B$34)</f>
        <v>0.80079166666666668</v>
      </c>
      <c r="K65" s="37"/>
      <c r="L65" s="37"/>
      <c r="M65" s="82">
        <v>22.542999999999999</v>
      </c>
      <c r="N65" s="39">
        <f t="shared" ref="N65:N70" si="52">IF(M65="","",M65/$B$34)</f>
        <v>0.93929166666666664</v>
      </c>
      <c r="O65" s="82">
        <v>6.4180000000000001</v>
      </c>
      <c r="P65" s="39">
        <f t="shared" ref="P65:P70" si="53">IF(O65="","",O65/$B$34)</f>
        <v>0.26741666666666669</v>
      </c>
      <c r="Q65" s="82">
        <v>21.167000000000002</v>
      </c>
      <c r="R65" s="39">
        <f t="shared" ref="R65:R70" si="54">IF(Q65="","",Q65/$B$34)</f>
        <v>0.8819583333333334</v>
      </c>
      <c r="S65" s="82">
        <v>23.274000000000001</v>
      </c>
      <c r="T65" s="39">
        <f t="shared" ref="T65:T70" si="55">IF(S65="","",S65/$B$34)</f>
        <v>0.96975</v>
      </c>
      <c r="U65" s="36">
        <v>10.5</v>
      </c>
      <c r="V65" s="39">
        <f t="shared" ref="V65:V70" si="56">IF(U65="","",U65/$B$34)</f>
        <v>0.4375</v>
      </c>
      <c r="W65" s="37"/>
      <c r="X65" s="37"/>
      <c r="Y65" s="82">
        <v>16.861999999999998</v>
      </c>
      <c r="Z65" s="82">
        <f t="shared" ref="Z65:Z70" si="57">IF(Y65="","",Y65/$B$34)</f>
        <v>0.70258333333333323</v>
      </c>
      <c r="AA65" s="82">
        <v>20.997</v>
      </c>
      <c r="AB65" s="82">
        <f t="shared" ref="AB65:AB70" si="58">IF(AA65="","",AA65/$B$34)</f>
        <v>0.87487499999999996</v>
      </c>
      <c r="AC65" s="82">
        <v>16.91</v>
      </c>
      <c r="AD65" s="82">
        <f t="shared" ref="AD65:AD70" si="59">IF(AC65="","",AC65/$B$34)</f>
        <v>0.70458333333333334</v>
      </c>
      <c r="AE65" s="82">
        <v>21.361999999999998</v>
      </c>
      <c r="AF65" s="82">
        <f t="shared" ref="AF65:AF70" si="60">IF(AE65="","",AE65/$B$34)</f>
        <v>0.89008333333333323</v>
      </c>
      <c r="AG65" s="82">
        <v>17.163</v>
      </c>
      <c r="AH65" s="39">
        <f t="shared" ref="AH65:AH70" si="61">IF(AG65="","",AG65/$B$34)</f>
        <v>0.71512500000000001</v>
      </c>
      <c r="AI65" s="37"/>
      <c r="AJ65" s="37"/>
      <c r="AK65" s="37"/>
      <c r="AL65" s="82">
        <v>25.481999999999999</v>
      </c>
      <c r="AM65" s="82">
        <f t="shared" ref="AM65:AM70" si="62">IF(AL65="","",AL65/$B$34)</f>
        <v>1.06175</v>
      </c>
      <c r="AN65" s="82">
        <f>9.792</f>
        <v>9.7919999999999998</v>
      </c>
      <c r="AO65" s="82">
        <f t="shared" ref="AO65:AO70" si="63">IF(AN65="","",AN65/$B$34)</f>
        <v>0.40799999999999997</v>
      </c>
      <c r="AP65" s="82">
        <v>20.43</v>
      </c>
      <c r="AQ65" s="82">
        <f t="shared" ref="AQ65:AQ70" si="64">IF(AP65="","",AP65/$B$34)</f>
        <v>0.85124999999999995</v>
      </c>
      <c r="AR65" s="82">
        <v>24.492999999999999</v>
      </c>
      <c r="AS65" s="39">
        <f t="shared" ref="AS65:AS70" si="65">IF(AR65="","",AR65/$B$34)</f>
        <v>1.0205416666666667</v>
      </c>
      <c r="AT65" s="37"/>
      <c r="AU65" s="37"/>
      <c r="AV65" s="36">
        <v>24.72</v>
      </c>
      <c r="AW65" s="39">
        <f t="shared" ref="AW65:AW70" si="66">IF(AV65="","",AV65/$B$34)</f>
        <v>1.03</v>
      </c>
      <c r="AX65" s="82">
        <v>21.635000000000002</v>
      </c>
      <c r="AY65" s="39">
        <f t="shared" ref="AY65:AY70" si="67">IF(AX65="","",AX65/$B$34)</f>
        <v>0.90145833333333336</v>
      </c>
      <c r="AZ65" s="39">
        <v>19.98</v>
      </c>
      <c r="BA65" s="39">
        <f t="shared" ref="BA65" si="68">IF(AZ65="","",AZ65/$B$34)</f>
        <v>0.83250000000000002</v>
      </c>
      <c r="BB65" s="74"/>
      <c r="BC65" s="48"/>
    </row>
    <row r="66" spans="1:55" x14ac:dyDescent="0.25">
      <c r="A66" s="28">
        <v>3</v>
      </c>
      <c r="B66" s="27">
        <v>24</v>
      </c>
      <c r="C66" s="38">
        <v>17.86</v>
      </c>
      <c r="D66" s="44">
        <f t="shared" si="48"/>
        <v>0.74416666666666664</v>
      </c>
      <c r="E66" s="83">
        <v>5.7930000000000001</v>
      </c>
      <c r="F66" s="44">
        <f t="shared" si="49"/>
        <v>0.24137500000000001</v>
      </c>
      <c r="G66" s="38">
        <v>14.8</v>
      </c>
      <c r="H66" s="44">
        <f t="shared" si="50"/>
        <v>0.6166666666666667</v>
      </c>
      <c r="I66" s="38">
        <v>20.34</v>
      </c>
      <c r="J66" s="44">
        <f t="shared" si="51"/>
        <v>0.84750000000000003</v>
      </c>
      <c r="K66" s="37"/>
      <c r="L66" s="37"/>
      <c r="M66" s="38">
        <v>20.13</v>
      </c>
      <c r="N66" s="44">
        <f t="shared" si="52"/>
        <v>0.83875</v>
      </c>
      <c r="O66" s="38">
        <v>11.11</v>
      </c>
      <c r="P66" s="44">
        <f t="shared" si="53"/>
        <v>0.46291666666666664</v>
      </c>
      <c r="Q66" s="38">
        <v>7.38</v>
      </c>
      <c r="R66" s="44">
        <f t="shared" si="54"/>
        <v>0.3075</v>
      </c>
      <c r="S66" s="38">
        <v>12.57</v>
      </c>
      <c r="T66" s="44">
        <f t="shared" si="55"/>
        <v>0.52375000000000005</v>
      </c>
      <c r="U66" s="38">
        <v>18.16</v>
      </c>
      <c r="V66" s="44">
        <f t="shared" si="56"/>
        <v>0.75666666666666671</v>
      </c>
      <c r="W66" s="37"/>
      <c r="X66" s="37"/>
      <c r="Y66" s="38">
        <v>16.731000000000002</v>
      </c>
      <c r="Z66" s="44">
        <f t="shared" si="57"/>
        <v>0.69712500000000011</v>
      </c>
      <c r="AA66" s="38">
        <v>7.66</v>
      </c>
      <c r="AB66" s="44">
        <f t="shared" si="58"/>
        <v>0.31916666666666665</v>
      </c>
      <c r="AC66" s="83">
        <v>6.7889999999999997</v>
      </c>
      <c r="AD66" s="84">
        <f t="shared" si="59"/>
        <v>0.28287499999999999</v>
      </c>
      <c r="AE66" s="83">
        <v>8.0220000000000002</v>
      </c>
      <c r="AF66" s="84">
        <f t="shared" si="60"/>
        <v>0.33424999999999999</v>
      </c>
      <c r="AG66" s="83">
        <v>3.3719999999999999</v>
      </c>
      <c r="AH66" s="44">
        <f t="shared" si="61"/>
        <v>0.14049999999999999</v>
      </c>
      <c r="AI66" s="37"/>
      <c r="AJ66" s="37"/>
      <c r="AK66" s="37"/>
      <c r="AL66" s="83">
        <f>13.56</f>
        <v>13.56</v>
      </c>
      <c r="AM66" s="84">
        <f t="shared" si="62"/>
        <v>0.56500000000000006</v>
      </c>
      <c r="AN66" s="83">
        <v>10.601000000000001</v>
      </c>
      <c r="AO66" s="84">
        <f t="shared" si="63"/>
        <v>0.44170833333333337</v>
      </c>
      <c r="AP66" s="83">
        <v>20.32</v>
      </c>
      <c r="AQ66" s="84">
        <f t="shared" si="64"/>
        <v>0.84666666666666668</v>
      </c>
      <c r="AR66" s="83">
        <v>19.414000000000001</v>
      </c>
      <c r="AS66" s="44">
        <f t="shared" si="65"/>
        <v>0.80891666666666673</v>
      </c>
      <c r="AT66" s="37"/>
      <c r="AU66" s="37"/>
      <c r="AV66" s="83">
        <v>20.071000000000002</v>
      </c>
      <c r="AW66" s="44">
        <f t="shared" si="66"/>
        <v>0.83629166666666677</v>
      </c>
      <c r="AX66" s="83">
        <v>18.984000000000002</v>
      </c>
      <c r="AY66" s="44">
        <f t="shared" si="67"/>
        <v>0.79100000000000004</v>
      </c>
      <c r="AZ66" s="83">
        <v>21.213999999999999</v>
      </c>
      <c r="BA66" s="44">
        <f>IF(AZ66="","",AZ66/$B$34)</f>
        <v>0.88391666666666657</v>
      </c>
      <c r="BB66" s="74"/>
      <c r="BC66" s="89">
        <f>AVERAGE(C66,E66,G66,I66,M66,O66,Q66,S66,U66,Y66,AA66,AC66,AE66,AG66,AL66,AN66,AP66,AR66,AV66,AX66,AZ66)</f>
        <v>14.041952380952379</v>
      </c>
    </row>
    <row r="67" spans="1:55" x14ac:dyDescent="0.25">
      <c r="A67" s="28">
        <v>3</v>
      </c>
      <c r="B67" s="27">
        <v>24</v>
      </c>
      <c r="C67" s="38">
        <v>7.5</v>
      </c>
      <c r="D67" s="44">
        <f t="shared" si="48"/>
        <v>0.3125</v>
      </c>
      <c r="E67" s="83">
        <v>25.792999999999999</v>
      </c>
      <c r="F67" s="44">
        <f t="shared" si="49"/>
        <v>1.0747083333333334</v>
      </c>
      <c r="G67" s="38">
        <v>12.6</v>
      </c>
      <c r="H67" s="44">
        <f t="shared" si="50"/>
        <v>0.52500000000000002</v>
      </c>
      <c r="I67" s="38">
        <v>5.6</v>
      </c>
      <c r="J67" s="44">
        <f t="shared" si="51"/>
        <v>0.23333333333333331</v>
      </c>
      <c r="K67" s="37"/>
      <c r="L67" s="37"/>
      <c r="M67" s="38">
        <v>21.47</v>
      </c>
      <c r="N67" s="44">
        <f t="shared" si="52"/>
        <v>0.89458333333333329</v>
      </c>
      <c r="O67" s="38">
        <v>1.48</v>
      </c>
      <c r="P67" s="44">
        <f t="shared" si="53"/>
        <v>6.1666666666666668E-2</v>
      </c>
      <c r="Q67" s="38">
        <v>14.18</v>
      </c>
      <c r="R67" s="44">
        <f t="shared" si="54"/>
        <v>0.59083333333333332</v>
      </c>
      <c r="S67" s="38">
        <v>16.440000000000001</v>
      </c>
      <c r="T67" s="44">
        <f t="shared" si="55"/>
        <v>0.68500000000000005</v>
      </c>
      <c r="U67" s="38">
        <v>8.07</v>
      </c>
      <c r="V67" s="44">
        <f t="shared" si="56"/>
        <v>0.33624999999999999</v>
      </c>
      <c r="W67" s="37"/>
      <c r="X67" s="37"/>
      <c r="Y67" s="83">
        <v>10.505000000000001</v>
      </c>
      <c r="Z67" s="84">
        <f t="shared" si="57"/>
        <v>0.43770833333333337</v>
      </c>
      <c r="AA67" s="83">
        <v>21.617999999999999</v>
      </c>
      <c r="AB67" s="84">
        <f t="shared" si="58"/>
        <v>0.90074999999999994</v>
      </c>
      <c r="AC67" s="83">
        <v>22.204999999999998</v>
      </c>
      <c r="AD67" s="84">
        <f t="shared" si="59"/>
        <v>0.9252083333333333</v>
      </c>
      <c r="AE67" s="83">
        <v>13.576000000000001</v>
      </c>
      <c r="AF67" s="84">
        <f t="shared" si="60"/>
        <v>0.56566666666666665</v>
      </c>
      <c r="AG67" s="83">
        <v>11.632</v>
      </c>
      <c r="AH67" s="44">
        <f t="shared" si="61"/>
        <v>0.48466666666666663</v>
      </c>
      <c r="AI67" s="37"/>
      <c r="AJ67" s="37"/>
      <c r="AK67" s="37"/>
      <c r="AL67" s="83">
        <f>3.832</f>
        <v>3.8319999999999999</v>
      </c>
      <c r="AM67" s="84">
        <f t="shared" si="62"/>
        <v>0.15966666666666665</v>
      </c>
      <c r="AN67" s="83">
        <v>17.166</v>
      </c>
      <c r="AO67" s="84">
        <f t="shared" si="63"/>
        <v>0.71525000000000005</v>
      </c>
      <c r="AP67" s="83">
        <v>8.17</v>
      </c>
      <c r="AQ67" s="84">
        <f t="shared" si="64"/>
        <v>0.34041666666666665</v>
      </c>
      <c r="AR67" s="83">
        <f>19.195</f>
        <v>19.195</v>
      </c>
      <c r="AS67" s="44">
        <f t="shared" si="65"/>
        <v>0.79979166666666668</v>
      </c>
      <c r="AT67" s="37"/>
      <c r="AU67" s="37"/>
      <c r="AV67" s="83">
        <v>11.031000000000001</v>
      </c>
      <c r="AW67" s="44">
        <f t="shared" si="66"/>
        <v>0.45962500000000001</v>
      </c>
      <c r="AX67" s="83">
        <f>15.44</f>
        <v>15.44</v>
      </c>
      <c r="AY67" s="44">
        <f t="shared" si="67"/>
        <v>0.64333333333333331</v>
      </c>
      <c r="AZ67" s="38">
        <v>16.07</v>
      </c>
      <c r="BA67" s="44">
        <f>IF(AZ67="","",AZ67/$B$34)</f>
        <v>0.66958333333333331</v>
      </c>
      <c r="BB67" s="74"/>
      <c r="BC67" s="48"/>
    </row>
    <row r="68" spans="1:55" x14ac:dyDescent="0.25">
      <c r="A68" s="28">
        <v>3</v>
      </c>
      <c r="B68" s="28">
        <v>24</v>
      </c>
      <c r="C68" s="36">
        <v>4.07</v>
      </c>
      <c r="D68" s="39">
        <f t="shared" si="48"/>
        <v>0.16958333333333334</v>
      </c>
      <c r="E68" s="82">
        <v>15.891</v>
      </c>
      <c r="F68" s="39">
        <f t="shared" si="49"/>
        <v>0.66212499999999996</v>
      </c>
      <c r="G68" s="36">
        <v>14.65</v>
      </c>
      <c r="H68" s="39">
        <f t="shared" si="50"/>
        <v>0.61041666666666672</v>
      </c>
      <c r="I68" s="36">
        <v>7.77</v>
      </c>
      <c r="J68" s="39">
        <f t="shared" si="51"/>
        <v>0.32374999999999998</v>
      </c>
      <c r="K68" s="37"/>
      <c r="L68" s="37"/>
      <c r="M68" s="82">
        <v>15.443</v>
      </c>
      <c r="N68" s="39">
        <f t="shared" si="52"/>
        <v>0.64345833333333335</v>
      </c>
      <c r="O68" s="36">
        <v>0.83</v>
      </c>
      <c r="P68" s="39">
        <f t="shared" si="53"/>
        <v>3.4583333333333334E-2</v>
      </c>
      <c r="Q68" s="36">
        <v>20.21</v>
      </c>
      <c r="R68" s="39">
        <f t="shared" si="54"/>
        <v>0.84208333333333341</v>
      </c>
      <c r="S68" s="36">
        <v>0.13</v>
      </c>
      <c r="T68" s="39">
        <f t="shared" si="55"/>
        <v>5.4166666666666669E-3</v>
      </c>
      <c r="U68" s="36">
        <v>25.62</v>
      </c>
      <c r="V68" s="39">
        <f t="shared" si="56"/>
        <v>1.0675000000000001</v>
      </c>
      <c r="W68" s="37"/>
      <c r="X68" s="37"/>
      <c r="Y68" s="82">
        <v>0.63400000000000001</v>
      </c>
      <c r="Z68" s="82">
        <f t="shared" si="57"/>
        <v>2.6416666666666668E-2</v>
      </c>
      <c r="AA68" s="82">
        <v>14.193</v>
      </c>
      <c r="AB68" s="82">
        <f t="shared" si="58"/>
        <v>0.59137499999999998</v>
      </c>
      <c r="AC68" s="82">
        <v>10.446999999999999</v>
      </c>
      <c r="AD68" s="39">
        <f t="shared" si="59"/>
        <v>0.43529166666666663</v>
      </c>
      <c r="AE68" s="36">
        <v>19.975000000000001</v>
      </c>
      <c r="AF68" s="39">
        <f t="shared" si="60"/>
        <v>0.83229166666666676</v>
      </c>
      <c r="AG68" s="36">
        <v>4.343</v>
      </c>
      <c r="AH68" s="39">
        <f t="shared" si="61"/>
        <v>0.18095833333333333</v>
      </c>
      <c r="AI68" s="37"/>
      <c r="AJ68" s="37"/>
      <c r="AK68" s="37"/>
      <c r="AL68" s="82">
        <v>14.166</v>
      </c>
      <c r="AM68" s="82">
        <f t="shared" si="62"/>
        <v>0.59025000000000005</v>
      </c>
      <c r="AN68" s="82"/>
      <c r="AO68" s="82" t="str">
        <f t="shared" si="63"/>
        <v/>
      </c>
      <c r="AP68" s="82">
        <v>24.62</v>
      </c>
      <c r="AQ68" s="82">
        <f t="shared" si="64"/>
        <v>1.0258333333333334</v>
      </c>
      <c r="AR68" s="82">
        <v>7.5650000000000004</v>
      </c>
      <c r="AS68" s="39">
        <f t="shared" si="65"/>
        <v>0.31520833333333337</v>
      </c>
      <c r="AT68" s="37"/>
      <c r="AU68" s="37"/>
      <c r="AV68" s="82">
        <v>19.806000000000001</v>
      </c>
      <c r="AW68" s="39">
        <f t="shared" si="66"/>
        <v>0.82525000000000004</v>
      </c>
      <c r="AX68" s="82">
        <f>12.936</f>
        <v>12.936</v>
      </c>
      <c r="AY68" s="39">
        <f t="shared" si="67"/>
        <v>0.53900000000000003</v>
      </c>
      <c r="AZ68" s="82">
        <v>14.817</v>
      </c>
      <c r="BA68" s="39">
        <f>IF(AZ68="","",AZ68/$B$34)</f>
        <v>0.61737500000000001</v>
      </c>
      <c r="BB68" s="74"/>
      <c r="BC68" s="48"/>
    </row>
    <row r="69" spans="1:55" s="26" customFormat="1" x14ac:dyDescent="0.25">
      <c r="A69" s="28">
        <v>3</v>
      </c>
      <c r="B69" s="27">
        <v>24</v>
      </c>
      <c r="C69" s="38">
        <v>24.5</v>
      </c>
      <c r="D69" s="44">
        <f t="shared" si="48"/>
        <v>1.0208333333333333</v>
      </c>
      <c r="E69" s="38"/>
      <c r="F69" s="44" t="str">
        <f t="shared" si="49"/>
        <v/>
      </c>
      <c r="G69" s="38"/>
      <c r="H69" s="44" t="str">
        <f t="shared" si="50"/>
        <v/>
      </c>
      <c r="I69" s="38"/>
      <c r="J69" s="44" t="str">
        <f t="shared" si="51"/>
        <v/>
      </c>
      <c r="K69" s="37"/>
      <c r="L69" s="37"/>
      <c r="M69" s="38"/>
      <c r="N69" s="44" t="str">
        <f t="shared" si="52"/>
        <v/>
      </c>
      <c r="O69" s="38">
        <v>2.86</v>
      </c>
      <c r="P69" s="44">
        <f t="shared" si="53"/>
        <v>0.11916666666666666</v>
      </c>
      <c r="Q69" s="38"/>
      <c r="R69" s="44" t="str">
        <f t="shared" si="54"/>
        <v/>
      </c>
      <c r="S69" s="38">
        <v>19.07</v>
      </c>
      <c r="T69" s="44">
        <f t="shared" si="55"/>
        <v>0.79458333333333331</v>
      </c>
      <c r="U69" s="38"/>
      <c r="V69" s="44" t="str">
        <f t="shared" si="56"/>
        <v/>
      </c>
      <c r="W69" s="37"/>
      <c r="X69" s="37"/>
      <c r="Y69" s="38">
        <v>11.691000000000001</v>
      </c>
      <c r="Z69" s="44">
        <f t="shared" si="57"/>
        <v>0.48712500000000003</v>
      </c>
      <c r="AA69" s="38"/>
      <c r="AB69" s="44" t="str">
        <f t="shared" si="58"/>
        <v/>
      </c>
      <c r="AC69" s="38"/>
      <c r="AD69" s="44" t="str">
        <f t="shared" si="59"/>
        <v/>
      </c>
      <c r="AE69" s="38">
        <v>17.972000000000001</v>
      </c>
      <c r="AF69" s="44">
        <f t="shared" si="60"/>
        <v>0.74883333333333335</v>
      </c>
      <c r="AG69" s="38"/>
      <c r="AH69" s="44" t="str">
        <f t="shared" si="61"/>
        <v/>
      </c>
      <c r="AI69" s="37"/>
      <c r="AJ69" s="37"/>
      <c r="AK69" s="37"/>
      <c r="AL69" s="83"/>
      <c r="AM69" s="84" t="str">
        <f t="shared" si="62"/>
        <v/>
      </c>
      <c r="AN69" s="83">
        <v>8.3170000000000002</v>
      </c>
      <c r="AO69" s="84">
        <f t="shared" si="63"/>
        <v>0.34654166666666669</v>
      </c>
      <c r="AP69" s="83"/>
      <c r="AQ69" s="84" t="str">
        <f t="shared" si="64"/>
        <v/>
      </c>
      <c r="AR69" s="83"/>
      <c r="AS69" s="44" t="str">
        <f t="shared" si="65"/>
        <v/>
      </c>
      <c r="AT69" s="37"/>
      <c r="AU69" s="37"/>
      <c r="AV69" s="83">
        <v>19.068000000000001</v>
      </c>
      <c r="AW69" s="44">
        <f t="shared" si="66"/>
        <v>0.7945000000000001</v>
      </c>
      <c r="AX69" s="38"/>
      <c r="AY69" s="44" t="str">
        <f t="shared" si="67"/>
        <v/>
      </c>
      <c r="AZ69" s="38"/>
      <c r="BA69" s="44" t="str">
        <f>IF(AZ69="","",AZ69/$B$34)</f>
        <v/>
      </c>
      <c r="BB69" s="74"/>
      <c r="BC69" s="48"/>
    </row>
    <row r="70" spans="1:55" x14ac:dyDescent="0.25">
      <c r="A70" s="28">
        <v>3</v>
      </c>
      <c r="B70" s="27">
        <v>24</v>
      </c>
      <c r="C70" s="38">
        <v>10.14</v>
      </c>
      <c r="D70" s="44">
        <f t="shared" si="48"/>
        <v>0.42250000000000004</v>
      </c>
      <c r="E70" s="38"/>
      <c r="F70" s="44" t="str">
        <f t="shared" si="49"/>
        <v/>
      </c>
      <c r="G70" s="38"/>
      <c r="H70" s="44" t="str">
        <f t="shared" si="50"/>
        <v/>
      </c>
      <c r="I70" s="38">
        <v>6.75</v>
      </c>
      <c r="J70" s="44">
        <f t="shared" si="51"/>
        <v>0.28125</v>
      </c>
      <c r="K70" s="37"/>
      <c r="L70" s="37"/>
      <c r="M70" s="38"/>
      <c r="N70" s="44" t="str">
        <f t="shared" si="52"/>
        <v/>
      </c>
      <c r="O70" s="38">
        <v>11.24</v>
      </c>
      <c r="P70" s="44">
        <f t="shared" si="53"/>
        <v>0.46833333333333332</v>
      </c>
      <c r="Q70" s="38"/>
      <c r="R70" s="44" t="str">
        <f t="shared" si="54"/>
        <v/>
      </c>
      <c r="S70" s="38">
        <v>19.75</v>
      </c>
      <c r="T70" s="44">
        <f t="shared" si="55"/>
        <v>0.82291666666666663</v>
      </c>
      <c r="U70" s="38"/>
      <c r="V70" s="44" t="str">
        <f t="shared" si="56"/>
        <v/>
      </c>
      <c r="W70" s="37"/>
      <c r="X70" s="37"/>
      <c r="Y70" s="38">
        <v>11.13</v>
      </c>
      <c r="Z70" s="44">
        <f t="shared" si="57"/>
        <v>0.46375000000000005</v>
      </c>
      <c r="AA70" s="38"/>
      <c r="AB70" s="44" t="str">
        <f t="shared" si="58"/>
        <v/>
      </c>
      <c r="AC70" s="38"/>
      <c r="AD70" s="44" t="str">
        <f t="shared" si="59"/>
        <v/>
      </c>
      <c r="AE70" s="38">
        <v>13.22</v>
      </c>
      <c r="AF70" s="44">
        <f t="shared" si="60"/>
        <v>0.5508333333333334</v>
      </c>
      <c r="AG70" s="38"/>
      <c r="AH70" s="44" t="str">
        <f t="shared" si="61"/>
        <v/>
      </c>
      <c r="AI70" s="37"/>
      <c r="AJ70" s="37"/>
      <c r="AK70" s="37"/>
      <c r="AL70" s="83"/>
      <c r="AM70" s="84" t="str">
        <f t="shared" si="62"/>
        <v/>
      </c>
      <c r="AN70" s="83">
        <v>17.329999999999998</v>
      </c>
      <c r="AO70" s="84">
        <f t="shared" si="63"/>
        <v>0.7220833333333333</v>
      </c>
      <c r="AP70" s="83"/>
      <c r="AQ70" s="84" t="str">
        <f t="shared" si="64"/>
        <v/>
      </c>
      <c r="AR70" s="83"/>
      <c r="AS70" s="44" t="str">
        <f t="shared" si="65"/>
        <v/>
      </c>
      <c r="AT70" s="37"/>
      <c r="AU70" s="37"/>
      <c r="AV70" s="83">
        <v>19.375</v>
      </c>
      <c r="AW70" s="44">
        <f t="shared" si="66"/>
        <v>0.80729166666666663</v>
      </c>
      <c r="AX70" s="38"/>
      <c r="AY70" s="44" t="str">
        <f t="shared" si="67"/>
        <v/>
      </c>
      <c r="AZ70" s="38"/>
      <c r="BA70" s="44" t="str">
        <f>IF(AZ70="","",AZ70/$B$34)</f>
        <v/>
      </c>
      <c r="BB70" s="74"/>
      <c r="BC70" s="48"/>
    </row>
    <row r="71" spans="1:55" x14ac:dyDescent="0.25">
      <c r="BA71" s="26"/>
      <c r="BB71" s="74"/>
      <c r="BC71" s="48"/>
    </row>
    <row r="72" spans="1:55" x14ac:dyDescent="0.25">
      <c r="A72" s="30" t="s">
        <v>18</v>
      </c>
      <c r="C72" s="46">
        <f>IF(C65="","",AVERAGE(D65:D70))</f>
        <v>0.52825</v>
      </c>
      <c r="D72" s="46"/>
      <c r="E72" s="46">
        <f>IF(E65="","",AVERAGE(F65:F70))</f>
        <v>0.64600000000000002</v>
      </c>
      <c r="F72" s="46"/>
      <c r="G72" s="46">
        <f>IF(G65="","",AVERAGE(H65:H70))</f>
        <v>0.60726041666666664</v>
      </c>
      <c r="H72" s="46"/>
      <c r="I72" s="46">
        <f>IF(I65="","",AVERAGE(J65:J70))</f>
        <v>0.49732500000000002</v>
      </c>
      <c r="J72" s="46"/>
      <c r="K72" s="46"/>
      <c r="L72" s="46"/>
      <c r="M72" s="46">
        <f>IF(M65="","",AVERAGE(N65:N70))</f>
        <v>0.82902083333333332</v>
      </c>
      <c r="N72" s="46"/>
      <c r="O72" s="46">
        <f>IF(O65="","",AVERAGE(P65:P70))</f>
        <v>0.23568055555555553</v>
      </c>
      <c r="P72" s="46"/>
      <c r="Q72" s="46">
        <f>IF(Q65="","",AVERAGE(R65:R70))</f>
        <v>0.65559375000000009</v>
      </c>
      <c r="R72" s="46"/>
      <c r="S72" s="46">
        <f>IF(S65="","",AVERAGE(T65:T70))</f>
        <v>0.63356944444444441</v>
      </c>
      <c r="T72" s="46"/>
      <c r="U72" s="46">
        <f>IF(U65="","",AVERAGE(V65:V70))</f>
        <v>0.64947916666666672</v>
      </c>
      <c r="V72" s="46"/>
      <c r="W72" s="46"/>
      <c r="X72" s="46"/>
      <c r="Y72" s="46">
        <f>IF(Y65="","",AVERAGE(Z65:Z70))</f>
        <v>0.46911805555555564</v>
      </c>
      <c r="Z72" s="46"/>
      <c r="AA72" s="46">
        <f>IF(AA65="","",AVERAGE(AB65:AB70))</f>
        <v>0.6715416666666667</v>
      </c>
      <c r="AB72" s="46"/>
      <c r="AC72" s="46">
        <f>IF(AC65="","",AVERAGE(AD65:AD70))</f>
        <v>0.58698958333333329</v>
      </c>
      <c r="AD72" s="46"/>
      <c r="AE72" s="46">
        <f>IF(AE65="","",AVERAGE(AF65:AF70))</f>
        <v>0.65365972222222224</v>
      </c>
      <c r="AF72" s="46"/>
      <c r="AG72" s="46">
        <f>AVERAGE(AH65:AH70)</f>
        <v>0.3803125</v>
      </c>
      <c r="AH72" s="46"/>
      <c r="AI72" s="46"/>
      <c r="AJ72" s="46"/>
      <c r="AK72" s="46"/>
      <c r="AL72" s="46">
        <f>IF(AL65="","",AVERAGE(AM65:AM70))</f>
        <v>0.59416666666666662</v>
      </c>
      <c r="AM72" s="46"/>
      <c r="AN72" s="46">
        <f>IF(AN65="","",AVERAGE(AO65:AO70))</f>
        <v>0.52671666666666661</v>
      </c>
      <c r="AO72" s="46"/>
      <c r="AP72" s="46">
        <f>IF(AP65="","",AVERAGE(AQ65:AQ70))</f>
        <v>0.76604166666666662</v>
      </c>
      <c r="AQ72" s="46"/>
      <c r="AR72" s="46">
        <f>IF(AR65="","",AVERAGE(AS65:AS70))</f>
        <v>0.73611458333333335</v>
      </c>
      <c r="AS72" s="46"/>
      <c r="AT72" s="46"/>
      <c r="AU72" s="46"/>
      <c r="AV72" s="46">
        <f>IF(AV65="","",AVERAGE(AW65:AW70))</f>
        <v>0.79215972222222231</v>
      </c>
      <c r="AW72" s="46"/>
      <c r="AX72" s="46">
        <f>IF(AX65="","",AVERAGE(AY65:AY70))</f>
        <v>0.71869791666666671</v>
      </c>
      <c r="AY72" s="46"/>
      <c r="AZ72" s="46">
        <f>IF(AZ65="","",AVERAGE(BA65:BA70))</f>
        <v>0.75084374999999992</v>
      </c>
      <c r="BA72" s="29"/>
      <c r="BB72" s="74"/>
      <c r="BC72" s="90">
        <f>AVERAGE(C72:AZ72)</f>
        <v>0.6156448412698412</v>
      </c>
    </row>
    <row r="73" spans="1:55" ht="15.75" thickBot="1" x14ac:dyDescent="0.3"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81"/>
      <c r="AX73" s="47"/>
      <c r="AY73" s="47"/>
      <c r="AZ73" s="47"/>
      <c r="BA73" s="26"/>
      <c r="BB73" s="74"/>
      <c r="BC73" s="48"/>
    </row>
    <row r="74" spans="1:55" s="26" customFormat="1" ht="15.75" thickTop="1" x14ac:dyDescent="0.25">
      <c r="A74" s="30" t="s">
        <v>33</v>
      </c>
      <c r="C74" s="47">
        <f>SUM(C65:C70)</f>
        <v>76.067999999999998</v>
      </c>
      <c r="D74" s="47"/>
      <c r="E74" s="47">
        <f t="shared" ref="E74:AZ74" si="69">SUM(E65:E70)</f>
        <v>62.015999999999998</v>
      </c>
      <c r="F74" s="47"/>
      <c r="G74" s="47">
        <f t="shared" si="69"/>
        <v>58.296999999999997</v>
      </c>
      <c r="H74" s="47"/>
      <c r="I74" s="47">
        <f t="shared" si="69"/>
        <v>59.679000000000002</v>
      </c>
      <c r="J74" s="47"/>
      <c r="K74" s="47"/>
      <c r="L74" s="47"/>
      <c r="M74" s="47">
        <f t="shared" si="69"/>
        <v>79.585999999999999</v>
      </c>
      <c r="N74" s="47"/>
      <c r="O74" s="47">
        <f t="shared" si="69"/>
        <v>33.937999999999995</v>
      </c>
      <c r="P74" s="47"/>
      <c r="Q74" s="47">
        <f t="shared" si="69"/>
        <v>62.937000000000005</v>
      </c>
      <c r="R74" s="47"/>
      <c r="S74" s="47">
        <f t="shared" si="69"/>
        <v>91.234000000000009</v>
      </c>
      <c r="T74" s="47"/>
      <c r="U74" s="47">
        <f t="shared" si="69"/>
        <v>62.350000000000009</v>
      </c>
      <c r="V74" s="47"/>
      <c r="W74" s="47"/>
      <c r="X74" s="47"/>
      <c r="Y74" s="47">
        <f t="shared" si="69"/>
        <v>67.553000000000011</v>
      </c>
      <c r="Z74" s="47"/>
      <c r="AA74" s="47">
        <f t="shared" si="69"/>
        <v>64.468000000000004</v>
      </c>
      <c r="AB74" s="47"/>
      <c r="AC74" s="47">
        <f t="shared" si="69"/>
        <v>56.350999999999999</v>
      </c>
      <c r="AD74" s="47"/>
      <c r="AE74" s="47">
        <f t="shared" si="69"/>
        <v>94.12700000000001</v>
      </c>
      <c r="AF74" s="47"/>
      <c r="AG74" s="47">
        <f t="shared" si="69"/>
        <v>36.510000000000005</v>
      </c>
      <c r="AH74" s="47"/>
      <c r="AI74" s="47"/>
      <c r="AJ74" s="47"/>
      <c r="AK74" s="47"/>
      <c r="AL74" s="47">
        <f t="shared" si="69"/>
        <v>57.040000000000006</v>
      </c>
      <c r="AM74" s="47"/>
      <c r="AN74" s="47">
        <f t="shared" si="69"/>
        <v>63.205999999999996</v>
      </c>
      <c r="AO74" s="47"/>
      <c r="AP74" s="47">
        <f t="shared" si="69"/>
        <v>73.540000000000006</v>
      </c>
      <c r="AQ74" s="47"/>
      <c r="AR74" s="47">
        <f t="shared" si="69"/>
        <v>70.667000000000002</v>
      </c>
      <c r="AS74" s="47"/>
      <c r="AT74" s="47"/>
      <c r="AU74" s="47"/>
      <c r="AV74" s="47">
        <f t="shared" si="69"/>
        <v>114.071</v>
      </c>
      <c r="AW74" s="47"/>
      <c r="AX74" s="47">
        <f t="shared" si="69"/>
        <v>68.995000000000005</v>
      </c>
      <c r="AY74" s="47"/>
      <c r="AZ74" s="47">
        <f t="shared" si="69"/>
        <v>72.081000000000003</v>
      </c>
      <c r="BB74" s="87">
        <f>SUM(C74,E74,G74,I74,M74,O74,Q74,S74,U74,Y74,AA74,AC74,AE74,AG74,AL74,AN74,AP74,AR74,AV74,AX74,AZ74)</f>
        <v>1424.7139999999997</v>
      </c>
      <c r="BC74" s="48"/>
    </row>
    <row r="75" spans="1:55" x14ac:dyDescent="0.25">
      <c r="A75" s="29" t="s">
        <v>14</v>
      </c>
      <c r="C75" s="46">
        <f>IF(C74=0,"",(SUM(C65:C70)/(C59+C74)))</f>
        <v>0.25763318058504964</v>
      </c>
      <c r="D75" s="46"/>
      <c r="E75" s="46">
        <f t="shared" ref="E75:G75" si="70">IF(E74=0,"",(SUM(E65:E70)/(E59+E74)))</f>
        <v>0.23447832580297556</v>
      </c>
      <c r="F75" s="46"/>
      <c r="G75" s="46">
        <f t="shared" si="70"/>
        <v>0.17989070228871007</v>
      </c>
      <c r="H75" s="46"/>
      <c r="I75" s="46">
        <f>IF(I74=0,"",(SUM(I65:I70)/(I59+I74)))</f>
        <v>0.17863631873707275</v>
      </c>
      <c r="J75" s="46"/>
      <c r="K75" s="46"/>
      <c r="L75" s="46"/>
      <c r="M75" s="46">
        <f>IF(M74=0,"",(SUM(M65:M70)/(M59+M74)))</f>
        <v>0.24016247012529271</v>
      </c>
      <c r="N75" s="46"/>
      <c r="O75" s="46">
        <f>IF(O74=0,"",(SUM(O65:O70)/(O59+O74)))</f>
        <v>0.14199999999999999</v>
      </c>
      <c r="P75" s="46"/>
      <c r="Q75" s="46">
        <f>IF(Q74=0,"",(SUM(Q65:Q70)/(Q59+Q74)))</f>
        <v>0.2279772663882319</v>
      </c>
      <c r="R75" s="46"/>
      <c r="S75" s="46">
        <f>IF(S74=0,"",(SUM(S65:S70)/(S59+S74)))</f>
        <v>0.279289180046837</v>
      </c>
      <c r="T75" s="46"/>
      <c r="U75" s="46">
        <f>IF(U74=0,"",(SUM(U65:U70)/(U59+U74)))</f>
        <v>0.25214841775351332</v>
      </c>
      <c r="V75" s="46"/>
      <c r="W75" s="46"/>
      <c r="X75" s="46"/>
      <c r="Y75" s="46">
        <f>IF(Y74=0,"",(SUM(Y65:Y70)/(Y59+Y74)))</f>
        <v>0.25324033896335396</v>
      </c>
      <c r="Z75" s="46"/>
      <c r="AA75" s="46">
        <f>IF(AA74=0,"",(SUM(AA65:AA70)/(AA59+AA74)))</f>
        <v>0.28429180612699378</v>
      </c>
      <c r="AB75" s="46"/>
      <c r="AC75" s="46">
        <f>IF(AC74=0,"",(SUM(AC65:AC70)/(AC59+AC74)))</f>
        <v>0.18113584786787443</v>
      </c>
      <c r="AD75" s="46"/>
      <c r="AE75" s="46">
        <f>IF(AE74=0,"",(SUM(AE65:AE70)/(AE59+AE74)))</f>
        <v>0.3155479270659779</v>
      </c>
      <c r="AF75" s="46"/>
      <c r="AG75" s="46">
        <f>IF(AG74=0,"",(SUM(AG65:AG70)/(AG59+AG74)))</f>
        <v>0.14661590728381083</v>
      </c>
      <c r="AH75" s="46"/>
      <c r="AI75" s="46"/>
      <c r="AJ75" s="46"/>
      <c r="AK75" s="46"/>
      <c r="AL75" s="46">
        <f>IF(AL74=0,"",(SUM(AL65:AL70)/(AL59+AL74)))</f>
        <v>0.18020978137242516</v>
      </c>
      <c r="AM75" s="46"/>
      <c r="AN75" s="46">
        <f>IF(AN74=0,"",(SUM(AN65:AN70)/(AN59+AN74)))</f>
        <v>0.24144701657880663</v>
      </c>
      <c r="AO75" s="46"/>
      <c r="AP75" s="46">
        <f>IF(AP74=0,"",(SUM(AP65:AP70)/(AP59+AP74)))</f>
        <v>0.25517002081887574</v>
      </c>
      <c r="AQ75" s="46"/>
      <c r="AR75" s="46">
        <f>IF(AR74=0,"",(SUM(AR65:AR70)/(AR59+AR74)))</f>
        <v>0.23796006330605785</v>
      </c>
      <c r="AS75" s="46"/>
      <c r="AT75" s="46"/>
      <c r="AU75" s="46"/>
      <c r="AV75" s="46">
        <f>IF(AV74=0,"",(SUM(AV65:AV70)/(AV59+AV74)))</f>
        <v>0.37178475979401598</v>
      </c>
      <c r="AW75" s="46"/>
      <c r="AX75" s="46">
        <f>IF(AX74=0,"",(SUM(AX65:AX70)/(AX59+AX74)))</f>
        <v>0.22103934465094077</v>
      </c>
      <c r="AY75" s="46"/>
      <c r="AZ75" s="46">
        <f>IF(AZ74=0,"",(SUM(AZ65:AZ70)/(AZ59+AZ74)))</f>
        <v>0.27111778113786639</v>
      </c>
      <c r="BA75" s="29"/>
      <c r="BB75" s="48"/>
      <c r="BC75" s="50">
        <f>AVERAGE(C75:AZ75)</f>
        <v>0.23579887889022294</v>
      </c>
    </row>
    <row r="78" spans="1:55" x14ac:dyDescent="0.25">
      <c r="A78" s="27" t="s">
        <v>29</v>
      </c>
      <c r="B78" s="26"/>
      <c r="C78" s="16">
        <v>41730</v>
      </c>
      <c r="D78" s="16"/>
      <c r="E78" s="16">
        <v>41731</v>
      </c>
      <c r="F78" s="16"/>
      <c r="G78" s="16">
        <v>41732</v>
      </c>
      <c r="H78" s="16"/>
      <c r="I78" s="16">
        <v>41733</v>
      </c>
      <c r="J78" s="16"/>
      <c r="K78" s="18">
        <v>41734</v>
      </c>
      <c r="L78" s="18">
        <v>41735</v>
      </c>
      <c r="M78" s="16">
        <v>41736</v>
      </c>
      <c r="N78" s="16"/>
      <c r="O78" s="16">
        <v>41737</v>
      </c>
      <c r="P78" s="16"/>
      <c r="Q78" s="16">
        <v>41738</v>
      </c>
      <c r="R78" s="16"/>
      <c r="S78" s="16">
        <v>41739</v>
      </c>
      <c r="T78" s="16"/>
      <c r="U78" s="16">
        <v>41740</v>
      </c>
      <c r="V78" s="16"/>
      <c r="W78" s="18">
        <v>41741</v>
      </c>
      <c r="X78" s="18">
        <v>41742</v>
      </c>
      <c r="Y78" s="16">
        <v>41743</v>
      </c>
      <c r="Z78" s="16"/>
      <c r="AA78" s="16">
        <v>41744</v>
      </c>
      <c r="AB78" s="16"/>
      <c r="AC78" s="16">
        <v>41745</v>
      </c>
      <c r="AD78" s="16"/>
      <c r="AE78" s="16">
        <v>41746</v>
      </c>
      <c r="AF78" s="16"/>
      <c r="AG78" s="16">
        <v>41747</v>
      </c>
      <c r="AH78" s="16"/>
      <c r="AI78" s="18">
        <v>41748</v>
      </c>
      <c r="AJ78" s="18">
        <v>41749</v>
      </c>
      <c r="AK78" s="18">
        <v>41750</v>
      </c>
      <c r="AL78" s="16">
        <v>41751</v>
      </c>
      <c r="AM78" s="16"/>
      <c r="AN78" s="16">
        <v>41752</v>
      </c>
      <c r="AO78" s="16"/>
      <c r="AP78" s="16">
        <v>41753</v>
      </c>
      <c r="AQ78" s="16"/>
      <c r="AR78" s="16">
        <v>41754</v>
      </c>
      <c r="AS78" s="16"/>
      <c r="AT78" s="18">
        <v>41755</v>
      </c>
      <c r="AU78" s="18">
        <v>41756</v>
      </c>
      <c r="AV78" s="16">
        <v>41757</v>
      </c>
      <c r="AW78" s="16"/>
      <c r="AX78" s="16">
        <v>41758</v>
      </c>
      <c r="AY78" s="16"/>
      <c r="AZ78" s="16">
        <v>41759</v>
      </c>
      <c r="BA78" s="27"/>
      <c r="BB78" s="26"/>
      <c r="BC78" s="26"/>
    </row>
    <row r="79" spans="1:55" x14ac:dyDescent="0.25">
      <c r="A79" s="26">
        <v>4</v>
      </c>
      <c r="B79" s="26"/>
      <c r="C79" s="63">
        <f>1.4+3.481+1.283+2.8+1.586+0.229</f>
        <v>10.778999999999998</v>
      </c>
      <c r="D79" s="27"/>
      <c r="E79" s="27">
        <f>0.518+7.09+1.238+5.078</f>
        <v>13.923999999999999</v>
      </c>
      <c r="F79" s="27"/>
      <c r="G79" s="27">
        <f>5.348+3.849+1.458+5+0.249</f>
        <v>15.904</v>
      </c>
      <c r="H79" s="27"/>
      <c r="I79" s="63">
        <f>14.247+2.434+12+3.651</f>
        <v>32.332000000000001</v>
      </c>
      <c r="J79" s="27"/>
      <c r="K79" s="60"/>
      <c r="L79" s="60"/>
      <c r="M79" s="63">
        <f>2.885+4.566+0.418+0.514+1.4</f>
        <v>9.7829999999999995</v>
      </c>
      <c r="N79" s="63"/>
      <c r="O79" s="63">
        <f>0.502+0.502+0.249+3.849</f>
        <v>5.1020000000000003</v>
      </c>
      <c r="P79" s="27"/>
      <c r="Q79" s="31">
        <f>22.737+0.418+4.227+1.4</f>
        <v>28.781999999999996</v>
      </c>
      <c r="R79" s="31"/>
      <c r="S79" s="31">
        <f>2.836+1.229+1.54+1.484+1.4+6.085</f>
        <v>14.573999999999998</v>
      </c>
      <c r="T79" s="31"/>
      <c r="U79" s="31">
        <f>17.616+1.177+1.283+0.251</f>
        <v>20.327000000000002</v>
      </c>
      <c r="V79" s="27"/>
      <c r="W79" s="60"/>
      <c r="X79" s="60"/>
      <c r="Y79" s="63">
        <f>1.189</f>
        <v>1.1890000000000001</v>
      </c>
      <c r="Z79" s="27"/>
      <c r="AA79" s="63">
        <f>15+1.229+1.4+1.255+3.085</f>
        <v>21.968999999999998</v>
      </c>
      <c r="AB79" s="27"/>
      <c r="AC79" s="63">
        <f>4.254+2.902+1.229+1.217+2.282</f>
        <v>11.884</v>
      </c>
      <c r="AD79" s="27"/>
      <c r="AE79" s="63">
        <v>1.256</v>
      </c>
      <c r="AF79" s="27"/>
      <c r="AG79" s="63">
        <f>2.589+3.741+1.217</f>
        <v>7.5470000000000006</v>
      </c>
      <c r="AH79" s="27"/>
      <c r="AI79" s="60"/>
      <c r="AJ79" s="60"/>
      <c r="AK79" s="60"/>
      <c r="AL79" s="63">
        <f>2.378+1.189+0.614+1.4</f>
        <v>5.5809999999999995</v>
      </c>
      <c r="AM79" s="27"/>
      <c r="AN79" s="27">
        <f>0.458+1.4+2.566+0.614+1.232</f>
        <v>6.27</v>
      </c>
      <c r="AO79" s="27"/>
      <c r="AP79" s="27">
        <f>19.87+2.66</f>
        <v>22.53</v>
      </c>
      <c r="AQ79" s="27"/>
      <c r="AR79" s="27">
        <v>1.58</v>
      </c>
      <c r="AS79" s="27"/>
      <c r="AT79" s="60"/>
      <c r="AU79" s="60"/>
      <c r="AV79" s="27">
        <f>7.257+1.036+2.818</f>
        <v>11.110999999999999</v>
      </c>
      <c r="AW79" s="27"/>
      <c r="AX79" s="27">
        <f>1.217+1.229+0.514</f>
        <v>2.96</v>
      </c>
      <c r="AY79" s="27"/>
      <c r="AZ79" s="27">
        <f>0.996+18+3.651+24</f>
        <v>46.646999999999998</v>
      </c>
      <c r="BA79" s="27"/>
      <c r="BB79" s="47">
        <f t="shared" ref="BB79:BB87" si="71">SUM(C79:BA79)</f>
        <v>292.03100000000001</v>
      </c>
      <c r="BC79" s="46">
        <f>AVERAGE(C79:AZ79)</f>
        <v>13.906238095238095</v>
      </c>
    </row>
    <row r="80" spans="1:55" x14ac:dyDescent="0.25">
      <c r="A80" s="26">
        <v>4</v>
      </c>
      <c r="B80" s="26"/>
      <c r="C80" s="27">
        <f>1.12</f>
        <v>1.1200000000000001</v>
      </c>
      <c r="D80" s="27"/>
      <c r="E80" s="63">
        <f>0.242</f>
        <v>0.24199999999999999</v>
      </c>
      <c r="F80" s="63"/>
      <c r="G80" s="63">
        <f>0.469</f>
        <v>0.46899999999999997</v>
      </c>
      <c r="H80" s="27"/>
      <c r="I80" s="27"/>
      <c r="J80" s="27"/>
      <c r="K80" s="60"/>
      <c r="L80" s="60"/>
      <c r="M80" s="27">
        <f>10.635</f>
        <v>10.635</v>
      </c>
      <c r="N80" s="27"/>
      <c r="O80" s="63">
        <f>2.066</f>
        <v>2.0659999999999998</v>
      </c>
      <c r="P80" s="27"/>
      <c r="Q80" s="63">
        <f>0.215</f>
        <v>0.215</v>
      </c>
      <c r="R80" s="63"/>
      <c r="S80" s="63">
        <f>1.748+1.705</f>
        <v>3.4530000000000003</v>
      </c>
      <c r="T80" s="27"/>
      <c r="U80" s="27"/>
      <c r="V80" s="27"/>
      <c r="W80" s="60"/>
      <c r="X80" s="60"/>
      <c r="Y80" s="63">
        <f>3.376+3.321</f>
        <v>6.6970000000000001</v>
      </c>
      <c r="Z80" s="27"/>
      <c r="AA80" s="63">
        <f>3.735</f>
        <v>3.7349999999999999</v>
      </c>
      <c r="AB80" s="27"/>
      <c r="AC80" s="63"/>
      <c r="AD80" s="27"/>
      <c r="AE80" s="63">
        <v>7.92</v>
      </c>
      <c r="AF80" s="27"/>
      <c r="AG80" s="63">
        <v>4.53</v>
      </c>
      <c r="AH80" s="27"/>
      <c r="AI80" s="60"/>
      <c r="AJ80" s="60"/>
      <c r="AK80" s="60"/>
      <c r="AL80" s="63">
        <f>1.242</f>
        <v>1.242</v>
      </c>
      <c r="AM80" s="27"/>
      <c r="AN80" s="27">
        <v>0.435</v>
      </c>
      <c r="AO80" s="27"/>
      <c r="AP80" s="27"/>
      <c r="AQ80" s="27"/>
      <c r="AR80" s="27">
        <v>0.1</v>
      </c>
      <c r="AS80" s="27"/>
      <c r="AT80" s="60"/>
      <c r="AU80" s="60"/>
      <c r="AV80" s="27">
        <v>0.67500000000000004</v>
      </c>
      <c r="AW80" s="27"/>
      <c r="AX80" s="27"/>
      <c r="AY80" s="27"/>
      <c r="AZ80" s="27"/>
      <c r="BA80" s="27"/>
      <c r="BB80" s="47">
        <f t="shared" si="71"/>
        <v>43.533999999999999</v>
      </c>
      <c r="BC80" s="26"/>
    </row>
    <row r="81" spans="1:56" x14ac:dyDescent="0.25">
      <c r="A81" s="26">
        <v>4</v>
      </c>
      <c r="B81" s="26"/>
      <c r="C81" s="27"/>
      <c r="D81" s="27"/>
      <c r="E81" s="63">
        <f>2.174+1.359</f>
        <v>3.5329999999999999</v>
      </c>
      <c r="F81" s="27"/>
      <c r="G81" s="27">
        <f>1.03</f>
        <v>1.03</v>
      </c>
      <c r="H81" s="27"/>
      <c r="I81" s="63">
        <f>0.308</f>
        <v>0.308</v>
      </c>
      <c r="J81" s="27"/>
      <c r="K81" s="60"/>
      <c r="L81" s="60"/>
      <c r="M81" s="63">
        <f>5.321</f>
        <v>5.3209999999999997</v>
      </c>
      <c r="N81" s="27"/>
      <c r="O81" s="27"/>
      <c r="P81" s="27"/>
      <c r="Q81" s="63">
        <f>1.368+4.483+1.191</f>
        <v>7.0419999999999998</v>
      </c>
      <c r="R81" s="63"/>
      <c r="S81" s="63">
        <f>2.499</f>
        <v>2.4990000000000001</v>
      </c>
      <c r="T81" s="27"/>
      <c r="U81" s="27"/>
      <c r="V81" s="27"/>
      <c r="W81" s="60"/>
      <c r="X81" s="60"/>
      <c r="Y81" s="27">
        <f>0.879+0.14+0.431</f>
        <v>1.4500000000000002</v>
      </c>
      <c r="Z81" s="27"/>
      <c r="AA81" s="63">
        <f>0.072+0.421</f>
        <v>0.49299999999999999</v>
      </c>
      <c r="AB81" s="27"/>
      <c r="AC81" s="63">
        <v>2.1749999999999998</v>
      </c>
      <c r="AD81" s="27"/>
      <c r="AE81" s="63">
        <f>2.832+1.045</f>
        <v>3.8769999999999998</v>
      </c>
      <c r="AF81" s="27"/>
      <c r="AG81" s="63"/>
      <c r="AH81" s="27"/>
      <c r="AI81" s="60"/>
      <c r="AJ81" s="60"/>
      <c r="AK81" s="60"/>
      <c r="AL81" s="63">
        <f>0.373</f>
        <v>0.373</v>
      </c>
      <c r="AM81" s="27"/>
      <c r="AN81" s="27"/>
      <c r="AO81" s="27"/>
      <c r="AP81" s="27">
        <f>1.61</f>
        <v>1.61</v>
      </c>
      <c r="AQ81" s="27"/>
      <c r="AR81" s="27">
        <f>0.85+0.747</f>
        <v>1.597</v>
      </c>
      <c r="AS81" s="27"/>
      <c r="AT81" s="60"/>
      <c r="AU81" s="60"/>
      <c r="AV81" s="27">
        <v>0.372</v>
      </c>
      <c r="AW81" s="27"/>
      <c r="AX81" s="27">
        <f>3.305+0.854+0.609</f>
        <v>4.7679999999999998</v>
      </c>
      <c r="AY81" s="27"/>
      <c r="AZ81" s="27">
        <f>1.495+1.054</f>
        <v>2.5490000000000004</v>
      </c>
      <c r="BA81" s="27"/>
      <c r="BB81" s="47">
        <f t="shared" si="71"/>
        <v>38.997</v>
      </c>
      <c r="BC81" s="26"/>
    </row>
    <row r="82" spans="1:56" x14ac:dyDescent="0.25">
      <c r="A82" s="26">
        <v>4</v>
      </c>
      <c r="B82" s="26"/>
      <c r="C82" s="27">
        <f>0.86</f>
        <v>0.86</v>
      </c>
      <c r="D82" s="27"/>
      <c r="E82" s="27">
        <v>0.06</v>
      </c>
      <c r="F82" s="27"/>
      <c r="G82" s="63">
        <f>2.524</f>
        <v>2.524</v>
      </c>
      <c r="H82" s="27"/>
      <c r="I82" s="27"/>
      <c r="J82" s="27"/>
      <c r="K82" s="60"/>
      <c r="L82" s="60"/>
      <c r="M82" s="27">
        <f>0.32</f>
        <v>0.32</v>
      </c>
      <c r="N82" s="27"/>
      <c r="O82" s="27"/>
      <c r="P82" s="27"/>
      <c r="Q82" s="63">
        <f>0.645</f>
        <v>0.64500000000000002</v>
      </c>
      <c r="R82" s="63"/>
      <c r="S82" s="63">
        <v>3.3279999999999998</v>
      </c>
      <c r="T82" s="63"/>
      <c r="U82" s="63">
        <f>1.514</f>
        <v>1.514</v>
      </c>
      <c r="V82" s="27"/>
      <c r="W82" s="60"/>
      <c r="X82" s="60"/>
      <c r="Y82" s="27">
        <f>1.56</f>
        <v>1.56</v>
      </c>
      <c r="Z82" s="27"/>
      <c r="AA82" s="63">
        <f>3.028</f>
        <v>3.028</v>
      </c>
      <c r="AB82" s="27"/>
      <c r="AC82" s="63"/>
      <c r="AD82" s="27"/>
      <c r="AE82" s="63">
        <v>0.96</v>
      </c>
      <c r="AF82" s="27"/>
      <c r="AG82" s="63">
        <v>2.2109999999999999</v>
      </c>
      <c r="AH82" s="27"/>
      <c r="AI82" s="60"/>
      <c r="AJ82" s="60"/>
      <c r="AK82" s="60"/>
      <c r="AL82" s="63">
        <f>0.222</f>
        <v>0.222</v>
      </c>
      <c r="AM82" s="27"/>
      <c r="AN82" s="27">
        <f>5.287</f>
        <v>5.2869999999999999</v>
      </c>
      <c r="AO82" s="27"/>
      <c r="AP82" s="27"/>
      <c r="AQ82" s="27"/>
      <c r="AR82" s="27">
        <f>1.514</f>
        <v>1.514</v>
      </c>
      <c r="AS82" s="27"/>
      <c r="AT82" s="60"/>
      <c r="AU82" s="60"/>
      <c r="AV82" s="27">
        <v>22.128</v>
      </c>
      <c r="AW82" s="27"/>
      <c r="AX82" s="27">
        <f>3.623</f>
        <v>3.6230000000000002</v>
      </c>
      <c r="AY82" s="27"/>
      <c r="AZ82" s="27">
        <f>1.571</f>
        <v>1.571</v>
      </c>
      <c r="BA82" s="27"/>
      <c r="BB82" s="47">
        <f t="shared" si="71"/>
        <v>51.354999999999997</v>
      </c>
      <c r="BC82" s="26"/>
    </row>
    <row r="83" spans="1:56" x14ac:dyDescent="0.25">
      <c r="A83" s="26">
        <v>4</v>
      </c>
      <c r="B83" s="26"/>
      <c r="C83" s="27"/>
      <c r="D83" s="27"/>
      <c r="E83" s="27"/>
      <c r="F83" s="27"/>
      <c r="G83" s="27"/>
      <c r="H83" s="27"/>
      <c r="I83" s="27"/>
      <c r="J83" s="27"/>
      <c r="K83" s="60"/>
      <c r="L83" s="60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60"/>
      <c r="X83" s="60"/>
      <c r="Y83" s="27"/>
      <c r="Z83" s="27"/>
      <c r="AA83" s="27"/>
      <c r="AB83" s="27"/>
      <c r="AC83" s="63"/>
      <c r="AD83" s="27"/>
      <c r="AE83" s="63">
        <v>2.0249999999999999</v>
      </c>
      <c r="AF83" s="27"/>
      <c r="AG83" s="63"/>
      <c r="AH83" s="27"/>
      <c r="AI83" s="60"/>
      <c r="AJ83" s="60"/>
      <c r="AK83" s="60"/>
      <c r="AL83" s="63"/>
      <c r="AM83" s="27"/>
      <c r="AN83" s="27"/>
      <c r="AO83" s="27"/>
      <c r="AP83" s="27"/>
      <c r="AQ83" s="27"/>
      <c r="AR83" s="27"/>
      <c r="AS83" s="27"/>
      <c r="AT83" s="60"/>
      <c r="AU83" s="60"/>
      <c r="AV83" s="27"/>
      <c r="AW83" s="27"/>
      <c r="AX83" s="27"/>
      <c r="AY83" s="27"/>
      <c r="AZ83" s="27"/>
      <c r="BA83" s="27"/>
      <c r="BB83" s="47">
        <f t="shared" si="71"/>
        <v>2.0249999999999999</v>
      </c>
      <c r="BC83" s="26"/>
    </row>
    <row r="84" spans="1:56" x14ac:dyDescent="0.25">
      <c r="A84" s="26">
        <v>4</v>
      </c>
      <c r="B84" s="26"/>
      <c r="C84" s="27"/>
      <c r="D84" s="27"/>
      <c r="E84" s="27"/>
      <c r="F84" s="27"/>
      <c r="G84" s="27"/>
      <c r="H84" s="27"/>
      <c r="I84" s="27"/>
      <c r="J84" s="27"/>
      <c r="K84" s="60"/>
      <c r="L84" s="60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60"/>
      <c r="X84" s="60"/>
      <c r="Y84" s="27"/>
      <c r="Z84" s="27"/>
      <c r="AA84" s="27"/>
      <c r="AB84" s="27"/>
      <c r="AC84" s="63"/>
      <c r="AD84" s="27"/>
      <c r="AE84" s="27"/>
      <c r="AF84" s="27"/>
      <c r="AG84" s="63"/>
      <c r="AH84" s="27"/>
      <c r="AI84" s="60"/>
      <c r="AJ84" s="60"/>
      <c r="AK84" s="60"/>
      <c r="AL84" s="63"/>
      <c r="AM84" s="27"/>
      <c r="AN84" s="27"/>
      <c r="AO84" s="27"/>
      <c r="AP84" s="27">
        <v>1.0900000000000001</v>
      </c>
      <c r="AQ84" s="27"/>
      <c r="AR84" s="27">
        <f>1.486</f>
        <v>1.486</v>
      </c>
      <c r="AS84" s="27"/>
      <c r="AT84" s="60"/>
      <c r="AU84" s="60"/>
      <c r="AV84" s="27">
        <v>1.5449999999999999</v>
      </c>
      <c r="AW84" s="27"/>
      <c r="AX84" s="27"/>
      <c r="AY84" s="27"/>
      <c r="AZ84" s="27"/>
      <c r="BA84" s="27"/>
      <c r="BB84" s="47">
        <f t="shared" si="71"/>
        <v>4.1210000000000004</v>
      </c>
      <c r="BC84" s="26"/>
    </row>
    <row r="85" spans="1:56" x14ac:dyDescent="0.25">
      <c r="A85" s="26">
        <v>4</v>
      </c>
      <c r="B85" s="26"/>
      <c r="C85" s="27">
        <v>1.5</v>
      </c>
      <c r="D85" s="27"/>
      <c r="E85" s="63">
        <v>0.19400000000000001</v>
      </c>
      <c r="F85" s="27"/>
      <c r="G85" s="27">
        <v>2.1360000000000001</v>
      </c>
      <c r="H85" s="27"/>
      <c r="I85" s="63"/>
      <c r="J85" s="27"/>
      <c r="K85" s="60"/>
      <c r="L85" s="60"/>
      <c r="M85" s="63">
        <f>1.315</f>
        <v>1.3149999999999999</v>
      </c>
      <c r="N85" s="27"/>
      <c r="O85" s="27"/>
      <c r="P85" s="27"/>
      <c r="Q85" s="27"/>
      <c r="R85" s="27"/>
      <c r="S85" s="27"/>
      <c r="T85" s="27"/>
      <c r="U85" s="27"/>
      <c r="V85" s="27"/>
      <c r="W85" s="60"/>
      <c r="X85" s="60"/>
      <c r="Y85" s="63">
        <v>0.14499999999999999</v>
      </c>
      <c r="Z85" s="27"/>
      <c r="AA85" s="27"/>
      <c r="AB85" s="27"/>
      <c r="AC85" s="63">
        <v>0.83599999999999997</v>
      </c>
      <c r="AD85" s="27"/>
      <c r="AE85" s="63">
        <v>4.8339999999999996</v>
      </c>
      <c r="AF85" s="27"/>
      <c r="AG85" s="63">
        <v>1.002</v>
      </c>
      <c r="AH85" s="27"/>
      <c r="AI85" s="60"/>
      <c r="AJ85" s="60"/>
      <c r="AK85" s="60"/>
      <c r="AL85" s="63">
        <v>2.5</v>
      </c>
      <c r="AM85" s="27"/>
      <c r="AN85" s="27">
        <v>2.8690000000000002</v>
      </c>
      <c r="AO85" s="27"/>
      <c r="AP85" s="27"/>
      <c r="AQ85" s="27"/>
      <c r="AR85" s="27"/>
      <c r="AS85" s="27"/>
      <c r="AT85" s="60"/>
      <c r="AU85" s="60"/>
      <c r="AV85" s="27"/>
      <c r="AW85" s="27"/>
      <c r="AX85" s="27">
        <v>2.14</v>
      </c>
      <c r="AY85" s="27"/>
      <c r="AZ85" s="63">
        <v>2.1309999999999998</v>
      </c>
      <c r="BA85" s="27"/>
      <c r="BB85" s="47">
        <f t="shared" si="71"/>
        <v>21.602</v>
      </c>
      <c r="BC85" s="26"/>
      <c r="BD85" s="47">
        <f>(BB81+BB82+BB85)/21</f>
        <v>5.3311428571428578</v>
      </c>
    </row>
    <row r="86" spans="1:56" x14ac:dyDescent="0.25">
      <c r="A86" s="26">
        <v>4</v>
      </c>
      <c r="B86" s="26"/>
      <c r="C86" s="27"/>
      <c r="D86" s="27"/>
      <c r="E86" s="27"/>
      <c r="F86" s="27"/>
      <c r="G86" s="27"/>
      <c r="H86" s="27"/>
      <c r="I86" s="27">
        <v>1.02</v>
      </c>
      <c r="J86" s="27"/>
      <c r="K86" s="60"/>
      <c r="L86" s="60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60"/>
      <c r="X86" s="60"/>
      <c r="Y86" s="27"/>
      <c r="Z86" s="27"/>
      <c r="AA86" s="27"/>
      <c r="AB86" s="27"/>
      <c r="AC86" s="63"/>
      <c r="AD86" s="27"/>
      <c r="AE86" s="27"/>
      <c r="AF86" s="27"/>
      <c r="AG86" s="27"/>
      <c r="AH86" s="27"/>
      <c r="AI86" s="60"/>
      <c r="AJ86" s="60"/>
      <c r="AK86" s="60"/>
      <c r="AL86" s="27"/>
      <c r="AM86" s="27"/>
      <c r="AN86" s="27"/>
      <c r="AO86" s="27"/>
      <c r="AP86" s="27"/>
      <c r="AQ86" s="27"/>
      <c r="AR86" s="27"/>
      <c r="AS86" s="27"/>
      <c r="AT86" s="60"/>
      <c r="AU86" s="60"/>
      <c r="AV86" s="27"/>
      <c r="AW86" s="27"/>
      <c r="AX86" s="27"/>
      <c r="AY86" s="27"/>
      <c r="AZ86" s="27"/>
      <c r="BA86" s="27"/>
      <c r="BB86" s="47">
        <f t="shared" si="71"/>
        <v>1.02</v>
      </c>
      <c r="BC86" s="26"/>
    </row>
    <row r="87" spans="1:56" x14ac:dyDescent="0.25">
      <c r="A87" s="26">
        <v>4</v>
      </c>
      <c r="B87" s="26"/>
      <c r="C87" s="27"/>
      <c r="D87" s="27"/>
      <c r="E87" s="27"/>
      <c r="F87" s="27"/>
      <c r="G87" s="27"/>
      <c r="H87" s="27"/>
      <c r="I87" s="27"/>
      <c r="J87" s="27"/>
      <c r="K87" s="60"/>
      <c r="L87" s="60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60"/>
      <c r="X87" s="60"/>
      <c r="Y87" s="27"/>
      <c r="Z87" s="27"/>
      <c r="AA87" s="27"/>
      <c r="AB87" s="27"/>
      <c r="AC87" s="63"/>
      <c r="AD87" s="27"/>
      <c r="AE87" s="27"/>
      <c r="AF87" s="27"/>
      <c r="AG87" s="27"/>
      <c r="AH87" s="27"/>
      <c r="AI87" s="60"/>
      <c r="AJ87" s="60"/>
      <c r="AK87" s="60"/>
      <c r="AL87" s="27"/>
      <c r="AM87" s="27"/>
      <c r="AN87" s="27"/>
      <c r="AO87" s="27"/>
      <c r="AP87" s="27"/>
      <c r="AQ87" s="27"/>
      <c r="AR87" s="27"/>
      <c r="AS87" s="27"/>
      <c r="AT87" s="60"/>
      <c r="AU87" s="60"/>
      <c r="AV87" s="27"/>
      <c r="AW87" s="27"/>
      <c r="AX87" s="27"/>
      <c r="AY87" s="27"/>
      <c r="AZ87" s="27"/>
      <c r="BA87" s="27"/>
      <c r="BB87" s="47">
        <f t="shared" si="71"/>
        <v>0</v>
      </c>
      <c r="BC87" s="26"/>
    </row>
    <row r="88" spans="1:56" x14ac:dyDescent="0.25">
      <c r="A88" s="26"/>
      <c r="B88" s="26"/>
      <c r="C88" s="26"/>
      <c r="E88" s="26"/>
      <c r="G88" s="26"/>
      <c r="I88" s="26"/>
      <c r="K88" s="26"/>
      <c r="L88" s="26"/>
      <c r="M88" s="26"/>
      <c r="O88" s="26"/>
      <c r="Q88" s="26"/>
      <c r="S88" s="26"/>
      <c r="U88" s="26"/>
      <c r="W88" s="26"/>
      <c r="X88" s="26"/>
      <c r="Y88" s="26"/>
      <c r="AA88" s="26"/>
      <c r="AC88" s="26"/>
      <c r="AE88" s="26"/>
      <c r="AG88" s="26"/>
      <c r="AI88" s="26"/>
      <c r="AJ88" s="26"/>
      <c r="AK88" s="26"/>
      <c r="AL88" s="26"/>
      <c r="AN88" s="26"/>
      <c r="AP88" s="26"/>
      <c r="AR88" s="26"/>
      <c r="AT88" s="26"/>
      <c r="AU88" s="26"/>
      <c r="AV88" s="26"/>
      <c r="AX88" s="26"/>
      <c r="AZ88" s="26"/>
      <c r="BA88" s="26"/>
      <c r="BB88" s="26"/>
      <c r="BC88" s="26"/>
    </row>
    <row r="89" spans="1:56" x14ac:dyDescent="0.25">
      <c r="A89" s="64" t="s">
        <v>23</v>
      </c>
      <c r="B89" s="64"/>
      <c r="C89" s="29">
        <f>IF(C65="","",SUM(C79:C87))</f>
        <v>14.258999999999997</v>
      </c>
      <c r="D89" s="29"/>
      <c r="E89" s="29">
        <f t="shared" ref="E89:AZ89" si="72">IF(E65="","",SUM(E79:E87))</f>
        <v>17.952999999999999</v>
      </c>
      <c r="F89" s="29"/>
      <c r="G89" s="29">
        <f t="shared" si="72"/>
        <v>22.063000000000002</v>
      </c>
      <c r="H89" s="29"/>
      <c r="I89" s="29">
        <f t="shared" si="72"/>
        <v>33.660000000000004</v>
      </c>
      <c r="J89" s="29"/>
      <c r="K89" s="29"/>
      <c r="L89" s="29"/>
      <c r="M89" s="29">
        <f t="shared" si="72"/>
        <v>27.373999999999999</v>
      </c>
      <c r="N89" s="29"/>
      <c r="O89" s="29">
        <f t="shared" si="72"/>
        <v>7.1680000000000001</v>
      </c>
      <c r="P89" s="29"/>
      <c r="Q89" s="29">
        <f t="shared" si="72"/>
        <v>36.683999999999997</v>
      </c>
      <c r="R89" s="29"/>
      <c r="S89" s="29">
        <f t="shared" si="72"/>
        <v>23.853999999999996</v>
      </c>
      <c r="T89" s="29"/>
      <c r="U89" s="29">
        <f t="shared" si="72"/>
        <v>21.841000000000001</v>
      </c>
      <c r="V89" s="29"/>
      <c r="W89" s="29"/>
      <c r="X89" s="29"/>
      <c r="Y89" s="29">
        <f t="shared" si="72"/>
        <v>11.041</v>
      </c>
      <c r="Z89" s="29"/>
      <c r="AA89" s="29">
        <f t="shared" si="72"/>
        <v>29.224999999999994</v>
      </c>
      <c r="AB89" s="29"/>
      <c r="AC89" s="29">
        <f t="shared" si="72"/>
        <v>14.895000000000001</v>
      </c>
      <c r="AD89" s="29"/>
      <c r="AE89" s="29">
        <f t="shared" si="72"/>
        <v>20.872</v>
      </c>
      <c r="AF89" s="29"/>
      <c r="AG89" s="29">
        <f t="shared" si="72"/>
        <v>15.290000000000003</v>
      </c>
      <c r="AH89" s="29"/>
      <c r="AI89" s="29"/>
      <c r="AJ89" s="29"/>
      <c r="AK89" s="29"/>
      <c r="AL89" s="46">
        <f t="shared" si="72"/>
        <v>9.9179999999999993</v>
      </c>
      <c r="AM89" s="46"/>
      <c r="AN89" s="46">
        <f t="shared" si="72"/>
        <v>14.860999999999999</v>
      </c>
      <c r="AO89" s="46"/>
      <c r="AP89" s="46">
        <f t="shared" si="72"/>
        <v>25.23</v>
      </c>
      <c r="AQ89" s="46"/>
      <c r="AR89" s="46">
        <f t="shared" si="72"/>
        <v>6.2770000000000001</v>
      </c>
      <c r="AS89" s="46"/>
      <c r="AT89" s="46"/>
      <c r="AU89" s="46"/>
      <c r="AV89" s="46">
        <f t="shared" si="72"/>
        <v>35.831000000000003</v>
      </c>
      <c r="AW89" s="46"/>
      <c r="AX89" s="46">
        <f t="shared" si="72"/>
        <v>13.491</v>
      </c>
      <c r="AY89" s="29"/>
      <c r="AZ89" s="46">
        <f t="shared" si="72"/>
        <v>52.897999999999996</v>
      </c>
      <c r="BA89" s="29"/>
      <c r="BB89" s="88">
        <f>SUM(C89:AZ89)</f>
        <v>454.68500000000006</v>
      </c>
      <c r="BC89" s="46">
        <f>AVERAGE(C89:AZ89)</f>
        <v>21.651666666666671</v>
      </c>
    </row>
    <row r="90" spans="1:56" x14ac:dyDescent="0.25">
      <c r="A90" s="26"/>
      <c r="B90" s="26"/>
      <c r="C90" s="26"/>
      <c r="E90" s="26"/>
      <c r="G90" s="26"/>
      <c r="I90" s="26"/>
      <c r="K90" s="26"/>
      <c r="L90" s="26"/>
      <c r="M90" s="26"/>
      <c r="O90" s="26"/>
      <c r="Q90" s="26"/>
      <c r="S90" s="26"/>
      <c r="U90" s="26"/>
      <c r="W90" s="26"/>
      <c r="X90" s="26"/>
      <c r="Y90" s="26"/>
      <c r="AA90" s="26"/>
      <c r="AC90" s="26"/>
      <c r="AE90" s="26"/>
      <c r="AG90" s="26"/>
      <c r="AI90" s="26"/>
      <c r="AJ90" s="26"/>
      <c r="AK90" s="26"/>
      <c r="AL90" s="26"/>
      <c r="AN90" s="26"/>
      <c r="AP90" s="26"/>
      <c r="AR90" s="26"/>
      <c r="AT90" s="26"/>
      <c r="AU90" s="26"/>
      <c r="AV90" s="26"/>
      <c r="AX90" s="26"/>
      <c r="AZ90" s="26"/>
      <c r="BA90" s="26"/>
      <c r="BB90" s="65"/>
      <c r="BC90" s="47"/>
    </row>
    <row r="91" spans="1:56" x14ac:dyDescent="0.25">
      <c r="A91" s="64" t="s">
        <v>24</v>
      </c>
      <c r="B91" s="26"/>
      <c r="C91" s="45">
        <f>IF(C65="","",C59+C89)</f>
        <v>233.44800000000001</v>
      </c>
      <c r="D91" s="45"/>
      <c r="E91" s="45">
        <f t="shared" ref="E91:AZ91" si="73">IF(E65="","",E59+E89)</f>
        <v>220.42200000000003</v>
      </c>
      <c r="F91" s="45"/>
      <c r="G91" s="45">
        <f t="shared" si="73"/>
        <v>287.83500000000004</v>
      </c>
      <c r="H91" s="45"/>
      <c r="I91" s="45">
        <f t="shared" si="73"/>
        <v>308.06200000000001</v>
      </c>
      <c r="J91" s="45"/>
      <c r="K91" s="45"/>
      <c r="L91" s="45"/>
      <c r="M91" s="45">
        <f t="shared" si="73"/>
        <v>279.17200000000003</v>
      </c>
      <c r="N91" s="45"/>
      <c r="O91" s="45">
        <f t="shared" si="73"/>
        <v>212.23</v>
      </c>
      <c r="P91" s="45"/>
      <c r="Q91" s="45">
        <f t="shared" si="73"/>
        <v>249.81399999999996</v>
      </c>
      <c r="R91" s="45"/>
      <c r="S91" s="45">
        <f t="shared" si="73"/>
        <v>259.28500000000003</v>
      </c>
      <c r="T91" s="45"/>
      <c r="U91" s="45">
        <f t="shared" si="73"/>
        <v>206.76600000000002</v>
      </c>
      <c r="V91" s="45"/>
      <c r="W91" s="45"/>
      <c r="X91" s="45"/>
      <c r="Y91" s="45">
        <f t="shared" si="73"/>
        <v>210.24250000000001</v>
      </c>
      <c r="Z91" s="45"/>
      <c r="AA91" s="45">
        <f t="shared" si="73"/>
        <v>191.524</v>
      </c>
      <c r="AB91" s="45"/>
      <c r="AC91" s="45">
        <f t="shared" si="73"/>
        <v>269.642</v>
      </c>
      <c r="AD91" s="45"/>
      <c r="AE91" s="45">
        <f t="shared" si="73"/>
        <v>225.04200000000003</v>
      </c>
      <c r="AF91" s="45"/>
      <c r="AG91" s="45">
        <f t="shared" si="73"/>
        <v>227.79800000000003</v>
      </c>
      <c r="AH91" s="45"/>
      <c r="AI91" s="45"/>
      <c r="AJ91" s="45"/>
      <c r="AK91" s="45"/>
      <c r="AL91" s="45">
        <f t="shared" si="73"/>
        <v>269.39799999999997</v>
      </c>
      <c r="AM91" s="45"/>
      <c r="AN91" s="45">
        <f t="shared" si="73"/>
        <v>213.43499999999997</v>
      </c>
      <c r="AO91" s="45"/>
      <c r="AP91" s="45">
        <f t="shared" si="73"/>
        <v>239.89000000000004</v>
      </c>
      <c r="AQ91" s="45"/>
      <c r="AR91" s="45">
        <f t="shared" si="73"/>
        <v>232.58</v>
      </c>
      <c r="AS91" s="45"/>
      <c r="AT91" s="45"/>
      <c r="AU91" s="45"/>
      <c r="AV91" s="45">
        <f t="shared" si="73"/>
        <v>228.58000000000004</v>
      </c>
      <c r="AW91" s="45"/>
      <c r="AX91" s="45">
        <f t="shared" si="73"/>
        <v>256.63499999999999</v>
      </c>
      <c r="AY91" s="45"/>
      <c r="AZ91" s="45">
        <f t="shared" si="73"/>
        <v>246.68300000000002</v>
      </c>
      <c r="BA91" s="29"/>
      <c r="BB91" s="88">
        <f t="shared" ref="BB91" si="74">SUM(C91:AZ91)</f>
        <v>5068.4835000000003</v>
      </c>
      <c r="BC91" s="46">
        <f t="shared" ref="BC91" si="75">AVERAGE(C91:AZ91)</f>
        <v>241.35635714285715</v>
      </c>
    </row>
    <row r="92" spans="1:56" x14ac:dyDescent="0.25">
      <c r="A92" s="26"/>
      <c r="B92" s="26"/>
      <c r="C92" s="26"/>
      <c r="E92" s="26"/>
      <c r="G92" s="26"/>
      <c r="I92" s="26"/>
      <c r="K92" s="26"/>
      <c r="L92" s="26"/>
      <c r="M92" s="26"/>
      <c r="O92" s="26"/>
      <c r="Q92" s="26"/>
      <c r="S92" s="26"/>
      <c r="U92" s="26"/>
      <c r="W92" s="26"/>
      <c r="X92" s="26"/>
      <c r="Y92" s="26"/>
      <c r="AA92" s="26"/>
      <c r="AC92" s="26"/>
      <c r="AE92" s="26"/>
      <c r="AG92" s="26"/>
      <c r="AI92" s="26"/>
      <c r="AJ92" s="26"/>
      <c r="AK92" s="26"/>
      <c r="AL92" s="26"/>
      <c r="AN92" s="26"/>
      <c r="AP92" s="26"/>
      <c r="AR92" s="26"/>
      <c r="AT92" s="26"/>
      <c r="AU92" s="26"/>
      <c r="AV92" s="26"/>
      <c r="AX92" s="26"/>
      <c r="AZ92" s="26"/>
      <c r="BA92" s="26"/>
      <c r="BB92" s="26"/>
      <c r="BC92" s="26"/>
    </row>
    <row r="93" spans="1:56" x14ac:dyDescent="0.25">
      <c r="A93" s="64" t="s">
        <v>25</v>
      </c>
      <c r="B93" s="64"/>
      <c r="C93" s="46">
        <f>IF(C65="","",C89/((C89+C59)+SUM(C65:C70)))</f>
        <v>4.6068700810297354E-2</v>
      </c>
      <c r="D93" s="46"/>
      <c r="E93" s="46">
        <f t="shared" ref="E93:AZ93" si="76">IF(E65="","",E89/((E89+E59)+SUM(E65:E70)))</f>
        <v>6.356439289330755E-2</v>
      </c>
      <c r="F93" s="46"/>
      <c r="G93" s="46">
        <f t="shared" si="76"/>
        <v>6.3741578357389667E-2</v>
      </c>
      <c r="H93" s="46"/>
      <c r="I93" s="46">
        <f t="shared" si="76"/>
        <v>9.1531811791451062E-2</v>
      </c>
      <c r="J93" s="46"/>
      <c r="K93" s="46"/>
      <c r="L93" s="46"/>
      <c r="M93" s="46">
        <f t="shared" si="76"/>
        <v>7.6302131241672649E-2</v>
      </c>
      <c r="N93" s="46"/>
      <c r="O93" s="46">
        <f t="shared" si="76"/>
        <v>2.9118325696272467E-2</v>
      </c>
      <c r="P93" s="46"/>
      <c r="Q93" s="46">
        <f t="shared" si="76"/>
        <v>0.11729458898612634</v>
      </c>
      <c r="R93" s="46"/>
      <c r="S93" s="46">
        <f t="shared" si="76"/>
        <v>6.8053372285097224E-2</v>
      </c>
      <c r="T93" s="46"/>
      <c r="U93" s="46">
        <f t="shared" si="76"/>
        <v>8.1158310914252588E-2</v>
      </c>
      <c r="V93" s="46"/>
      <c r="W93" s="46"/>
      <c r="X93" s="46"/>
      <c r="Y93" s="46">
        <f t="shared" si="76"/>
        <v>3.9745064264899897E-2</v>
      </c>
      <c r="Z93" s="46"/>
      <c r="AA93" s="46">
        <f t="shared" si="76"/>
        <v>0.11416372386637079</v>
      </c>
      <c r="AB93" s="46"/>
      <c r="AC93" s="46">
        <f t="shared" si="76"/>
        <v>4.5691165147717899E-2</v>
      </c>
      <c r="AD93" s="46"/>
      <c r="AE93" s="46">
        <f t="shared" si="76"/>
        <v>6.539482217884568E-2</v>
      </c>
      <c r="AF93" s="46"/>
      <c r="AG93" s="46">
        <f t="shared" si="76"/>
        <v>5.7849175961378389E-2</v>
      </c>
      <c r="AH93" s="46"/>
      <c r="AI93" s="46"/>
      <c r="AJ93" s="46"/>
      <c r="AK93" s="46"/>
      <c r="AL93" s="46">
        <f t="shared" si="76"/>
        <v>3.0382492234359969E-2</v>
      </c>
      <c r="AM93" s="46"/>
      <c r="AN93" s="46">
        <f t="shared" si="76"/>
        <v>5.3719441442157893E-2</v>
      </c>
      <c r="AO93" s="46"/>
      <c r="AP93" s="46">
        <f t="shared" si="76"/>
        <v>8.0496442586861491E-2</v>
      </c>
      <c r="AQ93" s="46"/>
      <c r="AR93" s="46">
        <f t="shared" si="76"/>
        <v>2.0699297932048791E-2</v>
      </c>
      <c r="AS93" s="46"/>
      <c r="AT93" s="46"/>
      <c r="AU93" s="46"/>
      <c r="AV93" s="46">
        <f t="shared" si="76"/>
        <v>0.10456995601938998</v>
      </c>
      <c r="AW93" s="46"/>
      <c r="AX93" s="46">
        <f t="shared" si="76"/>
        <v>4.143045788164481E-2</v>
      </c>
      <c r="AY93" s="46"/>
      <c r="AZ93" s="46">
        <f t="shared" si="76"/>
        <v>0.16594722114165963</v>
      </c>
      <c r="BA93" s="29"/>
      <c r="BB93" s="26"/>
      <c r="BC93" s="47">
        <f>AVERAGE(C93:AZ93)</f>
        <v>6.9377260649200106E-2</v>
      </c>
    </row>
  </sheetData>
  <mergeCells count="1">
    <mergeCell ref="G3:M5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E94"/>
  <sheetViews>
    <sheetView zoomScale="70" zoomScaleNormal="70" workbookViewId="0">
      <pane xSplit="1" ySplit="10" topLeftCell="B53" activePane="bottomRight" state="frozen"/>
      <selection pane="topRight" activeCell="B1" sqref="B1"/>
      <selection pane="bottomLeft" activeCell="A11" sqref="A11"/>
      <selection pane="bottomRight" activeCell="A79" sqref="A79:A87"/>
    </sheetView>
  </sheetViews>
  <sheetFormatPr baseColWidth="10" defaultRowHeight="15" x14ac:dyDescent="0.25"/>
  <cols>
    <col min="1" max="1" width="33.140625" style="26" customWidth="1"/>
    <col min="2" max="2" width="4.28515625" style="26" bestFit="1" customWidth="1"/>
    <col min="3" max="3" width="8.42578125" style="26" customWidth="1"/>
    <col min="4" max="4" width="8.28515625" style="26" customWidth="1"/>
    <col min="5" max="5" width="6.85546875" style="26" customWidth="1"/>
    <col min="6" max="8" width="8.28515625" style="26" customWidth="1"/>
    <col min="9" max="9" width="6.42578125" style="26" customWidth="1"/>
    <col min="10" max="10" width="8.42578125" style="26" customWidth="1"/>
    <col min="11" max="11" width="6.42578125" style="26" customWidth="1"/>
    <col min="12" max="12" width="8" style="26" bestFit="1" customWidth="1"/>
    <col min="13" max="13" width="6.42578125" style="26" customWidth="1"/>
    <col min="14" max="14" width="8.5703125" style="26" customWidth="1"/>
    <col min="15" max="15" width="8.7109375" style="26" customWidth="1"/>
    <col min="16" max="16" width="6.42578125" style="26" customWidth="1"/>
    <col min="17" max="17" width="8.28515625" style="26" customWidth="1"/>
    <col min="18" max="18" width="8.140625" style="26" customWidth="1"/>
    <col min="19" max="19" width="7.5703125" style="26" customWidth="1"/>
    <col min="20" max="20" width="5.5703125" style="26" customWidth="1"/>
    <col min="21" max="21" width="8.28515625" style="26" customWidth="1"/>
    <col min="22" max="22" width="6.42578125" style="26" customWidth="1"/>
    <col min="23" max="23" width="7.7109375" style="26" customWidth="1"/>
    <col min="24" max="24" width="6.42578125" style="26" customWidth="1"/>
    <col min="25" max="25" width="7.7109375" style="26" customWidth="1"/>
    <col min="26" max="26" width="6.42578125" style="26" customWidth="1"/>
    <col min="27" max="27" width="7.5703125" style="26" customWidth="1"/>
    <col min="28" max="28" width="6.42578125" style="26" customWidth="1"/>
    <col min="29" max="30" width="8.42578125" style="26" customWidth="1"/>
    <col min="31" max="31" width="8.28515625" style="26" customWidth="1"/>
    <col min="32" max="32" width="6.42578125" style="26" customWidth="1"/>
    <col min="33" max="33" width="9" style="26" customWidth="1"/>
    <col min="34" max="34" width="6.42578125" style="26" customWidth="1"/>
    <col min="35" max="35" width="9" style="26" customWidth="1"/>
    <col min="36" max="36" width="6.42578125" style="26" customWidth="1"/>
    <col min="37" max="37" width="9.5703125" style="26" customWidth="1"/>
    <col min="38" max="38" width="7.28515625" style="26" customWidth="1"/>
    <col min="39" max="39" width="8.5703125" style="26" customWidth="1"/>
    <col min="40" max="40" width="6.42578125" style="26" hidden="1" customWidth="1"/>
    <col min="41" max="41" width="8" style="26" bestFit="1" customWidth="1"/>
    <col min="42" max="42" width="8.85546875" style="26" customWidth="1"/>
    <col min="43" max="43" width="8.140625" style="26" customWidth="1"/>
    <col min="44" max="44" width="6.42578125" style="26" customWidth="1"/>
    <col min="45" max="45" width="8" style="26" customWidth="1"/>
    <col min="46" max="46" width="6.42578125" style="26" customWidth="1"/>
    <col min="47" max="47" width="8.140625" style="26" customWidth="1"/>
    <col min="48" max="48" width="6.42578125" style="26" customWidth="1"/>
    <col min="49" max="51" width="8.28515625" style="26" customWidth="1"/>
    <col min="52" max="52" width="8.85546875" style="26" customWidth="1"/>
    <col min="53" max="53" width="7.85546875" style="26" customWidth="1"/>
    <col min="54" max="54" width="10" style="26" bestFit="1" customWidth="1"/>
    <col min="55" max="16384" width="11.42578125" style="26"/>
  </cols>
  <sheetData>
    <row r="1" spans="1:54" ht="12" customHeight="1" x14ac:dyDescent="0.25">
      <c r="A1" s="14"/>
      <c r="B1" s="42"/>
      <c r="C1" s="9" t="s">
        <v>3</v>
      </c>
      <c r="J1" s="9"/>
      <c r="K1" s="9"/>
      <c r="L1" s="9"/>
      <c r="M1" s="9"/>
      <c r="N1" s="9"/>
      <c r="O1" s="9"/>
      <c r="P1" s="9"/>
      <c r="Q1" s="2"/>
    </row>
    <row r="2" spans="1:54" ht="11.25" customHeight="1" x14ac:dyDescent="0.25">
      <c r="A2" s="3"/>
      <c r="B2" s="10"/>
      <c r="C2" s="9" t="s">
        <v>4</v>
      </c>
      <c r="J2" s="9"/>
      <c r="K2" s="9"/>
      <c r="L2" s="9"/>
      <c r="M2" s="9"/>
      <c r="N2" s="9"/>
      <c r="O2" s="9"/>
      <c r="P2" s="9"/>
      <c r="Q2" s="2"/>
    </row>
    <row r="3" spans="1:54" ht="12" customHeight="1" x14ac:dyDescent="0.25">
      <c r="A3" s="4"/>
      <c r="B3" s="11"/>
      <c r="C3" s="9" t="s">
        <v>0</v>
      </c>
      <c r="G3" s="151" t="s">
        <v>28</v>
      </c>
      <c r="H3" s="151"/>
      <c r="I3" s="151"/>
      <c r="J3" s="151"/>
      <c r="K3" s="151"/>
      <c r="L3" s="151"/>
      <c r="M3" s="151"/>
      <c r="N3" s="151"/>
      <c r="O3" s="9"/>
      <c r="P3" s="9"/>
      <c r="Q3" s="2"/>
    </row>
    <row r="4" spans="1:54" ht="12" customHeight="1" x14ac:dyDescent="0.25">
      <c r="A4" s="5"/>
      <c r="B4" s="12"/>
      <c r="C4" s="9" t="s">
        <v>5</v>
      </c>
      <c r="G4" s="151"/>
      <c r="H4" s="151"/>
      <c r="I4" s="151"/>
      <c r="J4" s="151"/>
      <c r="K4" s="151"/>
      <c r="L4" s="151"/>
      <c r="M4" s="151"/>
      <c r="N4" s="151"/>
      <c r="O4" s="9"/>
      <c r="P4" s="9"/>
      <c r="Q4" s="2"/>
    </row>
    <row r="5" spans="1:54" ht="11.25" customHeight="1" x14ac:dyDescent="0.25">
      <c r="A5" s="6"/>
      <c r="B5" s="24"/>
      <c r="C5" s="9" t="s">
        <v>6</v>
      </c>
      <c r="G5" s="151"/>
      <c r="H5" s="151"/>
      <c r="I5" s="151"/>
      <c r="J5" s="151"/>
      <c r="K5" s="151"/>
      <c r="L5" s="151"/>
      <c r="M5" s="151"/>
      <c r="N5" s="151"/>
      <c r="O5" s="9"/>
      <c r="P5" s="9"/>
      <c r="Q5" s="9"/>
    </row>
    <row r="6" spans="1:54" ht="13.5" customHeight="1" x14ac:dyDescent="0.25">
      <c r="A6" s="7"/>
      <c r="B6" s="13"/>
      <c r="C6" s="9" t="s">
        <v>7</v>
      </c>
      <c r="G6" s="151"/>
      <c r="H6" s="151"/>
      <c r="I6" s="151"/>
      <c r="J6" s="151"/>
      <c r="K6" s="151"/>
      <c r="L6" s="151"/>
      <c r="M6" s="151"/>
      <c r="N6" s="151"/>
      <c r="O6" s="9"/>
      <c r="P6" s="9"/>
      <c r="Q6" s="9"/>
    </row>
    <row r="7" spans="1:54" x14ac:dyDescent="0.25">
      <c r="A7" s="8"/>
      <c r="B7" s="25"/>
      <c r="C7" s="9" t="s">
        <v>8</v>
      </c>
      <c r="G7" s="151"/>
      <c r="H7" s="151"/>
      <c r="I7" s="151"/>
      <c r="J7" s="151"/>
      <c r="K7" s="151"/>
      <c r="L7" s="151"/>
      <c r="M7" s="151"/>
      <c r="N7" s="151"/>
      <c r="O7" s="9"/>
      <c r="P7" s="9"/>
      <c r="Q7" s="2"/>
    </row>
    <row r="8" spans="1:54" x14ac:dyDescent="0.25">
      <c r="A8" s="53"/>
    </row>
    <row r="10" spans="1:54" x14ac:dyDescent="0.25">
      <c r="C10" s="18">
        <v>41760</v>
      </c>
      <c r="D10" s="16">
        <v>41761</v>
      </c>
      <c r="E10" s="16"/>
      <c r="F10" s="18">
        <v>41762</v>
      </c>
      <c r="G10" s="18">
        <v>41763</v>
      </c>
      <c r="H10" s="57">
        <v>41764</v>
      </c>
      <c r="I10" s="57"/>
      <c r="J10" s="57">
        <v>41765</v>
      </c>
      <c r="K10" s="57"/>
      <c r="L10" s="57">
        <v>41766</v>
      </c>
      <c r="M10" s="16"/>
      <c r="N10" s="18">
        <v>41767</v>
      </c>
      <c r="O10" s="16">
        <v>41768</v>
      </c>
      <c r="P10" s="16"/>
      <c r="Q10" s="18">
        <v>41769</v>
      </c>
      <c r="R10" s="18">
        <v>41770</v>
      </c>
      <c r="S10" s="57">
        <v>41771</v>
      </c>
      <c r="T10" s="57"/>
      <c r="U10" s="57">
        <v>41772</v>
      </c>
      <c r="V10" s="57"/>
      <c r="W10" s="57">
        <v>41773</v>
      </c>
      <c r="X10" s="57"/>
      <c r="Y10" s="16">
        <v>41774</v>
      </c>
      <c r="Z10" s="16"/>
      <c r="AA10" s="16">
        <v>41775</v>
      </c>
      <c r="AB10" s="16"/>
      <c r="AC10" s="18">
        <v>41776</v>
      </c>
      <c r="AD10" s="18">
        <v>41777</v>
      </c>
      <c r="AE10" s="57">
        <v>41778</v>
      </c>
      <c r="AF10" s="57"/>
      <c r="AG10" s="57">
        <v>41779</v>
      </c>
      <c r="AH10" s="57"/>
      <c r="AI10" s="57">
        <v>41780</v>
      </c>
      <c r="AJ10" s="57"/>
      <c r="AK10" s="16">
        <v>41781</v>
      </c>
      <c r="AL10" s="16"/>
      <c r="AM10" s="16">
        <v>41782</v>
      </c>
      <c r="AN10" s="57"/>
      <c r="AO10" s="18">
        <v>41783</v>
      </c>
      <c r="AP10" s="18">
        <v>41784</v>
      </c>
      <c r="AQ10" s="57">
        <v>41785</v>
      </c>
      <c r="AR10" s="57"/>
      <c r="AS10" s="57">
        <v>41786</v>
      </c>
      <c r="AT10" s="57"/>
      <c r="AU10" s="57">
        <v>41787</v>
      </c>
      <c r="AV10" s="16"/>
      <c r="AW10" s="18">
        <v>41788</v>
      </c>
      <c r="AX10" s="16">
        <v>41789</v>
      </c>
      <c r="AY10" s="16"/>
      <c r="AZ10" s="18">
        <v>41790</v>
      </c>
      <c r="BA10" s="48" t="s">
        <v>15</v>
      </c>
      <c r="BB10" s="26" t="s">
        <v>16</v>
      </c>
    </row>
    <row r="11" spans="1:54" x14ac:dyDescent="0.25">
      <c r="A11" s="17">
        <v>1</v>
      </c>
      <c r="B11" s="17"/>
      <c r="C11" s="37"/>
      <c r="D11" s="36">
        <v>1</v>
      </c>
      <c r="E11" s="36"/>
      <c r="F11" s="37"/>
      <c r="G11" s="37"/>
      <c r="H11" s="36">
        <v>1</v>
      </c>
      <c r="I11" s="36"/>
      <c r="J11" s="36">
        <v>1</v>
      </c>
      <c r="K11" s="36"/>
      <c r="L11" s="36">
        <v>1</v>
      </c>
      <c r="M11" s="36"/>
      <c r="N11" s="37"/>
      <c r="O11" s="43" t="s">
        <v>2</v>
      </c>
      <c r="P11" s="43" t="s">
        <v>2</v>
      </c>
      <c r="Q11" s="37"/>
      <c r="R11" s="37"/>
      <c r="S11" s="52" t="s">
        <v>17</v>
      </c>
      <c r="T11" s="52" t="s">
        <v>17</v>
      </c>
      <c r="U11" s="52" t="s">
        <v>17</v>
      </c>
      <c r="V11" s="52" t="s">
        <v>17</v>
      </c>
      <c r="W11" s="52" t="s">
        <v>17</v>
      </c>
      <c r="X11" s="52" t="s">
        <v>17</v>
      </c>
      <c r="Y11" s="52" t="s">
        <v>17</v>
      </c>
      <c r="Z11" s="52" t="s">
        <v>17</v>
      </c>
      <c r="AA11" s="52" t="s">
        <v>17</v>
      </c>
      <c r="AB11" s="52" t="s">
        <v>17</v>
      </c>
      <c r="AC11" s="37"/>
      <c r="AD11" s="37"/>
      <c r="AE11" s="41" t="s">
        <v>1</v>
      </c>
      <c r="AF11" s="41" t="s">
        <v>1</v>
      </c>
      <c r="AG11" s="41" t="s">
        <v>1</v>
      </c>
      <c r="AH11" s="41" t="s">
        <v>1</v>
      </c>
      <c r="AI11" s="41" t="s">
        <v>1</v>
      </c>
      <c r="AJ11" s="41" t="s">
        <v>1</v>
      </c>
      <c r="AK11" s="41" t="s">
        <v>1</v>
      </c>
      <c r="AL11" s="41" t="s">
        <v>1</v>
      </c>
      <c r="AM11" s="41" t="s">
        <v>1</v>
      </c>
      <c r="AN11" s="41" t="s">
        <v>1</v>
      </c>
      <c r="AO11" s="37"/>
      <c r="AP11" s="37"/>
      <c r="AQ11" s="36">
        <v>1</v>
      </c>
      <c r="AR11" s="36"/>
      <c r="AS11" s="36"/>
      <c r="AT11" s="36"/>
      <c r="AU11" s="36"/>
      <c r="AV11" s="36"/>
      <c r="AW11" s="37"/>
      <c r="AX11" s="36"/>
      <c r="AY11" s="36"/>
      <c r="AZ11" s="37"/>
    </row>
    <row r="12" spans="1:54" x14ac:dyDescent="0.25">
      <c r="A12" s="17">
        <v>1</v>
      </c>
      <c r="B12" s="17"/>
      <c r="C12" s="37"/>
      <c r="D12" s="51" t="s">
        <v>26</v>
      </c>
      <c r="E12" s="51" t="s">
        <v>26</v>
      </c>
      <c r="F12" s="37"/>
      <c r="G12" s="37"/>
      <c r="H12" s="51" t="s">
        <v>26</v>
      </c>
      <c r="I12" s="51" t="s">
        <v>26</v>
      </c>
      <c r="J12" s="51" t="s">
        <v>26</v>
      </c>
      <c r="K12" s="51" t="s">
        <v>26</v>
      </c>
      <c r="L12" s="51" t="s">
        <v>26</v>
      </c>
      <c r="M12" s="51" t="s">
        <v>26</v>
      </c>
      <c r="N12" s="37"/>
      <c r="O12" s="51" t="s">
        <v>26</v>
      </c>
      <c r="P12" s="51" t="s">
        <v>26</v>
      </c>
      <c r="Q12" s="37"/>
      <c r="R12" s="37"/>
      <c r="S12" s="51" t="s">
        <v>26</v>
      </c>
      <c r="T12" s="51" t="s">
        <v>26</v>
      </c>
      <c r="U12" s="51" t="s">
        <v>26</v>
      </c>
      <c r="V12" s="51" t="s">
        <v>26</v>
      </c>
      <c r="W12" s="51" t="s">
        <v>26</v>
      </c>
      <c r="X12" s="51" t="s">
        <v>26</v>
      </c>
      <c r="Y12" s="51" t="s">
        <v>26</v>
      </c>
      <c r="Z12" s="51" t="s">
        <v>26</v>
      </c>
      <c r="AA12" s="51" t="s">
        <v>26</v>
      </c>
      <c r="AB12" s="51" t="s">
        <v>26</v>
      </c>
      <c r="AC12" s="37"/>
      <c r="AD12" s="37"/>
      <c r="AE12" s="51" t="s">
        <v>26</v>
      </c>
      <c r="AF12" s="51" t="s">
        <v>26</v>
      </c>
      <c r="AG12" s="51" t="s">
        <v>26</v>
      </c>
      <c r="AH12" s="51" t="s">
        <v>26</v>
      </c>
      <c r="AI12" s="51" t="s">
        <v>26</v>
      </c>
      <c r="AJ12" s="51" t="s">
        <v>26</v>
      </c>
      <c r="AK12" s="51" t="s">
        <v>26</v>
      </c>
      <c r="AL12" s="51" t="s">
        <v>26</v>
      </c>
      <c r="AM12" s="51" t="s">
        <v>26</v>
      </c>
      <c r="AN12" s="51" t="s">
        <v>26</v>
      </c>
      <c r="AO12" s="37"/>
      <c r="AP12" s="37"/>
      <c r="AQ12" s="51" t="s">
        <v>26</v>
      </c>
      <c r="AR12" s="51" t="s">
        <v>26</v>
      </c>
      <c r="AS12" s="51" t="s">
        <v>26</v>
      </c>
      <c r="AT12" s="51" t="s">
        <v>26</v>
      </c>
      <c r="AU12" s="51" t="s">
        <v>26</v>
      </c>
      <c r="AV12" s="51" t="s">
        <v>26</v>
      </c>
      <c r="AW12" s="37"/>
      <c r="AX12" s="51" t="s">
        <v>26</v>
      </c>
      <c r="AY12" s="51" t="s">
        <v>26</v>
      </c>
      <c r="AZ12" s="37"/>
    </row>
    <row r="13" spans="1:54" x14ac:dyDescent="0.25">
      <c r="A13" s="17">
        <v>1</v>
      </c>
      <c r="B13" s="17"/>
      <c r="C13" s="37"/>
      <c r="D13" s="41" t="s">
        <v>1</v>
      </c>
      <c r="E13" s="41" t="s">
        <v>1</v>
      </c>
      <c r="F13" s="37"/>
      <c r="G13" s="37"/>
      <c r="H13" s="36">
        <v>1</v>
      </c>
      <c r="I13" s="36"/>
      <c r="J13" s="36">
        <v>1</v>
      </c>
      <c r="K13" s="36"/>
      <c r="L13" s="36">
        <v>1</v>
      </c>
      <c r="M13" s="36"/>
      <c r="N13" s="37"/>
      <c r="O13" s="36">
        <v>1</v>
      </c>
      <c r="P13" s="36"/>
      <c r="Q13" s="37"/>
      <c r="R13" s="37"/>
      <c r="S13" s="36">
        <v>1</v>
      </c>
      <c r="T13" s="36"/>
      <c r="U13" s="36">
        <v>1</v>
      </c>
      <c r="V13" s="36"/>
      <c r="W13" s="36">
        <v>1</v>
      </c>
      <c r="X13" s="36"/>
      <c r="Y13" s="36">
        <v>1</v>
      </c>
      <c r="Z13" s="36"/>
      <c r="AA13" s="36">
        <v>1</v>
      </c>
      <c r="AB13" s="36"/>
      <c r="AC13" s="37"/>
      <c r="AD13" s="37"/>
      <c r="AE13" s="36">
        <v>1</v>
      </c>
      <c r="AF13" s="36"/>
      <c r="AG13" s="36">
        <v>1</v>
      </c>
      <c r="AH13" s="36"/>
      <c r="AI13" s="36">
        <v>1</v>
      </c>
      <c r="AJ13" s="36"/>
      <c r="AK13" s="36">
        <v>1</v>
      </c>
      <c r="AL13" s="36"/>
      <c r="AM13" s="36">
        <v>1</v>
      </c>
      <c r="AN13" s="36"/>
      <c r="AO13" s="37"/>
      <c r="AP13" s="37"/>
      <c r="AQ13" s="36">
        <v>1</v>
      </c>
      <c r="AR13" s="36"/>
      <c r="AS13" s="36"/>
      <c r="AT13" s="36"/>
      <c r="AU13" s="36"/>
      <c r="AV13" s="36"/>
      <c r="AW13" s="37"/>
      <c r="AX13" s="36"/>
      <c r="AY13" s="36"/>
      <c r="AZ13" s="37"/>
    </row>
    <row r="14" spans="1:54" x14ac:dyDescent="0.25">
      <c r="A14" s="17">
        <v>1</v>
      </c>
      <c r="B14" s="17"/>
      <c r="C14" s="37"/>
      <c r="D14" s="41" t="s">
        <v>1</v>
      </c>
      <c r="E14" s="41" t="s">
        <v>1</v>
      </c>
      <c r="F14" s="37"/>
      <c r="G14" s="37"/>
      <c r="H14" s="36">
        <v>1</v>
      </c>
      <c r="I14" s="36"/>
      <c r="J14" s="36">
        <v>1</v>
      </c>
      <c r="K14" s="36"/>
      <c r="L14" s="36">
        <v>1</v>
      </c>
      <c r="M14" s="36"/>
      <c r="N14" s="37"/>
      <c r="O14" s="43" t="s">
        <v>2</v>
      </c>
      <c r="P14" s="43" t="s">
        <v>2</v>
      </c>
      <c r="Q14" s="37"/>
      <c r="R14" s="37"/>
      <c r="S14" s="36">
        <v>1</v>
      </c>
      <c r="T14" s="36"/>
      <c r="U14" s="36">
        <v>1</v>
      </c>
      <c r="V14" s="36"/>
      <c r="W14" s="36">
        <v>1</v>
      </c>
      <c r="X14" s="36"/>
      <c r="Y14" s="36">
        <v>1</v>
      </c>
      <c r="Z14" s="36"/>
      <c r="AA14" s="36">
        <v>1</v>
      </c>
      <c r="AB14" s="36"/>
      <c r="AC14" s="37"/>
      <c r="AD14" s="37"/>
      <c r="AE14" s="36">
        <v>1</v>
      </c>
      <c r="AF14" s="36"/>
      <c r="AG14" s="36">
        <v>1</v>
      </c>
      <c r="AH14" s="36"/>
      <c r="AI14" s="36">
        <v>1</v>
      </c>
      <c r="AJ14" s="36"/>
      <c r="AK14" s="36">
        <v>1</v>
      </c>
      <c r="AL14" s="36"/>
      <c r="AM14" s="36">
        <v>1</v>
      </c>
      <c r="AN14" s="36"/>
      <c r="AO14" s="37"/>
      <c r="AP14" s="37"/>
      <c r="AQ14" s="36">
        <v>1</v>
      </c>
      <c r="AR14" s="36"/>
      <c r="AS14" s="36"/>
      <c r="AT14" s="36"/>
      <c r="AU14" s="36"/>
      <c r="AV14" s="36"/>
      <c r="AW14" s="37"/>
      <c r="AX14" s="36"/>
      <c r="AY14" s="36"/>
      <c r="AZ14" s="37"/>
    </row>
    <row r="15" spans="1:54" x14ac:dyDescent="0.25">
      <c r="A15" s="17">
        <v>1</v>
      </c>
      <c r="B15" s="17"/>
      <c r="C15" s="37"/>
      <c r="D15" s="41" t="s">
        <v>1</v>
      </c>
      <c r="E15" s="41" t="s">
        <v>1</v>
      </c>
      <c r="F15" s="37"/>
      <c r="G15" s="37"/>
      <c r="H15" s="36">
        <v>1</v>
      </c>
      <c r="I15" s="36"/>
      <c r="J15" s="36">
        <v>1</v>
      </c>
      <c r="K15" s="36"/>
      <c r="L15" s="36">
        <v>1</v>
      </c>
      <c r="M15" s="36"/>
      <c r="N15" s="37"/>
      <c r="O15" s="43" t="s">
        <v>2</v>
      </c>
      <c r="P15" s="43" t="s">
        <v>2</v>
      </c>
      <c r="Q15" s="37"/>
      <c r="R15" s="37"/>
      <c r="S15" s="36">
        <v>1</v>
      </c>
      <c r="T15" s="36"/>
      <c r="U15" s="36">
        <v>1</v>
      </c>
      <c r="V15" s="36"/>
      <c r="W15" s="36">
        <v>1</v>
      </c>
      <c r="X15" s="36"/>
      <c r="Y15" s="36">
        <v>1</v>
      </c>
      <c r="Z15" s="36"/>
      <c r="AA15" s="36">
        <v>1</v>
      </c>
      <c r="AB15" s="36"/>
      <c r="AC15" s="37"/>
      <c r="AD15" s="37"/>
      <c r="AE15" s="36">
        <v>1</v>
      </c>
      <c r="AF15" s="36"/>
      <c r="AG15" s="36">
        <v>1</v>
      </c>
      <c r="AH15" s="36"/>
      <c r="AI15" s="36">
        <v>1</v>
      </c>
      <c r="AJ15" s="36"/>
      <c r="AK15" s="36">
        <v>1</v>
      </c>
      <c r="AL15" s="36"/>
      <c r="AM15" s="43" t="s">
        <v>2</v>
      </c>
      <c r="AN15" s="43" t="s">
        <v>2</v>
      </c>
      <c r="AO15" s="37"/>
      <c r="AP15" s="37"/>
      <c r="AQ15" s="36">
        <v>1</v>
      </c>
      <c r="AR15" s="36"/>
      <c r="AS15" s="36"/>
      <c r="AT15" s="36"/>
      <c r="AU15" s="36"/>
      <c r="AV15" s="36"/>
      <c r="AW15" s="37"/>
      <c r="AX15" s="36"/>
      <c r="AY15" s="36"/>
      <c r="AZ15" s="37"/>
    </row>
    <row r="16" spans="1:54" x14ac:dyDescent="0.25">
      <c r="A16" s="17">
        <v>1</v>
      </c>
      <c r="B16" s="17"/>
      <c r="C16" s="37"/>
      <c r="D16" s="36">
        <v>1</v>
      </c>
      <c r="E16" s="36"/>
      <c r="F16" s="37"/>
      <c r="G16" s="37"/>
      <c r="H16" s="36">
        <v>1</v>
      </c>
      <c r="I16" s="36"/>
      <c r="J16" s="36">
        <v>1</v>
      </c>
      <c r="K16" s="36"/>
      <c r="L16" s="36">
        <v>1</v>
      </c>
      <c r="M16" s="36"/>
      <c r="N16" s="37"/>
      <c r="O16" s="43" t="s">
        <v>2</v>
      </c>
      <c r="P16" s="43" t="s">
        <v>2</v>
      </c>
      <c r="Q16" s="37"/>
      <c r="R16" s="37"/>
      <c r="S16" s="36">
        <v>1</v>
      </c>
      <c r="T16" s="36"/>
      <c r="U16" s="36">
        <v>1</v>
      </c>
      <c r="V16" s="36"/>
      <c r="W16" s="36">
        <v>1</v>
      </c>
      <c r="X16" s="36"/>
      <c r="Y16" s="36">
        <v>1</v>
      </c>
      <c r="Z16" s="36"/>
      <c r="AA16" s="36">
        <v>1</v>
      </c>
      <c r="AB16" s="36"/>
      <c r="AC16" s="37"/>
      <c r="AD16" s="37"/>
      <c r="AE16" s="36">
        <v>1</v>
      </c>
      <c r="AF16" s="36"/>
      <c r="AG16" s="36">
        <v>1</v>
      </c>
      <c r="AH16" s="36"/>
      <c r="AI16" s="36">
        <v>1</v>
      </c>
      <c r="AJ16" s="36"/>
      <c r="AK16" s="36">
        <v>1</v>
      </c>
      <c r="AL16" s="36"/>
      <c r="AM16" s="36">
        <v>1</v>
      </c>
      <c r="AN16" s="36"/>
      <c r="AO16" s="37"/>
      <c r="AP16" s="37"/>
      <c r="AQ16" s="36">
        <v>1</v>
      </c>
      <c r="AR16" s="36"/>
      <c r="AS16" s="36"/>
      <c r="AT16" s="36"/>
      <c r="AU16" s="36"/>
      <c r="AV16" s="36"/>
      <c r="AW16" s="37"/>
      <c r="AX16" s="36"/>
      <c r="AY16" s="36"/>
      <c r="AZ16" s="37"/>
    </row>
    <row r="17" spans="1:57" x14ac:dyDescent="0.25">
      <c r="A17" s="17">
        <v>1</v>
      </c>
      <c r="B17" s="17"/>
      <c r="C17" s="37"/>
      <c r="D17" s="43" t="s">
        <v>2</v>
      </c>
      <c r="E17" s="43" t="s">
        <v>2</v>
      </c>
      <c r="F17" s="37"/>
      <c r="G17" s="37"/>
      <c r="H17" s="36">
        <v>1</v>
      </c>
      <c r="I17" s="36"/>
      <c r="J17" s="36">
        <v>1</v>
      </c>
      <c r="K17" s="36"/>
      <c r="L17" s="36">
        <v>1</v>
      </c>
      <c r="M17" s="36"/>
      <c r="N17" s="37"/>
      <c r="O17" s="43" t="s">
        <v>2</v>
      </c>
      <c r="P17" s="43" t="s">
        <v>2</v>
      </c>
      <c r="Q17" s="37"/>
      <c r="R17" s="37"/>
      <c r="S17" s="36">
        <v>1</v>
      </c>
      <c r="T17" s="36"/>
      <c r="U17" s="36">
        <v>1</v>
      </c>
      <c r="V17" s="36"/>
      <c r="W17" s="36">
        <v>1</v>
      </c>
      <c r="X17" s="36"/>
      <c r="Y17" s="36">
        <v>1</v>
      </c>
      <c r="Z17" s="36"/>
      <c r="AA17" s="36">
        <v>1</v>
      </c>
      <c r="AB17" s="36"/>
      <c r="AC17" s="37"/>
      <c r="AD17" s="37"/>
      <c r="AE17" s="36">
        <v>1</v>
      </c>
      <c r="AF17" s="36"/>
      <c r="AG17" s="36">
        <v>1</v>
      </c>
      <c r="AH17" s="36"/>
      <c r="AI17" s="36">
        <v>1</v>
      </c>
      <c r="AJ17" s="36"/>
      <c r="AK17" s="36">
        <v>1</v>
      </c>
      <c r="AL17" s="36"/>
      <c r="AM17" s="36">
        <v>1</v>
      </c>
      <c r="AN17" s="36"/>
      <c r="AO17" s="37"/>
      <c r="AP17" s="37"/>
      <c r="AQ17" s="36">
        <v>1</v>
      </c>
      <c r="AR17" s="36"/>
      <c r="AS17" s="36"/>
      <c r="AT17" s="36"/>
      <c r="AU17" s="36"/>
      <c r="AV17" s="36"/>
      <c r="AW17" s="37"/>
      <c r="AX17" s="36"/>
      <c r="AY17" s="36"/>
      <c r="AZ17" s="37"/>
    </row>
    <row r="18" spans="1:57" x14ac:dyDescent="0.25">
      <c r="A18" s="17">
        <v>1</v>
      </c>
      <c r="B18" s="17"/>
      <c r="C18" s="37"/>
      <c r="D18" s="36">
        <v>1</v>
      </c>
      <c r="E18" s="36"/>
      <c r="F18" s="37"/>
      <c r="G18" s="37"/>
      <c r="H18" s="36">
        <v>1</v>
      </c>
      <c r="I18" s="36"/>
      <c r="J18" s="36">
        <v>1</v>
      </c>
      <c r="K18" s="36"/>
      <c r="L18" s="36">
        <v>1</v>
      </c>
      <c r="M18" s="36"/>
      <c r="N18" s="37"/>
      <c r="O18" s="36">
        <v>1</v>
      </c>
      <c r="P18" s="36"/>
      <c r="Q18" s="37"/>
      <c r="R18" s="37"/>
      <c r="S18" s="36">
        <v>1</v>
      </c>
      <c r="T18" s="36"/>
      <c r="U18" s="36">
        <v>1</v>
      </c>
      <c r="V18" s="36"/>
      <c r="W18" s="36">
        <v>1</v>
      </c>
      <c r="X18" s="36"/>
      <c r="Y18" s="36">
        <v>1</v>
      </c>
      <c r="Z18" s="36"/>
      <c r="AA18" s="36">
        <v>1</v>
      </c>
      <c r="AB18" s="36"/>
      <c r="AC18" s="37"/>
      <c r="AD18" s="37"/>
      <c r="AE18" s="36">
        <v>1</v>
      </c>
      <c r="AF18" s="36"/>
      <c r="AG18" s="36">
        <v>1</v>
      </c>
      <c r="AH18" s="36"/>
      <c r="AI18" s="36">
        <v>1</v>
      </c>
      <c r="AJ18" s="36"/>
      <c r="AK18" s="36">
        <v>1</v>
      </c>
      <c r="AL18" s="36"/>
      <c r="AM18" s="36">
        <v>1</v>
      </c>
      <c r="AN18" s="36"/>
      <c r="AO18" s="37"/>
      <c r="AP18" s="37"/>
      <c r="AQ18" s="36">
        <v>1</v>
      </c>
      <c r="AR18" s="36"/>
      <c r="AS18" s="36"/>
      <c r="AT18" s="36"/>
      <c r="AU18" s="36"/>
      <c r="AV18" s="36"/>
      <c r="AW18" s="37"/>
      <c r="AX18" s="36"/>
      <c r="AY18" s="36"/>
      <c r="AZ18" s="37"/>
    </row>
    <row r="19" spans="1:57" x14ac:dyDescent="0.25">
      <c r="A19" s="17">
        <v>1</v>
      </c>
      <c r="B19" s="15"/>
      <c r="C19" s="37"/>
      <c r="D19" s="38">
        <v>1</v>
      </c>
      <c r="E19" s="38"/>
      <c r="F19" s="37"/>
      <c r="G19" s="37"/>
      <c r="H19" s="56">
        <v>1</v>
      </c>
      <c r="I19" s="56"/>
      <c r="J19" s="56">
        <v>1</v>
      </c>
      <c r="K19" s="56"/>
      <c r="L19" s="56">
        <v>1</v>
      </c>
      <c r="M19" s="38"/>
      <c r="N19" s="37"/>
      <c r="O19" s="43" t="s">
        <v>2</v>
      </c>
      <c r="P19" s="43" t="s">
        <v>2</v>
      </c>
      <c r="Q19" s="37"/>
      <c r="R19" s="37"/>
      <c r="S19" s="56">
        <v>1</v>
      </c>
      <c r="T19" s="56"/>
      <c r="U19" s="56">
        <v>1</v>
      </c>
      <c r="V19" s="56"/>
      <c r="W19" s="56">
        <v>1</v>
      </c>
      <c r="X19" s="56"/>
      <c r="Y19" s="56">
        <v>1</v>
      </c>
      <c r="Z19" s="56"/>
      <c r="AA19" s="38">
        <v>1</v>
      </c>
      <c r="AB19" s="38"/>
      <c r="AC19" s="37"/>
      <c r="AD19" s="37"/>
      <c r="AE19" s="56">
        <v>1</v>
      </c>
      <c r="AF19" s="56"/>
      <c r="AG19" s="56">
        <v>1</v>
      </c>
      <c r="AH19" s="56"/>
      <c r="AI19" s="43" t="s">
        <v>2</v>
      </c>
      <c r="AJ19" s="43" t="s">
        <v>2</v>
      </c>
      <c r="AK19" s="56">
        <v>1</v>
      </c>
      <c r="AL19" s="56"/>
      <c r="AM19" s="56">
        <v>1</v>
      </c>
      <c r="AN19" s="56"/>
      <c r="AO19" s="37"/>
      <c r="AP19" s="37"/>
      <c r="AQ19" s="56">
        <v>1</v>
      </c>
      <c r="AR19" s="56"/>
      <c r="AS19" s="56"/>
      <c r="AT19" s="56"/>
      <c r="AU19" s="38"/>
      <c r="AV19" s="38"/>
      <c r="AW19" s="37"/>
      <c r="AX19" s="43" t="s">
        <v>2</v>
      </c>
      <c r="AY19" s="43" t="s">
        <v>2</v>
      </c>
      <c r="AZ19" s="37"/>
    </row>
    <row r="20" spans="1:57" x14ac:dyDescent="0.25">
      <c r="A20" s="17">
        <v>1</v>
      </c>
      <c r="B20" s="15"/>
      <c r="C20" s="37"/>
      <c r="D20" s="41" t="s">
        <v>1</v>
      </c>
      <c r="E20" s="41" t="s">
        <v>1</v>
      </c>
      <c r="F20" s="37"/>
      <c r="G20" s="37"/>
      <c r="H20" s="56">
        <v>1</v>
      </c>
      <c r="I20" s="56"/>
      <c r="J20" s="56">
        <v>1</v>
      </c>
      <c r="K20" s="56"/>
      <c r="L20" s="56">
        <v>1</v>
      </c>
      <c r="M20" s="38"/>
      <c r="N20" s="37"/>
      <c r="O20" s="41" t="s">
        <v>1</v>
      </c>
      <c r="P20" s="41" t="s">
        <v>1</v>
      </c>
      <c r="Q20" s="37"/>
      <c r="R20" s="37"/>
      <c r="S20" s="56">
        <v>1</v>
      </c>
      <c r="T20" s="56"/>
      <c r="U20" s="56">
        <v>1</v>
      </c>
      <c r="V20" s="56"/>
      <c r="W20" s="43" t="s">
        <v>2</v>
      </c>
      <c r="X20" s="43" t="s">
        <v>2</v>
      </c>
      <c r="Y20" s="43" t="s">
        <v>2</v>
      </c>
      <c r="Z20" s="43" t="s">
        <v>2</v>
      </c>
      <c r="AA20" s="43" t="s">
        <v>2</v>
      </c>
      <c r="AB20" s="43" t="s">
        <v>2</v>
      </c>
      <c r="AC20" s="37"/>
      <c r="AD20" s="37"/>
      <c r="AE20" s="56">
        <v>1</v>
      </c>
      <c r="AF20" s="56"/>
      <c r="AG20" s="56">
        <v>1</v>
      </c>
      <c r="AH20" s="56"/>
      <c r="AI20" s="56">
        <v>1</v>
      </c>
      <c r="AJ20" s="56"/>
      <c r="AK20" s="56">
        <v>1</v>
      </c>
      <c r="AL20" s="56"/>
      <c r="AM20" s="56">
        <v>1</v>
      </c>
      <c r="AN20" s="56"/>
      <c r="AO20" s="37"/>
      <c r="AP20" s="37"/>
      <c r="AQ20" s="56">
        <v>1</v>
      </c>
      <c r="AR20" s="56"/>
      <c r="AS20" s="56"/>
      <c r="AT20" s="56"/>
      <c r="AU20" s="38"/>
      <c r="AV20" s="38"/>
      <c r="AW20" s="37"/>
      <c r="AX20" s="41" t="s">
        <v>1</v>
      </c>
      <c r="AY20" s="41" t="s">
        <v>1</v>
      </c>
      <c r="AZ20" s="37"/>
    </row>
    <row r="21" spans="1:57" x14ac:dyDescent="0.25">
      <c r="A21" s="17">
        <v>1</v>
      </c>
      <c r="B21" s="15"/>
      <c r="C21" s="37"/>
      <c r="D21" s="41" t="s">
        <v>1</v>
      </c>
      <c r="E21" s="41" t="s">
        <v>1</v>
      </c>
      <c r="F21" s="37"/>
      <c r="G21" s="37"/>
      <c r="H21" s="41" t="s">
        <v>1</v>
      </c>
      <c r="I21" s="41" t="s">
        <v>1</v>
      </c>
      <c r="J21" s="41" t="s">
        <v>1</v>
      </c>
      <c r="K21" s="41" t="s">
        <v>1</v>
      </c>
      <c r="L21" s="41" t="s">
        <v>1</v>
      </c>
      <c r="M21" s="41" t="s">
        <v>1</v>
      </c>
      <c r="N21" s="37"/>
      <c r="O21" s="41" t="s">
        <v>1</v>
      </c>
      <c r="P21" s="41" t="s">
        <v>1</v>
      </c>
      <c r="Q21" s="37"/>
      <c r="R21" s="37"/>
      <c r="S21" s="56">
        <v>1</v>
      </c>
      <c r="T21" s="56"/>
      <c r="U21" s="56">
        <v>1</v>
      </c>
      <c r="V21" s="56"/>
      <c r="W21" s="56">
        <v>1</v>
      </c>
      <c r="X21" s="56"/>
      <c r="Y21" s="56">
        <v>1</v>
      </c>
      <c r="Z21" s="56"/>
      <c r="AA21" s="38">
        <v>1</v>
      </c>
      <c r="AB21" s="38"/>
      <c r="AC21" s="37"/>
      <c r="AD21" s="37"/>
      <c r="AE21" s="56">
        <v>1</v>
      </c>
      <c r="AF21" s="56"/>
      <c r="AG21" s="56">
        <v>1</v>
      </c>
      <c r="AH21" s="56"/>
      <c r="AI21" s="56">
        <v>1</v>
      </c>
      <c r="AJ21" s="56"/>
      <c r="AK21" s="56">
        <v>1</v>
      </c>
      <c r="AL21" s="56"/>
      <c r="AM21" s="56">
        <v>1</v>
      </c>
      <c r="AN21" s="56"/>
      <c r="AO21" s="37"/>
      <c r="AP21" s="37"/>
      <c r="AQ21" s="56">
        <v>1</v>
      </c>
      <c r="AR21" s="56"/>
      <c r="AS21" s="56"/>
      <c r="AT21" s="56"/>
      <c r="AU21" s="38"/>
      <c r="AV21" s="38"/>
      <c r="AW21" s="37"/>
      <c r="AX21" s="38"/>
      <c r="AY21" s="38"/>
      <c r="AZ21" s="37"/>
    </row>
    <row r="22" spans="1:57" x14ac:dyDescent="0.25">
      <c r="A22" s="17">
        <v>1</v>
      </c>
      <c r="B22" s="15"/>
      <c r="C22" s="37"/>
      <c r="D22" s="38">
        <v>1</v>
      </c>
      <c r="E22" s="38"/>
      <c r="F22" s="37"/>
      <c r="G22" s="37"/>
      <c r="H22" s="56">
        <v>1</v>
      </c>
      <c r="I22" s="56"/>
      <c r="J22" s="56">
        <v>1</v>
      </c>
      <c r="K22" s="56"/>
      <c r="L22" s="56">
        <v>1</v>
      </c>
      <c r="M22" s="38"/>
      <c r="N22" s="37"/>
      <c r="O22" s="43" t="s">
        <v>2</v>
      </c>
      <c r="P22" s="43" t="s">
        <v>2</v>
      </c>
      <c r="Q22" s="37"/>
      <c r="R22" s="37"/>
      <c r="S22" s="56">
        <v>1</v>
      </c>
      <c r="T22" s="56"/>
      <c r="U22" s="56">
        <v>1</v>
      </c>
      <c r="V22" s="56"/>
      <c r="W22" s="56">
        <v>1</v>
      </c>
      <c r="X22" s="38"/>
      <c r="Y22" s="38">
        <v>1</v>
      </c>
      <c r="Z22" s="38"/>
      <c r="AA22" s="38">
        <v>1</v>
      </c>
      <c r="AB22" s="38"/>
      <c r="AC22" s="37"/>
      <c r="AD22" s="37"/>
      <c r="AE22" s="56">
        <v>1</v>
      </c>
      <c r="AF22" s="56"/>
      <c r="AG22" s="56">
        <v>1</v>
      </c>
      <c r="AH22" s="56"/>
      <c r="AI22" s="43" t="s">
        <v>2</v>
      </c>
      <c r="AJ22" s="43" t="s">
        <v>2</v>
      </c>
      <c r="AK22" s="56">
        <v>1</v>
      </c>
      <c r="AL22" s="56"/>
      <c r="AM22" s="56">
        <v>1</v>
      </c>
      <c r="AN22" s="56"/>
      <c r="AO22" s="37"/>
      <c r="AP22" s="37"/>
      <c r="AQ22" s="56">
        <v>1</v>
      </c>
      <c r="AR22" s="56"/>
      <c r="AS22" s="56"/>
      <c r="AT22" s="56"/>
      <c r="AU22" s="38"/>
      <c r="AV22" s="38"/>
      <c r="AW22" s="37"/>
      <c r="AX22" s="38"/>
      <c r="AY22" s="38"/>
      <c r="AZ22" s="37"/>
    </row>
    <row r="23" spans="1:57" x14ac:dyDescent="0.25">
      <c r="A23" s="17">
        <v>1</v>
      </c>
      <c r="B23" s="17"/>
      <c r="C23" s="37"/>
      <c r="D23" s="36">
        <v>1</v>
      </c>
      <c r="E23" s="36"/>
      <c r="F23" s="37"/>
      <c r="G23" s="37"/>
      <c r="H23" s="36">
        <v>1</v>
      </c>
      <c r="I23" s="36"/>
      <c r="J23" s="36">
        <v>1</v>
      </c>
      <c r="K23" s="36"/>
      <c r="L23" s="36">
        <v>1</v>
      </c>
      <c r="M23" s="36"/>
      <c r="N23" s="37"/>
      <c r="O23" s="36">
        <v>1</v>
      </c>
      <c r="P23" s="36"/>
      <c r="Q23" s="37"/>
      <c r="R23" s="37"/>
      <c r="S23" s="36">
        <v>1</v>
      </c>
      <c r="T23" s="36"/>
      <c r="U23" s="36">
        <v>1</v>
      </c>
      <c r="V23" s="36"/>
      <c r="W23" s="36">
        <v>1</v>
      </c>
      <c r="X23" s="36"/>
      <c r="Y23" s="36">
        <v>1</v>
      </c>
      <c r="Z23" s="36"/>
      <c r="AA23" s="36">
        <v>1</v>
      </c>
      <c r="AB23" s="36"/>
      <c r="AC23" s="37"/>
      <c r="AD23" s="37"/>
      <c r="AE23" s="36">
        <v>1</v>
      </c>
      <c r="AF23" s="36"/>
      <c r="AG23" s="36">
        <v>1</v>
      </c>
      <c r="AH23" s="36"/>
      <c r="AI23" s="36">
        <v>1</v>
      </c>
      <c r="AJ23" s="36"/>
      <c r="AK23" s="36">
        <v>1</v>
      </c>
      <c r="AL23" s="36"/>
      <c r="AM23" s="36">
        <v>1</v>
      </c>
      <c r="AN23" s="36"/>
      <c r="AO23" s="37"/>
      <c r="AP23" s="37"/>
      <c r="AQ23" s="36">
        <v>1</v>
      </c>
      <c r="AR23" s="36"/>
      <c r="AS23" s="36"/>
      <c r="AT23" s="36"/>
      <c r="AU23" s="36"/>
      <c r="AV23" s="36"/>
      <c r="AW23" s="37"/>
      <c r="AX23" s="36"/>
      <c r="AY23" s="36"/>
      <c r="AZ23" s="37"/>
    </row>
    <row r="24" spans="1:57" x14ac:dyDescent="0.25">
      <c r="A24" s="17">
        <v>1</v>
      </c>
      <c r="B24" s="17"/>
      <c r="C24" s="37"/>
      <c r="D24" s="41" t="s">
        <v>1</v>
      </c>
      <c r="E24" s="41" t="s">
        <v>1</v>
      </c>
      <c r="F24" s="37"/>
      <c r="G24" s="37"/>
      <c r="H24" s="41" t="s">
        <v>1</v>
      </c>
      <c r="I24" s="41" t="s">
        <v>1</v>
      </c>
      <c r="J24" s="41" t="s">
        <v>1</v>
      </c>
      <c r="K24" s="41" t="s">
        <v>1</v>
      </c>
      <c r="L24" s="41" t="s">
        <v>1</v>
      </c>
      <c r="M24" s="41" t="s">
        <v>1</v>
      </c>
      <c r="N24" s="37"/>
      <c r="O24" s="41" t="s">
        <v>1</v>
      </c>
      <c r="P24" s="41" t="s">
        <v>1</v>
      </c>
      <c r="Q24" s="37"/>
      <c r="R24" s="37"/>
      <c r="S24" s="36">
        <v>1</v>
      </c>
      <c r="T24" s="36"/>
      <c r="U24" s="36">
        <v>1</v>
      </c>
      <c r="V24" s="36"/>
      <c r="W24" s="36">
        <v>1</v>
      </c>
      <c r="X24" s="36"/>
      <c r="Y24" s="36">
        <v>1</v>
      </c>
      <c r="Z24" s="36"/>
      <c r="AA24" s="36">
        <v>1</v>
      </c>
      <c r="AB24" s="36"/>
      <c r="AC24" s="37"/>
      <c r="AD24" s="37"/>
      <c r="AE24" s="36">
        <v>1</v>
      </c>
      <c r="AF24" s="36"/>
      <c r="AG24" s="36">
        <v>1</v>
      </c>
      <c r="AH24" s="36"/>
      <c r="AI24" s="36">
        <v>1</v>
      </c>
      <c r="AJ24" s="36"/>
      <c r="AK24" s="36">
        <v>1</v>
      </c>
      <c r="AL24" s="36"/>
      <c r="AM24" s="36">
        <v>1</v>
      </c>
      <c r="AN24" s="36"/>
      <c r="AO24" s="37"/>
      <c r="AP24" s="37"/>
      <c r="AQ24" s="41" t="s">
        <v>1</v>
      </c>
      <c r="AR24" s="41" t="s">
        <v>1</v>
      </c>
      <c r="AS24" s="36"/>
      <c r="AT24" s="36"/>
      <c r="AU24" s="36"/>
      <c r="AV24" s="36"/>
      <c r="AW24" s="37"/>
      <c r="AX24" s="36"/>
      <c r="AY24" s="36"/>
      <c r="AZ24" s="37"/>
    </row>
    <row r="25" spans="1:57" x14ac:dyDescent="0.25">
      <c r="A25" s="17">
        <v>1</v>
      </c>
      <c r="B25" s="17"/>
      <c r="C25" s="37"/>
      <c r="D25" s="36">
        <v>1</v>
      </c>
      <c r="E25" s="36"/>
      <c r="F25" s="37"/>
      <c r="G25" s="37"/>
      <c r="H25" s="36">
        <v>1</v>
      </c>
      <c r="I25" s="36"/>
      <c r="J25" s="36">
        <v>1</v>
      </c>
      <c r="K25" s="36"/>
      <c r="L25" s="36">
        <v>1</v>
      </c>
      <c r="M25" s="36"/>
      <c r="N25" s="37"/>
      <c r="O25" s="36">
        <v>1</v>
      </c>
      <c r="P25" s="36"/>
      <c r="Q25" s="37"/>
      <c r="R25" s="37"/>
      <c r="S25" s="36">
        <v>1</v>
      </c>
      <c r="T25" s="36"/>
      <c r="U25" s="36">
        <v>1</v>
      </c>
      <c r="V25" s="36"/>
      <c r="W25" s="36">
        <v>1</v>
      </c>
      <c r="X25" s="36"/>
      <c r="Y25" s="36">
        <v>1</v>
      </c>
      <c r="Z25" s="36"/>
      <c r="AA25" s="36">
        <v>1</v>
      </c>
      <c r="AB25" s="36"/>
      <c r="AC25" s="37"/>
      <c r="AD25" s="37"/>
      <c r="AE25" s="36">
        <v>1</v>
      </c>
      <c r="AF25" s="36"/>
      <c r="AG25" s="36">
        <v>1</v>
      </c>
      <c r="AH25" s="36"/>
      <c r="AI25" s="36">
        <v>1</v>
      </c>
      <c r="AJ25" s="36"/>
      <c r="AK25" s="36">
        <v>1</v>
      </c>
      <c r="AL25" s="36"/>
      <c r="AM25" s="36">
        <v>1</v>
      </c>
      <c r="AN25" s="36"/>
      <c r="AO25" s="37"/>
      <c r="AP25" s="37"/>
      <c r="AQ25" s="36">
        <v>1</v>
      </c>
      <c r="AR25" s="36"/>
      <c r="AS25" s="36"/>
      <c r="AT25" s="36"/>
      <c r="AU25" s="36"/>
      <c r="AV25" s="36"/>
      <c r="AW25" s="37"/>
      <c r="AX25" s="36"/>
      <c r="AY25" s="36"/>
      <c r="AZ25" s="37"/>
    </row>
    <row r="26" spans="1:57" x14ac:dyDescent="0.25">
      <c r="A26" s="17">
        <v>1</v>
      </c>
      <c r="B26" s="17"/>
      <c r="C26" s="37"/>
      <c r="D26" s="36">
        <v>1</v>
      </c>
      <c r="E26" s="36"/>
      <c r="F26" s="37"/>
      <c r="G26" s="37"/>
      <c r="H26" s="36">
        <v>1</v>
      </c>
      <c r="I26" s="36"/>
      <c r="J26" s="36">
        <v>1</v>
      </c>
      <c r="K26" s="36"/>
      <c r="L26" s="36">
        <v>1</v>
      </c>
      <c r="M26" s="36"/>
      <c r="N26" s="37"/>
      <c r="O26" s="36">
        <v>1</v>
      </c>
      <c r="P26" s="36"/>
      <c r="Q26" s="37"/>
      <c r="R26" s="37"/>
      <c r="S26" s="36">
        <v>1</v>
      </c>
      <c r="T26" s="36"/>
      <c r="U26" s="36">
        <v>1</v>
      </c>
      <c r="V26" s="36"/>
      <c r="W26" s="36">
        <v>1</v>
      </c>
      <c r="X26" s="36"/>
      <c r="Y26" s="36">
        <v>1</v>
      </c>
      <c r="Z26" s="36"/>
      <c r="AA26" s="36">
        <v>1</v>
      </c>
      <c r="AB26" s="36"/>
      <c r="AC26" s="37"/>
      <c r="AD26" s="37"/>
      <c r="AE26" s="36">
        <v>1</v>
      </c>
      <c r="AF26" s="36"/>
      <c r="AG26" s="36">
        <v>1</v>
      </c>
      <c r="AH26" s="36"/>
      <c r="AI26" s="36">
        <v>1</v>
      </c>
      <c r="AJ26" s="36"/>
      <c r="AK26" s="36">
        <v>1</v>
      </c>
      <c r="AL26" s="36"/>
      <c r="AM26" s="36">
        <v>1</v>
      </c>
      <c r="AN26" s="36"/>
      <c r="AO26" s="37"/>
      <c r="AP26" s="37"/>
      <c r="AQ26" s="36">
        <v>1</v>
      </c>
      <c r="AR26" s="36"/>
      <c r="AS26" s="36"/>
      <c r="AT26" s="36"/>
      <c r="AU26" s="36"/>
      <c r="AV26" s="36"/>
      <c r="AW26" s="37"/>
      <c r="AX26" s="36"/>
      <c r="AY26" s="36"/>
      <c r="AZ26" s="37"/>
    </row>
    <row r="27" spans="1:57" x14ac:dyDescent="0.25">
      <c r="A27" s="17">
        <v>1</v>
      </c>
      <c r="B27" s="17"/>
      <c r="C27" s="37"/>
      <c r="D27" s="43" t="s">
        <v>2</v>
      </c>
      <c r="E27" s="43" t="s">
        <v>2</v>
      </c>
      <c r="F27" s="37"/>
      <c r="G27" s="37"/>
      <c r="H27" s="36">
        <v>1</v>
      </c>
      <c r="I27" s="36"/>
      <c r="J27" s="36">
        <v>1</v>
      </c>
      <c r="K27" s="36"/>
      <c r="L27" s="36">
        <v>1</v>
      </c>
      <c r="M27" s="36"/>
      <c r="N27" s="37"/>
      <c r="O27" s="36">
        <v>1</v>
      </c>
      <c r="P27" s="36"/>
      <c r="Q27" s="37"/>
      <c r="R27" s="37"/>
      <c r="S27" s="36">
        <v>1</v>
      </c>
      <c r="T27" s="36"/>
      <c r="U27" s="36">
        <v>1</v>
      </c>
      <c r="V27" s="36"/>
      <c r="W27" s="36">
        <v>1</v>
      </c>
      <c r="X27" s="36"/>
      <c r="Y27" s="36">
        <v>1</v>
      </c>
      <c r="Z27" s="36"/>
      <c r="AA27" s="36">
        <v>1</v>
      </c>
      <c r="AB27" s="36"/>
      <c r="AC27" s="37"/>
      <c r="AD27" s="37"/>
      <c r="AE27" s="36">
        <v>1</v>
      </c>
      <c r="AF27" s="36"/>
      <c r="AG27" s="36">
        <v>1</v>
      </c>
      <c r="AH27" s="36"/>
      <c r="AI27" s="36">
        <v>1</v>
      </c>
      <c r="AJ27" s="36"/>
      <c r="AK27" s="36">
        <v>1</v>
      </c>
      <c r="AL27" s="36"/>
      <c r="AM27" s="36">
        <v>1</v>
      </c>
      <c r="AN27" s="36"/>
      <c r="AO27" s="37"/>
      <c r="AP27" s="37"/>
      <c r="AQ27" s="36">
        <v>1</v>
      </c>
      <c r="AR27" s="36"/>
      <c r="AS27" s="36"/>
      <c r="AT27" s="36"/>
      <c r="AU27" s="36"/>
      <c r="AV27" s="36"/>
      <c r="AW27" s="37"/>
      <c r="AX27" s="41" t="s">
        <v>1</v>
      </c>
      <c r="AY27" s="41" t="s">
        <v>1</v>
      </c>
      <c r="AZ27" s="37"/>
    </row>
    <row r="28" spans="1:57" x14ac:dyDescent="0.25">
      <c r="A28" s="17">
        <v>1</v>
      </c>
      <c r="B28" s="17"/>
      <c r="C28" s="37"/>
      <c r="D28" s="43" t="s">
        <v>2</v>
      </c>
      <c r="E28" s="43" t="s">
        <v>2</v>
      </c>
      <c r="F28" s="37"/>
      <c r="G28" s="37"/>
      <c r="H28" s="36">
        <v>1</v>
      </c>
      <c r="I28" s="36"/>
      <c r="J28" s="36">
        <v>1</v>
      </c>
      <c r="K28" s="36"/>
      <c r="L28" s="36">
        <v>1</v>
      </c>
      <c r="M28" s="36"/>
      <c r="N28" s="37"/>
      <c r="O28" s="36">
        <v>1</v>
      </c>
      <c r="P28" s="36"/>
      <c r="Q28" s="37"/>
      <c r="R28" s="37"/>
      <c r="S28" s="36">
        <v>1</v>
      </c>
      <c r="T28" s="36"/>
      <c r="U28" s="36">
        <v>1</v>
      </c>
      <c r="V28" s="36"/>
      <c r="W28" s="36">
        <v>1</v>
      </c>
      <c r="X28" s="36"/>
      <c r="Y28" s="36">
        <v>1</v>
      </c>
      <c r="Z28" s="36"/>
      <c r="AA28" s="36">
        <v>1</v>
      </c>
      <c r="AB28" s="36"/>
      <c r="AC28" s="37"/>
      <c r="AD28" s="37"/>
      <c r="AE28" s="36">
        <v>1</v>
      </c>
      <c r="AF28" s="36"/>
      <c r="AG28" s="36">
        <v>1</v>
      </c>
      <c r="AH28" s="36"/>
      <c r="AI28" s="36">
        <v>1</v>
      </c>
      <c r="AJ28" s="36"/>
      <c r="AK28" s="36">
        <v>1</v>
      </c>
      <c r="AL28" s="36"/>
      <c r="AM28" s="36">
        <v>1</v>
      </c>
      <c r="AN28" s="36"/>
      <c r="AO28" s="37"/>
      <c r="AP28" s="37"/>
      <c r="AQ28" s="36">
        <v>1</v>
      </c>
      <c r="AR28" s="36"/>
      <c r="AS28" s="36"/>
      <c r="AT28" s="36"/>
      <c r="AU28" s="36"/>
      <c r="AV28" s="36"/>
      <c r="AW28" s="37"/>
      <c r="AX28" s="36"/>
      <c r="AY28" s="36"/>
      <c r="AZ28" s="37"/>
    </row>
    <row r="29" spans="1:57" x14ac:dyDescent="0.25">
      <c r="BC29" s="26" t="s">
        <v>78</v>
      </c>
      <c r="BD29" s="26" t="s">
        <v>79</v>
      </c>
      <c r="BE29" s="26" t="s">
        <v>80</v>
      </c>
    </row>
    <row r="30" spans="1:57" x14ac:dyDescent="0.25">
      <c r="A30" s="35" t="s">
        <v>9</v>
      </c>
      <c r="B30" s="19"/>
      <c r="C30" s="27" t="str">
        <f>IF(C11="","",SUM(C11:C28))</f>
        <v/>
      </c>
      <c r="D30" s="27">
        <f>SUM(D11:D28)</f>
        <v>8</v>
      </c>
      <c r="E30" s="27"/>
      <c r="F30" s="27"/>
      <c r="G30" s="27"/>
      <c r="H30" s="27">
        <f t="shared" ref="H30:AE30" si="0">SUM(H11:H28)</f>
        <v>15</v>
      </c>
      <c r="I30" s="27"/>
      <c r="J30" s="27">
        <f t="shared" si="0"/>
        <v>15</v>
      </c>
      <c r="K30" s="27"/>
      <c r="L30" s="27">
        <f t="shared" si="0"/>
        <v>15</v>
      </c>
      <c r="M30" s="27"/>
      <c r="N30" s="27"/>
      <c r="O30" s="27">
        <f t="shared" si="0"/>
        <v>7</v>
      </c>
      <c r="P30" s="27"/>
      <c r="Q30" s="27"/>
      <c r="R30" s="27"/>
      <c r="S30" s="27">
        <f t="shared" si="0"/>
        <v>16</v>
      </c>
      <c r="T30" s="27"/>
      <c r="U30" s="27">
        <f t="shared" si="0"/>
        <v>16</v>
      </c>
      <c r="V30" s="27"/>
      <c r="W30" s="27">
        <f t="shared" si="0"/>
        <v>15</v>
      </c>
      <c r="X30" s="27"/>
      <c r="Y30" s="27">
        <f t="shared" si="0"/>
        <v>15</v>
      </c>
      <c r="Z30" s="27"/>
      <c r="AA30" s="27">
        <f t="shared" si="0"/>
        <v>15</v>
      </c>
      <c r="AB30" s="27"/>
      <c r="AC30" s="27"/>
      <c r="AD30" s="27"/>
      <c r="AE30" s="27">
        <f t="shared" si="0"/>
        <v>16</v>
      </c>
      <c r="AF30" s="27"/>
      <c r="AG30" s="27">
        <f>IF(AG13="","",SUM(AG11:AG28))</f>
        <v>16</v>
      </c>
      <c r="AH30" s="27"/>
      <c r="AI30" s="27">
        <f t="shared" ref="AI30:AX30" si="1">IF(AI13="","",SUM(AI11:AI28))</f>
        <v>14</v>
      </c>
      <c r="AJ30" s="27"/>
      <c r="AK30" s="27">
        <f t="shared" si="1"/>
        <v>16</v>
      </c>
      <c r="AL30" s="27"/>
      <c r="AM30" s="27">
        <f t="shared" si="1"/>
        <v>15</v>
      </c>
      <c r="AN30" s="27"/>
      <c r="AO30" s="27"/>
      <c r="AP30" s="27"/>
      <c r="AQ30" s="27">
        <f t="shared" si="1"/>
        <v>16</v>
      </c>
      <c r="AR30" s="27"/>
      <c r="AS30" s="27" t="str">
        <f t="shared" si="1"/>
        <v/>
      </c>
      <c r="AT30" s="27"/>
      <c r="AU30" s="27" t="str">
        <f t="shared" si="1"/>
        <v/>
      </c>
      <c r="AV30" s="27"/>
      <c r="AW30" s="27"/>
      <c r="AX30" s="27" t="str">
        <f t="shared" si="1"/>
        <v/>
      </c>
      <c r="AY30" s="27"/>
      <c r="AZ30" s="27"/>
      <c r="BB30" s="50">
        <f>ROUND(AVERAGE(C30:AX30),1)</f>
        <v>14.4</v>
      </c>
      <c r="BC30" s="127">
        <f>COUNTIF((C10:AZ28),"RTT")/2</f>
        <v>17</v>
      </c>
      <c r="BD30" s="64">
        <f>COUNTIF((C10:AZ28),"CP")/2</f>
        <v>23</v>
      </c>
      <c r="BE30" s="128">
        <f>COUNTIF((C10:AZ28),"1")</f>
        <v>230</v>
      </c>
    </row>
    <row r="31" spans="1:57" x14ac:dyDescent="0.25">
      <c r="A31" s="35" t="s">
        <v>10</v>
      </c>
      <c r="B31" s="19"/>
      <c r="C31" s="27" t="str">
        <f>IF(C30="","",(18-C30))</f>
        <v/>
      </c>
      <c r="D31" s="27">
        <f t="shared" ref="D31:AX31" si="2">IF(D30="","",(18-D30))</f>
        <v>10</v>
      </c>
      <c r="E31" s="27"/>
      <c r="F31" s="27"/>
      <c r="G31" s="27"/>
      <c r="H31" s="27">
        <f t="shared" si="2"/>
        <v>3</v>
      </c>
      <c r="I31" s="27"/>
      <c r="J31" s="27">
        <f t="shared" si="2"/>
        <v>3</v>
      </c>
      <c r="K31" s="27"/>
      <c r="L31" s="27">
        <f t="shared" si="2"/>
        <v>3</v>
      </c>
      <c r="M31" s="27"/>
      <c r="N31" s="27"/>
      <c r="O31" s="27">
        <f t="shared" si="2"/>
        <v>11</v>
      </c>
      <c r="P31" s="27"/>
      <c r="Q31" s="27"/>
      <c r="R31" s="27"/>
      <c r="S31" s="27">
        <f t="shared" si="2"/>
        <v>2</v>
      </c>
      <c r="T31" s="27"/>
      <c r="U31" s="27">
        <f t="shared" si="2"/>
        <v>2</v>
      </c>
      <c r="V31" s="27"/>
      <c r="W31" s="27">
        <f t="shared" si="2"/>
        <v>3</v>
      </c>
      <c r="X31" s="27"/>
      <c r="Y31" s="27">
        <f t="shared" si="2"/>
        <v>3</v>
      </c>
      <c r="Z31" s="27"/>
      <c r="AA31" s="27">
        <f t="shared" si="2"/>
        <v>3</v>
      </c>
      <c r="AB31" s="27"/>
      <c r="AC31" s="27"/>
      <c r="AD31" s="27"/>
      <c r="AE31" s="27">
        <f t="shared" si="2"/>
        <v>2</v>
      </c>
      <c r="AF31" s="27"/>
      <c r="AG31" s="27">
        <f t="shared" si="2"/>
        <v>2</v>
      </c>
      <c r="AH31" s="27"/>
      <c r="AI31" s="27">
        <f t="shared" si="2"/>
        <v>4</v>
      </c>
      <c r="AJ31" s="27"/>
      <c r="AK31" s="27">
        <f t="shared" si="2"/>
        <v>2</v>
      </c>
      <c r="AL31" s="27"/>
      <c r="AM31" s="27">
        <f t="shared" si="2"/>
        <v>3</v>
      </c>
      <c r="AN31" s="27"/>
      <c r="AO31" s="27"/>
      <c r="AP31" s="27"/>
      <c r="AQ31" s="27">
        <f t="shared" si="2"/>
        <v>2</v>
      </c>
      <c r="AR31" s="27"/>
      <c r="AS31" s="27" t="str">
        <f t="shared" si="2"/>
        <v/>
      </c>
      <c r="AT31" s="27"/>
      <c r="AU31" s="27" t="str">
        <f t="shared" si="2"/>
        <v/>
      </c>
      <c r="AV31" s="27"/>
      <c r="AW31" s="27"/>
      <c r="AX31" s="27" t="str">
        <f t="shared" si="2"/>
        <v/>
      </c>
      <c r="AY31" s="27"/>
      <c r="AZ31" s="27"/>
      <c r="BB31" s="50">
        <f>ROUND(AVERAGE(C31:AX31),1)</f>
        <v>3.6</v>
      </c>
    </row>
    <row r="33" spans="1:52" x14ac:dyDescent="0.25">
      <c r="B33" s="26" t="s">
        <v>11</v>
      </c>
      <c r="C33" s="18">
        <v>41760</v>
      </c>
      <c r="D33" s="57">
        <v>41761</v>
      </c>
      <c r="E33" s="57"/>
      <c r="F33" s="18">
        <v>41762</v>
      </c>
      <c r="G33" s="18">
        <v>41763</v>
      </c>
      <c r="H33" s="57">
        <v>41764</v>
      </c>
      <c r="I33" s="57"/>
      <c r="J33" s="57">
        <v>41765</v>
      </c>
      <c r="K33" s="57"/>
      <c r="L33" s="57">
        <v>41766</v>
      </c>
      <c r="M33" s="57"/>
      <c r="N33" s="18">
        <v>41767</v>
      </c>
      <c r="O33" s="57">
        <v>41768</v>
      </c>
      <c r="P33" s="57"/>
      <c r="Q33" s="18">
        <v>41769</v>
      </c>
      <c r="R33" s="18">
        <v>41770</v>
      </c>
      <c r="S33" s="57">
        <v>41771</v>
      </c>
      <c r="T33" s="57"/>
      <c r="U33" s="57">
        <v>41772</v>
      </c>
      <c r="V33" s="57"/>
      <c r="W33" s="57">
        <v>41773</v>
      </c>
      <c r="X33" s="57"/>
      <c r="Y33" s="57">
        <v>41774</v>
      </c>
      <c r="Z33" s="57"/>
      <c r="AA33" s="57">
        <v>41775</v>
      </c>
      <c r="AB33" s="57"/>
      <c r="AC33" s="18">
        <v>41776</v>
      </c>
      <c r="AD33" s="18">
        <v>41777</v>
      </c>
      <c r="AE33" s="57">
        <v>41778</v>
      </c>
      <c r="AF33" s="57"/>
      <c r="AG33" s="57">
        <v>41779</v>
      </c>
      <c r="AH33" s="57"/>
      <c r="AI33" s="57">
        <v>41780</v>
      </c>
      <c r="AJ33" s="57"/>
      <c r="AK33" s="57">
        <v>41781</v>
      </c>
      <c r="AL33" s="57"/>
      <c r="AM33" s="57">
        <v>41782</v>
      </c>
      <c r="AN33" s="57"/>
      <c r="AO33" s="18">
        <v>41783</v>
      </c>
      <c r="AP33" s="18">
        <v>41784</v>
      </c>
      <c r="AQ33" s="57">
        <v>41785</v>
      </c>
      <c r="AR33" s="57"/>
      <c r="AS33" s="57">
        <v>41786</v>
      </c>
      <c r="AT33" s="57"/>
      <c r="AU33" s="57">
        <v>41787</v>
      </c>
      <c r="AV33" s="57"/>
      <c r="AW33" s="18">
        <v>41788</v>
      </c>
      <c r="AX33" s="57">
        <v>41789</v>
      </c>
      <c r="AY33" s="16"/>
      <c r="AZ33" s="18">
        <v>41790</v>
      </c>
    </row>
    <row r="34" spans="1:52" x14ac:dyDescent="0.25">
      <c r="A34" s="22">
        <v>2</v>
      </c>
      <c r="B34" s="22">
        <v>24</v>
      </c>
      <c r="C34" s="40"/>
      <c r="D34" s="39"/>
      <c r="E34" s="39" t="str">
        <f t="shared" ref="E34:E57" si="3">IF(D34="","",D34/B34)</f>
        <v/>
      </c>
      <c r="F34" s="40"/>
      <c r="G34" s="40"/>
      <c r="H34" s="39"/>
      <c r="I34" s="39" t="str">
        <f>IF(H34="","",H34/B34)</f>
        <v/>
      </c>
      <c r="J34" s="39">
        <v>26.437999999999999</v>
      </c>
      <c r="K34" s="39">
        <f>IF(J34="","",J34/B34)</f>
        <v>1.1015833333333334</v>
      </c>
      <c r="L34" s="39"/>
      <c r="M34" s="39" t="str">
        <f t="shared" ref="M34:M57" si="4">IF(L34="","",L34/B34)</f>
        <v/>
      </c>
      <c r="N34" s="40"/>
      <c r="O34" s="39"/>
      <c r="P34" s="39" t="str">
        <f t="shared" ref="P34:P57" si="5">IF(O34="","",O34/B34)</f>
        <v/>
      </c>
      <c r="Q34" s="40"/>
      <c r="R34" s="40"/>
      <c r="S34" s="39">
        <v>15.521000000000001</v>
      </c>
      <c r="T34" s="39">
        <f>IF(S34="","",S34/B34)</f>
        <v>0.64670833333333333</v>
      </c>
      <c r="U34" s="39">
        <v>24.4</v>
      </c>
      <c r="V34" s="39">
        <f>IF(U34="","",U34/B34)</f>
        <v>1.0166666666666666</v>
      </c>
      <c r="W34" s="39">
        <v>12.093999999999999</v>
      </c>
      <c r="X34" s="39">
        <f t="shared" ref="X34:X57" si="6">IF(W34="","",W34/B34)</f>
        <v>0.50391666666666668</v>
      </c>
      <c r="Y34" s="39">
        <f>17.786</f>
        <v>17.786000000000001</v>
      </c>
      <c r="Z34" s="39">
        <f t="shared" ref="Z34:Z57" si="7">IF(Y34="","",Y34/B34)</f>
        <v>0.74108333333333343</v>
      </c>
      <c r="AA34" s="39">
        <f>8.001</f>
        <v>8.0009999999999994</v>
      </c>
      <c r="AB34" s="39">
        <f t="shared" ref="AB34:AB57" si="8">IF(AA34="","",AA34/B34)</f>
        <v>0.33337499999999998</v>
      </c>
      <c r="AC34" s="40"/>
      <c r="AD34" s="40"/>
      <c r="AE34" s="39">
        <f>12.262</f>
        <v>12.262</v>
      </c>
      <c r="AF34" s="39">
        <f>IF(AE34="","",AE34/B34)</f>
        <v>0.51091666666666669</v>
      </c>
      <c r="AG34" s="39">
        <v>22.248999999999999</v>
      </c>
      <c r="AH34" s="39">
        <f>IF(AG34="","",AG34/B34)</f>
        <v>0.92704166666666665</v>
      </c>
      <c r="AI34" s="39">
        <v>22.277999999999999</v>
      </c>
      <c r="AJ34" s="39">
        <f>IF(AI34="","",AI34/B34)</f>
        <v>0.92824999999999991</v>
      </c>
      <c r="AK34" s="39">
        <f>12.444</f>
        <v>12.444000000000001</v>
      </c>
      <c r="AL34" s="39">
        <f>IF(AK34="","",AK34/B34)</f>
        <v>0.51850000000000007</v>
      </c>
      <c r="AM34" s="39">
        <v>9.0879999999999992</v>
      </c>
      <c r="AN34" s="39">
        <f>IF(AM34="","",AM34/B34)</f>
        <v>0.37866666666666665</v>
      </c>
      <c r="AO34" s="40"/>
      <c r="AP34" s="40"/>
      <c r="AQ34" s="39">
        <v>24.192</v>
      </c>
      <c r="AR34" s="39">
        <f>IF(AQ34="","",AQ34/B34)</f>
        <v>1.008</v>
      </c>
      <c r="AS34" s="39"/>
      <c r="AT34" s="39" t="str">
        <f>IF(AS34="","",AS34/B34)</f>
        <v/>
      </c>
      <c r="AU34" s="39"/>
      <c r="AV34" s="39" t="str">
        <f>IF(AU34="","",AU34/B34)</f>
        <v/>
      </c>
      <c r="AW34" s="40" t="str">
        <f t="shared" ref="AW34" si="9">IF(AV34="","",AV34/C34)</f>
        <v/>
      </c>
      <c r="AX34" s="39"/>
      <c r="AY34" s="39" t="str">
        <f>IF(AX34="","",AX34/B34)</f>
        <v/>
      </c>
      <c r="AZ34" s="40"/>
    </row>
    <row r="35" spans="1:52" x14ac:dyDescent="0.25">
      <c r="A35" s="22">
        <v>2</v>
      </c>
      <c r="B35" s="22">
        <v>15</v>
      </c>
      <c r="C35" s="40"/>
      <c r="D35" s="39">
        <v>4.45</v>
      </c>
      <c r="E35" s="39">
        <f t="shared" si="3"/>
        <v>0.29666666666666669</v>
      </c>
      <c r="F35" s="40"/>
      <c r="G35" s="40"/>
      <c r="H35" s="39">
        <v>9.6959999999999997</v>
      </c>
      <c r="I35" s="39">
        <f t="shared" ref="I35:I57" si="10">IF(H35="","",H35/B35)</f>
        <v>0.64639999999999997</v>
      </c>
      <c r="J35" s="39">
        <v>9.4949999999999992</v>
      </c>
      <c r="K35" s="39">
        <f t="shared" ref="K35:K57" si="11">IF(J35="","",J35/B35)</f>
        <v>0.6329999999999999</v>
      </c>
      <c r="L35" s="39">
        <v>12.257999999999999</v>
      </c>
      <c r="M35" s="39">
        <f t="shared" si="4"/>
        <v>0.81719999999999993</v>
      </c>
      <c r="N35" s="40"/>
      <c r="O35" s="39">
        <v>7.7220000000000004</v>
      </c>
      <c r="P35" s="39">
        <f t="shared" si="5"/>
        <v>0.51480000000000004</v>
      </c>
      <c r="Q35" s="40"/>
      <c r="R35" s="40"/>
      <c r="S35" s="39">
        <v>5.3209999999999997</v>
      </c>
      <c r="T35" s="39">
        <f t="shared" ref="T35:T57" si="12">IF(S35="","",S35/B35)</f>
        <v>0.35473333333333329</v>
      </c>
      <c r="U35" s="39">
        <v>1.901</v>
      </c>
      <c r="V35" s="39">
        <f t="shared" ref="V35:V57" si="13">IF(U35="","",U35/B35)</f>
        <v>0.12673333333333334</v>
      </c>
      <c r="W35" s="39">
        <f>7.676+11.734</f>
        <v>19.41</v>
      </c>
      <c r="X35" s="39">
        <f t="shared" si="6"/>
        <v>1.294</v>
      </c>
      <c r="Y35" s="39">
        <v>4.6689999999999996</v>
      </c>
      <c r="Z35" s="39">
        <f t="shared" si="7"/>
        <v>0.31126666666666664</v>
      </c>
      <c r="AA35" s="39">
        <f>8.09</f>
        <v>8.09</v>
      </c>
      <c r="AB35" s="39">
        <f t="shared" si="8"/>
        <v>0.53933333333333333</v>
      </c>
      <c r="AC35" s="40"/>
      <c r="AD35" s="40"/>
      <c r="AE35" s="39">
        <f>7.816</f>
        <v>7.8159999999999998</v>
      </c>
      <c r="AF35" s="39">
        <f t="shared" ref="AF35:AF57" si="14">IF(AE35="","",AE35/B35)</f>
        <v>0.52106666666666668</v>
      </c>
      <c r="AG35" s="39">
        <f>2.326</f>
        <v>2.3260000000000001</v>
      </c>
      <c r="AH35" s="39">
        <f t="shared" ref="AH35:AH57" si="15">IF(AG35="","",AG35/B35)</f>
        <v>0.15506666666666666</v>
      </c>
      <c r="AI35" s="39">
        <f>4.917</f>
        <v>4.9169999999999998</v>
      </c>
      <c r="AJ35" s="39">
        <f t="shared" ref="AJ35:AJ57" si="16">IF(AI35="","",AI35/B35)</f>
        <v>0.32779999999999998</v>
      </c>
      <c r="AK35" s="39">
        <f>5.938</f>
        <v>5.9379999999999997</v>
      </c>
      <c r="AL35" s="39">
        <f t="shared" ref="AL35:AL57" si="17">IF(AK35="","",AK35/B35)</f>
        <v>0.39586666666666664</v>
      </c>
      <c r="AM35" s="39">
        <f>9.697</f>
        <v>9.6969999999999992</v>
      </c>
      <c r="AN35" s="39">
        <f t="shared" ref="AN35:AN57" si="18">IF(AM35="","",AM35/B35)</f>
        <v>0.64646666666666663</v>
      </c>
      <c r="AO35" s="40"/>
      <c r="AP35" s="40"/>
      <c r="AQ35" s="39">
        <f>5.584</f>
        <v>5.5839999999999996</v>
      </c>
      <c r="AR35" s="39">
        <f t="shared" ref="AR35:AR57" si="19">IF(AQ35="","",AQ35/B35)</f>
        <v>0.37226666666666663</v>
      </c>
      <c r="AS35" s="39"/>
      <c r="AT35" s="39" t="str">
        <f t="shared" ref="AT35:AT57" si="20">IF(AS35="","",AS35/B35)</f>
        <v/>
      </c>
      <c r="AU35" s="39"/>
      <c r="AV35" s="39" t="str">
        <f t="shared" ref="AV35:AV57" si="21">IF(AU35="","",AU35/B35)</f>
        <v/>
      </c>
      <c r="AW35" s="40" t="str">
        <f t="shared" ref="AW35" si="22">IF(AV35="","",AV35/C35)</f>
        <v/>
      </c>
      <c r="AX35" s="39" t="str">
        <f t="shared" ref="AX35" si="23">IF(AW35="","",AW35/D35)</f>
        <v/>
      </c>
      <c r="AY35" s="39" t="str">
        <f t="shared" ref="AY35:AY57" si="24">IF(AX35="","",AX35/B35)</f>
        <v/>
      </c>
      <c r="AZ35" s="40"/>
    </row>
    <row r="36" spans="1:52" x14ac:dyDescent="0.25">
      <c r="A36" s="22">
        <v>2</v>
      </c>
      <c r="B36" s="22">
        <v>15</v>
      </c>
      <c r="C36" s="40"/>
      <c r="D36" s="39">
        <v>9.76</v>
      </c>
      <c r="E36" s="39">
        <f t="shared" si="3"/>
        <v>0.65066666666666662</v>
      </c>
      <c r="F36" s="40"/>
      <c r="G36" s="40"/>
      <c r="H36" s="39">
        <v>11.31</v>
      </c>
      <c r="I36" s="39">
        <f t="shared" si="10"/>
        <v>0.754</v>
      </c>
      <c r="J36" s="39">
        <f>7.605+10.633</f>
        <v>18.238</v>
      </c>
      <c r="K36" s="39">
        <f t="shared" si="11"/>
        <v>1.2158666666666667</v>
      </c>
      <c r="L36" s="39">
        <v>8.9540000000000006</v>
      </c>
      <c r="M36" s="39">
        <f t="shared" si="4"/>
        <v>0.59693333333333343</v>
      </c>
      <c r="N36" s="40"/>
      <c r="O36" s="39">
        <v>8.6039999999999992</v>
      </c>
      <c r="P36" s="39">
        <f t="shared" si="5"/>
        <v>0.5736</v>
      </c>
      <c r="Q36" s="40"/>
      <c r="R36" s="40"/>
      <c r="S36" s="39">
        <v>1.71</v>
      </c>
      <c r="T36" s="39">
        <f t="shared" si="12"/>
        <v>0.114</v>
      </c>
      <c r="U36" s="39">
        <v>5.8239999999999998</v>
      </c>
      <c r="V36" s="39">
        <f t="shared" si="13"/>
        <v>0.38826666666666665</v>
      </c>
      <c r="W36" s="39">
        <f>12.433</f>
        <v>12.433</v>
      </c>
      <c r="X36" s="39">
        <f t="shared" si="6"/>
        <v>0.82886666666666664</v>
      </c>
      <c r="Y36" s="39">
        <v>9.5429999999999993</v>
      </c>
      <c r="Z36" s="39">
        <f t="shared" si="7"/>
        <v>0.63619999999999999</v>
      </c>
      <c r="AA36" s="39">
        <f>10.179</f>
        <v>10.179</v>
      </c>
      <c r="AB36" s="39">
        <f t="shared" si="8"/>
        <v>0.67859999999999998</v>
      </c>
      <c r="AC36" s="40"/>
      <c r="AD36" s="40"/>
      <c r="AE36" s="39">
        <f>11.688</f>
        <v>11.688000000000001</v>
      </c>
      <c r="AF36" s="39">
        <f t="shared" si="14"/>
        <v>0.7792</v>
      </c>
      <c r="AG36" s="39">
        <f>8.155</f>
        <v>8.1549999999999994</v>
      </c>
      <c r="AH36" s="39">
        <f t="shared" si="15"/>
        <v>0.54366666666666663</v>
      </c>
      <c r="AI36" s="39">
        <f>11.191</f>
        <v>11.191000000000001</v>
      </c>
      <c r="AJ36" s="82">
        <f t="shared" si="16"/>
        <v>0.74606666666666677</v>
      </c>
      <c r="AK36" s="39">
        <f>10.832</f>
        <v>10.832000000000001</v>
      </c>
      <c r="AL36" s="39">
        <f t="shared" si="17"/>
        <v>0.7221333333333334</v>
      </c>
      <c r="AM36" s="39">
        <f>6.419</f>
        <v>6.4189999999999996</v>
      </c>
      <c r="AN36" s="39">
        <f t="shared" si="18"/>
        <v>0.42793333333333333</v>
      </c>
      <c r="AO36" s="40"/>
      <c r="AP36" s="40"/>
      <c r="AQ36" s="39">
        <f>11.795</f>
        <v>11.795</v>
      </c>
      <c r="AR36" s="39">
        <f t="shared" si="19"/>
        <v>0.78633333333333333</v>
      </c>
      <c r="AS36" s="39"/>
      <c r="AT36" s="39" t="str">
        <f t="shared" si="20"/>
        <v/>
      </c>
      <c r="AU36" s="39"/>
      <c r="AV36" s="39" t="str">
        <f t="shared" si="21"/>
        <v/>
      </c>
      <c r="AW36" s="40"/>
      <c r="AX36" s="39"/>
      <c r="AY36" s="39" t="str">
        <f t="shared" si="24"/>
        <v/>
      </c>
      <c r="AZ36" s="40"/>
    </row>
    <row r="37" spans="1:52" x14ac:dyDescent="0.25">
      <c r="A37" s="22">
        <v>2</v>
      </c>
      <c r="B37" s="22">
        <v>15</v>
      </c>
      <c r="C37" s="40"/>
      <c r="D37" s="39">
        <v>11.85</v>
      </c>
      <c r="E37" s="39">
        <f t="shared" si="3"/>
        <v>0.78999999999999992</v>
      </c>
      <c r="F37" s="40"/>
      <c r="G37" s="40"/>
      <c r="H37" s="39">
        <v>13.8</v>
      </c>
      <c r="I37" s="39">
        <f t="shared" si="10"/>
        <v>0.92</v>
      </c>
      <c r="J37" s="39">
        <v>5.6539999999999999</v>
      </c>
      <c r="K37" s="39">
        <f t="shared" si="11"/>
        <v>0.37693333333333334</v>
      </c>
      <c r="L37" s="39">
        <v>13.375</v>
      </c>
      <c r="M37" s="39">
        <f t="shared" si="4"/>
        <v>0.89166666666666672</v>
      </c>
      <c r="N37" s="40"/>
      <c r="O37" s="39">
        <v>14.577999999999999</v>
      </c>
      <c r="P37" s="39">
        <f t="shared" si="5"/>
        <v>0.97186666666666666</v>
      </c>
      <c r="Q37" s="40"/>
      <c r="R37" s="40"/>
      <c r="S37" s="39">
        <v>13.46</v>
      </c>
      <c r="T37" s="39">
        <f t="shared" si="12"/>
        <v>0.89733333333333343</v>
      </c>
      <c r="U37" s="39">
        <v>2.7320000000000002</v>
      </c>
      <c r="V37" s="39">
        <f t="shared" si="13"/>
        <v>0.18213333333333334</v>
      </c>
      <c r="W37" s="39">
        <v>14.44</v>
      </c>
      <c r="X37" s="39">
        <f t="shared" si="6"/>
        <v>0.96266666666666667</v>
      </c>
      <c r="Y37" s="39">
        <v>8.0969999999999995</v>
      </c>
      <c r="Z37" s="39">
        <f t="shared" si="7"/>
        <v>0.53979999999999995</v>
      </c>
      <c r="AA37" s="39">
        <v>5.5570000000000004</v>
      </c>
      <c r="AB37" s="39">
        <f t="shared" si="8"/>
        <v>0.37046666666666667</v>
      </c>
      <c r="AC37" s="40"/>
      <c r="AD37" s="40"/>
      <c r="AE37" s="39">
        <v>8.6349999999999998</v>
      </c>
      <c r="AF37" s="39">
        <f t="shared" si="14"/>
        <v>0.57566666666666666</v>
      </c>
      <c r="AG37" s="39">
        <f>14.221</f>
        <v>14.221</v>
      </c>
      <c r="AH37" s="39">
        <f t="shared" si="15"/>
        <v>0.94806666666666672</v>
      </c>
      <c r="AI37" s="39">
        <f>8.095</f>
        <v>8.0950000000000006</v>
      </c>
      <c r="AJ37" s="39">
        <f t="shared" si="16"/>
        <v>0.53966666666666674</v>
      </c>
      <c r="AK37" s="39">
        <f>10.496</f>
        <v>10.496</v>
      </c>
      <c r="AL37" s="39">
        <f t="shared" si="17"/>
        <v>0.69973333333333332</v>
      </c>
      <c r="AM37" s="39">
        <f>7.38</f>
        <v>7.38</v>
      </c>
      <c r="AN37" s="39">
        <f t="shared" si="18"/>
        <v>0.49199999999999999</v>
      </c>
      <c r="AO37" s="40"/>
      <c r="AP37" s="40"/>
      <c r="AQ37" s="39">
        <f>7.841</f>
        <v>7.8410000000000002</v>
      </c>
      <c r="AR37" s="39">
        <f t="shared" si="19"/>
        <v>0.52273333333333338</v>
      </c>
      <c r="AS37" s="39"/>
      <c r="AT37" s="39" t="str">
        <f t="shared" si="20"/>
        <v/>
      </c>
      <c r="AU37" s="39"/>
      <c r="AV37" s="39" t="str">
        <f t="shared" si="21"/>
        <v/>
      </c>
      <c r="AW37" s="40"/>
      <c r="AX37" s="39"/>
      <c r="AY37" s="39" t="str">
        <f t="shared" si="24"/>
        <v/>
      </c>
      <c r="AZ37" s="40"/>
    </row>
    <row r="38" spans="1:52" x14ac:dyDescent="0.25">
      <c r="A38" s="22">
        <v>2</v>
      </c>
      <c r="B38" s="22">
        <v>15</v>
      </c>
      <c r="C38" s="40"/>
      <c r="D38" s="39">
        <v>9.74</v>
      </c>
      <c r="E38" s="39">
        <f t="shared" si="3"/>
        <v>0.64933333333333332</v>
      </c>
      <c r="F38" s="40"/>
      <c r="G38" s="40"/>
      <c r="H38" s="39">
        <v>16.149000000000001</v>
      </c>
      <c r="I38" s="39">
        <f t="shared" si="10"/>
        <v>1.0766</v>
      </c>
      <c r="J38" s="39"/>
      <c r="K38" s="39" t="str">
        <f t="shared" si="11"/>
        <v/>
      </c>
      <c r="L38" s="39">
        <v>14.253</v>
      </c>
      <c r="M38" s="39">
        <f t="shared" si="4"/>
        <v>0.95020000000000004</v>
      </c>
      <c r="N38" s="40"/>
      <c r="O38" s="39">
        <v>10.426</v>
      </c>
      <c r="P38" s="39">
        <f t="shared" si="5"/>
        <v>0.69506666666666672</v>
      </c>
      <c r="Q38" s="40"/>
      <c r="R38" s="40"/>
      <c r="S38" s="39">
        <v>7.4669999999999996</v>
      </c>
      <c r="T38" s="39">
        <f t="shared" si="12"/>
        <v>0.49779999999999996</v>
      </c>
      <c r="U38" s="39">
        <v>1.4019999999999999</v>
      </c>
      <c r="V38" s="39">
        <f t="shared" si="13"/>
        <v>9.3466666666666656E-2</v>
      </c>
      <c r="W38" s="39">
        <v>7.367</v>
      </c>
      <c r="X38" s="39">
        <f t="shared" si="6"/>
        <v>0.49113333333333331</v>
      </c>
      <c r="Y38" s="39">
        <v>5.47</v>
      </c>
      <c r="Z38" s="39">
        <f t="shared" si="7"/>
        <v>0.36466666666666664</v>
      </c>
      <c r="AA38" s="39">
        <v>10.287000000000001</v>
      </c>
      <c r="AB38" s="39">
        <f t="shared" si="8"/>
        <v>0.68580000000000008</v>
      </c>
      <c r="AC38" s="40"/>
      <c r="AD38" s="40"/>
      <c r="AE38" s="39">
        <v>10.189</v>
      </c>
      <c r="AF38" s="39">
        <f t="shared" si="14"/>
        <v>0.67926666666666669</v>
      </c>
      <c r="AG38" s="39">
        <f>12.244</f>
        <v>12.244</v>
      </c>
      <c r="AH38" s="39">
        <f t="shared" si="15"/>
        <v>0.8162666666666667</v>
      </c>
      <c r="AI38" s="39">
        <f>12.906</f>
        <v>12.906000000000001</v>
      </c>
      <c r="AJ38" s="39">
        <f t="shared" si="16"/>
        <v>0.86040000000000005</v>
      </c>
      <c r="AK38" s="39">
        <f>13.918</f>
        <v>13.917999999999999</v>
      </c>
      <c r="AL38" s="39">
        <f t="shared" si="17"/>
        <v>0.92786666666666662</v>
      </c>
      <c r="AM38" s="39">
        <f>14.019</f>
        <v>14.019</v>
      </c>
      <c r="AN38" s="39">
        <f t="shared" si="18"/>
        <v>0.93459999999999999</v>
      </c>
      <c r="AO38" s="40"/>
      <c r="AP38" s="40"/>
      <c r="AQ38" s="39"/>
      <c r="AR38" s="39" t="str">
        <f t="shared" si="19"/>
        <v/>
      </c>
      <c r="AS38" s="39"/>
      <c r="AT38" s="39" t="str">
        <f t="shared" si="20"/>
        <v/>
      </c>
      <c r="AU38" s="39"/>
      <c r="AV38" s="39" t="str">
        <f t="shared" si="21"/>
        <v/>
      </c>
      <c r="AW38" s="40"/>
      <c r="AX38" s="39"/>
      <c r="AY38" s="39" t="str">
        <f t="shared" si="24"/>
        <v/>
      </c>
      <c r="AZ38" s="40"/>
    </row>
    <row r="39" spans="1:52" x14ac:dyDescent="0.25">
      <c r="A39" s="22">
        <v>2</v>
      </c>
      <c r="B39" s="22">
        <v>15</v>
      </c>
      <c r="C39" s="40"/>
      <c r="D39" s="39"/>
      <c r="E39" s="39" t="str">
        <f t="shared" si="3"/>
        <v/>
      </c>
      <c r="F39" s="40"/>
      <c r="G39" s="40"/>
      <c r="H39" s="39">
        <v>7.5519999999999996</v>
      </c>
      <c r="I39" s="39">
        <f t="shared" si="10"/>
        <v>0.50346666666666662</v>
      </c>
      <c r="J39" s="39">
        <v>9.3640000000000008</v>
      </c>
      <c r="K39" s="39">
        <f t="shared" si="11"/>
        <v>0.62426666666666675</v>
      </c>
      <c r="L39" s="39">
        <v>12.739000000000001</v>
      </c>
      <c r="M39" s="39">
        <f t="shared" si="4"/>
        <v>0.84926666666666673</v>
      </c>
      <c r="N39" s="40"/>
      <c r="O39" s="39">
        <v>7.9059999999999997</v>
      </c>
      <c r="P39" s="39">
        <f t="shared" si="5"/>
        <v>0.52706666666666668</v>
      </c>
      <c r="Q39" s="40"/>
      <c r="R39" s="40"/>
      <c r="S39" s="39">
        <v>8.8239999999999998</v>
      </c>
      <c r="T39" s="39">
        <f t="shared" si="12"/>
        <v>0.5882666666666666</v>
      </c>
      <c r="U39" s="39">
        <v>1.64</v>
      </c>
      <c r="V39" s="39">
        <f t="shared" si="13"/>
        <v>0.10933333333333332</v>
      </c>
      <c r="W39" s="39">
        <f>7.068</f>
        <v>7.0679999999999996</v>
      </c>
      <c r="X39" s="39">
        <f t="shared" si="6"/>
        <v>0.47119999999999995</v>
      </c>
      <c r="Y39" s="39">
        <v>11.262</v>
      </c>
      <c r="Z39" s="39">
        <f t="shared" si="7"/>
        <v>0.75080000000000002</v>
      </c>
      <c r="AA39" s="39">
        <f>7.536</f>
        <v>7.5359999999999996</v>
      </c>
      <c r="AB39" s="39">
        <f t="shared" si="8"/>
        <v>0.50239999999999996</v>
      </c>
      <c r="AC39" s="40"/>
      <c r="AD39" s="40"/>
      <c r="AE39" s="39">
        <f>6.975</f>
        <v>6.9749999999999996</v>
      </c>
      <c r="AF39" s="39">
        <f t="shared" si="14"/>
        <v>0.46499999999999997</v>
      </c>
      <c r="AG39" s="39">
        <f>11.725</f>
        <v>11.725</v>
      </c>
      <c r="AH39" s="39">
        <f t="shared" si="15"/>
        <v>0.78166666666666662</v>
      </c>
      <c r="AI39" s="39"/>
      <c r="AJ39" s="39" t="str">
        <f t="shared" si="16"/>
        <v/>
      </c>
      <c r="AK39" s="39">
        <v>11.494999999999999</v>
      </c>
      <c r="AL39" s="39">
        <f t="shared" si="17"/>
        <v>0.76633333333333331</v>
      </c>
      <c r="AM39" s="39">
        <v>13.82</v>
      </c>
      <c r="AN39" s="39">
        <f t="shared" si="18"/>
        <v>0.92133333333333334</v>
      </c>
      <c r="AO39" s="40"/>
      <c r="AP39" s="40"/>
      <c r="AQ39" s="39">
        <f>0.257</f>
        <v>0.25700000000000001</v>
      </c>
      <c r="AR39" s="39">
        <f t="shared" si="19"/>
        <v>1.7133333333333334E-2</v>
      </c>
      <c r="AS39" s="39"/>
      <c r="AT39" s="39" t="str">
        <f t="shared" si="20"/>
        <v/>
      </c>
      <c r="AU39" s="39"/>
      <c r="AV39" s="39" t="str">
        <f t="shared" si="21"/>
        <v/>
      </c>
      <c r="AW39" s="40"/>
      <c r="AX39" s="39"/>
      <c r="AY39" s="39" t="str">
        <f t="shared" si="24"/>
        <v/>
      </c>
      <c r="AZ39" s="40"/>
    </row>
    <row r="40" spans="1:52" x14ac:dyDescent="0.25">
      <c r="A40" s="22">
        <v>2</v>
      </c>
      <c r="B40" s="21">
        <v>24</v>
      </c>
      <c r="C40" s="40"/>
      <c r="D40" s="55"/>
      <c r="E40" s="55" t="str">
        <f t="shared" si="3"/>
        <v/>
      </c>
      <c r="F40" s="40"/>
      <c r="G40" s="40"/>
      <c r="H40" s="55">
        <v>14.832000000000001</v>
      </c>
      <c r="I40" s="55">
        <f t="shared" si="10"/>
        <v>0.61799999999999999</v>
      </c>
      <c r="J40" s="55">
        <v>19.337</v>
      </c>
      <c r="K40" s="55">
        <f t="shared" si="11"/>
        <v>0.80570833333333336</v>
      </c>
      <c r="L40" s="55">
        <v>10.14</v>
      </c>
      <c r="M40" s="55">
        <f t="shared" si="4"/>
        <v>0.42250000000000004</v>
      </c>
      <c r="N40" s="40"/>
      <c r="O40" s="55"/>
      <c r="P40" s="55" t="str">
        <f t="shared" si="5"/>
        <v/>
      </c>
      <c r="Q40" s="40"/>
      <c r="R40" s="40"/>
      <c r="S40" s="55">
        <v>16.119</v>
      </c>
      <c r="T40" s="55">
        <f t="shared" si="12"/>
        <v>0.67162500000000003</v>
      </c>
      <c r="U40" s="55">
        <v>13.768000000000001</v>
      </c>
      <c r="V40" s="55">
        <f t="shared" si="13"/>
        <v>0.57366666666666666</v>
      </c>
      <c r="W40" s="55"/>
      <c r="X40" s="55" t="str">
        <f t="shared" si="6"/>
        <v/>
      </c>
      <c r="Y40" s="55">
        <v>11.788</v>
      </c>
      <c r="Z40" s="55">
        <f t="shared" si="7"/>
        <v>0.4911666666666667</v>
      </c>
      <c r="AA40" s="55"/>
      <c r="AB40" s="55" t="str">
        <f t="shared" si="8"/>
        <v/>
      </c>
      <c r="AC40" s="40"/>
      <c r="AD40" s="40"/>
      <c r="AE40" s="55">
        <v>12.313000000000001</v>
      </c>
      <c r="AF40" s="55">
        <f t="shared" si="14"/>
        <v>0.51304166666666673</v>
      </c>
      <c r="AG40" s="55">
        <f>7.144</f>
        <v>7.1440000000000001</v>
      </c>
      <c r="AH40" s="55">
        <f t="shared" si="15"/>
        <v>0.29766666666666669</v>
      </c>
      <c r="AI40" s="55">
        <v>19.920999999999999</v>
      </c>
      <c r="AJ40" s="58">
        <f t="shared" si="16"/>
        <v>0.83004166666666668</v>
      </c>
      <c r="AK40" s="55">
        <f>9.342</f>
        <v>9.3420000000000005</v>
      </c>
      <c r="AL40" s="55">
        <f t="shared" si="17"/>
        <v>0.38925000000000004</v>
      </c>
      <c r="AM40" s="55">
        <f>18.19</f>
        <v>18.190000000000001</v>
      </c>
      <c r="AN40" s="55">
        <f t="shared" si="18"/>
        <v>0.75791666666666668</v>
      </c>
      <c r="AO40" s="40"/>
      <c r="AP40" s="40"/>
      <c r="AQ40" s="55">
        <f>5.369</f>
        <v>5.3689999999999998</v>
      </c>
      <c r="AR40" s="55">
        <f t="shared" si="19"/>
        <v>0.22370833333333331</v>
      </c>
      <c r="AS40" s="55"/>
      <c r="AT40" s="55" t="str">
        <f t="shared" si="20"/>
        <v/>
      </c>
      <c r="AU40" s="55"/>
      <c r="AV40" s="55" t="str">
        <f t="shared" si="21"/>
        <v/>
      </c>
      <c r="AW40" s="40"/>
      <c r="AX40" s="55"/>
      <c r="AY40" s="55" t="str">
        <f t="shared" si="24"/>
        <v/>
      </c>
      <c r="AZ40" s="40"/>
    </row>
    <row r="41" spans="1:52" x14ac:dyDescent="0.25">
      <c r="A41" s="22">
        <v>2</v>
      </c>
      <c r="B41" s="21">
        <v>13</v>
      </c>
      <c r="C41" s="40"/>
      <c r="D41" s="55"/>
      <c r="E41" s="55" t="str">
        <f t="shared" si="3"/>
        <v/>
      </c>
      <c r="F41" s="40"/>
      <c r="G41" s="40"/>
      <c r="H41" s="55"/>
      <c r="I41" s="55" t="str">
        <f t="shared" si="10"/>
        <v/>
      </c>
      <c r="J41" s="55">
        <v>7.41</v>
      </c>
      <c r="K41" s="55">
        <f t="shared" si="11"/>
        <v>0.57000000000000006</v>
      </c>
      <c r="L41" s="55"/>
      <c r="M41" s="55" t="str">
        <f t="shared" si="4"/>
        <v/>
      </c>
      <c r="N41" s="40"/>
      <c r="O41" s="55"/>
      <c r="P41" s="55" t="str">
        <f t="shared" si="5"/>
        <v/>
      </c>
      <c r="Q41" s="40"/>
      <c r="R41" s="40"/>
      <c r="S41" s="55">
        <v>11.161</v>
      </c>
      <c r="T41" s="58">
        <f t="shared" si="12"/>
        <v>0.85853846153846147</v>
      </c>
      <c r="U41" s="55">
        <v>12.446</v>
      </c>
      <c r="V41" s="55">
        <f t="shared" si="13"/>
        <v>0.95738461538461539</v>
      </c>
      <c r="W41" s="55"/>
      <c r="X41" s="55" t="str">
        <f t="shared" si="6"/>
        <v/>
      </c>
      <c r="Y41" s="55"/>
      <c r="Z41" s="55" t="str">
        <f t="shared" si="7"/>
        <v/>
      </c>
      <c r="AA41" s="55"/>
      <c r="AB41" s="55" t="str">
        <f t="shared" si="8"/>
        <v/>
      </c>
      <c r="AC41" s="40"/>
      <c r="AD41" s="40"/>
      <c r="AE41" s="55">
        <f>5.088</f>
        <v>5.0880000000000001</v>
      </c>
      <c r="AF41" s="55">
        <f t="shared" si="14"/>
        <v>0.39138461538461539</v>
      </c>
      <c r="AG41" s="55">
        <f>8.54</f>
        <v>8.5399999999999991</v>
      </c>
      <c r="AH41" s="55">
        <f t="shared" si="15"/>
        <v>0.65692307692307683</v>
      </c>
      <c r="AI41" s="55">
        <f>9.88</f>
        <v>9.8800000000000008</v>
      </c>
      <c r="AJ41" s="55">
        <f t="shared" si="16"/>
        <v>0.76</v>
      </c>
      <c r="AK41" s="55">
        <v>6.19</v>
      </c>
      <c r="AL41" s="55">
        <f t="shared" si="17"/>
        <v>0.47615384615384621</v>
      </c>
      <c r="AM41" s="55"/>
      <c r="AN41" s="55" t="str">
        <f t="shared" si="18"/>
        <v/>
      </c>
      <c r="AO41" s="40"/>
      <c r="AP41" s="40"/>
      <c r="AQ41" s="55">
        <f>9.522</f>
        <v>9.5220000000000002</v>
      </c>
      <c r="AR41" s="55">
        <f t="shared" si="19"/>
        <v>0.7324615384615385</v>
      </c>
      <c r="AS41" s="55"/>
      <c r="AT41" s="55" t="str">
        <f t="shared" si="20"/>
        <v/>
      </c>
      <c r="AU41" s="55"/>
      <c r="AV41" s="55" t="str">
        <f t="shared" si="21"/>
        <v/>
      </c>
      <c r="AW41" s="40"/>
      <c r="AX41" s="55"/>
      <c r="AY41" s="55" t="str">
        <f t="shared" si="24"/>
        <v/>
      </c>
      <c r="AZ41" s="40"/>
    </row>
    <row r="42" spans="1:52" x14ac:dyDescent="0.25">
      <c r="A42" s="22">
        <v>2</v>
      </c>
      <c r="B42" s="21">
        <v>15</v>
      </c>
      <c r="C42" s="40"/>
      <c r="D42" s="55">
        <v>6.81</v>
      </c>
      <c r="E42" s="55">
        <f t="shared" si="3"/>
        <v>0.45399999999999996</v>
      </c>
      <c r="F42" s="40"/>
      <c r="G42" s="40"/>
      <c r="H42" s="55">
        <v>9.3829999999999991</v>
      </c>
      <c r="I42" s="55">
        <f t="shared" si="10"/>
        <v>0.62553333333333327</v>
      </c>
      <c r="J42" s="55">
        <v>15.092000000000001</v>
      </c>
      <c r="K42" s="55">
        <f t="shared" si="11"/>
        <v>1.0061333333333333</v>
      </c>
      <c r="L42" s="55">
        <v>2.3809999999999998</v>
      </c>
      <c r="M42" s="55">
        <f t="shared" si="4"/>
        <v>0.15873333333333331</v>
      </c>
      <c r="N42" s="40"/>
      <c r="O42" s="55"/>
      <c r="P42" s="55" t="str">
        <f t="shared" si="5"/>
        <v/>
      </c>
      <c r="Q42" s="40"/>
      <c r="R42" s="40"/>
      <c r="S42" s="55">
        <v>14.906000000000001</v>
      </c>
      <c r="T42" s="55">
        <f t="shared" si="12"/>
        <v>0.99373333333333336</v>
      </c>
      <c r="U42" s="55">
        <v>11.536</v>
      </c>
      <c r="V42" s="55">
        <f t="shared" si="13"/>
        <v>0.76906666666666668</v>
      </c>
      <c r="W42" s="55">
        <v>8.1739999999999995</v>
      </c>
      <c r="X42" s="55">
        <f t="shared" si="6"/>
        <v>0.54493333333333327</v>
      </c>
      <c r="Y42" s="55">
        <v>10.641</v>
      </c>
      <c r="Z42" s="55">
        <f t="shared" si="7"/>
        <v>0.70940000000000003</v>
      </c>
      <c r="AA42" s="55">
        <v>2.7269999999999999</v>
      </c>
      <c r="AB42" s="55">
        <f t="shared" si="8"/>
        <v>0.18179999999999999</v>
      </c>
      <c r="AC42" s="40"/>
      <c r="AD42" s="40"/>
      <c r="AE42" s="55">
        <f>14.225</f>
        <v>14.225</v>
      </c>
      <c r="AF42" s="55">
        <f t="shared" si="14"/>
        <v>0.94833333333333336</v>
      </c>
      <c r="AG42" s="55">
        <f>7.519</f>
        <v>7.5190000000000001</v>
      </c>
      <c r="AH42" s="55">
        <f t="shared" si="15"/>
        <v>0.50126666666666664</v>
      </c>
      <c r="AI42" s="55"/>
      <c r="AJ42" s="55" t="str">
        <f t="shared" si="16"/>
        <v/>
      </c>
      <c r="AK42" s="55">
        <f>12.128</f>
        <v>12.128</v>
      </c>
      <c r="AL42" s="55">
        <f t="shared" si="17"/>
        <v>0.80853333333333333</v>
      </c>
      <c r="AM42" s="55">
        <f>14.474</f>
        <v>14.474</v>
      </c>
      <c r="AN42" s="55">
        <f t="shared" si="18"/>
        <v>0.96493333333333331</v>
      </c>
      <c r="AO42" s="40"/>
      <c r="AP42" s="40"/>
      <c r="AQ42" s="55">
        <f>15.545</f>
        <v>15.545</v>
      </c>
      <c r="AR42" s="55">
        <f t="shared" si="19"/>
        <v>1.0363333333333333</v>
      </c>
      <c r="AS42" s="55"/>
      <c r="AT42" s="55" t="str">
        <f t="shared" si="20"/>
        <v/>
      </c>
      <c r="AU42" s="55"/>
      <c r="AV42" s="55" t="str">
        <f t="shared" si="21"/>
        <v/>
      </c>
      <c r="AW42" s="40"/>
      <c r="AX42" s="55"/>
      <c r="AY42" s="55" t="str">
        <f t="shared" si="24"/>
        <v/>
      </c>
      <c r="AZ42" s="40"/>
    </row>
    <row r="43" spans="1:52" x14ac:dyDescent="0.25">
      <c r="A43" s="22">
        <v>2</v>
      </c>
      <c r="B43" s="21">
        <v>24</v>
      </c>
      <c r="C43" s="40"/>
      <c r="D43" s="55">
        <v>17.03</v>
      </c>
      <c r="E43" s="55">
        <f>IF(D43="","",D43/B43)</f>
        <v>0.70958333333333334</v>
      </c>
      <c r="F43" s="40"/>
      <c r="G43" s="40"/>
      <c r="H43" s="55">
        <v>8.58</v>
      </c>
      <c r="I43" s="55">
        <f t="shared" si="10"/>
        <v>0.35749999999999998</v>
      </c>
      <c r="J43" s="55"/>
      <c r="K43" s="55" t="str">
        <f t="shared" si="11"/>
        <v/>
      </c>
      <c r="L43" s="55">
        <v>12.87</v>
      </c>
      <c r="M43" s="55">
        <f t="shared" si="4"/>
        <v>0.53625</v>
      </c>
      <c r="N43" s="40"/>
      <c r="O43" s="55"/>
      <c r="P43" s="55" t="str">
        <f t="shared" si="5"/>
        <v/>
      </c>
      <c r="Q43" s="40"/>
      <c r="R43" s="40"/>
      <c r="S43" s="55">
        <f>24+2.86</f>
        <v>26.86</v>
      </c>
      <c r="T43" s="55">
        <f t="shared" si="12"/>
        <v>1.1191666666666666</v>
      </c>
      <c r="U43" s="55">
        <v>10.01</v>
      </c>
      <c r="V43" s="55">
        <f t="shared" si="13"/>
        <v>0.41708333333333331</v>
      </c>
      <c r="W43" s="55">
        <f>14.986</f>
        <v>14.986000000000001</v>
      </c>
      <c r="X43" s="55">
        <f t="shared" si="6"/>
        <v>0.62441666666666673</v>
      </c>
      <c r="Y43" s="55">
        <v>10.952</v>
      </c>
      <c r="Z43" s="55">
        <f t="shared" si="7"/>
        <v>0.45633333333333331</v>
      </c>
      <c r="AA43" s="55">
        <f>22.935</f>
        <v>22.934999999999999</v>
      </c>
      <c r="AB43" s="55">
        <f t="shared" si="8"/>
        <v>0.95562499999999995</v>
      </c>
      <c r="AC43" s="40"/>
      <c r="AD43" s="40"/>
      <c r="AE43" s="55">
        <f>12.869</f>
        <v>12.869</v>
      </c>
      <c r="AF43" s="55">
        <f t="shared" si="14"/>
        <v>0.53620833333333329</v>
      </c>
      <c r="AG43" s="55">
        <f>5.34</f>
        <v>5.34</v>
      </c>
      <c r="AH43" s="55">
        <f t="shared" si="15"/>
        <v>0.2225</v>
      </c>
      <c r="AI43" s="55">
        <f>17.452</f>
        <v>17.452000000000002</v>
      </c>
      <c r="AJ43" s="55">
        <f t="shared" si="16"/>
        <v>0.72716666666666674</v>
      </c>
      <c r="AK43" s="55">
        <f>18.22</f>
        <v>18.22</v>
      </c>
      <c r="AL43" s="55">
        <f t="shared" si="17"/>
        <v>0.75916666666666666</v>
      </c>
      <c r="AM43" s="55">
        <f>4.29</f>
        <v>4.29</v>
      </c>
      <c r="AN43" s="55">
        <f t="shared" si="18"/>
        <v>0.17874999999999999</v>
      </c>
      <c r="AO43" s="40"/>
      <c r="AP43" s="40"/>
      <c r="AQ43" s="55">
        <v>7.08</v>
      </c>
      <c r="AR43" s="55">
        <f t="shared" si="19"/>
        <v>0.29499999999999998</v>
      </c>
      <c r="AS43" s="55"/>
      <c r="AT43" s="55" t="str">
        <f t="shared" si="20"/>
        <v/>
      </c>
      <c r="AU43" s="55"/>
      <c r="AV43" s="55" t="str">
        <f t="shared" si="21"/>
        <v/>
      </c>
      <c r="AW43" s="40"/>
      <c r="AX43" s="55"/>
      <c r="AY43" s="55" t="str">
        <f t="shared" si="24"/>
        <v/>
      </c>
      <c r="AZ43" s="40"/>
    </row>
    <row r="44" spans="1:52" x14ac:dyDescent="0.25">
      <c r="A44" s="22">
        <v>2</v>
      </c>
      <c r="B44" s="21">
        <v>15</v>
      </c>
      <c r="C44" s="40"/>
      <c r="D44" s="55"/>
      <c r="E44" s="55" t="str">
        <f t="shared" si="3"/>
        <v/>
      </c>
      <c r="F44" s="40"/>
      <c r="G44" s="40"/>
      <c r="H44" s="55"/>
      <c r="I44" s="55" t="str">
        <f t="shared" si="10"/>
        <v/>
      </c>
      <c r="J44" s="55">
        <f>1.83+5.706</f>
        <v>7.5360000000000005</v>
      </c>
      <c r="K44" s="55">
        <f t="shared" si="11"/>
        <v>0.50240000000000007</v>
      </c>
      <c r="L44" s="55">
        <v>2.44</v>
      </c>
      <c r="M44" s="55">
        <f t="shared" si="4"/>
        <v>0.16266666666666665</v>
      </c>
      <c r="N44" s="40"/>
      <c r="O44" s="55"/>
      <c r="P44" s="55" t="str">
        <f t="shared" si="5"/>
        <v/>
      </c>
      <c r="Q44" s="40"/>
      <c r="R44" s="40"/>
      <c r="S44" s="55">
        <v>15.414</v>
      </c>
      <c r="T44" s="58">
        <f t="shared" si="12"/>
        <v>1.0276000000000001</v>
      </c>
      <c r="U44" s="55"/>
      <c r="V44" s="55" t="str">
        <f t="shared" si="13"/>
        <v/>
      </c>
      <c r="W44" s="55">
        <f>10.269+3.66</f>
        <v>13.929</v>
      </c>
      <c r="X44" s="55">
        <f t="shared" si="6"/>
        <v>0.92859999999999998</v>
      </c>
      <c r="Y44" s="55">
        <v>7.0759999999999996</v>
      </c>
      <c r="Z44" s="55">
        <f t="shared" si="7"/>
        <v>0.47173333333333328</v>
      </c>
      <c r="AA44" s="55">
        <v>10.846</v>
      </c>
      <c r="AB44" s="55">
        <f t="shared" si="8"/>
        <v>0.72306666666666664</v>
      </c>
      <c r="AC44" s="40"/>
      <c r="AD44" s="40"/>
      <c r="AE44" s="55">
        <f>4.786+4.68</f>
        <v>9.4659999999999993</v>
      </c>
      <c r="AF44" s="55">
        <f t="shared" si="14"/>
        <v>0.63106666666666666</v>
      </c>
      <c r="AG44" s="55">
        <f>3.05+2.196</f>
        <v>5.2460000000000004</v>
      </c>
      <c r="AH44" s="55">
        <f t="shared" si="15"/>
        <v>0.34973333333333334</v>
      </c>
      <c r="AI44" s="55">
        <f>4.719</f>
        <v>4.7190000000000003</v>
      </c>
      <c r="AJ44" s="55">
        <f t="shared" si="16"/>
        <v>0.31460000000000005</v>
      </c>
      <c r="AK44" s="55">
        <v>7.6139999999999999</v>
      </c>
      <c r="AL44" s="55">
        <f t="shared" si="17"/>
        <v>0.50759999999999994</v>
      </c>
      <c r="AM44" s="55">
        <f>4.74</f>
        <v>4.74</v>
      </c>
      <c r="AN44" s="55">
        <f t="shared" si="18"/>
        <v>0.316</v>
      </c>
      <c r="AO44" s="40"/>
      <c r="AP44" s="40"/>
      <c r="AQ44" s="55"/>
      <c r="AR44" s="55" t="str">
        <f t="shared" si="19"/>
        <v/>
      </c>
      <c r="AS44" s="55"/>
      <c r="AT44" s="55" t="str">
        <f t="shared" si="20"/>
        <v/>
      </c>
      <c r="AU44" s="55"/>
      <c r="AV44" s="55" t="str">
        <f t="shared" si="21"/>
        <v/>
      </c>
      <c r="AW44" s="40"/>
      <c r="AX44" s="55"/>
      <c r="AY44" s="55" t="str">
        <f t="shared" si="24"/>
        <v/>
      </c>
      <c r="AZ44" s="40"/>
    </row>
    <row r="45" spans="1:52" x14ac:dyDescent="0.25">
      <c r="A45" s="22">
        <v>2</v>
      </c>
      <c r="B45" s="22">
        <v>24</v>
      </c>
      <c r="C45" s="40"/>
      <c r="D45" s="39"/>
      <c r="E45" s="39" t="str">
        <f t="shared" si="3"/>
        <v/>
      </c>
      <c r="F45" s="40"/>
      <c r="G45" s="40"/>
      <c r="H45" s="39">
        <v>18.106999999999999</v>
      </c>
      <c r="I45" s="39">
        <f t="shared" si="10"/>
        <v>0.75445833333333334</v>
      </c>
      <c r="J45" s="39"/>
      <c r="K45" s="39" t="str">
        <f t="shared" si="11"/>
        <v/>
      </c>
      <c r="L45" s="39">
        <v>9.6910000000000007</v>
      </c>
      <c r="M45" s="39">
        <f t="shared" si="4"/>
        <v>0.40379166666666672</v>
      </c>
      <c r="N45" s="40"/>
      <c r="O45" s="39"/>
      <c r="P45" s="39" t="str">
        <f t="shared" si="5"/>
        <v/>
      </c>
      <c r="Q45" s="40"/>
      <c r="R45" s="40"/>
      <c r="S45" s="39">
        <v>15.55</v>
      </c>
      <c r="T45" s="39">
        <f t="shared" si="12"/>
        <v>0.6479166666666667</v>
      </c>
      <c r="U45" s="39"/>
      <c r="V45" s="39" t="str">
        <f t="shared" si="13"/>
        <v/>
      </c>
      <c r="W45" s="39">
        <f>21.583</f>
        <v>21.582999999999998</v>
      </c>
      <c r="X45" s="39">
        <f t="shared" si="6"/>
        <v>0.8992916666666666</v>
      </c>
      <c r="Y45" s="39"/>
      <c r="Z45" s="39" t="str">
        <f t="shared" si="7"/>
        <v/>
      </c>
      <c r="AA45" s="39">
        <v>9.6890000000000001</v>
      </c>
      <c r="AB45" s="39">
        <f t="shared" si="8"/>
        <v>0.40370833333333334</v>
      </c>
      <c r="AC45" s="40"/>
      <c r="AD45" s="40"/>
      <c r="AE45" s="39">
        <f>19.652</f>
        <v>19.652000000000001</v>
      </c>
      <c r="AF45" s="39">
        <f t="shared" si="14"/>
        <v>0.81883333333333341</v>
      </c>
      <c r="AG45" s="39"/>
      <c r="AH45" s="39" t="str">
        <f t="shared" si="15"/>
        <v/>
      </c>
      <c r="AI45" s="39">
        <f>22.42</f>
        <v>22.42</v>
      </c>
      <c r="AJ45" s="39">
        <f t="shared" si="16"/>
        <v>0.9341666666666667</v>
      </c>
      <c r="AK45" s="39"/>
      <c r="AL45" s="39" t="str">
        <f t="shared" si="17"/>
        <v/>
      </c>
      <c r="AM45" s="39">
        <f>3.487</f>
        <v>3.4870000000000001</v>
      </c>
      <c r="AN45" s="39">
        <f t="shared" si="18"/>
        <v>0.14529166666666668</v>
      </c>
      <c r="AO45" s="40"/>
      <c r="AP45" s="40"/>
      <c r="AQ45" s="39">
        <f>22.087</f>
        <v>22.087</v>
      </c>
      <c r="AR45" s="39">
        <f t="shared" si="19"/>
        <v>0.92029166666666662</v>
      </c>
      <c r="AS45" s="39"/>
      <c r="AT45" s="39" t="str">
        <f t="shared" si="20"/>
        <v/>
      </c>
      <c r="AU45" s="39"/>
      <c r="AV45" s="39" t="str">
        <f t="shared" si="21"/>
        <v/>
      </c>
      <c r="AW45" s="40"/>
      <c r="AX45" s="39"/>
      <c r="AY45" s="39" t="str">
        <f t="shared" si="24"/>
        <v/>
      </c>
      <c r="AZ45" s="40"/>
    </row>
    <row r="46" spans="1:52" x14ac:dyDescent="0.25">
      <c r="A46" s="22">
        <v>2</v>
      </c>
      <c r="B46" s="22">
        <v>24</v>
      </c>
      <c r="C46" s="40"/>
      <c r="D46" s="39"/>
      <c r="E46" s="39" t="str">
        <f t="shared" si="3"/>
        <v/>
      </c>
      <c r="F46" s="40"/>
      <c r="G46" s="40"/>
      <c r="H46" s="39"/>
      <c r="I46" s="39" t="str">
        <f t="shared" si="10"/>
        <v/>
      </c>
      <c r="J46" s="39">
        <v>8.4420000000000002</v>
      </c>
      <c r="K46" s="39">
        <f t="shared" si="11"/>
        <v>0.35175000000000001</v>
      </c>
      <c r="L46" s="39"/>
      <c r="M46" s="39" t="str">
        <f t="shared" si="4"/>
        <v/>
      </c>
      <c r="N46" s="40"/>
      <c r="O46" s="39">
        <v>10.542</v>
      </c>
      <c r="P46" s="39">
        <f t="shared" si="5"/>
        <v>0.43924999999999997</v>
      </c>
      <c r="Q46" s="40"/>
      <c r="R46" s="40"/>
      <c r="S46" s="39"/>
      <c r="T46" s="39" t="str">
        <f t="shared" si="12"/>
        <v/>
      </c>
      <c r="U46" s="39"/>
      <c r="V46" s="39" t="str">
        <f t="shared" si="13"/>
        <v/>
      </c>
      <c r="W46" s="39"/>
      <c r="X46" s="39" t="str">
        <f t="shared" si="6"/>
        <v/>
      </c>
      <c r="Y46" s="39"/>
      <c r="Z46" s="39" t="str">
        <f t="shared" si="7"/>
        <v/>
      </c>
      <c r="AA46" s="39"/>
      <c r="AB46" s="39" t="str">
        <f t="shared" si="8"/>
        <v/>
      </c>
      <c r="AC46" s="40"/>
      <c r="AD46" s="40"/>
      <c r="AE46" s="39">
        <v>18.265000000000001</v>
      </c>
      <c r="AF46" s="39">
        <f t="shared" si="14"/>
        <v>0.76104166666666673</v>
      </c>
      <c r="AG46" s="39"/>
      <c r="AH46" s="39" t="str">
        <f t="shared" si="15"/>
        <v/>
      </c>
      <c r="AI46" s="39"/>
      <c r="AJ46" s="39" t="str">
        <f t="shared" si="16"/>
        <v/>
      </c>
      <c r="AK46" s="39"/>
      <c r="AL46" s="39" t="str">
        <f t="shared" si="17"/>
        <v/>
      </c>
      <c r="AM46" s="39"/>
      <c r="AN46" s="39" t="str">
        <f t="shared" si="18"/>
        <v/>
      </c>
      <c r="AO46" s="40"/>
      <c r="AP46" s="40"/>
      <c r="AQ46" s="39"/>
      <c r="AR46" s="39" t="str">
        <f t="shared" si="19"/>
        <v/>
      </c>
      <c r="AS46" s="39"/>
      <c r="AT46" s="39" t="str">
        <f t="shared" si="20"/>
        <v/>
      </c>
      <c r="AU46" s="39"/>
      <c r="AV46" s="39" t="str">
        <f t="shared" si="21"/>
        <v/>
      </c>
      <c r="AW46" s="40"/>
      <c r="AX46" s="39"/>
      <c r="AY46" s="39" t="str">
        <f t="shared" si="24"/>
        <v/>
      </c>
      <c r="AZ46" s="40"/>
    </row>
    <row r="47" spans="1:52" x14ac:dyDescent="0.25">
      <c r="A47" s="22">
        <v>2</v>
      </c>
      <c r="B47" s="22">
        <v>15</v>
      </c>
      <c r="C47" s="40"/>
      <c r="D47" s="39"/>
      <c r="E47" s="39" t="str">
        <f t="shared" si="3"/>
        <v/>
      </c>
      <c r="F47" s="40"/>
      <c r="G47" s="40"/>
      <c r="H47" s="39">
        <v>8.4390000000000001</v>
      </c>
      <c r="I47" s="39">
        <f t="shared" si="10"/>
        <v>0.56259999999999999</v>
      </c>
      <c r="J47" s="39">
        <v>4.2</v>
      </c>
      <c r="K47" s="39">
        <f t="shared" si="11"/>
        <v>0.28000000000000003</v>
      </c>
      <c r="L47" s="39">
        <v>6.5830000000000002</v>
      </c>
      <c r="M47" s="39">
        <f t="shared" si="4"/>
        <v>0.43886666666666668</v>
      </c>
      <c r="N47" s="40"/>
      <c r="O47" s="39"/>
      <c r="P47" s="39" t="str">
        <f t="shared" si="5"/>
        <v/>
      </c>
      <c r="Q47" s="40"/>
      <c r="R47" s="40"/>
      <c r="S47" s="39">
        <v>7.5819999999999999</v>
      </c>
      <c r="T47" s="39">
        <f>IF(S47="","",S47/B47)</f>
        <v>0.50546666666666662</v>
      </c>
      <c r="U47" s="39">
        <v>6.617</v>
      </c>
      <c r="V47" s="39">
        <f t="shared" si="13"/>
        <v>0.44113333333333332</v>
      </c>
      <c r="W47" s="39">
        <f>7.67</f>
        <v>7.67</v>
      </c>
      <c r="X47" s="39">
        <f t="shared" si="6"/>
        <v>0.51133333333333331</v>
      </c>
      <c r="Y47" s="39">
        <f>12.24+10.725</f>
        <v>22.965</v>
      </c>
      <c r="Z47" s="39">
        <f t="shared" si="7"/>
        <v>1.5309999999999999</v>
      </c>
      <c r="AA47" s="39">
        <f>3.991</f>
        <v>3.9910000000000001</v>
      </c>
      <c r="AB47" s="39">
        <f t="shared" si="8"/>
        <v>0.26606666666666667</v>
      </c>
      <c r="AC47" s="40"/>
      <c r="AD47" s="40"/>
      <c r="AE47" s="39">
        <f>7.184</f>
        <v>7.1840000000000002</v>
      </c>
      <c r="AF47" s="39">
        <f t="shared" si="14"/>
        <v>0.47893333333333332</v>
      </c>
      <c r="AG47" s="39">
        <f>11.384</f>
        <v>11.384</v>
      </c>
      <c r="AH47" s="39">
        <f t="shared" si="15"/>
        <v>0.75893333333333335</v>
      </c>
      <c r="AI47" s="39">
        <f>11.287</f>
        <v>11.287000000000001</v>
      </c>
      <c r="AJ47" s="39">
        <f t="shared" si="16"/>
        <v>0.75246666666666673</v>
      </c>
      <c r="AK47" s="39">
        <f>12.214</f>
        <v>12.214</v>
      </c>
      <c r="AL47" s="39">
        <f t="shared" si="17"/>
        <v>0.81426666666666669</v>
      </c>
      <c r="AM47" s="39">
        <f>10.415</f>
        <v>10.414999999999999</v>
      </c>
      <c r="AN47" s="39">
        <f t="shared" si="18"/>
        <v>0.69433333333333325</v>
      </c>
      <c r="AO47" s="40"/>
      <c r="AP47" s="40"/>
      <c r="AQ47" s="39">
        <f>3.748</f>
        <v>3.7480000000000002</v>
      </c>
      <c r="AR47" s="39">
        <f t="shared" si="19"/>
        <v>0.24986666666666668</v>
      </c>
      <c r="AS47" s="39"/>
      <c r="AT47" s="39" t="str">
        <f t="shared" si="20"/>
        <v/>
      </c>
      <c r="AU47" s="39"/>
      <c r="AV47" s="39" t="str">
        <f t="shared" si="21"/>
        <v/>
      </c>
      <c r="AW47" s="40"/>
      <c r="AX47" s="39"/>
      <c r="AY47" s="39" t="str">
        <f t="shared" si="24"/>
        <v/>
      </c>
      <c r="AZ47" s="40"/>
    </row>
    <row r="48" spans="1:52" x14ac:dyDescent="0.25">
      <c r="A48" s="22">
        <v>2</v>
      </c>
      <c r="B48" s="22">
        <v>24</v>
      </c>
      <c r="C48" s="40"/>
      <c r="D48" s="39"/>
      <c r="E48" s="39" t="str">
        <f t="shared" si="3"/>
        <v/>
      </c>
      <c r="F48" s="40"/>
      <c r="G48" s="40"/>
      <c r="H48" s="39">
        <f>15.64</f>
        <v>15.64</v>
      </c>
      <c r="I48" s="39">
        <f t="shared" si="10"/>
        <v>0.65166666666666673</v>
      </c>
      <c r="J48" s="39">
        <f>18.239+6.65</f>
        <v>24.889000000000003</v>
      </c>
      <c r="K48" s="39">
        <f t="shared" si="11"/>
        <v>1.0370416666666669</v>
      </c>
      <c r="L48" s="39">
        <f>16.09+5.32</f>
        <v>21.41</v>
      </c>
      <c r="M48" s="39">
        <f t="shared" si="4"/>
        <v>0.89208333333333334</v>
      </c>
      <c r="N48" s="40"/>
      <c r="O48" s="39">
        <v>16.079999999999998</v>
      </c>
      <c r="P48" s="39">
        <f t="shared" si="5"/>
        <v>0.66999999999999993</v>
      </c>
      <c r="Q48" s="40"/>
      <c r="R48" s="40"/>
      <c r="S48" s="39">
        <v>11.97</v>
      </c>
      <c r="T48" s="39">
        <f t="shared" si="12"/>
        <v>0.49875000000000003</v>
      </c>
      <c r="U48" s="39">
        <v>10.24</v>
      </c>
      <c r="V48" s="39">
        <f t="shared" si="13"/>
        <v>0.42666666666666669</v>
      </c>
      <c r="W48" s="39">
        <v>13.41</v>
      </c>
      <c r="X48" s="39">
        <f t="shared" si="6"/>
        <v>0.55874999999999997</v>
      </c>
      <c r="Y48" s="39">
        <v>16.440000000000001</v>
      </c>
      <c r="Z48" s="39">
        <f t="shared" si="7"/>
        <v>0.68500000000000005</v>
      </c>
      <c r="AA48" s="39">
        <v>17.309999999999999</v>
      </c>
      <c r="AB48" s="39">
        <f t="shared" si="8"/>
        <v>0.72124999999999995</v>
      </c>
      <c r="AC48" s="40"/>
      <c r="AD48" s="40"/>
      <c r="AE48" s="39">
        <f>14.8</f>
        <v>14.8</v>
      </c>
      <c r="AF48" s="39">
        <f t="shared" si="14"/>
        <v>0.6166666666666667</v>
      </c>
      <c r="AG48" s="39">
        <f>3.66+24</f>
        <v>27.66</v>
      </c>
      <c r="AH48" s="39">
        <f t="shared" si="15"/>
        <v>1.1525000000000001</v>
      </c>
      <c r="AI48" s="39">
        <f>11.95</f>
        <v>11.95</v>
      </c>
      <c r="AJ48" s="39">
        <f t="shared" si="16"/>
        <v>0.49791666666666662</v>
      </c>
      <c r="AK48" s="39">
        <f>13.12</f>
        <v>13.12</v>
      </c>
      <c r="AL48" s="39">
        <f t="shared" si="17"/>
        <v>0.54666666666666663</v>
      </c>
      <c r="AM48" s="39">
        <f>9.39</f>
        <v>9.39</v>
      </c>
      <c r="AN48" s="39">
        <f t="shared" si="18"/>
        <v>0.39125000000000004</v>
      </c>
      <c r="AO48" s="40"/>
      <c r="AP48" s="40"/>
      <c r="AQ48" s="39">
        <f>22.548</f>
        <v>22.547999999999998</v>
      </c>
      <c r="AR48" s="39">
        <f t="shared" si="19"/>
        <v>0.93949999999999989</v>
      </c>
      <c r="AS48" s="39"/>
      <c r="AT48" s="39" t="str">
        <f t="shared" si="20"/>
        <v/>
      </c>
      <c r="AU48" s="39"/>
      <c r="AV48" s="39" t="str">
        <f t="shared" si="21"/>
        <v/>
      </c>
      <c r="AW48" s="40"/>
      <c r="AX48" s="39"/>
      <c r="AY48" s="39" t="str">
        <f t="shared" si="24"/>
        <v/>
      </c>
      <c r="AZ48" s="40"/>
    </row>
    <row r="49" spans="1:54" x14ac:dyDescent="0.25">
      <c r="A49" s="22">
        <v>2</v>
      </c>
      <c r="B49" s="22">
        <v>24</v>
      </c>
      <c r="C49" s="40"/>
      <c r="D49" s="39">
        <v>20</v>
      </c>
      <c r="E49" s="39">
        <f t="shared" si="3"/>
        <v>0.83333333333333337</v>
      </c>
      <c r="F49" s="40"/>
      <c r="G49" s="40"/>
      <c r="H49" s="39">
        <f>14.32+9.107</f>
        <v>23.427</v>
      </c>
      <c r="I49" s="39">
        <f t="shared" si="10"/>
        <v>0.97612500000000002</v>
      </c>
      <c r="J49" s="39">
        <v>21.312999999999999</v>
      </c>
      <c r="K49" s="39">
        <f t="shared" si="11"/>
        <v>0.88804166666666662</v>
      </c>
      <c r="L49" s="39">
        <f>8.544+18.957</f>
        <v>27.501000000000001</v>
      </c>
      <c r="M49" s="39">
        <f t="shared" si="4"/>
        <v>1.145875</v>
      </c>
      <c r="N49" s="40"/>
      <c r="O49" s="39"/>
      <c r="P49" s="39" t="str">
        <f t="shared" si="5"/>
        <v/>
      </c>
      <c r="Q49" s="40"/>
      <c r="R49" s="40"/>
      <c r="S49" s="39"/>
      <c r="T49" s="39" t="str">
        <f t="shared" si="12"/>
        <v/>
      </c>
      <c r="U49" s="39"/>
      <c r="V49" s="39" t="str">
        <f t="shared" si="13"/>
        <v/>
      </c>
      <c r="W49" s="39"/>
      <c r="X49" s="39" t="str">
        <f t="shared" si="6"/>
        <v/>
      </c>
      <c r="Y49" s="39"/>
      <c r="Z49" s="39" t="str">
        <f t="shared" si="7"/>
        <v/>
      </c>
      <c r="AA49" s="39"/>
      <c r="AB49" s="39" t="str">
        <f t="shared" si="8"/>
        <v/>
      </c>
      <c r="AC49" s="40"/>
      <c r="AD49" s="40"/>
      <c r="AE49" s="39">
        <f>24</f>
        <v>24</v>
      </c>
      <c r="AF49" s="39">
        <f t="shared" si="14"/>
        <v>1</v>
      </c>
      <c r="AG49" s="39"/>
      <c r="AH49" s="39" t="str">
        <f t="shared" si="15"/>
        <v/>
      </c>
      <c r="AI49" s="39"/>
      <c r="AJ49" s="39" t="str">
        <f t="shared" si="16"/>
        <v/>
      </c>
      <c r="AK49" s="39"/>
      <c r="AL49" s="39" t="str">
        <f t="shared" si="17"/>
        <v/>
      </c>
      <c r="AM49" s="39"/>
      <c r="AN49" s="39" t="str">
        <f t="shared" si="18"/>
        <v/>
      </c>
      <c r="AO49" s="40"/>
      <c r="AP49" s="40"/>
      <c r="AQ49" s="39">
        <f>24</f>
        <v>24</v>
      </c>
      <c r="AR49" s="39">
        <f t="shared" si="19"/>
        <v>1</v>
      </c>
      <c r="AS49" s="39">
        <v>28</v>
      </c>
      <c r="AT49" s="39">
        <f t="shared" si="20"/>
        <v>1.1666666666666667</v>
      </c>
      <c r="AU49" s="39"/>
      <c r="AV49" s="39" t="str">
        <f t="shared" si="21"/>
        <v/>
      </c>
      <c r="AW49" s="40"/>
      <c r="AX49" s="39"/>
      <c r="AY49" s="39" t="str">
        <f t="shared" si="24"/>
        <v/>
      </c>
      <c r="AZ49" s="40"/>
    </row>
    <row r="50" spans="1:54" x14ac:dyDescent="0.25">
      <c r="A50" s="22">
        <v>2</v>
      </c>
      <c r="B50" s="22">
        <v>15</v>
      </c>
      <c r="C50" s="40"/>
      <c r="D50" s="39">
        <v>8.98</v>
      </c>
      <c r="E50" s="39">
        <f t="shared" si="3"/>
        <v>0.59866666666666668</v>
      </c>
      <c r="F50" s="40"/>
      <c r="G50" s="40"/>
      <c r="H50" s="39">
        <f>9.37+4.74</f>
        <v>14.11</v>
      </c>
      <c r="I50" s="39">
        <f t="shared" si="10"/>
        <v>0.94066666666666665</v>
      </c>
      <c r="J50" s="39">
        <v>8.8290000000000006</v>
      </c>
      <c r="K50" s="39">
        <f t="shared" si="11"/>
        <v>0.58860000000000001</v>
      </c>
      <c r="L50" s="39">
        <v>4.38</v>
      </c>
      <c r="M50" s="39">
        <f t="shared" si="4"/>
        <v>0.29199999999999998</v>
      </c>
      <c r="N50" s="40"/>
      <c r="O50" s="39"/>
      <c r="P50" s="39" t="str">
        <f t="shared" si="5"/>
        <v/>
      </c>
      <c r="Q50" s="40"/>
      <c r="R50" s="40"/>
      <c r="S50" s="39">
        <v>12.11</v>
      </c>
      <c r="T50" s="39">
        <f t="shared" si="12"/>
        <v>0.80733333333333335</v>
      </c>
      <c r="U50" s="39">
        <v>9.5190000000000001</v>
      </c>
      <c r="V50" s="39">
        <f t="shared" si="13"/>
        <v>0.63460000000000005</v>
      </c>
      <c r="W50" s="39">
        <f>12.64</f>
        <v>12.64</v>
      </c>
      <c r="X50" s="39">
        <f t="shared" si="6"/>
        <v>0.84266666666666667</v>
      </c>
      <c r="Y50" s="39">
        <f>13.39</f>
        <v>13.39</v>
      </c>
      <c r="Z50" s="39">
        <f t="shared" si="7"/>
        <v>0.89266666666666672</v>
      </c>
      <c r="AA50" s="39">
        <f>6.46</f>
        <v>6.46</v>
      </c>
      <c r="AB50" s="39">
        <f t="shared" si="8"/>
        <v>0.43066666666666664</v>
      </c>
      <c r="AC50" s="40"/>
      <c r="AD50" s="40"/>
      <c r="AE50" s="39">
        <f>11.83</f>
        <v>11.83</v>
      </c>
      <c r="AF50" s="39">
        <f t="shared" si="14"/>
        <v>0.78866666666666663</v>
      </c>
      <c r="AG50" s="39">
        <f>8.39</f>
        <v>8.39</v>
      </c>
      <c r="AH50" s="39">
        <f t="shared" si="15"/>
        <v>0.55933333333333335</v>
      </c>
      <c r="AI50" s="39">
        <f>11.45+4.68</f>
        <v>16.13</v>
      </c>
      <c r="AJ50" s="39">
        <f t="shared" si="16"/>
        <v>1.0753333333333333</v>
      </c>
      <c r="AK50" s="39">
        <f>9.637</f>
        <v>9.6370000000000005</v>
      </c>
      <c r="AL50" s="39">
        <f t="shared" si="17"/>
        <v>0.64246666666666674</v>
      </c>
      <c r="AM50" s="39">
        <f>15.86</f>
        <v>15.86</v>
      </c>
      <c r="AN50" s="39">
        <f t="shared" si="18"/>
        <v>1.0573333333333332</v>
      </c>
      <c r="AO50" s="40"/>
      <c r="AP50" s="40"/>
      <c r="AQ50" s="39">
        <f>16.13</f>
        <v>16.13</v>
      </c>
      <c r="AR50" s="39">
        <f t="shared" si="19"/>
        <v>1.0753333333333333</v>
      </c>
      <c r="AS50" s="39"/>
      <c r="AT50" s="39" t="str">
        <f t="shared" si="20"/>
        <v/>
      </c>
      <c r="AU50" s="39"/>
      <c r="AV50" s="39" t="str">
        <f t="shared" si="21"/>
        <v/>
      </c>
      <c r="AW50" s="40"/>
      <c r="AX50" s="39"/>
      <c r="AY50" s="39" t="str">
        <f t="shared" si="24"/>
        <v/>
      </c>
      <c r="AZ50" s="40"/>
    </row>
    <row r="51" spans="1:54" x14ac:dyDescent="0.25">
      <c r="A51" s="22">
        <v>2</v>
      </c>
      <c r="B51" s="22">
        <v>15</v>
      </c>
      <c r="C51" s="40"/>
      <c r="D51" s="39"/>
      <c r="E51" s="39" t="str">
        <f t="shared" si="3"/>
        <v/>
      </c>
      <c r="F51" s="40"/>
      <c r="G51" s="40"/>
      <c r="H51" s="39">
        <v>13.19</v>
      </c>
      <c r="I51" s="39">
        <f t="shared" si="10"/>
        <v>0.8793333333333333</v>
      </c>
      <c r="J51" s="39">
        <v>7.6340000000000003</v>
      </c>
      <c r="K51" s="39">
        <f t="shared" si="11"/>
        <v>0.50893333333333335</v>
      </c>
      <c r="L51" s="39">
        <v>10.27</v>
      </c>
      <c r="M51" s="39">
        <f t="shared" si="4"/>
        <v>0.68466666666666665</v>
      </c>
      <c r="N51" s="40"/>
      <c r="O51" s="39"/>
      <c r="P51" s="39" t="str">
        <f t="shared" si="5"/>
        <v/>
      </c>
      <c r="Q51" s="40"/>
      <c r="R51" s="40"/>
      <c r="S51" s="39">
        <v>11.34</v>
      </c>
      <c r="T51" s="39">
        <f t="shared" si="12"/>
        <v>0.75600000000000001</v>
      </c>
      <c r="U51" s="39">
        <v>12.847</v>
      </c>
      <c r="V51" s="39">
        <f t="shared" si="13"/>
        <v>0.8564666666666666</v>
      </c>
      <c r="W51" s="39">
        <f>6.08</f>
        <v>6.08</v>
      </c>
      <c r="X51" s="39">
        <f t="shared" si="6"/>
        <v>0.40533333333333332</v>
      </c>
      <c r="Y51" s="39">
        <f>11.06</f>
        <v>11.06</v>
      </c>
      <c r="Z51" s="39">
        <f t="shared" si="7"/>
        <v>0.7373333333333334</v>
      </c>
      <c r="AA51" s="39">
        <v>6.2</v>
      </c>
      <c r="AB51" s="39">
        <f t="shared" si="8"/>
        <v>0.41333333333333333</v>
      </c>
      <c r="AC51" s="40"/>
      <c r="AD51" s="40"/>
      <c r="AE51" s="39"/>
      <c r="AF51" s="39" t="str">
        <f t="shared" si="14"/>
        <v/>
      </c>
      <c r="AG51" s="39">
        <f>6</f>
        <v>6</v>
      </c>
      <c r="AH51" s="39">
        <f t="shared" si="15"/>
        <v>0.4</v>
      </c>
      <c r="AI51" s="39">
        <f>12.16</f>
        <v>12.16</v>
      </c>
      <c r="AJ51" s="39">
        <f t="shared" si="16"/>
        <v>0.81066666666666665</v>
      </c>
      <c r="AK51" s="39">
        <f>5.53</f>
        <v>5.53</v>
      </c>
      <c r="AL51" s="39">
        <f t="shared" si="17"/>
        <v>0.3686666666666667</v>
      </c>
      <c r="AM51" s="39"/>
      <c r="AN51" s="39" t="str">
        <f t="shared" si="18"/>
        <v/>
      </c>
      <c r="AO51" s="40"/>
      <c r="AP51" s="40"/>
      <c r="AQ51" s="39">
        <f>5.54</f>
        <v>5.54</v>
      </c>
      <c r="AR51" s="39">
        <f t="shared" si="19"/>
        <v>0.36933333333333335</v>
      </c>
      <c r="AS51" s="39"/>
      <c r="AT51" s="39" t="str">
        <f t="shared" si="20"/>
        <v/>
      </c>
      <c r="AU51" s="39"/>
      <c r="AV51" s="39" t="str">
        <f t="shared" si="21"/>
        <v/>
      </c>
      <c r="AW51" s="40"/>
      <c r="AX51" s="39"/>
      <c r="AY51" s="39" t="str">
        <f t="shared" si="24"/>
        <v/>
      </c>
      <c r="AZ51" s="40"/>
    </row>
    <row r="52" spans="1:54" x14ac:dyDescent="0.25">
      <c r="A52" s="22">
        <v>2</v>
      </c>
      <c r="B52" s="22">
        <v>15</v>
      </c>
      <c r="C52" s="40"/>
      <c r="D52" s="39"/>
      <c r="E52" s="39" t="str">
        <f t="shared" si="3"/>
        <v/>
      </c>
      <c r="F52" s="40"/>
      <c r="G52" s="40"/>
      <c r="H52" s="39"/>
      <c r="I52" s="39" t="str">
        <f t="shared" si="10"/>
        <v/>
      </c>
      <c r="J52" s="39"/>
      <c r="K52" s="39" t="str">
        <f t="shared" si="11"/>
        <v/>
      </c>
      <c r="L52" s="39">
        <v>8.8810000000000002</v>
      </c>
      <c r="M52" s="39">
        <f t="shared" si="4"/>
        <v>0.59206666666666663</v>
      </c>
      <c r="N52" s="40"/>
      <c r="O52" s="39"/>
      <c r="P52" s="39" t="str">
        <f t="shared" si="5"/>
        <v/>
      </c>
      <c r="Q52" s="40"/>
      <c r="R52" s="40"/>
      <c r="S52" s="39">
        <v>10.564</v>
      </c>
      <c r="T52" s="39">
        <f t="shared" si="12"/>
        <v>0.70426666666666671</v>
      </c>
      <c r="U52" s="39">
        <v>13.243</v>
      </c>
      <c r="V52" s="39">
        <f t="shared" si="13"/>
        <v>0.88286666666666669</v>
      </c>
      <c r="W52" s="39">
        <f>9.184</f>
        <v>9.1839999999999993</v>
      </c>
      <c r="X52" s="39">
        <f t="shared" si="6"/>
        <v>0.61226666666666663</v>
      </c>
      <c r="Y52" s="39">
        <v>6.2859999999999996</v>
      </c>
      <c r="Z52" s="39">
        <f t="shared" si="7"/>
        <v>0.41906666666666664</v>
      </c>
      <c r="AA52" s="39">
        <f>7.185</f>
        <v>7.1849999999999996</v>
      </c>
      <c r="AB52" s="39">
        <f t="shared" si="8"/>
        <v>0.47899999999999998</v>
      </c>
      <c r="AC52" s="40"/>
      <c r="AD52" s="40"/>
      <c r="AE52" s="39"/>
      <c r="AF52" s="39" t="str">
        <f t="shared" si="14"/>
        <v/>
      </c>
      <c r="AG52" s="39">
        <f>12.673</f>
        <v>12.673</v>
      </c>
      <c r="AH52" s="39">
        <f t="shared" si="15"/>
        <v>0.84486666666666665</v>
      </c>
      <c r="AI52" s="39">
        <f>8.119</f>
        <v>8.1189999999999998</v>
      </c>
      <c r="AJ52" s="39">
        <f t="shared" si="16"/>
        <v>0.54126666666666667</v>
      </c>
      <c r="AK52" s="39">
        <f>3.821</f>
        <v>3.8210000000000002</v>
      </c>
      <c r="AL52" s="39">
        <f t="shared" si="17"/>
        <v>0.25473333333333337</v>
      </c>
      <c r="AM52" s="39">
        <f>9.204</f>
        <v>9.2040000000000006</v>
      </c>
      <c r="AN52" s="39">
        <f t="shared" si="18"/>
        <v>0.61360000000000003</v>
      </c>
      <c r="AO52" s="40"/>
      <c r="AP52" s="40"/>
      <c r="AQ52" s="39"/>
      <c r="AR52" s="39" t="str">
        <f t="shared" si="19"/>
        <v/>
      </c>
      <c r="AS52" s="39"/>
      <c r="AT52" s="39" t="str">
        <f t="shared" si="20"/>
        <v/>
      </c>
      <c r="AU52" s="39"/>
      <c r="AV52" s="39" t="str">
        <f t="shared" si="21"/>
        <v/>
      </c>
      <c r="AW52" s="40"/>
      <c r="AX52" s="39"/>
      <c r="AY52" s="39" t="str">
        <f t="shared" si="24"/>
        <v/>
      </c>
      <c r="AZ52" s="40"/>
    </row>
    <row r="53" spans="1:54" x14ac:dyDescent="0.25">
      <c r="A53" s="22">
        <v>2</v>
      </c>
      <c r="B53" s="23">
        <v>15</v>
      </c>
      <c r="C53" s="40"/>
      <c r="D53" s="39"/>
      <c r="E53" s="39" t="str">
        <f t="shared" si="3"/>
        <v/>
      </c>
      <c r="F53" s="40"/>
      <c r="G53" s="40"/>
      <c r="H53" s="39"/>
      <c r="I53" s="39" t="str">
        <f t="shared" si="10"/>
        <v/>
      </c>
      <c r="J53" s="39"/>
      <c r="K53" s="39" t="str">
        <f t="shared" si="11"/>
        <v/>
      </c>
      <c r="L53" s="39"/>
      <c r="M53" s="39" t="str">
        <f t="shared" si="4"/>
        <v/>
      </c>
      <c r="N53" s="40"/>
      <c r="O53" s="39"/>
      <c r="P53" s="39" t="str">
        <f t="shared" si="5"/>
        <v/>
      </c>
      <c r="Q53" s="40"/>
      <c r="R53" s="40"/>
      <c r="S53" s="39"/>
      <c r="T53" s="39" t="str">
        <f t="shared" si="12"/>
        <v/>
      </c>
      <c r="U53" s="39"/>
      <c r="V53" s="39" t="str">
        <f t="shared" si="13"/>
        <v/>
      </c>
      <c r="W53" s="39"/>
      <c r="X53" s="39" t="str">
        <f t="shared" si="6"/>
        <v/>
      </c>
      <c r="Y53" s="39"/>
      <c r="Z53" s="39" t="str">
        <f t="shared" si="7"/>
        <v/>
      </c>
      <c r="AA53" s="39"/>
      <c r="AB53" s="39" t="str">
        <f t="shared" si="8"/>
        <v/>
      </c>
      <c r="AC53" s="40"/>
      <c r="AD53" s="40"/>
      <c r="AE53" s="39"/>
      <c r="AF53" s="39" t="str">
        <f t="shared" si="14"/>
        <v/>
      </c>
      <c r="AG53" s="39"/>
      <c r="AH53" s="39" t="str">
        <f t="shared" si="15"/>
        <v/>
      </c>
      <c r="AI53" s="39"/>
      <c r="AJ53" s="39" t="str">
        <f t="shared" si="16"/>
        <v/>
      </c>
      <c r="AK53" s="39"/>
      <c r="AL53" s="39" t="str">
        <f t="shared" si="17"/>
        <v/>
      </c>
      <c r="AM53" s="39"/>
      <c r="AN53" s="39" t="str">
        <f t="shared" si="18"/>
        <v/>
      </c>
      <c r="AO53" s="40"/>
      <c r="AP53" s="40"/>
      <c r="AQ53" s="39"/>
      <c r="AR53" s="39" t="str">
        <f t="shared" si="19"/>
        <v/>
      </c>
      <c r="AS53" s="39"/>
      <c r="AT53" s="39" t="str">
        <f t="shared" si="20"/>
        <v/>
      </c>
      <c r="AU53" s="39"/>
      <c r="AV53" s="39" t="str">
        <f t="shared" si="21"/>
        <v/>
      </c>
      <c r="AW53" s="40"/>
      <c r="AX53" s="39"/>
      <c r="AY53" s="39" t="str">
        <f t="shared" si="24"/>
        <v/>
      </c>
      <c r="AZ53" s="40"/>
    </row>
    <row r="54" spans="1:54" x14ac:dyDescent="0.25">
      <c r="A54" s="22">
        <v>2</v>
      </c>
      <c r="B54" s="22">
        <v>24</v>
      </c>
      <c r="C54" s="40"/>
      <c r="D54" s="39">
        <v>9.99</v>
      </c>
      <c r="E54" s="39">
        <f t="shared" si="3"/>
        <v>0.41625000000000001</v>
      </c>
      <c r="F54" s="40"/>
      <c r="G54" s="40"/>
      <c r="H54" s="39">
        <v>18.826000000000001</v>
      </c>
      <c r="I54" s="39">
        <f t="shared" si="10"/>
        <v>0.78441666666666665</v>
      </c>
      <c r="J54" s="39">
        <v>21.385999999999999</v>
      </c>
      <c r="K54" s="39">
        <f t="shared" si="11"/>
        <v>0.89108333333333334</v>
      </c>
      <c r="L54" s="39">
        <v>10.28</v>
      </c>
      <c r="M54" s="39">
        <f t="shared" si="4"/>
        <v>0.42833333333333329</v>
      </c>
      <c r="N54" s="40"/>
      <c r="O54" s="39">
        <v>16.925999999999998</v>
      </c>
      <c r="P54" s="39">
        <f t="shared" si="5"/>
        <v>0.70524999999999993</v>
      </c>
      <c r="Q54" s="40"/>
      <c r="R54" s="40"/>
      <c r="S54" s="39">
        <v>13.987</v>
      </c>
      <c r="T54" s="39">
        <f t="shared" si="12"/>
        <v>0.58279166666666671</v>
      </c>
      <c r="U54" s="39">
        <v>25.068000000000001</v>
      </c>
      <c r="V54" s="39">
        <f t="shared" si="13"/>
        <v>1.0445</v>
      </c>
      <c r="W54" s="39">
        <f>20.608</f>
        <v>20.608000000000001</v>
      </c>
      <c r="X54" s="39">
        <f t="shared" si="6"/>
        <v>0.85866666666666669</v>
      </c>
      <c r="Y54" s="39"/>
      <c r="Z54" s="39" t="str">
        <f t="shared" si="7"/>
        <v/>
      </c>
      <c r="AA54" s="39">
        <v>18.745999999999999</v>
      </c>
      <c r="AB54" s="39">
        <f t="shared" si="8"/>
        <v>0.78108333333333324</v>
      </c>
      <c r="AC54" s="40"/>
      <c r="AD54" s="40"/>
      <c r="AE54" s="39">
        <f>11.681</f>
        <v>11.680999999999999</v>
      </c>
      <c r="AF54" s="39">
        <f t="shared" si="14"/>
        <v>0.4867083333333333</v>
      </c>
      <c r="AG54" s="39">
        <f>12.144</f>
        <v>12.144</v>
      </c>
      <c r="AH54" s="39">
        <f t="shared" si="15"/>
        <v>0.50600000000000001</v>
      </c>
      <c r="AI54" s="39">
        <f>22.338</f>
        <v>22.338000000000001</v>
      </c>
      <c r="AJ54" s="39">
        <f t="shared" si="16"/>
        <v>0.93075000000000008</v>
      </c>
      <c r="AK54" s="39">
        <f>16.572</f>
        <v>16.571999999999999</v>
      </c>
      <c r="AL54" s="39">
        <f t="shared" si="17"/>
        <v>0.6905</v>
      </c>
      <c r="AM54" s="39">
        <f>23.92</f>
        <v>23.92</v>
      </c>
      <c r="AN54" s="39">
        <f t="shared" si="18"/>
        <v>0.9966666666666667</v>
      </c>
      <c r="AO54" s="40"/>
      <c r="AP54" s="40"/>
      <c r="AQ54" s="39">
        <f>12.556</f>
        <v>12.555999999999999</v>
      </c>
      <c r="AR54" s="39">
        <f t="shared" si="19"/>
        <v>0.52316666666666667</v>
      </c>
      <c r="AS54" s="39"/>
      <c r="AT54" s="39" t="str">
        <f t="shared" si="20"/>
        <v/>
      </c>
      <c r="AU54" s="39"/>
      <c r="AV54" s="39" t="str">
        <f t="shared" si="21"/>
        <v/>
      </c>
      <c r="AW54" s="40"/>
      <c r="AX54" s="39"/>
      <c r="AY54" s="39" t="str">
        <f t="shared" si="24"/>
        <v/>
      </c>
      <c r="AZ54" s="40"/>
    </row>
    <row r="55" spans="1:54" x14ac:dyDescent="0.25">
      <c r="A55" s="22">
        <v>2</v>
      </c>
      <c r="B55" s="22">
        <v>24</v>
      </c>
      <c r="C55" s="40"/>
      <c r="D55" s="39">
        <v>10.52</v>
      </c>
      <c r="E55" s="39">
        <f t="shared" si="3"/>
        <v>0.4383333333333333</v>
      </c>
      <c r="F55" s="40"/>
      <c r="G55" s="40"/>
      <c r="H55" s="39">
        <v>24.466000000000001</v>
      </c>
      <c r="I55" s="39">
        <f t="shared" si="10"/>
        <v>1.0194166666666666</v>
      </c>
      <c r="J55" s="39">
        <v>17.280999999999999</v>
      </c>
      <c r="K55" s="39">
        <f t="shared" si="11"/>
        <v>0.72004166666666658</v>
      </c>
      <c r="L55" s="39">
        <v>24.221</v>
      </c>
      <c r="M55" s="39">
        <f t="shared" si="4"/>
        <v>1.0092083333333333</v>
      </c>
      <c r="N55" s="40"/>
      <c r="O55" s="39">
        <v>9.5419999999999998</v>
      </c>
      <c r="P55" s="39">
        <f t="shared" si="5"/>
        <v>0.39758333333333334</v>
      </c>
      <c r="Q55" s="40"/>
      <c r="R55" s="40"/>
      <c r="S55" s="39">
        <f>8.387+22.778+19.24</f>
        <v>50.405000000000001</v>
      </c>
      <c r="T55" s="39">
        <f t="shared" si="12"/>
        <v>2.1002083333333332</v>
      </c>
      <c r="U55" s="39">
        <f>20.107+5.3</f>
        <v>25.407</v>
      </c>
      <c r="V55" s="39">
        <f t="shared" si="13"/>
        <v>1.0586249999999999</v>
      </c>
      <c r="W55" s="39">
        <f>20.043</f>
        <v>20.042999999999999</v>
      </c>
      <c r="X55" s="39">
        <f t="shared" si="6"/>
        <v>0.83512500000000001</v>
      </c>
      <c r="Y55" s="39">
        <v>7.5540000000000003</v>
      </c>
      <c r="Z55" s="39">
        <f t="shared" si="7"/>
        <v>0.31475000000000003</v>
      </c>
      <c r="AA55" s="39">
        <v>20.596</v>
      </c>
      <c r="AB55" s="39">
        <f t="shared" si="8"/>
        <v>0.85816666666666663</v>
      </c>
      <c r="AC55" s="40"/>
      <c r="AD55" s="40"/>
      <c r="AE55" s="39">
        <f>23.03</f>
        <v>23.03</v>
      </c>
      <c r="AF55" s="39">
        <f t="shared" si="14"/>
        <v>0.95958333333333334</v>
      </c>
      <c r="AG55" s="39">
        <f>21.488</f>
        <v>21.488</v>
      </c>
      <c r="AH55" s="39">
        <f t="shared" si="15"/>
        <v>0.89533333333333331</v>
      </c>
      <c r="AI55" s="39">
        <f>13.678</f>
        <v>13.678000000000001</v>
      </c>
      <c r="AJ55" s="39">
        <f t="shared" si="16"/>
        <v>0.56991666666666674</v>
      </c>
      <c r="AK55" s="39">
        <f>24.967+6.266</f>
        <v>31.232999999999997</v>
      </c>
      <c r="AL55" s="39">
        <f t="shared" si="17"/>
        <v>1.3013749999999999</v>
      </c>
      <c r="AM55" s="39">
        <f>20.985</f>
        <v>20.984999999999999</v>
      </c>
      <c r="AN55" s="39">
        <f t="shared" si="18"/>
        <v>0.87437500000000001</v>
      </c>
      <c r="AO55" s="40"/>
      <c r="AP55" s="40"/>
      <c r="AQ55" s="39">
        <f>19.375</f>
        <v>19.375</v>
      </c>
      <c r="AR55" s="39">
        <f t="shared" si="19"/>
        <v>0.80729166666666663</v>
      </c>
      <c r="AS55" s="39"/>
      <c r="AT55" s="39" t="str">
        <f t="shared" si="20"/>
        <v/>
      </c>
      <c r="AU55" s="39"/>
      <c r="AV55" s="39" t="str">
        <f t="shared" si="21"/>
        <v/>
      </c>
      <c r="AW55" s="40"/>
      <c r="AX55" s="39"/>
      <c r="AY55" s="39" t="str">
        <f t="shared" si="24"/>
        <v/>
      </c>
      <c r="AZ55" s="40"/>
    </row>
    <row r="56" spans="1:54" x14ac:dyDescent="0.25">
      <c r="A56" s="22">
        <v>2</v>
      </c>
      <c r="B56" s="22">
        <v>24</v>
      </c>
      <c r="C56" s="40"/>
      <c r="D56" s="39">
        <v>19.597000000000001</v>
      </c>
      <c r="E56" s="39">
        <f t="shared" si="3"/>
        <v>0.81654166666666672</v>
      </c>
      <c r="F56" s="40"/>
      <c r="G56" s="40"/>
      <c r="H56" s="39">
        <v>4.3710000000000004</v>
      </c>
      <c r="I56" s="39">
        <f t="shared" si="10"/>
        <v>0.18212500000000001</v>
      </c>
      <c r="J56" s="39">
        <v>13.46</v>
      </c>
      <c r="K56" s="39">
        <f t="shared" si="11"/>
        <v>0.56083333333333341</v>
      </c>
      <c r="L56" s="39">
        <v>17.059000000000001</v>
      </c>
      <c r="M56" s="39">
        <f t="shared" si="4"/>
        <v>0.71079166666666671</v>
      </c>
      <c r="N56" s="40"/>
      <c r="O56" s="39">
        <v>2.37</v>
      </c>
      <c r="P56" s="39">
        <f t="shared" si="5"/>
        <v>9.8750000000000004E-2</v>
      </c>
      <c r="Q56" s="40"/>
      <c r="R56" s="40"/>
      <c r="S56" s="39">
        <f>7.717</f>
        <v>7.7169999999999996</v>
      </c>
      <c r="T56" s="39">
        <f t="shared" si="12"/>
        <v>0.32154166666666667</v>
      </c>
      <c r="U56" s="39">
        <v>23.06</v>
      </c>
      <c r="V56" s="39">
        <f t="shared" si="13"/>
        <v>0.96083333333333332</v>
      </c>
      <c r="W56" s="39"/>
      <c r="X56" s="39" t="str">
        <f t="shared" si="6"/>
        <v/>
      </c>
      <c r="Y56" s="39">
        <v>8.4489999999999998</v>
      </c>
      <c r="Z56" s="39">
        <f t="shared" si="7"/>
        <v>0.35204166666666664</v>
      </c>
      <c r="AA56" s="39">
        <f>5.409+24</f>
        <v>29.408999999999999</v>
      </c>
      <c r="AB56" s="39">
        <f t="shared" si="8"/>
        <v>1.2253749999999999</v>
      </c>
      <c r="AC56" s="40"/>
      <c r="AD56" s="40"/>
      <c r="AE56" s="39">
        <f>24+12.7</f>
        <v>36.700000000000003</v>
      </c>
      <c r="AF56" s="39">
        <f t="shared" si="14"/>
        <v>1.5291666666666668</v>
      </c>
      <c r="AG56" s="39">
        <f>15.81</f>
        <v>15.81</v>
      </c>
      <c r="AH56" s="39">
        <f t="shared" si="15"/>
        <v>0.65875000000000006</v>
      </c>
      <c r="AI56" s="39">
        <f>18.35</f>
        <v>18.350000000000001</v>
      </c>
      <c r="AJ56" s="39">
        <f t="shared" si="16"/>
        <v>0.76458333333333339</v>
      </c>
      <c r="AK56" s="39">
        <f>22.617</f>
        <v>22.617000000000001</v>
      </c>
      <c r="AL56" s="39">
        <f t="shared" si="17"/>
        <v>0.94237500000000007</v>
      </c>
      <c r="AM56" s="39">
        <f>25.873</f>
        <v>25.873000000000001</v>
      </c>
      <c r="AN56" s="39">
        <f t="shared" si="18"/>
        <v>1.0780416666666668</v>
      </c>
      <c r="AO56" s="40"/>
      <c r="AP56" s="40"/>
      <c r="AQ56" s="39">
        <f>4.65</f>
        <v>4.6500000000000004</v>
      </c>
      <c r="AR56" s="39">
        <f t="shared" si="19"/>
        <v>0.19375000000000001</v>
      </c>
      <c r="AS56" s="39"/>
      <c r="AT56" s="39" t="str">
        <f t="shared" si="20"/>
        <v/>
      </c>
      <c r="AU56" s="39"/>
      <c r="AV56" s="39" t="str">
        <f t="shared" si="21"/>
        <v/>
      </c>
      <c r="AW56" s="40"/>
      <c r="AX56" s="39"/>
      <c r="AY56" s="39" t="str">
        <f t="shared" si="24"/>
        <v/>
      </c>
      <c r="AZ56" s="40"/>
    </row>
    <row r="57" spans="1:54" x14ac:dyDescent="0.25">
      <c r="A57" s="22">
        <v>2</v>
      </c>
      <c r="B57" s="22">
        <v>15</v>
      </c>
      <c r="C57" s="40"/>
      <c r="D57" s="39"/>
      <c r="E57" s="39" t="str">
        <f t="shared" si="3"/>
        <v/>
      </c>
      <c r="F57" s="40"/>
      <c r="G57" s="40"/>
      <c r="H57" s="39">
        <v>6.2329999999999997</v>
      </c>
      <c r="I57" s="39">
        <f t="shared" si="10"/>
        <v>0.41553333333333331</v>
      </c>
      <c r="J57" s="39">
        <f>2.546+1.014</f>
        <v>3.5599999999999996</v>
      </c>
      <c r="K57" s="39">
        <f t="shared" si="11"/>
        <v>0.23733333333333331</v>
      </c>
      <c r="L57" s="39">
        <v>9.8770000000000007</v>
      </c>
      <c r="M57" s="39">
        <f t="shared" si="4"/>
        <v>0.65846666666666676</v>
      </c>
      <c r="N57" s="40"/>
      <c r="O57" s="39"/>
      <c r="P57" s="39" t="str">
        <f t="shared" si="5"/>
        <v/>
      </c>
      <c r="Q57" s="40"/>
      <c r="R57" s="40"/>
      <c r="S57" s="39">
        <f>9.813+13.402</f>
        <v>23.215</v>
      </c>
      <c r="T57" s="39">
        <f t="shared" si="12"/>
        <v>1.5476666666666667</v>
      </c>
      <c r="U57" s="39">
        <v>11.012</v>
      </c>
      <c r="V57" s="39">
        <f t="shared" si="13"/>
        <v>0.73413333333333342</v>
      </c>
      <c r="W57" s="39">
        <f>4.226+3.929</f>
        <v>8.1549999999999994</v>
      </c>
      <c r="X57" s="39">
        <f t="shared" si="6"/>
        <v>0.54366666666666663</v>
      </c>
      <c r="Y57" s="39">
        <f>11.325</f>
        <v>11.324999999999999</v>
      </c>
      <c r="Z57" s="39">
        <f t="shared" si="7"/>
        <v>0.755</v>
      </c>
      <c r="AA57" s="39">
        <v>9.5079999999999991</v>
      </c>
      <c r="AB57" s="39">
        <f t="shared" si="8"/>
        <v>0.63386666666666658</v>
      </c>
      <c r="AC57" s="40"/>
      <c r="AD57" s="40"/>
      <c r="AE57" s="39">
        <f>10.869+6.077</f>
        <v>16.945999999999998</v>
      </c>
      <c r="AF57" s="39">
        <f t="shared" si="14"/>
        <v>1.1297333333333333</v>
      </c>
      <c r="AG57" s="39">
        <f>12.269+3.854</f>
        <v>16.123000000000001</v>
      </c>
      <c r="AH57" s="39">
        <f t="shared" si="15"/>
        <v>1.0748666666666666</v>
      </c>
      <c r="AI57" s="39">
        <f>3.472+9.505</f>
        <v>12.977</v>
      </c>
      <c r="AJ57" s="39">
        <f t="shared" si="16"/>
        <v>0.86513333333333331</v>
      </c>
      <c r="AK57" s="39">
        <f>3.463+12.753</f>
        <v>16.216000000000001</v>
      </c>
      <c r="AL57" s="39">
        <f t="shared" si="17"/>
        <v>1.0810666666666668</v>
      </c>
      <c r="AM57" s="39">
        <f>12.369+7.703</f>
        <v>20.071999999999999</v>
      </c>
      <c r="AN57" s="39">
        <f t="shared" si="18"/>
        <v>1.3381333333333332</v>
      </c>
      <c r="AO57" s="40"/>
      <c r="AP57" s="40"/>
      <c r="AQ57" s="39">
        <f>2.76+3.258</f>
        <v>6.0179999999999998</v>
      </c>
      <c r="AR57" s="39">
        <f t="shared" si="19"/>
        <v>0.4012</v>
      </c>
      <c r="AS57" s="39"/>
      <c r="AT57" s="39" t="str">
        <f t="shared" si="20"/>
        <v/>
      </c>
      <c r="AU57" s="39"/>
      <c r="AV57" s="39" t="str">
        <f t="shared" si="21"/>
        <v/>
      </c>
      <c r="AW57" s="40"/>
      <c r="AX57" s="39"/>
      <c r="AY57" s="39" t="str">
        <f t="shared" si="24"/>
        <v/>
      </c>
      <c r="AZ57" s="40"/>
    </row>
    <row r="59" spans="1:54" x14ac:dyDescent="0.25">
      <c r="A59" s="30" t="s">
        <v>12</v>
      </c>
      <c r="C59" s="45"/>
      <c r="D59" s="45">
        <f>IF(D65="","",SUM(D34:D57))</f>
        <v>128.727</v>
      </c>
      <c r="E59" s="45">
        <f>IF(E65="","",SUM(E34:E57))</f>
        <v>6.6533749999999996</v>
      </c>
      <c r="F59" s="45"/>
      <c r="G59" s="45"/>
      <c r="H59" s="45">
        <f t="shared" ref="H59:AY59" si="25">IF(H65="","",SUM(H34:H57))</f>
        <v>238.11099999999999</v>
      </c>
      <c r="I59" s="45">
        <f t="shared" si="25"/>
        <v>12.667841666666664</v>
      </c>
      <c r="J59" s="45">
        <f t="shared" si="25"/>
        <v>249.55799999999999</v>
      </c>
      <c r="K59" s="45">
        <f t="shared" si="25"/>
        <v>12.89955</v>
      </c>
      <c r="L59" s="45">
        <f t="shared" si="25"/>
        <v>239.56300000000002</v>
      </c>
      <c r="M59" s="45">
        <f t="shared" si="25"/>
        <v>12.641566666666668</v>
      </c>
      <c r="N59" s="45"/>
      <c r="O59" s="45">
        <f t="shared" si="25"/>
        <v>104.69600000000001</v>
      </c>
      <c r="P59" s="45">
        <f t="shared" si="25"/>
        <v>5.5932333333333331</v>
      </c>
      <c r="Q59" s="45"/>
      <c r="R59" s="45"/>
      <c r="S59" s="45">
        <f t="shared" si="25"/>
        <v>301.20299999999997</v>
      </c>
      <c r="T59" s="45">
        <f t="shared" si="25"/>
        <v>16.241446794871795</v>
      </c>
      <c r="U59" s="45">
        <f t="shared" si="25"/>
        <v>222.67200000000003</v>
      </c>
      <c r="V59" s="45">
        <f t="shared" si="25"/>
        <v>11.673626282051282</v>
      </c>
      <c r="W59" s="45">
        <f t="shared" si="25"/>
        <v>229.27399999999997</v>
      </c>
      <c r="X59" s="45">
        <f t="shared" si="25"/>
        <v>12.716833333333332</v>
      </c>
      <c r="Y59" s="45">
        <f t="shared" si="25"/>
        <v>194.75300000000001</v>
      </c>
      <c r="Z59" s="45">
        <f t="shared" si="25"/>
        <v>11.159308333333334</v>
      </c>
      <c r="AA59" s="45">
        <f t="shared" si="25"/>
        <v>215.25200000000001</v>
      </c>
      <c r="AB59" s="45">
        <f t="shared" si="25"/>
        <v>11.182983333333334</v>
      </c>
      <c r="AC59" s="45"/>
      <c r="AD59" s="45"/>
      <c r="AE59" s="45">
        <f t="shared" si="25"/>
        <v>295.61400000000003</v>
      </c>
      <c r="AF59" s="45">
        <f t="shared" si="25"/>
        <v>15.120484615384616</v>
      </c>
      <c r="AG59" s="45">
        <f t="shared" si="25"/>
        <v>236.38099999999997</v>
      </c>
      <c r="AH59" s="45">
        <f t="shared" si="25"/>
        <v>13.050448076923075</v>
      </c>
      <c r="AI59" s="45">
        <f t="shared" si="25"/>
        <v>260.76799999999997</v>
      </c>
      <c r="AJ59" s="45">
        <f t="shared" si="25"/>
        <v>13.776191666666666</v>
      </c>
      <c r="AK59" s="45">
        <f t="shared" si="25"/>
        <v>249.57700000000003</v>
      </c>
      <c r="AL59" s="45">
        <f t="shared" si="25"/>
        <v>13.613253846153846</v>
      </c>
      <c r="AM59" s="45">
        <f t="shared" si="25"/>
        <v>241.32300000000004</v>
      </c>
      <c r="AN59" s="45">
        <f t="shared" si="25"/>
        <v>13.207625000000002</v>
      </c>
      <c r="AO59" s="45"/>
      <c r="AP59" s="45"/>
      <c r="AQ59" s="45">
        <f t="shared" si="25"/>
        <v>223.83700000000002</v>
      </c>
      <c r="AR59" s="45">
        <f t="shared" si="25"/>
        <v>11.473703205128203</v>
      </c>
      <c r="AS59" s="45">
        <f t="shared" si="25"/>
        <v>28</v>
      </c>
      <c r="AT59" s="45">
        <f t="shared" si="25"/>
        <v>1.1666666666666667</v>
      </c>
      <c r="AU59" s="45" t="str">
        <f t="shared" si="25"/>
        <v/>
      </c>
      <c r="AV59" s="45" t="str">
        <f t="shared" si="25"/>
        <v/>
      </c>
      <c r="AW59" s="45"/>
      <c r="AX59" s="45" t="str">
        <f t="shared" si="25"/>
        <v/>
      </c>
      <c r="AY59" s="45" t="str">
        <f t="shared" si="25"/>
        <v/>
      </c>
      <c r="AZ59" s="45"/>
      <c r="BA59" s="87">
        <f>SUM(D59,H59,J59,L59,O59,S59,U59,W59,Y59,AA59,AE59,AG59,AI59,AK59,AM59,AQ59,AS59,AU59,AX59)</f>
        <v>3659.3089999999997</v>
      </c>
      <c r="BB59" s="49">
        <f>AVERAGE(D59,H59,J59,L59,O59,S59,U59,W59,Y59,AA59,AE59,AG59,AI59,AK59,AM59,AQ59,AS59,AU59,AX59)</f>
        <v>215.25347058823527</v>
      </c>
    </row>
    <row r="60" spans="1:54" x14ac:dyDescent="0.25">
      <c r="A60" s="30" t="s">
        <v>19</v>
      </c>
      <c r="C60" s="46"/>
      <c r="D60" s="46">
        <f>IF(D65="","",AVERAGE(E34:E57))</f>
        <v>0.60485227272727271</v>
      </c>
      <c r="E60" s="46"/>
      <c r="F60" s="46"/>
      <c r="G60" s="46"/>
      <c r="H60" s="46">
        <f t="shared" ref="H60:AX60" si="26">IF(H65="","",AVERAGE(I34:I57))</f>
        <v>0.70376898148148137</v>
      </c>
      <c r="I60" s="46"/>
      <c r="J60" s="46">
        <f t="shared" si="26"/>
        <v>0.67892368421052629</v>
      </c>
      <c r="K60" s="46"/>
      <c r="L60" s="46">
        <f t="shared" si="26"/>
        <v>0.63207833333333341</v>
      </c>
      <c r="M60" s="46"/>
      <c r="N60" s="46"/>
      <c r="O60" s="46">
        <f t="shared" si="26"/>
        <v>0.55932333333333328</v>
      </c>
      <c r="P60" s="46"/>
      <c r="Q60" s="46"/>
      <c r="R60" s="46"/>
      <c r="S60" s="46">
        <f t="shared" si="26"/>
        <v>0.77340222832722838</v>
      </c>
      <c r="T60" s="46"/>
      <c r="U60" s="46">
        <f t="shared" si="26"/>
        <v>0.61440138326585692</v>
      </c>
      <c r="V60" s="46"/>
      <c r="W60" s="46">
        <f t="shared" si="26"/>
        <v>0.7064907407407407</v>
      </c>
      <c r="X60" s="46"/>
      <c r="Y60" s="46">
        <f t="shared" si="26"/>
        <v>0.61996157407407404</v>
      </c>
      <c r="Z60" s="46"/>
      <c r="AA60" s="46">
        <f t="shared" si="26"/>
        <v>0.58857807017543862</v>
      </c>
      <c r="AB60" s="46"/>
      <c r="AC60" s="46"/>
      <c r="AD60" s="46"/>
      <c r="AE60" s="46">
        <f t="shared" si="26"/>
        <v>0.72002307692307688</v>
      </c>
      <c r="AF60" s="46"/>
      <c r="AG60" s="46">
        <f t="shared" si="26"/>
        <v>0.65252240384615379</v>
      </c>
      <c r="AH60" s="46"/>
      <c r="AI60" s="46">
        <f t="shared" si="26"/>
        <v>0.72506271929824562</v>
      </c>
      <c r="AJ60" s="46"/>
      <c r="AK60" s="46">
        <f t="shared" si="26"/>
        <v>0.68066269230769227</v>
      </c>
      <c r="AL60" s="46"/>
      <c r="AM60" s="46">
        <f t="shared" si="26"/>
        <v>0.69513815789473699</v>
      </c>
      <c r="AN60" s="46"/>
      <c r="AO60" s="46"/>
      <c r="AP60" s="46"/>
      <c r="AQ60" s="46">
        <f t="shared" si="26"/>
        <v>0.60387911605937905</v>
      </c>
      <c r="AR60" s="46"/>
      <c r="AS60" s="46">
        <f t="shared" si="26"/>
        <v>1.1666666666666667</v>
      </c>
      <c r="AT60" s="46"/>
      <c r="AU60" s="46" t="str">
        <f t="shared" si="26"/>
        <v/>
      </c>
      <c r="AV60" s="46"/>
      <c r="AW60" s="46"/>
      <c r="AX60" s="46" t="str">
        <f t="shared" si="26"/>
        <v/>
      </c>
      <c r="AY60" s="46"/>
      <c r="AZ60" s="46"/>
      <c r="BA60" s="48"/>
      <c r="BB60" s="50">
        <f>AVERAGE(D60,H60,J60,L60,O60,S60,U60,W60,Y60,AA60,AE60,AG60,AI60,AK60,AM60,AQ60,AS60,AU60,AX60)</f>
        <v>0.68974914321560221</v>
      </c>
    </row>
    <row r="61" spans="1:54" x14ac:dyDescent="0.25"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32"/>
      <c r="AZ61" s="32"/>
      <c r="BA61" s="48"/>
      <c r="BB61" s="50"/>
    </row>
    <row r="62" spans="1:54" x14ac:dyDescent="0.25">
      <c r="A62" s="30" t="s">
        <v>20</v>
      </c>
      <c r="C62" s="46"/>
      <c r="D62" s="46">
        <f t="shared" ref="D62:AX62" si="27">IF(D65="","",(20-COUNTBLANK(D34:D53))/20)</f>
        <v>0.4</v>
      </c>
      <c r="E62" s="46"/>
      <c r="F62" s="46"/>
      <c r="G62" s="46"/>
      <c r="H62" s="46">
        <f t="shared" si="27"/>
        <v>0.7</v>
      </c>
      <c r="I62" s="46"/>
      <c r="J62" s="46">
        <f t="shared" si="27"/>
        <v>0.75</v>
      </c>
      <c r="K62" s="46"/>
      <c r="L62" s="46">
        <f t="shared" si="27"/>
        <v>0.8</v>
      </c>
      <c r="M62" s="46"/>
      <c r="N62" s="46"/>
      <c r="O62" s="46">
        <f t="shared" si="27"/>
        <v>0.35</v>
      </c>
      <c r="P62" s="46"/>
      <c r="Q62" s="46"/>
      <c r="R62" s="46"/>
      <c r="S62" s="46">
        <f t="shared" si="27"/>
        <v>0.85</v>
      </c>
      <c r="T62" s="46"/>
      <c r="U62" s="46">
        <f t="shared" si="27"/>
        <v>0.75</v>
      </c>
      <c r="V62" s="46"/>
      <c r="W62" s="46">
        <f t="shared" si="27"/>
        <v>0.75</v>
      </c>
      <c r="X62" s="46"/>
      <c r="Y62" s="46">
        <f t="shared" si="27"/>
        <v>0.75</v>
      </c>
      <c r="Z62" s="46"/>
      <c r="AA62" s="46">
        <f t="shared" si="27"/>
        <v>0.75</v>
      </c>
      <c r="AB62" s="46"/>
      <c r="AC62" s="46"/>
      <c r="AD62" s="46"/>
      <c r="AE62" s="46">
        <f t="shared" si="27"/>
        <v>0.85</v>
      </c>
      <c r="AF62" s="46"/>
      <c r="AG62" s="46">
        <f t="shared" si="27"/>
        <v>0.8</v>
      </c>
      <c r="AH62" s="46"/>
      <c r="AI62" s="46">
        <f t="shared" si="27"/>
        <v>0.75</v>
      </c>
      <c r="AJ62" s="46"/>
      <c r="AK62" s="46">
        <f t="shared" si="27"/>
        <v>0.8</v>
      </c>
      <c r="AL62" s="46"/>
      <c r="AM62" s="46">
        <f t="shared" si="27"/>
        <v>0.75</v>
      </c>
      <c r="AN62" s="46"/>
      <c r="AO62" s="46"/>
      <c r="AP62" s="46"/>
      <c r="AQ62" s="46">
        <f t="shared" si="27"/>
        <v>0.75</v>
      </c>
      <c r="AR62" s="46"/>
      <c r="AS62" s="46">
        <f t="shared" si="27"/>
        <v>0.05</v>
      </c>
      <c r="AT62" s="46"/>
      <c r="AU62" s="46" t="str">
        <f t="shared" si="27"/>
        <v/>
      </c>
      <c r="AV62" s="46" t="str">
        <f t="shared" si="27"/>
        <v/>
      </c>
      <c r="AW62" s="46" t="str">
        <f t="shared" si="27"/>
        <v/>
      </c>
      <c r="AX62" s="46" t="str">
        <f t="shared" si="27"/>
        <v/>
      </c>
      <c r="AY62" s="45"/>
      <c r="AZ62" s="45"/>
      <c r="BA62" s="48"/>
      <c r="BB62" s="50">
        <f t="shared" ref="BB62" si="28">AVERAGE(C62:AX62)</f>
        <v>0.68235294117647072</v>
      </c>
    </row>
    <row r="63" spans="1:54" x14ac:dyDescent="0.25">
      <c r="BA63" s="48"/>
      <c r="BB63" s="48"/>
    </row>
    <row r="64" spans="1:54" x14ac:dyDescent="0.25">
      <c r="A64" s="27" t="s">
        <v>13</v>
      </c>
      <c r="C64" s="34">
        <v>41760</v>
      </c>
      <c r="D64" s="33">
        <v>41761</v>
      </c>
      <c r="E64" s="33"/>
      <c r="F64" s="34">
        <v>41762</v>
      </c>
      <c r="G64" s="34">
        <v>41763</v>
      </c>
      <c r="H64" s="59">
        <v>41764</v>
      </c>
      <c r="I64" s="59"/>
      <c r="J64" s="59">
        <v>41765</v>
      </c>
      <c r="K64" s="59"/>
      <c r="L64" s="33">
        <v>41766</v>
      </c>
      <c r="M64" s="33"/>
      <c r="N64" s="34">
        <v>41767</v>
      </c>
      <c r="O64" s="33">
        <v>41768</v>
      </c>
      <c r="P64" s="33"/>
      <c r="Q64" s="34">
        <v>41769</v>
      </c>
      <c r="R64" s="34">
        <v>41770</v>
      </c>
      <c r="S64" s="59">
        <v>41771</v>
      </c>
      <c r="T64" s="59"/>
      <c r="U64" s="59">
        <v>41772</v>
      </c>
      <c r="V64" s="59"/>
      <c r="W64" s="33">
        <v>41773</v>
      </c>
      <c r="X64" s="33"/>
      <c r="Y64" s="33">
        <v>41774</v>
      </c>
      <c r="Z64" s="33"/>
      <c r="AA64" s="33">
        <v>41775</v>
      </c>
      <c r="AB64" s="33"/>
      <c r="AC64" s="34">
        <v>41776</v>
      </c>
      <c r="AD64" s="34">
        <v>41777</v>
      </c>
      <c r="AE64" s="59">
        <v>41778</v>
      </c>
      <c r="AF64" s="59"/>
      <c r="AG64" s="59">
        <v>41779</v>
      </c>
      <c r="AH64" s="59"/>
      <c r="AI64" s="59">
        <v>41780</v>
      </c>
      <c r="AJ64" s="33"/>
      <c r="AK64" s="33">
        <v>41781</v>
      </c>
      <c r="AL64" s="33"/>
      <c r="AM64" s="33">
        <v>41782</v>
      </c>
      <c r="AN64" s="33"/>
      <c r="AO64" s="34">
        <v>41783</v>
      </c>
      <c r="AP64" s="34">
        <v>41784</v>
      </c>
      <c r="AQ64" s="59">
        <v>41785</v>
      </c>
      <c r="AR64" s="59"/>
      <c r="AS64" s="59">
        <v>41786</v>
      </c>
      <c r="AT64" s="59"/>
      <c r="AU64" s="33">
        <v>41787</v>
      </c>
      <c r="AV64" s="33"/>
      <c r="AW64" s="34">
        <v>41788</v>
      </c>
      <c r="AX64" s="33">
        <v>41789</v>
      </c>
      <c r="AY64" s="33"/>
      <c r="AZ64" s="18"/>
      <c r="BA64" s="48"/>
      <c r="BB64" s="48"/>
    </row>
    <row r="65" spans="1:54" x14ac:dyDescent="0.25">
      <c r="A65" s="28">
        <v>3</v>
      </c>
      <c r="B65" s="28">
        <v>24</v>
      </c>
      <c r="C65" s="37"/>
      <c r="D65" s="39">
        <v>19.760000000000002</v>
      </c>
      <c r="E65" s="82">
        <f t="shared" ref="E65:E70" si="29">IF(D65="","",D65/$B$34)</f>
        <v>0.82333333333333336</v>
      </c>
      <c r="F65" s="40"/>
      <c r="G65" s="40" t="str">
        <f t="shared" ref="G65:K70" si="30">IF(F65="","",F65/$B$34)</f>
        <v/>
      </c>
      <c r="H65" s="39">
        <v>1.242</v>
      </c>
      <c r="I65" s="39">
        <f t="shared" si="30"/>
        <v>5.1749999999999997E-2</v>
      </c>
      <c r="J65" s="39">
        <v>12.766</v>
      </c>
      <c r="K65" s="39">
        <f t="shared" si="30"/>
        <v>0.5319166666666667</v>
      </c>
      <c r="L65" s="39">
        <v>12.978</v>
      </c>
      <c r="M65" s="39">
        <f>IF(L65="","",L65/$B$34)</f>
        <v>0.54074999999999995</v>
      </c>
      <c r="N65" s="37"/>
      <c r="O65" s="39">
        <v>21.751999999999999</v>
      </c>
      <c r="P65" s="39">
        <f t="shared" ref="P65:P70" si="31">IF(O65="","",O65/$B$34)</f>
        <v>0.90633333333333332</v>
      </c>
      <c r="Q65" s="40"/>
      <c r="R65" s="40"/>
      <c r="S65" s="39">
        <v>22.062000000000001</v>
      </c>
      <c r="T65" s="82">
        <f t="shared" ref="T65:V70" si="32">IF(S65="","",S65/$B$34)</f>
        <v>0.91925000000000001</v>
      </c>
      <c r="U65" s="39">
        <v>0.52500000000000002</v>
      </c>
      <c r="V65" s="39">
        <f t="shared" si="32"/>
        <v>2.1875000000000002E-2</v>
      </c>
      <c r="W65" s="39">
        <v>17.861999999999998</v>
      </c>
      <c r="X65" s="39">
        <f t="shared" ref="X65:X70" si="33">IF(W65="","",W65/$B$34)</f>
        <v>0.74424999999999997</v>
      </c>
      <c r="Y65" s="39">
        <v>17.178999999999998</v>
      </c>
      <c r="Z65" s="39">
        <f t="shared" ref="Z65:Z70" si="34">IF(Y65="","",Y65/$B$34)</f>
        <v>0.7157916666666666</v>
      </c>
      <c r="AA65" s="39">
        <v>21.317</v>
      </c>
      <c r="AB65" s="39">
        <f t="shared" ref="AB65:AB70" si="35">IF(AA65="","",AA65/$B$34)</f>
        <v>0.88820833333333338</v>
      </c>
      <c r="AC65" s="40"/>
      <c r="AD65" s="40"/>
      <c r="AE65" s="39">
        <f>12.364</f>
        <v>12.364000000000001</v>
      </c>
      <c r="AF65" s="39">
        <f t="shared" ref="AF65:AL65" si="36">IF(AE65="","",AE65/$B$34)</f>
        <v>0.51516666666666666</v>
      </c>
      <c r="AG65" s="39">
        <v>23.004000000000001</v>
      </c>
      <c r="AH65" s="39">
        <f t="shared" si="36"/>
        <v>0.95850000000000002</v>
      </c>
      <c r="AI65" s="39">
        <f>21.747</f>
        <v>21.747</v>
      </c>
      <c r="AJ65" s="39">
        <f t="shared" si="36"/>
        <v>0.90612499999999996</v>
      </c>
      <c r="AK65" s="39">
        <v>24.933</v>
      </c>
      <c r="AL65" s="39">
        <f t="shared" si="36"/>
        <v>1.038875</v>
      </c>
      <c r="AM65" s="39">
        <v>24.111999999999998</v>
      </c>
      <c r="AN65" s="39">
        <f t="shared" ref="AN65:AN70" si="37">IF(AM65="","",AM65/$B$34)</f>
        <v>1.0046666666666666</v>
      </c>
      <c r="AO65" s="40"/>
      <c r="AP65" s="40"/>
      <c r="AQ65" s="39">
        <f>23.288+5.36+9.201+3.25+3.807</f>
        <v>44.906000000000006</v>
      </c>
      <c r="AR65" s="39">
        <f t="shared" ref="AR65:AT70" si="38">IF(AQ65="","",AQ65/$B$34)</f>
        <v>1.8710833333333337</v>
      </c>
      <c r="AS65" s="39">
        <v>25</v>
      </c>
      <c r="AT65" s="39">
        <f t="shared" si="38"/>
        <v>1.0416666666666667</v>
      </c>
      <c r="AU65" s="36"/>
      <c r="AV65" s="39" t="str">
        <f t="shared" ref="AV65:AV70" si="39">IF(AU65="","",AU65/$B$34)</f>
        <v/>
      </c>
      <c r="AW65" s="37"/>
      <c r="AX65" s="36"/>
      <c r="AY65" s="39" t="str">
        <f t="shared" ref="AY65:AY70" si="40">IF(AX65="","",AX65/$B$34)</f>
        <v/>
      </c>
      <c r="AZ65" s="40"/>
      <c r="BA65" s="48"/>
      <c r="BB65" s="48"/>
    </row>
    <row r="66" spans="1:54" x14ac:dyDescent="0.25">
      <c r="A66" s="28">
        <v>3</v>
      </c>
      <c r="B66" s="27">
        <v>24</v>
      </c>
      <c r="C66" s="37"/>
      <c r="D66" s="95">
        <v>13.77</v>
      </c>
      <c r="E66" s="44">
        <f t="shared" si="29"/>
        <v>0.57374999999999998</v>
      </c>
      <c r="F66" s="37"/>
      <c r="G66" s="37"/>
      <c r="H66" s="55">
        <f>13.728</f>
        <v>13.728</v>
      </c>
      <c r="I66" s="55">
        <f t="shared" si="30"/>
        <v>0.57199999999999995</v>
      </c>
      <c r="J66" s="55">
        <v>12.237</v>
      </c>
      <c r="K66" s="55">
        <f t="shared" si="30"/>
        <v>0.50987499999999997</v>
      </c>
      <c r="L66" s="95">
        <v>2.8650000000000002</v>
      </c>
      <c r="M66" s="55">
        <f t="shared" ref="M66:M70" si="41">IF(L66="","",L66/$B$34)</f>
        <v>0.11937500000000001</v>
      </c>
      <c r="N66" s="37"/>
      <c r="O66" s="95">
        <v>4.3860000000000001</v>
      </c>
      <c r="P66" s="44">
        <f t="shared" si="31"/>
        <v>0.18275</v>
      </c>
      <c r="Q66" s="37"/>
      <c r="R66" s="37"/>
      <c r="S66" s="44">
        <v>2.1829999999999998</v>
      </c>
      <c r="T66" s="55">
        <f t="shared" si="32"/>
        <v>9.0958333333333322E-2</v>
      </c>
      <c r="U66" s="44">
        <v>9.9550000000000001</v>
      </c>
      <c r="V66" s="55">
        <f t="shared" si="32"/>
        <v>0.41479166666666667</v>
      </c>
      <c r="W66" s="44">
        <v>20.152999999999999</v>
      </c>
      <c r="X66" s="44">
        <f t="shared" si="33"/>
        <v>0.83970833333333328</v>
      </c>
      <c r="Y66" s="95">
        <v>19.869</v>
      </c>
      <c r="Z66" s="44">
        <f t="shared" si="34"/>
        <v>0.82787500000000003</v>
      </c>
      <c r="AA66" s="95">
        <v>15.343</v>
      </c>
      <c r="AB66" s="44">
        <f t="shared" si="35"/>
        <v>0.6392916666666667</v>
      </c>
      <c r="AC66" s="37"/>
      <c r="AD66" s="37"/>
      <c r="AE66" s="55">
        <v>17.358000000000001</v>
      </c>
      <c r="AF66" s="55">
        <f t="shared" ref="AF66" si="42">IF(AE66="","",AE66/$B$34)</f>
        <v>0.72325000000000006</v>
      </c>
      <c r="AG66" s="56">
        <f>24.773</f>
        <v>24.773</v>
      </c>
      <c r="AH66" s="55">
        <f t="shared" ref="AH66" si="43">IF(AG66="","",AG66/$B$34)</f>
        <v>1.0322083333333334</v>
      </c>
      <c r="AI66" s="55">
        <f>19.392</f>
        <v>19.391999999999999</v>
      </c>
      <c r="AJ66" s="55">
        <f t="shared" ref="AJ66" si="44">IF(AI66="","",AI66/$B$34)</f>
        <v>0.80799999999999994</v>
      </c>
      <c r="AK66" s="95">
        <f>15.974</f>
        <v>15.974</v>
      </c>
      <c r="AL66" s="44">
        <f>IF(AK66="","",AK66/$B$34)</f>
        <v>0.6655833333333333</v>
      </c>
      <c r="AM66" s="95">
        <f>15.277</f>
        <v>15.276999999999999</v>
      </c>
      <c r="AN66" s="44">
        <f t="shared" si="37"/>
        <v>0.63654166666666667</v>
      </c>
      <c r="AO66" s="37"/>
      <c r="AP66" s="37"/>
      <c r="AQ66" s="55">
        <f>24.203</f>
        <v>24.202999999999999</v>
      </c>
      <c r="AR66" s="55">
        <f t="shared" si="38"/>
        <v>1.0084583333333332</v>
      </c>
      <c r="AS66" s="56"/>
      <c r="AT66" s="55" t="str">
        <f t="shared" si="38"/>
        <v/>
      </c>
      <c r="AU66" s="38"/>
      <c r="AV66" s="44" t="str">
        <f t="shared" si="39"/>
        <v/>
      </c>
      <c r="AW66" s="37"/>
      <c r="AX66" s="38"/>
      <c r="AY66" s="44" t="str">
        <f t="shared" si="40"/>
        <v/>
      </c>
      <c r="AZ66" s="40"/>
      <c r="BA66" s="48"/>
      <c r="BB66" s="48"/>
    </row>
    <row r="67" spans="1:54" x14ac:dyDescent="0.25">
      <c r="A67" s="28">
        <v>3</v>
      </c>
      <c r="B67" s="27">
        <v>24</v>
      </c>
      <c r="C67" s="37"/>
      <c r="D67" s="95">
        <v>14.4</v>
      </c>
      <c r="E67" s="44">
        <f t="shared" si="29"/>
        <v>0.6</v>
      </c>
      <c r="F67" s="37"/>
      <c r="G67" s="37"/>
      <c r="H67" s="55">
        <f>14.31</f>
        <v>14.31</v>
      </c>
      <c r="I67" s="55">
        <f t="shared" si="30"/>
        <v>0.59625000000000006</v>
      </c>
      <c r="J67" s="55">
        <v>21.678000000000001</v>
      </c>
      <c r="K67" s="55">
        <f t="shared" si="30"/>
        <v>0.90325</v>
      </c>
      <c r="L67" s="95">
        <v>8.5790000000000006</v>
      </c>
      <c r="M67" s="55">
        <f t="shared" si="41"/>
        <v>0.35745833333333338</v>
      </c>
      <c r="N67" s="37"/>
      <c r="O67" s="95">
        <v>25.24</v>
      </c>
      <c r="P67" s="44">
        <f t="shared" si="31"/>
        <v>1.0516666666666665</v>
      </c>
      <c r="Q67" s="37"/>
      <c r="R67" s="37"/>
      <c r="S67" s="44">
        <v>11.098000000000001</v>
      </c>
      <c r="T67" s="55">
        <f t="shared" si="32"/>
        <v>0.4624166666666667</v>
      </c>
      <c r="U67" s="44">
        <v>10.401999999999999</v>
      </c>
      <c r="V67" s="55">
        <f t="shared" si="32"/>
        <v>0.43341666666666662</v>
      </c>
      <c r="W67" s="44">
        <f>15.123</f>
        <v>15.122999999999999</v>
      </c>
      <c r="X67" s="44">
        <f t="shared" si="33"/>
        <v>0.63012499999999994</v>
      </c>
      <c r="Y67" s="95">
        <v>17.673999999999999</v>
      </c>
      <c r="Z67" s="44">
        <f t="shared" si="34"/>
        <v>0.73641666666666661</v>
      </c>
      <c r="AA67" s="95">
        <f>4.379</f>
        <v>4.3789999999999996</v>
      </c>
      <c r="AB67" s="44">
        <f t="shared" si="35"/>
        <v>0.18245833333333331</v>
      </c>
      <c r="AC67" s="37"/>
      <c r="AD67" s="37"/>
      <c r="AE67" s="55">
        <v>17.759</v>
      </c>
      <c r="AF67" s="55">
        <f t="shared" ref="AF67" si="45">IF(AE67="","",AE67/$B$34)</f>
        <v>0.73995833333333338</v>
      </c>
      <c r="AG67" s="56">
        <f>19.984</f>
        <v>19.984000000000002</v>
      </c>
      <c r="AH67" s="55">
        <f t="shared" ref="AH67" si="46">IF(AG67="","",AG67/$B$34)</f>
        <v>0.83266666666666678</v>
      </c>
      <c r="AI67" s="55">
        <v>17.669</v>
      </c>
      <c r="AJ67" s="55">
        <f t="shared" ref="AJ67" si="47">IF(AI67="","",AI67/$B$34)</f>
        <v>0.73620833333333335</v>
      </c>
      <c r="AK67" s="95">
        <v>11.728999999999999</v>
      </c>
      <c r="AL67" s="44">
        <f>IF(AK67="","",AK67/$B$34)</f>
        <v>0.4887083333333333</v>
      </c>
      <c r="AM67" s="95">
        <f>13.703</f>
        <v>13.702999999999999</v>
      </c>
      <c r="AN67" s="44">
        <f t="shared" si="37"/>
        <v>0.57095833333333335</v>
      </c>
      <c r="AO67" s="37"/>
      <c r="AP67" s="37"/>
      <c r="AQ67" s="55">
        <f>10.599</f>
        <v>10.599</v>
      </c>
      <c r="AR67" s="55">
        <f t="shared" si="38"/>
        <v>0.44162499999999999</v>
      </c>
      <c r="AS67" s="56"/>
      <c r="AT67" s="55" t="str">
        <f t="shared" si="38"/>
        <v/>
      </c>
      <c r="AU67" s="38"/>
      <c r="AV67" s="44" t="str">
        <f t="shared" si="39"/>
        <v/>
      </c>
      <c r="AW67" s="37"/>
      <c r="AX67" s="38"/>
      <c r="AY67" s="44" t="str">
        <f t="shared" si="40"/>
        <v/>
      </c>
      <c r="AZ67" s="40"/>
      <c r="BA67" s="48"/>
      <c r="BB67" s="48"/>
    </row>
    <row r="68" spans="1:54" x14ac:dyDescent="0.25">
      <c r="A68" s="28">
        <v>3</v>
      </c>
      <c r="B68" s="28">
        <v>24</v>
      </c>
      <c r="C68" s="37"/>
      <c r="D68" s="39">
        <v>12.91</v>
      </c>
      <c r="E68" s="39">
        <f t="shared" si="29"/>
        <v>0.53791666666666671</v>
      </c>
      <c r="F68" s="37"/>
      <c r="G68" s="37"/>
      <c r="H68" s="39">
        <v>3.38</v>
      </c>
      <c r="I68" s="39">
        <f t="shared" si="30"/>
        <v>0.14083333333333334</v>
      </c>
      <c r="J68" s="39">
        <f>13.126+7</f>
        <v>20.125999999999998</v>
      </c>
      <c r="K68" s="39">
        <f t="shared" si="30"/>
        <v>0.83858333333333324</v>
      </c>
      <c r="L68" s="39">
        <v>4.2370000000000001</v>
      </c>
      <c r="M68" s="39">
        <f t="shared" si="41"/>
        <v>0.17654166666666668</v>
      </c>
      <c r="N68" s="37"/>
      <c r="O68" s="39">
        <v>16.565999999999999</v>
      </c>
      <c r="P68" s="39">
        <f t="shared" si="31"/>
        <v>0.69024999999999992</v>
      </c>
      <c r="Q68" s="37"/>
      <c r="R68" s="37"/>
      <c r="S68" s="39">
        <v>17.797999999999998</v>
      </c>
      <c r="T68" s="39">
        <f t="shared" si="32"/>
        <v>0.74158333333333326</v>
      </c>
      <c r="U68" s="39">
        <v>25.54</v>
      </c>
      <c r="V68" s="39">
        <f t="shared" si="32"/>
        <v>1.0641666666666667</v>
      </c>
      <c r="W68" s="39">
        <f>4.984</f>
        <v>4.984</v>
      </c>
      <c r="X68" s="39">
        <f t="shared" si="33"/>
        <v>0.20766666666666667</v>
      </c>
      <c r="Y68" s="39">
        <v>18.533999999999999</v>
      </c>
      <c r="Z68" s="39">
        <f t="shared" si="34"/>
        <v>0.77224999999999999</v>
      </c>
      <c r="AA68" s="39">
        <v>3.14</v>
      </c>
      <c r="AB68" s="39">
        <f t="shared" si="35"/>
        <v>0.13083333333333333</v>
      </c>
      <c r="AC68" s="37"/>
      <c r="AD68" s="37"/>
      <c r="AE68" s="39">
        <v>7.6420000000000003</v>
      </c>
      <c r="AF68" s="39">
        <f t="shared" ref="AF68" si="48">IF(AE68="","",AE68/$B$34)</f>
        <v>0.31841666666666668</v>
      </c>
      <c r="AG68" s="36">
        <v>4.0519999999999996</v>
      </c>
      <c r="AH68" s="39">
        <f t="shared" ref="AH68" si="49">IF(AG68="","",AG68/$B$34)</f>
        <v>0.16883333333333331</v>
      </c>
      <c r="AI68" s="39">
        <v>20.893999999999998</v>
      </c>
      <c r="AJ68" s="39">
        <f t="shared" ref="AJ68" si="50">IF(AI68="","",AI68/$B$34)</f>
        <v>0.87058333333333326</v>
      </c>
      <c r="AK68" s="39">
        <v>22.146999999999998</v>
      </c>
      <c r="AL68" s="39">
        <f>IF(AK68="","",AK68/$B$34)</f>
        <v>0.92279166666666657</v>
      </c>
      <c r="AM68" s="39">
        <f>24.189</f>
        <v>24.189</v>
      </c>
      <c r="AN68" s="39">
        <f t="shared" si="37"/>
        <v>1.0078750000000001</v>
      </c>
      <c r="AO68" s="37"/>
      <c r="AP68" s="37"/>
      <c r="AQ68" s="39">
        <f>20.68</f>
        <v>20.68</v>
      </c>
      <c r="AR68" s="39">
        <f t="shared" si="38"/>
        <v>0.86166666666666669</v>
      </c>
      <c r="AS68" s="36"/>
      <c r="AT68" s="39" t="str">
        <f t="shared" si="38"/>
        <v/>
      </c>
      <c r="AU68" s="36"/>
      <c r="AV68" s="39" t="str">
        <f t="shared" si="39"/>
        <v/>
      </c>
      <c r="AW68" s="37"/>
      <c r="AX68" s="36"/>
      <c r="AY68" s="39" t="str">
        <f t="shared" si="40"/>
        <v/>
      </c>
      <c r="AZ68" s="40"/>
      <c r="BA68" s="48"/>
      <c r="BB68" s="48"/>
    </row>
    <row r="69" spans="1:54" x14ac:dyDescent="0.25">
      <c r="A69" s="28">
        <v>3</v>
      </c>
      <c r="B69" s="27">
        <v>24</v>
      </c>
      <c r="C69" s="37"/>
      <c r="D69" s="38"/>
      <c r="E69" s="44" t="str">
        <f t="shared" si="29"/>
        <v/>
      </c>
      <c r="F69" s="37"/>
      <c r="G69" s="37"/>
      <c r="H69" s="55">
        <v>22.317</v>
      </c>
      <c r="I69" s="55">
        <f t="shared" si="30"/>
        <v>0.92987500000000001</v>
      </c>
      <c r="J69" s="55"/>
      <c r="K69" s="55" t="str">
        <f t="shared" si="30"/>
        <v/>
      </c>
      <c r="L69" s="95"/>
      <c r="M69" s="55" t="str">
        <f t="shared" si="41"/>
        <v/>
      </c>
      <c r="N69" s="37"/>
      <c r="O69" s="95"/>
      <c r="P69" s="44" t="str">
        <f t="shared" si="31"/>
        <v/>
      </c>
      <c r="Q69" s="37"/>
      <c r="R69" s="37"/>
      <c r="S69" s="58"/>
      <c r="T69" s="58" t="str">
        <f t="shared" si="32"/>
        <v/>
      </c>
      <c r="U69" s="56"/>
      <c r="V69" s="55" t="str">
        <f t="shared" si="32"/>
        <v/>
      </c>
      <c r="W69" s="56"/>
      <c r="X69" s="55" t="str">
        <f t="shared" si="33"/>
        <v/>
      </c>
      <c r="Y69" s="95">
        <f>11.899</f>
        <v>11.898999999999999</v>
      </c>
      <c r="Z69" s="44">
        <f t="shared" si="34"/>
        <v>0.49579166666666663</v>
      </c>
      <c r="AA69" s="38"/>
      <c r="AB69" s="44" t="str">
        <f t="shared" si="35"/>
        <v/>
      </c>
      <c r="AC69" s="37"/>
      <c r="AD69" s="37"/>
      <c r="AE69" s="55"/>
      <c r="AF69" s="55" t="str">
        <f t="shared" ref="AF69:AF70" si="51">IF(AE69="","",AE69/$B$34)</f>
        <v/>
      </c>
      <c r="AG69" s="56"/>
      <c r="AH69" s="55" t="str">
        <f t="shared" ref="AH69:AH70" si="52">IF(AG69="","",AG69/$B$34)</f>
        <v/>
      </c>
      <c r="AI69" s="56"/>
      <c r="AJ69" s="55" t="str">
        <f t="shared" ref="AJ69:AJ70" si="53">IF(AI69="","",AI69/$B$34)</f>
        <v/>
      </c>
      <c r="AK69" s="95"/>
      <c r="AL69" s="44" t="str">
        <f>IF(AK69="","",AK69/$B$34)</f>
        <v/>
      </c>
      <c r="AM69" s="95"/>
      <c r="AN69" s="44" t="str">
        <f t="shared" si="37"/>
        <v/>
      </c>
      <c r="AO69" s="37"/>
      <c r="AP69" s="37"/>
      <c r="AQ69" s="55">
        <f>7.851</f>
        <v>7.851</v>
      </c>
      <c r="AR69" s="55">
        <f t="shared" si="38"/>
        <v>0.327125</v>
      </c>
      <c r="AS69" s="56"/>
      <c r="AT69" s="55" t="str">
        <f t="shared" si="38"/>
        <v/>
      </c>
      <c r="AU69" s="38"/>
      <c r="AV69" s="44" t="str">
        <f t="shared" si="39"/>
        <v/>
      </c>
      <c r="AW69" s="37"/>
      <c r="AX69" s="38"/>
      <c r="AY69" s="44" t="str">
        <f t="shared" si="40"/>
        <v/>
      </c>
      <c r="AZ69" s="40"/>
      <c r="BA69" s="48"/>
      <c r="BB69" s="48"/>
    </row>
    <row r="70" spans="1:54" x14ac:dyDescent="0.25">
      <c r="A70" s="28">
        <v>3</v>
      </c>
      <c r="B70" s="27">
        <v>24</v>
      </c>
      <c r="C70" s="37"/>
      <c r="D70" s="38"/>
      <c r="E70" s="44" t="str">
        <f t="shared" si="29"/>
        <v/>
      </c>
      <c r="F70" s="37"/>
      <c r="G70" s="37"/>
      <c r="H70" s="55">
        <v>14.234</v>
      </c>
      <c r="I70" s="55">
        <f t="shared" si="30"/>
        <v>0.5930833333333333</v>
      </c>
      <c r="J70" s="55"/>
      <c r="K70" s="55" t="str">
        <f t="shared" si="30"/>
        <v/>
      </c>
      <c r="L70" s="95"/>
      <c r="M70" s="55" t="str">
        <f t="shared" si="41"/>
        <v/>
      </c>
      <c r="N70" s="37"/>
      <c r="O70" s="38"/>
      <c r="P70" s="44" t="str">
        <f t="shared" si="31"/>
        <v/>
      </c>
      <c r="Q70" s="37"/>
      <c r="R70" s="37"/>
      <c r="S70" s="58">
        <v>14.997999999999999</v>
      </c>
      <c r="T70" s="58">
        <f t="shared" si="32"/>
        <v>0.62491666666666668</v>
      </c>
      <c r="U70" s="56"/>
      <c r="V70" s="55" t="str">
        <f t="shared" si="32"/>
        <v/>
      </c>
      <c r="W70" s="56"/>
      <c r="X70" s="55" t="str">
        <f t="shared" si="33"/>
        <v/>
      </c>
      <c r="Y70" s="95">
        <v>23.951000000000001</v>
      </c>
      <c r="Z70" s="44">
        <f t="shared" si="34"/>
        <v>0.99795833333333339</v>
      </c>
      <c r="AA70" s="38"/>
      <c r="AB70" s="44" t="str">
        <f t="shared" si="35"/>
        <v/>
      </c>
      <c r="AC70" s="37"/>
      <c r="AD70" s="37"/>
      <c r="AE70" s="55">
        <f>22.645</f>
        <v>22.645</v>
      </c>
      <c r="AF70" s="55">
        <f t="shared" si="51"/>
        <v>0.94354166666666661</v>
      </c>
      <c r="AG70" s="56"/>
      <c r="AH70" s="55" t="str">
        <f t="shared" si="52"/>
        <v/>
      </c>
      <c r="AI70" s="56"/>
      <c r="AJ70" s="55" t="str">
        <f t="shared" si="53"/>
        <v/>
      </c>
      <c r="AK70" s="95">
        <f>13.862</f>
        <v>13.862</v>
      </c>
      <c r="AL70" s="44">
        <f>IF(AK70="","",AK70/$B$34)</f>
        <v>0.57758333333333334</v>
      </c>
      <c r="AM70" s="95">
        <v>4.5510000000000002</v>
      </c>
      <c r="AN70" s="44">
        <f t="shared" si="37"/>
        <v>0.18962500000000002</v>
      </c>
      <c r="AO70" s="37"/>
      <c r="AP70" s="37"/>
      <c r="AQ70" s="55">
        <f>1.545</f>
        <v>1.5449999999999999</v>
      </c>
      <c r="AR70" s="55">
        <f t="shared" si="38"/>
        <v>6.4375000000000002E-2</v>
      </c>
      <c r="AS70" s="56"/>
      <c r="AT70" s="55" t="str">
        <f t="shared" si="38"/>
        <v/>
      </c>
      <c r="AU70" s="38"/>
      <c r="AV70" s="44" t="str">
        <f t="shared" si="39"/>
        <v/>
      </c>
      <c r="AW70" s="37"/>
      <c r="AX70" s="38"/>
      <c r="AY70" s="44" t="str">
        <f t="shared" si="40"/>
        <v/>
      </c>
      <c r="AZ70" s="40"/>
      <c r="BA70" s="48"/>
      <c r="BB70" s="48"/>
    </row>
    <row r="71" spans="1:54" x14ac:dyDescent="0.25">
      <c r="BA71" s="48"/>
      <c r="BB71" s="48"/>
    </row>
    <row r="72" spans="1:54" x14ac:dyDescent="0.25">
      <c r="A72" s="30" t="s">
        <v>18</v>
      </c>
      <c r="C72" s="46" t="str">
        <f>IF(C65="","",AVERAGE(#REF!))</f>
        <v/>
      </c>
      <c r="D72" s="46">
        <f>IF(D65="","",AVERAGE(E65:E70))</f>
        <v>0.63375000000000004</v>
      </c>
      <c r="E72" s="46"/>
      <c r="F72" s="46" t="str">
        <f t="shared" ref="F72:AX72" si="54">IF(F65="","",AVERAGE(G65:G70))</f>
        <v/>
      </c>
      <c r="G72" s="46"/>
      <c r="H72" s="46">
        <f t="shared" si="54"/>
        <v>0.48063194444444446</v>
      </c>
      <c r="I72" s="46"/>
      <c r="J72" s="46">
        <f t="shared" si="54"/>
        <v>0.69590624999999995</v>
      </c>
      <c r="K72" s="46"/>
      <c r="L72" s="46">
        <f t="shared" si="54"/>
        <v>0.29853124999999997</v>
      </c>
      <c r="M72" s="46"/>
      <c r="N72" s="46"/>
      <c r="O72" s="46">
        <f t="shared" si="54"/>
        <v>0.70774999999999988</v>
      </c>
      <c r="P72" s="46"/>
      <c r="Q72" s="46"/>
      <c r="R72" s="46"/>
      <c r="S72" s="46">
        <f t="shared" si="54"/>
        <v>0.56782500000000002</v>
      </c>
      <c r="T72" s="46"/>
      <c r="U72" s="46">
        <f t="shared" si="54"/>
        <v>0.48356250000000001</v>
      </c>
      <c r="V72" s="46"/>
      <c r="W72" s="46">
        <f t="shared" si="54"/>
        <v>0.60543750000000007</v>
      </c>
      <c r="X72" s="46"/>
      <c r="Y72" s="46">
        <f t="shared" si="54"/>
        <v>0.75768055555555547</v>
      </c>
      <c r="Z72" s="46"/>
      <c r="AA72" s="46">
        <f t="shared" si="54"/>
        <v>0.46019791666666671</v>
      </c>
      <c r="AB72" s="46"/>
      <c r="AC72" s="46"/>
      <c r="AD72" s="46"/>
      <c r="AE72" s="46">
        <f t="shared" si="54"/>
        <v>0.64806666666666668</v>
      </c>
      <c r="AF72" s="46"/>
      <c r="AG72" s="46">
        <f t="shared" si="54"/>
        <v>0.7480520833333334</v>
      </c>
      <c r="AH72" s="46"/>
      <c r="AI72" s="46">
        <f t="shared" si="54"/>
        <v>0.83022916666666657</v>
      </c>
      <c r="AJ72" s="46"/>
      <c r="AK72" s="46">
        <f t="shared" si="54"/>
        <v>0.7387083333333333</v>
      </c>
      <c r="AL72" s="46"/>
      <c r="AM72" s="46">
        <f t="shared" si="54"/>
        <v>0.68193333333333339</v>
      </c>
      <c r="AN72" s="46"/>
      <c r="AO72" s="46"/>
      <c r="AP72" s="46"/>
      <c r="AQ72" s="46">
        <f t="shared" si="54"/>
        <v>0.76238888888888889</v>
      </c>
      <c r="AR72" s="46"/>
      <c r="AS72" s="46">
        <f t="shared" si="54"/>
        <v>1.0416666666666667</v>
      </c>
      <c r="AT72" s="46"/>
      <c r="AU72" s="46" t="str">
        <f t="shared" si="54"/>
        <v/>
      </c>
      <c r="AV72" s="46"/>
      <c r="AW72" s="46"/>
      <c r="AX72" s="46" t="str">
        <f t="shared" si="54"/>
        <v/>
      </c>
      <c r="AY72" s="46"/>
      <c r="AZ72" s="46"/>
      <c r="BA72" s="48"/>
      <c r="BB72" s="50">
        <f>AVERAGE(C72:AX72)</f>
        <v>0.65543047385620923</v>
      </c>
    </row>
    <row r="73" spans="1:54" x14ac:dyDescent="0.25">
      <c r="C73" s="47"/>
      <c r="D73" s="47"/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47"/>
      <c r="AU73" s="47"/>
      <c r="AV73" s="47"/>
      <c r="AW73" s="47"/>
      <c r="AX73" s="47"/>
      <c r="BA73" s="48"/>
      <c r="BB73" s="48"/>
    </row>
    <row r="74" spans="1:54" x14ac:dyDescent="0.25">
      <c r="A74" s="30" t="s">
        <v>33</v>
      </c>
      <c r="C74" s="47">
        <f>SUM(C65:C69)</f>
        <v>0</v>
      </c>
      <c r="D74" s="47">
        <f>SUM(D65:D70)</f>
        <v>60.84</v>
      </c>
      <c r="E74" s="47"/>
      <c r="F74" s="47"/>
      <c r="G74" s="47"/>
      <c r="H74" s="47">
        <f t="shared" ref="H74:AX74" si="55">SUM(H65:H70)</f>
        <v>69.210999999999999</v>
      </c>
      <c r="I74" s="47"/>
      <c r="J74" s="47">
        <f t="shared" si="55"/>
        <v>66.806999999999988</v>
      </c>
      <c r="K74" s="47"/>
      <c r="L74" s="47">
        <f t="shared" si="55"/>
        <v>28.658999999999999</v>
      </c>
      <c r="M74" s="47"/>
      <c r="N74" s="47"/>
      <c r="O74" s="47">
        <f t="shared" si="55"/>
        <v>67.944000000000003</v>
      </c>
      <c r="P74" s="47"/>
      <c r="Q74" s="47"/>
      <c r="R74" s="47"/>
      <c r="S74" s="47">
        <f t="shared" si="55"/>
        <v>68.13900000000001</v>
      </c>
      <c r="T74" s="47"/>
      <c r="U74" s="47">
        <f t="shared" si="55"/>
        <v>46.421999999999997</v>
      </c>
      <c r="V74" s="47"/>
      <c r="W74" s="47">
        <f t="shared" si="55"/>
        <v>58.122</v>
      </c>
      <c r="X74" s="47"/>
      <c r="Y74" s="32">
        <f t="shared" si="55"/>
        <v>109.10599999999999</v>
      </c>
      <c r="Z74" s="47"/>
      <c r="AA74" s="47">
        <f t="shared" si="55"/>
        <v>44.178999999999995</v>
      </c>
      <c r="AB74" s="47"/>
      <c r="AC74" s="47"/>
      <c r="AD74" s="47"/>
      <c r="AE74" s="47">
        <f t="shared" si="55"/>
        <v>77.768000000000001</v>
      </c>
      <c r="AF74" s="47"/>
      <c r="AG74" s="47">
        <f t="shared" si="55"/>
        <v>71.812999999999988</v>
      </c>
      <c r="AH74" s="47"/>
      <c r="AI74" s="47">
        <f t="shared" si="55"/>
        <v>79.701999999999998</v>
      </c>
      <c r="AJ74" s="47"/>
      <c r="AK74" s="47">
        <f t="shared" si="55"/>
        <v>88.644999999999982</v>
      </c>
      <c r="AL74" s="47"/>
      <c r="AM74" s="47">
        <f t="shared" si="55"/>
        <v>81.832000000000008</v>
      </c>
      <c r="AN74" s="47"/>
      <c r="AO74" s="47"/>
      <c r="AP74" s="47"/>
      <c r="AQ74" s="47">
        <f t="shared" si="55"/>
        <v>109.78400000000001</v>
      </c>
      <c r="AR74" s="47"/>
      <c r="AS74" s="47">
        <f t="shared" si="55"/>
        <v>25</v>
      </c>
      <c r="AT74" s="47"/>
      <c r="AU74" s="47">
        <f t="shared" si="55"/>
        <v>0</v>
      </c>
      <c r="AV74" s="47"/>
      <c r="AW74" s="47"/>
      <c r="AX74" s="47">
        <f t="shared" si="55"/>
        <v>0</v>
      </c>
      <c r="AY74" s="47"/>
      <c r="AZ74" s="47"/>
      <c r="BA74" s="48"/>
      <c r="BB74" s="48"/>
    </row>
    <row r="75" spans="1:54" x14ac:dyDescent="0.25">
      <c r="A75" s="29" t="s">
        <v>14</v>
      </c>
      <c r="C75" s="46" t="str">
        <f>IF(C74=0,"",(SUM(C65:C69)/(C59+C74)))</f>
        <v/>
      </c>
      <c r="D75" s="46">
        <f>IF(D74=0,"",(SUM(D65:D70)/(D59+D74)))</f>
        <v>0.32094193609647248</v>
      </c>
      <c r="E75" s="46"/>
      <c r="F75" s="46"/>
      <c r="G75" s="46"/>
      <c r="H75" s="46">
        <f t="shared" ref="H75:AX75" si="56">IF(H74=0,"",(SUM(H65:H70)/(H59+H74)))</f>
        <v>0.22520678636739316</v>
      </c>
      <c r="I75" s="46"/>
      <c r="J75" s="46">
        <f t="shared" si="56"/>
        <v>0.21117064150585554</v>
      </c>
      <c r="K75" s="46"/>
      <c r="L75" s="46">
        <f t="shared" si="56"/>
        <v>0.10684805869764596</v>
      </c>
      <c r="M75" s="46"/>
      <c r="N75" s="46"/>
      <c r="O75" s="46">
        <f t="shared" si="56"/>
        <v>0.39355885078776642</v>
      </c>
      <c r="P75" s="46"/>
      <c r="Q75" s="46"/>
      <c r="R75" s="46"/>
      <c r="S75" s="46">
        <f t="shared" si="56"/>
        <v>0.18448754812612703</v>
      </c>
      <c r="T75" s="46"/>
      <c r="U75" s="46">
        <f t="shared" si="56"/>
        <v>0.17251220763004746</v>
      </c>
      <c r="V75" s="46"/>
      <c r="W75" s="46">
        <f t="shared" si="56"/>
        <v>0.2022366351654164</v>
      </c>
      <c r="X75" s="46"/>
      <c r="Y75" s="46">
        <f t="shared" si="56"/>
        <v>0.35906785713110351</v>
      </c>
      <c r="Z75" s="46"/>
      <c r="AA75" s="46">
        <f t="shared" si="56"/>
        <v>0.17029190806033204</v>
      </c>
      <c r="AB75" s="46"/>
      <c r="AC75" s="46"/>
      <c r="AD75" s="46"/>
      <c r="AE75" s="46">
        <f t="shared" si="56"/>
        <v>0.20827999207246195</v>
      </c>
      <c r="AF75" s="46"/>
      <c r="AG75" s="46">
        <f t="shared" si="56"/>
        <v>0.2330123234066854</v>
      </c>
      <c r="AH75" s="46"/>
      <c r="AI75" s="46">
        <f t="shared" si="56"/>
        <v>0.23409404646518051</v>
      </c>
      <c r="AJ75" s="46"/>
      <c r="AK75" s="46">
        <f t="shared" si="56"/>
        <v>0.26209117088776007</v>
      </c>
      <c r="AL75" s="46"/>
      <c r="AM75" s="46">
        <f t="shared" si="56"/>
        <v>0.2532283269638409</v>
      </c>
      <c r="AN75" s="46"/>
      <c r="AO75" s="46"/>
      <c r="AP75" s="46"/>
      <c r="AQ75" s="46">
        <f t="shared" si="56"/>
        <v>0.32906801430365595</v>
      </c>
      <c r="AR75" s="46"/>
      <c r="AS75" s="46">
        <f t="shared" si="56"/>
        <v>0.47169811320754718</v>
      </c>
      <c r="AT75" s="46"/>
      <c r="AU75" s="46" t="str">
        <f t="shared" si="56"/>
        <v/>
      </c>
      <c r="AV75" s="46"/>
      <c r="AW75" s="46"/>
      <c r="AX75" s="46" t="str">
        <f t="shared" si="56"/>
        <v/>
      </c>
      <c r="AY75" s="46"/>
      <c r="AZ75" s="46"/>
      <c r="BA75" s="48"/>
      <c r="BB75" s="50">
        <f>AVERAGE(C75:AX75)</f>
        <v>0.25516437746325249</v>
      </c>
    </row>
    <row r="78" spans="1:54" x14ac:dyDescent="0.25">
      <c r="A78" s="27" t="s">
        <v>29</v>
      </c>
      <c r="C78" s="18">
        <v>41760</v>
      </c>
      <c r="D78" s="16">
        <v>41761</v>
      </c>
      <c r="E78" s="16"/>
      <c r="F78" s="18">
        <v>41762</v>
      </c>
      <c r="G78" s="18">
        <v>41763</v>
      </c>
      <c r="H78" s="16">
        <v>41764</v>
      </c>
      <c r="I78" s="16"/>
      <c r="J78" s="16">
        <v>41765</v>
      </c>
      <c r="K78" s="57"/>
      <c r="L78" s="57">
        <v>41766</v>
      </c>
      <c r="M78" s="16"/>
      <c r="N78" s="18">
        <v>41767</v>
      </c>
      <c r="O78" s="16">
        <v>41768</v>
      </c>
      <c r="P78" s="16"/>
      <c r="Q78" s="18">
        <v>41769</v>
      </c>
      <c r="R78" s="18">
        <v>41770</v>
      </c>
      <c r="S78" s="16">
        <v>41771</v>
      </c>
      <c r="T78" s="16"/>
      <c r="U78" s="16">
        <v>41772</v>
      </c>
      <c r="V78" s="16"/>
      <c r="W78" s="57">
        <v>41773</v>
      </c>
      <c r="X78" s="57"/>
      <c r="Y78" s="16">
        <v>41774</v>
      </c>
      <c r="Z78" s="16"/>
      <c r="AA78" s="16">
        <v>41775</v>
      </c>
      <c r="AB78" s="16"/>
      <c r="AC78" s="18">
        <v>41776</v>
      </c>
      <c r="AD78" s="18">
        <v>41777</v>
      </c>
      <c r="AE78" s="16">
        <v>41778</v>
      </c>
      <c r="AF78" s="16"/>
      <c r="AG78" s="16">
        <v>41779</v>
      </c>
      <c r="AH78" s="16"/>
      <c r="AI78" s="57">
        <v>41780</v>
      </c>
      <c r="AJ78" s="57"/>
      <c r="AK78" s="57">
        <v>41781</v>
      </c>
      <c r="AL78" s="57"/>
      <c r="AM78" s="16">
        <v>41782</v>
      </c>
      <c r="AN78" s="16"/>
      <c r="AO78" s="18">
        <v>41783</v>
      </c>
      <c r="AP78" s="18">
        <v>41784</v>
      </c>
      <c r="AQ78" s="16">
        <v>41785</v>
      </c>
      <c r="AR78" s="16"/>
      <c r="AS78" s="16">
        <v>41786</v>
      </c>
      <c r="AT78" s="16"/>
      <c r="AU78" s="57">
        <v>41787</v>
      </c>
      <c r="AV78" s="57"/>
      <c r="AW78" s="18">
        <v>41788</v>
      </c>
      <c r="AX78" s="16">
        <v>41789</v>
      </c>
      <c r="AY78" s="16"/>
      <c r="AZ78" s="18">
        <v>41790</v>
      </c>
      <c r="BA78" s="61"/>
    </row>
    <row r="79" spans="1:54" x14ac:dyDescent="0.25">
      <c r="A79" s="26">
        <v>4</v>
      </c>
      <c r="C79" s="66"/>
      <c r="D79" s="31">
        <f>1.25+9</f>
        <v>10.25</v>
      </c>
      <c r="E79" s="27"/>
      <c r="F79" s="60"/>
      <c r="G79" s="60"/>
      <c r="H79" s="27"/>
      <c r="I79" s="63"/>
      <c r="J79" s="31">
        <f>6.415+0.95+6.685+0.498+0.972+2.387</f>
        <v>17.907</v>
      </c>
      <c r="K79" s="70"/>
      <c r="L79" s="70">
        <f>2.378+1.283+3.567</f>
        <v>7.2279999999999998</v>
      </c>
      <c r="M79" s="63"/>
      <c r="N79" s="66"/>
      <c r="O79" s="31">
        <v>6.1059999999999999</v>
      </c>
      <c r="P79" s="27"/>
      <c r="Q79" s="67"/>
      <c r="R79" s="67"/>
      <c r="S79" s="31"/>
      <c r="T79" s="31"/>
      <c r="U79" s="31">
        <f>1.4+0.492+12</f>
        <v>13.891999999999999</v>
      </c>
      <c r="V79" s="31"/>
      <c r="W79" s="70">
        <f>2.651+2.818+5.774+6.201</f>
        <v>17.443999999999999</v>
      </c>
      <c r="X79" s="68"/>
      <c r="Y79" s="31">
        <f>0.249+1.217+12+1.075</f>
        <v>14.541</v>
      </c>
      <c r="Z79" s="27"/>
      <c r="AA79" s="31">
        <f>2.836</f>
        <v>2.8359999999999999</v>
      </c>
      <c r="AB79" s="27"/>
      <c r="AC79" s="66"/>
      <c r="AD79" s="60"/>
      <c r="AE79" s="31">
        <f>4.227+0.514+0.243+0.482+2.763</f>
        <v>8.229000000000001</v>
      </c>
      <c r="AF79" s="27"/>
      <c r="AG79" s="63">
        <f>16.027+2.391+0.243</f>
        <v>18.660999999999998</v>
      </c>
      <c r="AH79" s="27"/>
      <c r="AI79" s="70">
        <f>6.085+2.434+0.219+0.231</f>
        <v>8.9689999999999994</v>
      </c>
      <c r="AJ79" s="68"/>
      <c r="AK79" s="68">
        <f>24</f>
        <v>24</v>
      </c>
      <c r="AL79" s="68"/>
      <c r="AM79" s="31">
        <f>5.553+1.283+1.217+2.8+1.189+10</f>
        <v>22.042000000000002</v>
      </c>
      <c r="AN79" s="27"/>
      <c r="AO79" s="60"/>
      <c r="AP79" s="60"/>
      <c r="AQ79" s="31">
        <f>1.337+5+1.229+2.349+1.256</f>
        <v>11.170999999999999</v>
      </c>
      <c r="AR79" s="27"/>
      <c r="AS79" s="27"/>
      <c r="AT79" s="27"/>
      <c r="AU79" s="68"/>
      <c r="AV79" s="68"/>
      <c r="AW79" s="60"/>
      <c r="AX79" s="27"/>
      <c r="AY79" s="27"/>
      <c r="AZ79" s="60"/>
      <c r="BA79" s="104">
        <f>SUM(D79,H79:M79,O79:P79,S79:AB79,AE79:AN79,AQ79:AV79,AX79:AY79)</f>
        <v>183.27599999999998</v>
      </c>
    </row>
    <row r="80" spans="1:54" x14ac:dyDescent="0.25">
      <c r="A80" s="26">
        <v>4</v>
      </c>
      <c r="C80" s="60"/>
      <c r="D80" s="31">
        <f>0.45</f>
        <v>0.45</v>
      </c>
      <c r="E80" s="63"/>
      <c r="F80" s="66"/>
      <c r="G80" s="66"/>
      <c r="H80" s="31">
        <f>0.23+11.15</f>
        <v>11.38</v>
      </c>
      <c r="I80" s="27"/>
      <c r="J80" s="31">
        <f>0.295+4.224</f>
        <v>4.5190000000000001</v>
      </c>
      <c r="K80" s="70"/>
      <c r="L80" s="70">
        <f>0.848+2.2</f>
        <v>3.048</v>
      </c>
      <c r="M80" s="27"/>
      <c r="N80" s="60"/>
      <c r="O80" s="31">
        <v>3.04</v>
      </c>
      <c r="P80" s="27"/>
      <c r="Q80" s="66"/>
      <c r="R80" s="66"/>
      <c r="S80" s="31">
        <v>0.187</v>
      </c>
      <c r="T80" s="31"/>
      <c r="U80" s="31">
        <f>1.04+9.46</f>
        <v>10.5</v>
      </c>
      <c r="V80" s="31"/>
      <c r="W80" s="70"/>
      <c r="X80" s="68"/>
      <c r="Y80" s="31">
        <f>1.322</f>
        <v>1.3220000000000001</v>
      </c>
      <c r="Z80" s="27"/>
      <c r="AA80" s="31">
        <f>0.421+8.92+1.355</f>
        <v>10.696</v>
      </c>
      <c r="AB80" s="27"/>
      <c r="AC80" s="66"/>
      <c r="AD80" s="60"/>
      <c r="AE80" s="31">
        <f>1.447</f>
        <v>1.4470000000000001</v>
      </c>
      <c r="AF80" s="27"/>
      <c r="AG80" s="63"/>
      <c r="AH80" s="27"/>
      <c r="AI80" s="70">
        <f>0.585</f>
        <v>0.58499999999999996</v>
      </c>
      <c r="AJ80" s="68"/>
      <c r="AK80" s="70">
        <f>1</f>
        <v>1</v>
      </c>
      <c r="AL80" s="68"/>
      <c r="AM80" s="31">
        <f>0.1</f>
        <v>0.1</v>
      </c>
      <c r="AN80" s="27"/>
      <c r="AO80" s="60"/>
      <c r="AP80" s="60"/>
      <c r="AQ80" s="31">
        <v>1.19</v>
      </c>
      <c r="AR80" s="27"/>
      <c r="AS80" s="27"/>
      <c r="AT80" s="27"/>
      <c r="AU80" s="68"/>
      <c r="AV80" s="68"/>
      <c r="AW80" s="60"/>
      <c r="AX80" s="27"/>
      <c r="AY80" s="27"/>
      <c r="AZ80" s="60"/>
      <c r="BA80" s="104">
        <f t="shared" ref="BA80:BA87" si="57">SUM(D80,H80:M80,O80:P80,S80:AB80,AE80:AN80,AQ80:AV80,AX80:AY80)</f>
        <v>49.463999999999999</v>
      </c>
    </row>
    <row r="81" spans="1:56" x14ac:dyDescent="0.25">
      <c r="A81" s="26">
        <v>4</v>
      </c>
      <c r="C81" s="60"/>
      <c r="D81" s="31">
        <f>1.17</f>
        <v>1.17</v>
      </c>
      <c r="E81" s="63"/>
      <c r="F81" s="60"/>
      <c r="G81" s="60"/>
      <c r="H81" s="31">
        <f>1.529+2.075</f>
        <v>3.6040000000000001</v>
      </c>
      <c r="I81" s="63"/>
      <c r="J81" s="31">
        <v>0.98399999999999999</v>
      </c>
      <c r="K81" s="70"/>
      <c r="L81" s="70">
        <f>2.298</f>
        <v>2.298</v>
      </c>
      <c r="M81" s="63"/>
      <c r="N81" s="60"/>
      <c r="O81" s="31">
        <v>5.4370000000000003</v>
      </c>
      <c r="P81" s="27"/>
      <c r="Q81" s="66"/>
      <c r="R81" s="66"/>
      <c r="S81" s="31"/>
      <c r="T81" s="31"/>
      <c r="U81" s="31">
        <v>4.4470000000000001</v>
      </c>
      <c r="V81" s="31"/>
      <c r="W81" s="70">
        <f>0.999+0.335</f>
        <v>1.3340000000000001</v>
      </c>
      <c r="X81" s="68"/>
      <c r="Y81" s="31">
        <f>1.752</f>
        <v>1.752</v>
      </c>
      <c r="Z81" s="27"/>
      <c r="AA81" s="31">
        <f>2.742</f>
        <v>2.742</v>
      </c>
      <c r="AB81" s="27"/>
      <c r="AC81" s="66"/>
      <c r="AD81" s="60"/>
      <c r="AE81" s="31"/>
      <c r="AF81" s="27"/>
      <c r="AG81" s="63">
        <f>0.882</f>
        <v>0.88200000000000001</v>
      </c>
      <c r="AH81" s="27"/>
      <c r="AI81" s="70">
        <f>1.466+3.964+1.71</f>
        <v>7.14</v>
      </c>
      <c r="AJ81" s="68"/>
      <c r="AK81" s="70">
        <f>0.225+2.488</f>
        <v>2.7130000000000001</v>
      </c>
      <c r="AL81" s="68"/>
      <c r="AM81" s="31"/>
      <c r="AN81" s="27"/>
      <c r="AO81" s="60"/>
      <c r="AP81" s="60"/>
      <c r="AQ81" s="31">
        <f>0.108</f>
        <v>0.108</v>
      </c>
      <c r="AR81" s="27"/>
      <c r="AS81" s="27"/>
      <c r="AT81" s="27"/>
      <c r="AU81" s="68"/>
      <c r="AV81" s="68"/>
      <c r="AW81" s="60"/>
      <c r="AX81" s="27"/>
      <c r="AY81" s="27"/>
      <c r="AZ81" s="60"/>
      <c r="BA81" s="104">
        <f t="shared" si="57"/>
        <v>34.610999999999997</v>
      </c>
    </row>
    <row r="82" spans="1:56" x14ac:dyDescent="0.25">
      <c r="A82" s="26">
        <v>4</v>
      </c>
      <c r="C82" s="60"/>
      <c r="D82" s="31"/>
      <c r="E82" s="27"/>
      <c r="F82" s="60"/>
      <c r="G82" s="66"/>
      <c r="H82" s="31"/>
      <c r="I82" s="27"/>
      <c r="J82" s="31">
        <v>0.64500000000000002</v>
      </c>
      <c r="K82" s="70"/>
      <c r="L82" s="70"/>
      <c r="M82" s="27"/>
      <c r="N82" s="60"/>
      <c r="O82" s="31">
        <v>0.94</v>
      </c>
      <c r="P82" s="27"/>
      <c r="Q82" s="66"/>
      <c r="R82" s="66"/>
      <c r="S82" s="31"/>
      <c r="T82" s="31"/>
      <c r="U82" s="31"/>
      <c r="V82" s="31"/>
      <c r="W82" s="70">
        <f>1.72</f>
        <v>1.72</v>
      </c>
      <c r="X82" s="68"/>
      <c r="Y82" s="31"/>
      <c r="Z82" s="27"/>
      <c r="AA82" s="31">
        <f>2.685</f>
        <v>2.6850000000000001</v>
      </c>
      <c r="AB82" s="27"/>
      <c r="AC82" s="66"/>
      <c r="AD82" s="60"/>
      <c r="AE82" s="31"/>
      <c r="AF82" s="27"/>
      <c r="AG82" s="63"/>
      <c r="AH82" s="27"/>
      <c r="AI82" s="70">
        <f>5.641</f>
        <v>5.641</v>
      </c>
      <c r="AJ82" s="68"/>
      <c r="AK82" s="70">
        <v>0.4</v>
      </c>
      <c r="AL82" s="68"/>
      <c r="AM82" s="31"/>
      <c r="AN82" s="27"/>
      <c r="AO82" s="60"/>
      <c r="AP82" s="60"/>
      <c r="AQ82" s="31">
        <f>1.61</f>
        <v>1.61</v>
      </c>
      <c r="AR82" s="27"/>
      <c r="AS82" s="27"/>
      <c r="AT82" s="27"/>
      <c r="AU82" s="68"/>
      <c r="AV82" s="68"/>
      <c r="AW82" s="60"/>
      <c r="AX82" s="27"/>
      <c r="AY82" s="27"/>
      <c r="AZ82" s="60"/>
      <c r="BA82" s="104">
        <f t="shared" si="57"/>
        <v>13.641</v>
      </c>
    </row>
    <row r="83" spans="1:56" x14ac:dyDescent="0.25">
      <c r="A83" s="26">
        <v>4</v>
      </c>
      <c r="C83" s="60"/>
      <c r="D83" s="31"/>
      <c r="E83" s="27"/>
      <c r="F83" s="60"/>
      <c r="G83" s="60"/>
      <c r="H83" s="31"/>
      <c r="I83" s="27"/>
      <c r="J83" s="27"/>
      <c r="K83" s="68"/>
      <c r="L83" s="69"/>
      <c r="M83" s="27"/>
      <c r="N83" s="60"/>
      <c r="O83" s="27"/>
      <c r="P83" s="27"/>
      <c r="Q83" s="60"/>
      <c r="R83" s="60"/>
      <c r="S83" s="31"/>
      <c r="T83" s="31"/>
      <c r="U83" s="31">
        <v>23.54</v>
      </c>
      <c r="V83" s="31"/>
      <c r="W83" s="70"/>
      <c r="X83" s="68"/>
      <c r="Y83" s="31"/>
      <c r="Z83" s="27"/>
      <c r="AA83" s="31"/>
      <c r="AB83" s="27"/>
      <c r="AC83" s="66"/>
      <c r="AD83" s="60"/>
      <c r="AE83" s="31"/>
      <c r="AF83" s="27"/>
      <c r="AG83" s="63">
        <f>5.253</f>
        <v>5.2530000000000001</v>
      </c>
      <c r="AH83" s="27"/>
      <c r="AI83" s="70"/>
      <c r="AJ83" s="68"/>
      <c r="AK83" s="70">
        <v>21.88</v>
      </c>
      <c r="AL83" s="68"/>
      <c r="AM83" s="31"/>
      <c r="AN83" s="27"/>
      <c r="AO83" s="60"/>
      <c r="AP83" s="60"/>
      <c r="AQ83" s="31"/>
      <c r="AR83" s="27"/>
      <c r="AS83" s="27"/>
      <c r="AT83" s="27"/>
      <c r="AU83" s="68"/>
      <c r="AV83" s="68"/>
      <c r="AW83" s="60"/>
      <c r="AX83" s="27"/>
      <c r="AY83" s="27"/>
      <c r="AZ83" s="60"/>
      <c r="BA83" s="104">
        <f t="shared" si="57"/>
        <v>50.673000000000002</v>
      </c>
    </row>
    <row r="84" spans="1:56" x14ac:dyDescent="0.25">
      <c r="A84" s="26">
        <v>4</v>
      </c>
      <c r="C84" s="60"/>
      <c r="D84" s="31">
        <v>1.1910000000000001</v>
      </c>
      <c r="E84" s="27"/>
      <c r="F84" s="60"/>
      <c r="G84" s="60"/>
      <c r="H84" s="31"/>
      <c r="I84" s="27"/>
      <c r="J84" s="27"/>
      <c r="K84" s="68"/>
      <c r="L84" s="69"/>
      <c r="M84" s="27"/>
      <c r="N84" s="60"/>
      <c r="O84" s="27"/>
      <c r="P84" s="27"/>
      <c r="Q84" s="60"/>
      <c r="R84" s="60"/>
      <c r="S84" s="31"/>
      <c r="T84" s="31"/>
      <c r="U84" s="31"/>
      <c r="V84" s="31"/>
      <c r="W84" s="70"/>
      <c r="X84" s="68"/>
      <c r="Y84" s="31"/>
      <c r="Z84" s="27"/>
      <c r="AA84" s="31">
        <f>1.101+0.85</f>
        <v>1.9510000000000001</v>
      </c>
      <c r="AB84" s="27"/>
      <c r="AC84" s="66"/>
      <c r="AD84" s="60"/>
      <c r="AE84" s="31">
        <f>2.334+0.195</f>
        <v>2.5289999999999999</v>
      </c>
      <c r="AF84" s="27"/>
      <c r="AG84" s="63">
        <f>0.56</f>
        <v>0.56000000000000005</v>
      </c>
      <c r="AH84" s="27"/>
      <c r="AI84" s="70">
        <f>0.633</f>
        <v>0.63300000000000001</v>
      </c>
      <c r="AJ84" s="68"/>
      <c r="AK84" s="70"/>
      <c r="AL84" s="68"/>
      <c r="AM84" s="31"/>
      <c r="AN84" s="27"/>
      <c r="AO84" s="60"/>
      <c r="AP84" s="60"/>
      <c r="AQ84" s="31">
        <v>0.51</v>
      </c>
      <c r="AR84" s="27"/>
      <c r="AS84" s="27"/>
      <c r="AT84" s="27"/>
      <c r="AU84" s="68"/>
      <c r="AV84" s="68"/>
      <c r="AW84" s="60"/>
      <c r="AX84" s="27"/>
      <c r="AY84" s="27"/>
      <c r="AZ84" s="60"/>
      <c r="BA84" s="104">
        <f t="shared" si="57"/>
        <v>7.3739999999999997</v>
      </c>
    </row>
    <row r="85" spans="1:56" x14ac:dyDescent="0.25">
      <c r="A85" s="26">
        <v>4</v>
      </c>
      <c r="C85" s="60"/>
      <c r="D85" s="31">
        <v>1.98</v>
      </c>
      <c r="E85" s="63"/>
      <c r="F85" s="60"/>
      <c r="G85" s="60"/>
      <c r="H85" s="31">
        <v>4.3949999999999996</v>
      </c>
      <c r="I85" s="63"/>
      <c r="J85" s="27"/>
      <c r="K85" s="68"/>
      <c r="L85" s="70">
        <v>4.2919999999999998</v>
      </c>
      <c r="M85" s="63"/>
      <c r="N85" s="60"/>
      <c r="O85" s="27"/>
      <c r="P85" s="27"/>
      <c r="Q85" s="60"/>
      <c r="R85" s="60"/>
      <c r="S85" s="31">
        <v>1.3109999999999999</v>
      </c>
      <c r="T85" s="31"/>
      <c r="U85" s="31">
        <v>0.71799999999999997</v>
      </c>
      <c r="V85" s="31"/>
      <c r="W85" s="70">
        <v>1.365</v>
      </c>
      <c r="X85" s="68"/>
      <c r="Y85" s="31">
        <f>0.933</f>
        <v>0.93300000000000005</v>
      </c>
      <c r="Z85" s="27"/>
      <c r="AA85" s="31">
        <v>0.25800000000000001</v>
      </c>
      <c r="AB85" s="27"/>
      <c r="AC85" s="66"/>
      <c r="AD85" s="60"/>
      <c r="AE85" s="31">
        <v>0.64600000000000002</v>
      </c>
      <c r="AF85" s="27"/>
      <c r="AG85" s="63">
        <f>1.215</f>
        <v>1.2150000000000001</v>
      </c>
      <c r="AH85" s="27"/>
      <c r="AI85" s="70">
        <f>1.293</f>
        <v>1.2929999999999999</v>
      </c>
      <c r="AJ85" s="68"/>
      <c r="AK85" s="70">
        <v>1.167</v>
      </c>
      <c r="AL85" s="68"/>
      <c r="AM85" s="31">
        <v>1.504</v>
      </c>
      <c r="AN85" s="27"/>
      <c r="AO85" s="60"/>
      <c r="AP85" s="60"/>
      <c r="AQ85" s="31">
        <v>2.8660000000000001</v>
      </c>
      <c r="AR85" s="27"/>
      <c r="AS85" s="27"/>
      <c r="AT85" s="27"/>
      <c r="AU85" s="68"/>
      <c r="AV85" s="68"/>
      <c r="AW85" s="60"/>
      <c r="AX85" s="27"/>
      <c r="AY85" s="27"/>
      <c r="AZ85" s="60"/>
      <c r="BA85" s="104">
        <f t="shared" si="57"/>
        <v>23.943000000000001</v>
      </c>
    </row>
    <row r="86" spans="1:56" x14ac:dyDescent="0.25">
      <c r="A86" s="26">
        <v>4</v>
      </c>
      <c r="C86" s="60"/>
      <c r="D86" s="31"/>
      <c r="E86" s="27"/>
      <c r="F86" s="60"/>
      <c r="G86" s="60"/>
      <c r="H86" s="31"/>
      <c r="I86" s="27"/>
      <c r="J86" s="27"/>
      <c r="K86" s="68"/>
      <c r="L86" s="69"/>
      <c r="M86" s="27"/>
      <c r="N86" s="60"/>
      <c r="O86" s="27"/>
      <c r="P86" s="27"/>
      <c r="Q86" s="60"/>
      <c r="R86" s="60"/>
      <c r="S86" s="31">
        <v>2.8180000000000001</v>
      </c>
      <c r="T86" s="31"/>
      <c r="U86" s="31"/>
      <c r="V86" s="31"/>
      <c r="W86" s="70"/>
      <c r="X86" s="68"/>
      <c r="Y86" s="31"/>
      <c r="Z86" s="27"/>
      <c r="AA86" s="31"/>
      <c r="AB86" s="27"/>
      <c r="AC86" s="66"/>
      <c r="AD86" s="60"/>
      <c r="AE86" s="31"/>
      <c r="AF86" s="27"/>
      <c r="AG86" s="27"/>
      <c r="AH86" s="27"/>
      <c r="AI86" s="70"/>
      <c r="AJ86" s="68"/>
      <c r="AK86" s="70"/>
      <c r="AL86" s="68"/>
      <c r="AM86" s="31"/>
      <c r="AN86" s="27"/>
      <c r="AO86" s="60"/>
      <c r="AP86" s="60"/>
      <c r="AQ86" s="31"/>
      <c r="AR86" s="27"/>
      <c r="AS86" s="27"/>
      <c r="AT86" s="27"/>
      <c r="AU86" s="68"/>
      <c r="AV86" s="68"/>
      <c r="AW86" s="60"/>
      <c r="AX86" s="27"/>
      <c r="AY86" s="27"/>
      <c r="AZ86" s="60"/>
      <c r="BA86" s="104">
        <f t="shared" si="57"/>
        <v>2.8180000000000001</v>
      </c>
    </row>
    <row r="87" spans="1:56" x14ac:dyDescent="0.25">
      <c r="A87" s="26">
        <v>4</v>
      </c>
      <c r="C87" s="60"/>
      <c r="D87" s="27"/>
      <c r="E87" s="27"/>
      <c r="F87" s="60"/>
      <c r="G87" s="60"/>
      <c r="H87" s="27"/>
      <c r="I87" s="27"/>
      <c r="J87" s="27"/>
      <c r="K87" s="68"/>
      <c r="L87" s="68"/>
      <c r="M87" s="27"/>
      <c r="N87" s="60"/>
      <c r="O87" s="27"/>
      <c r="P87" s="27"/>
      <c r="Q87" s="60"/>
      <c r="R87" s="60"/>
      <c r="S87" s="31"/>
      <c r="T87" s="31"/>
      <c r="U87" s="31"/>
      <c r="V87" s="31"/>
      <c r="W87" s="70"/>
      <c r="X87" s="68"/>
      <c r="Y87" s="31"/>
      <c r="Z87" s="27"/>
      <c r="AA87" s="31">
        <v>2.2210000000000001</v>
      </c>
      <c r="AB87" s="27"/>
      <c r="AC87" s="66"/>
      <c r="AD87" s="60"/>
      <c r="AE87" s="31"/>
      <c r="AF87" s="27"/>
      <c r="AG87" s="27"/>
      <c r="AH87" s="27"/>
      <c r="AI87" s="68"/>
      <c r="AJ87" s="68"/>
      <c r="AK87" s="70">
        <v>5.1479999999999997</v>
      </c>
      <c r="AL87" s="68"/>
      <c r="AM87" s="31"/>
      <c r="AN87" s="27"/>
      <c r="AO87" s="60"/>
      <c r="AP87" s="60"/>
      <c r="AQ87" s="31"/>
      <c r="AR87" s="27"/>
      <c r="AS87" s="27"/>
      <c r="AT87" s="27"/>
      <c r="AU87" s="68"/>
      <c r="AV87" s="68"/>
      <c r="AW87" s="60"/>
      <c r="AX87" s="27"/>
      <c r="AY87" s="27"/>
      <c r="AZ87" s="60"/>
      <c r="BA87" s="104">
        <f t="shared" si="57"/>
        <v>7.3689999999999998</v>
      </c>
    </row>
    <row r="88" spans="1:56" x14ac:dyDescent="0.25">
      <c r="BA88" s="62"/>
    </row>
    <row r="89" spans="1:56" x14ac:dyDescent="0.25">
      <c r="A89" s="64" t="s">
        <v>23</v>
      </c>
      <c r="B89" s="64"/>
      <c r="C89" s="29"/>
      <c r="D89" s="46">
        <f>IF(D65="","",SUM(D79:D87))</f>
        <v>15.041</v>
      </c>
      <c r="E89" s="29"/>
      <c r="F89" s="29"/>
      <c r="G89" s="29"/>
      <c r="H89" s="46">
        <f t="shared" ref="H89:AX89" si="58">IF(H65="","",SUM(H79:H87))</f>
        <v>19.379000000000001</v>
      </c>
      <c r="I89" s="29"/>
      <c r="J89" s="46">
        <f t="shared" si="58"/>
        <v>24.055000000000003</v>
      </c>
      <c r="K89" s="29"/>
      <c r="L89" s="46">
        <f t="shared" si="58"/>
        <v>16.866</v>
      </c>
      <c r="M89" s="29"/>
      <c r="N89" s="29"/>
      <c r="O89" s="45">
        <f t="shared" si="58"/>
        <v>15.523000000000001</v>
      </c>
      <c r="P89" s="45"/>
      <c r="Q89" s="45"/>
      <c r="R89" s="45"/>
      <c r="S89" s="45">
        <f t="shared" si="58"/>
        <v>4.3159999999999998</v>
      </c>
      <c r="T89" s="45"/>
      <c r="U89" s="45">
        <f t="shared" si="58"/>
        <v>53.096999999999994</v>
      </c>
      <c r="V89" s="29"/>
      <c r="W89" s="45">
        <f t="shared" si="58"/>
        <v>21.862999999999996</v>
      </c>
      <c r="X89" s="29"/>
      <c r="Y89" s="45">
        <f t="shared" si="58"/>
        <v>18.547999999999998</v>
      </c>
      <c r="Z89" s="45"/>
      <c r="AA89" s="45">
        <f t="shared" si="58"/>
        <v>23.388999999999999</v>
      </c>
      <c r="AB89" s="29"/>
      <c r="AC89" s="29"/>
      <c r="AD89" s="29"/>
      <c r="AE89" s="45">
        <f t="shared" si="58"/>
        <v>12.851000000000003</v>
      </c>
      <c r="AF89" s="29"/>
      <c r="AG89" s="45">
        <f t="shared" si="58"/>
        <v>26.570999999999998</v>
      </c>
      <c r="AH89" s="29"/>
      <c r="AI89" s="45">
        <f t="shared" si="58"/>
        <v>24.260999999999999</v>
      </c>
      <c r="AJ89" s="29"/>
      <c r="AK89" s="45">
        <f t="shared" si="58"/>
        <v>56.307999999999993</v>
      </c>
      <c r="AL89" s="29"/>
      <c r="AM89" s="45">
        <f t="shared" si="58"/>
        <v>23.646000000000004</v>
      </c>
      <c r="AN89" s="29"/>
      <c r="AO89" s="29"/>
      <c r="AP89" s="29"/>
      <c r="AQ89" s="45">
        <f t="shared" si="58"/>
        <v>17.454999999999998</v>
      </c>
      <c r="AR89" s="29"/>
      <c r="AS89" s="29">
        <f t="shared" si="58"/>
        <v>0</v>
      </c>
      <c r="AT89" s="29"/>
      <c r="AU89" s="29" t="str">
        <f t="shared" si="58"/>
        <v/>
      </c>
      <c r="AV89" s="29"/>
      <c r="AW89" s="29"/>
      <c r="AX89" s="29" t="str">
        <f t="shared" si="58"/>
        <v/>
      </c>
      <c r="AY89" s="29"/>
      <c r="AZ89" s="29"/>
      <c r="BA89" s="77">
        <f>SUM(C89:AZ89)</f>
        <v>373.16899999999998</v>
      </c>
      <c r="BB89" s="77">
        <f>ROUND(AVERAGE(C89:AZ89),2)</f>
        <v>21.95</v>
      </c>
      <c r="BC89" s="65"/>
    </row>
    <row r="90" spans="1:56" x14ac:dyDescent="0.25">
      <c r="O90" s="32"/>
      <c r="P90" s="32"/>
      <c r="Q90" s="32"/>
      <c r="R90" s="32"/>
      <c r="S90" s="32"/>
      <c r="T90" s="32"/>
      <c r="U90" s="32"/>
      <c r="BA90" s="77"/>
      <c r="BB90" s="77"/>
    </row>
    <row r="91" spans="1:56" x14ac:dyDescent="0.25">
      <c r="A91" s="64" t="s">
        <v>24</v>
      </c>
      <c r="C91" s="45"/>
      <c r="D91" s="45">
        <f>IF(D65="","",D89+D59)</f>
        <v>143.768</v>
      </c>
      <c r="E91" s="45"/>
      <c r="F91" s="45"/>
      <c r="G91" s="45"/>
      <c r="H91" s="45">
        <f t="shared" ref="H91:AX91" si="59">IF(H65="","",H89+H59)</f>
        <v>257.49</v>
      </c>
      <c r="I91" s="45"/>
      <c r="J91" s="45">
        <f t="shared" si="59"/>
        <v>273.613</v>
      </c>
      <c r="K91" s="45"/>
      <c r="L91" s="45">
        <f t="shared" si="59"/>
        <v>256.42900000000003</v>
      </c>
      <c r="M91" s="45"/>
      <c r="N91" s="45"/>
      <c r="O91" s="45">
        <f t="shared" si="59"/>
        <v>120.21900000000001</v>
      </c>
      <c r="P91" s="45"/>
      <c r="Q91" s="45"/>
      <c r="R91" s="45"/>
      <c r="S91" s="45">
        <f t="shared" si="59"/>
        <v>305.51899999999995</v>
      </c>
      <c r="T91" s="45"/>
      <c r="U91" s="45">
        <f t="shared" si="59"/>
        <v>275.76900000000001</v>
      </c>
      <c r="V91" s="45"/>
      <c r="W91" s="45">
        <f t="shared" si="59"/>
        <v>251.13699999999997</v>
      </c>
      <c r="X91" s="45"/>
      <c r="Y91" s="45">
        <f t="shared" si="59"/>
        <v>213.30100000000002</v>
      </c>
      <c r="Z91" s="45"/>
      <c r="AA91" s="45">
        <f t="shared" si="59"/>
        <v>238.64100000000002</v>
      </c>
      <c r="AB91" s="45"/>
      <c r="AC91" s="45"/>
      <c r="AD91" s="45"/>
      <c r="AE91" s="45">
        <f t="shared" si="59"/>
        <v>308.46500000000003</v>
      </c>
      <c r="AF91" s="45"/>
      <c r="AG91" s="45">
        <f t="shared" si="59"/>
        <v>262.952</v>
      </c>
      <c r="AH91" s="45"/>
      <c r="AI91" s="45">
        <f t="shared" si="59"/>
        <v>285.029</v>
      </c>
      <c r="AJ91" s="45"/>
      <c r="AK91" s="45">
        <f t="shared" si="59"/>
        <v>305.88499999999999</v>
      </c>
      <c r="AL91" s="45"/>
      <c r="AM91" s="45">
        <f t="shared" si="59"/>
        <v>264.96900000000005</v>
      </c>
      <c r="AN91" s="45"/>
      <c r="AO91" s="45"/>
      <c r="AP91" s="45"/>
      <c r="AQ91" s="45">
        <f t="shared" si="59"/>
        <v>241.29200000000003</v>
      </c>
      <c r="AR91" s="45"/>
      <c r="AS91" s="45">
        <f t="shared" si="59"/>
        <v>28</v>
      </c>
      <c r="AT91" s="45"/>
      <c r="AU91" s="45" t="str">
        <f t="shared" si="59"/>
        <v/>
      </c>
      <c r="AV91" s="45"/>
      <c r="AW91" s="45"/>
      <c r="AX91" s="45" t="str">
        <f t="shared" si="59"/>
        <v/>
      </c>
      <c r="AY91" s="45"/>
      <c r="AZ91" s="45"/>
      <c r="BA91" s="88">
        <f t="shared" ref="BA91" si="60">SUM(C91:AZ91)</f>
        <v>4032.4780000000005</v>
      </c>
      <c r="BB91" s="79">
        <f>ROUND(AVERAGE(C91:AZ91),2)</f>
        <v>237.2</v>
      </c>
    </row>
    <row r="92" spans="1:56" x14ac:dyDescent="0.25">
      <c r="O92" s="32"/>
      <c r="P92" s="32"/>
      <c r="Q92" s="32"/>
      <c r="R92" s="32"/>
      <c r="S92" s="32"/>
      <c r="T92" s="32"/>
      <c r="U92" s="32"/>
      <c r="BA92" s="62"/>
      <c r="BB92" s="77"/>
    </row>
    <row r="93" spans="1:56" x14ac:dyDescent="0.25">
      <c r="A93" s="64" t="s">
        <v>25</v>
      </c>
      <c r="B93" s="64"/>
      <c r="C93" s="46"/>
      <c r="D93" s="46">
        <f>IF(D65="","",D89/((D89+D59)+SUM(D65:D70)))</f>
        <v>7.3511299655927426E-2</v>
      </c>
      <c r="E93" s="46"/>
      <c r="F93" s="46"/>
      <c r="G93" s="46"/>
      <c r="H93" s="46">
        <f t="shared" ref="H93:AX93" si="61">IF(H65="","",H89/((H89+H59)+SUM(H65:H70)))</f>
        <v>5.9317235025298364E-2</v>
      </c>
      <c r="I93" s="46"/>
      <c r="J93" s="46">
        <f t="shared" si="61"/>
        <v>7.0662710769050022E-2</v>
      </c>
      <c r="K93" s="46"/>
      <c r="L93" s="46">
        <f t="shared" si="61"/>
        <v>5.9160680211022554E-2</v>
      </c>
      <c r="M93" s="46"/>
      <c r="N93" s="46"/>
      <c r="O93" s="46">
        <f t="shared" si="61"/>
        <v>8.2497621742850621E-2</v>
      </c>
      <c r="P93" s="45"/>
      <c r="Q93" s="45"/>
      <c r="R93" s="45"/>
      <c r="S93" s="46">
        <f t="shared" si="61"/>
        <v>1.1550669328637417E-2</v>
      </c>
      <c r="T93" s="45"/>
      <c r="U93" s="46">
        <f t="shared" si="61"/>
        <v>0.16479976163207535</v>
      </c>
      <c r="V93" s="46"/>
      <c r="W93" s="46">
        <f t="shared" si="61"/>
        <v>7.0694789804015404E-2</v>
      </c>
      <c r="X93" s="46"/>
      <c r="Y93" s="46">
        <f t="shared" si="61"/>
        <v>5.7529768274262025E-2</v>
      </c>
      <c r="Z93" s="46"/>
      <c r="AA93" s="46">
        <f t="shared" si="61"/>
        <v>8.269924333498338E-2</v>
      </c>
      <c r="AB93" s="46"/>
      <c r="AC93" s="46"/>
      <c r="AD93" s="46"/>
      <c r="AE93" s="46">
        <f t="shared" si="61"/>
        <v>3.3272661838838216E-2</v>
      </c>
      <c r="AF93" s="46"/>
      <c r="AG93" s="46">
        <f t="shared" si="61"/>
        <v>7.9372096844054787E-2</v>
      </c>
      <c r="AH93" s="46"/>
      <c r="AI93" s="46">
        <f t="shared" si="61"/>
        <v>6.6517515648519043E-2</v>
      </c>
      <c r="AJ93" s="46"/>
      <c r="AK93" s="46">
        <f t="shared" si="61"/>
        <v>0.14272171951435886</v>
      </c>
      <c r="AL93" s="46"/>
      <c r="AM93" s="46">
        <f t="shared" si="61"/>
        <v>6.8183194396786634E-2</v>
      </c>
      <c r="AN93" s="46"/>
      <c r="AO93" s="46"/>
      <c r="AP93" s="46"/>
      <c r="AQ93" s="46">
        <f t="shared" si="61"/>
        <v>4.9718579452881988E-2</v>
      </c>
      <c r="AR93" s="46"/>
      <c r="AS93" s="46">
        <f t="shared" si="61"/>
        <v>0</v>
      </c>
      <c r="AT93" s="46"/>
      <c r="AU93" s="46" t="str">
        <f t="shared" si="61"/>
        <v/>
      </c>
      <c r="AV93" s="46"/>
      <c r="AW93" s="46"/>
      <c r="AX93" s="46" t="str">
        <f t="shared" si="61"/>
        <v/>
      </c>
      <c r="AY93" s="46"/>
      <c r="AZ93" s="46"/>
      <c r="BA93" s="80"/>
      <c r="BB93" s="80">
        <f>ROUND(AVERAGE(C93:AZ93),2)</f>
        <v>7.0000000000000007E-2</v>
      </c>
      <c r="BD93" s="47"/>
    </row>
    <row r="94" spans="1:56" x14ac:dyDescent="0.25">
      <c r="BA94" s="77"/>
    </row>
  </sheetData>
  <mergeCells count="1">
    <mergeCell ref="G3:N7"/>
  </mergeCells>
  <pageMargins left="0.7" right="0.7" top="0.75" bottom="0.75" header="0.3" footer="0.3"/>
  <pageSetup paperSize="9" scale="29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AF59"/>
  <sheetViews>
    <sheetView tabSelected="1" zoomScale="70" zoomScaleNormal="70" workbookViewId="0">
      <pane xSplit="2" ySplit="8" topLeftCell="C9" activePane="bottomRight" state="frozen"/>
      <selection pane="topRight" activeCell="C1" sqref="C1"/>
      <selection pane="bottomLeft" activeCell="A7" sqref="A7"/>
      <selection pane="bottomRight" activeCell="P29" sqref="P29"/>
    </sheetView>
  </sheetViews>
  <sheetFormatPr baseColWidth="10" defaultRowHeight="15" x14ac:dyDescent="0.25"/>
  <cols>
    <col min="2" max="2" width="23.5703125" customWidth="1"/>
    <col min="3" max="3" width="11.5703125" customWidth="1"/>
    <col min="4" max="4" width="10" customWidth="1"/>
    <col min="5" max="5" width="11" style="26" customWidth="1"/>
    <col min="6" max="6" width="14.42578125" style="26" customWidth="1"/>
    <col min="7" max="11" width="11.7109375" style="26" customWidth="1"/>
    <col min="12" max="12" width="11" customWidth="1"/>
    <col min="13" max="13" width="11" style="26" customWidth="1"/>
    <col min="14" max="14" width="13.140625" style="26" customWidth="1"/>
    <col min="15" max="15" width="13.42578125" style="26" customWidth="1"/>
    <col min="16" max="16" width="13.7109375" style="26" customWidth="1"/>
    <col min="17" max="17" width="13.42578125" customWidth="1"/>
    <col min="18" max="18" width="12.140625" customWidth="1"/>
    <col min="19" max="19" width="13.85546875" customWidth="1"/>
    <col min="20" max="20" width="10" customWidth="1"/>
    <col min="21" max="21" width="12.5703125" customWidth="1"/>
    <col min="22" max="22" width="16.28515625" customWidth="1"/>
    <col min="23" max="24" width="11.5703125" style="26" customWidth="1"/>
    <col min="25" max="25" width="33.140625" style="26" customWidth="1"/>
    <col min="26" max="26" width="16.7109375" customWidth="1"/>
    <col min="27" max="27" width="13" style="26" customWidth="1"/>
    <col min="28" max="28" width="26.5703125" customWidth="1"/>
    <col min="29" max="29" width="11.7109375" customWidth="1"/>
  </cols>
  <sheetData>
    <row r="1" spans="1:32" s="26" customFormat="1" x14ac:dyDescent="0.25">
      <c r="A1" s="29">
        <v>151.66999999999999</v>
      </c>
      <c r="B1" s="26" t="s">
        <v>84</v>
      </c>
    </row>
    <row r="2" spans="1:32" s="26" customFormat="1" ht="15.75" x14ac:dyDescent="0.3">
      <c r="Q2" s="161" t="s">
        <v>98</v>
      </c>
      <c r="R2" s="161"/>
      <c r="S2" s="161"/>
      <c r="W2" s="111"/>
      <c r="X2" s="111"/>
      <c r="Y2" s="111"/>
    </row>
    <row r="3" spans="1:32" s="26" customFormat="1" x14ac:dyDescent="0.25">
      <c r="A3" s="77"/>
      <c r="Q3" s="161"/>
      <c r="R3" s="161"/>
      <c r="S3" s="161"/>
    </row>
    <row r="4" spans="1:32" s="26" customFormat="1" ht="17.25" customHeight="1" x14ac:dyDescent="0.25">
      <c r="Q4" s="122"/>
      <c r="R4" s="122"/>
      <c r="S4" s="122"/>
    </row>
    <row r="5" spans="1:32" s="26" customFormat="1" ht="15.75" customHeight="1" x14ac:dyDescent="0.25">
      <c r="C5" s="154" t="s">
        <v>71</v>
      </c>
      <c r="D5" s="155"/>
      <c r="E5" s="155"/>
      <c r="F5" s="155"/>
      <c r="G5" s="155"/>
      <c r="H5" s="155"/>
      <c r="I5" s="155"/>
      <c r="J5" s="155"/>
      <c r="K5" s="156"/>
      <c r="L5" s="162" t="s">
        <v>72</v>
      </c>
      <c r="M5" s="162"/>
      <c r="N5" s="163"/>
      <c r="O5" s="163"/>
      <c r="P5" s="163"/>
      <c r="Q5" s="164" t="s">
        <v>73</v>
      </c>
      <c r="R5" s="164"/>
      <c r="S5" s="164"/>
      <c r="T5" s="164"/>
      <c r="U5" s="160" t="s">
        <v>29</v>
      </c>
      <c r="V5" s="160"/>
      <c r="W5" s="160"/>
      <c r="X5" s="160"/>
      <c r="Y5" s="160"/>
      <c r="Z5" s="160" t="s">
        <v>74</v>
      </c>
      <c r="AA5" s="160"/>
      <c r="AB5" s="160"/>
    </row>
    <row r="6" spans="1:32" s="26" customFormat="1" ht="15" customHeight="1" x14ac:dyDescent="0.25">
      <c r="C6" s="157"/>
      <c r="D6" s="158"/>
      <c r="E6" s="158"/>
      <c r="F6" s="158"/>
      <c r="G6" s="158"/>
      <c r="H6" s="158"/>
      <c r="I6" s="158"/>
      <c r="J6" s="158"/>
      <c r="K6" s="159"/>
      <c r="L6" s="163"/>
      <c r="M6" s="163"/>
      <c r="N6" s="163"/>
      <c r="O6" s="163"/>
      <c r="P6" s="163"/>
      <c r="Q6" s="164"/>
      <c r="R6" s="164"/>
      <c r="S6" s="164"/>
      <c r="T6" s="164"/>
      <c r="U6" s="160"/>
      <c r="V6" s="160"/>
      <c r="W6" s="160"/>
      <c r="X6" s="160"/>
      <c r="Y6" s="160"/>
      <c r="Z6" s="160"/>
      <c r="AA6" s="160"/>
      <c r="AB6" s="160"/>
    </row>
    <row r="8" spans="1:32" ht="60" x14ac:dyDescent="0.25">
      <c r="B8" s="133"/>
      <c r="C8" s="119" t="s">
        <v>75</v>
      </c>
      <c r="D8" s="119" t="s">
        <v>76</v>
      </c>
      <c r="E8" s="136" t="s">
        <v>81</v>
      </c>
      <c r="F8" s="114" t="s">
        <v>66</v>
      </c>
      <c r="G8" s="123" t="s">
        <v>83</v>
      </c>
      <c r="H8" s="136" t="s">
        <v>82</v>
      </c>
      <c r="I8" s="116" t="s">
        <v>90</v>
      </c>
      <c r="J8" s="116" t="s">
        <v>91</v>
      </c>
      <c r="K8" s="116" t="s">
        <v>92</v>
      </c>
      <c r="L8" s="143" t="s">
        <v>96</v>
      </c>
      <c r="M8" s="143" t="s">
        <v>95</v>
      </c>
      <c r="N8" s="135" t="s">
        <v>67</v>
      </c>
      <c r="O8" s="135" t="s">
        <v>68</v>
      </c>
      <c r="P8" s="145" t="s">
        <v>77</v>
      </c>
      <c r="Q8" s="139" t="s">
        <v>47</v>
      </c>
      <c r="R8" s="139" t="s">
        <v>48</v>
      </c>
      <c r="S8" s="139" t="s">
        <v>46</v>
      </c>
      <c r="T8" s="139" t="s">
        <v>51</v>
      </c>
      <c r="U8" s="112" t="s">
        <v>49</v>
      </c>
      <c r="V8" s="112" t="s">
        <v>50</v>
      </c>
      <c r="W8" s="116" t="s">
        <v>93</v>
      </c>
      <c r="X8" s="116" t="s">
        <v>94</v>
      </c>
      <c r="Y8" s="123" t="s">
        <v>61</v>
      </c>
      <c r="AA8" s="112" t="s">
        <v>63</v>
      </c>
      <c r="AB8" s="107" t="s">
        <v>62</v>
      </c>
      <c r="AC8" s="112" t="s">
        <v>97</v>
      </c>
      <c r="AD8" s="62"/>
      <c r="AE8" s="62"/>
      <c r="AF8" s="62"/>
    </row>
    <row r="9" spans="1:32" ht="20.25" x14ac:dyDescent="0.3">
      <c r="B9" s="27" t="s">
        <v>34</v>
      </c>
      <c r="C9" s="125">
        <f>Janvier!BE30</f>
        <v>15.631578947368421</v>
      </c>
      <c r="D9" s="125">
        <f>Janvier!BE31</f>
        <v>2.3684210526315788</v>
      </c>
      <c r="E9" s="137">
        <f t="shared" ref="E9:E20" si="0">IF(C9="","",D9/(C9+D9))</f>
        <v>0.13157894736842105</v>
      </c>
      <c r="F9" s="121">
        <f t="shared" ref="F9:F20" si="1">IF(G9="","",151.67+G9)</f>
        <v>179.03681818181818</v>
      </c>
      <c r="G9" s="129">
        <f>((38.88+15.38+0.26+31.49)*7)/22</f>
        <v>27.366818181818186</v>
      </c>
      <c r="H9" s="138">
        <f>IF(D27="","",E27-E26)</f>
        <v>90.79000000000002</v>
      </c>
      <c r="I9" s="118">
        <f>IF(H9="","",H9/$A$1)</f>
        <v>0.59860222852245026</v>
      </c>
      <c r="J9" s="118">
        <f t="shared" ref="J9:J20" si="2">IF(E42="","",E42/$A$1)</f>
        <v>0.55383398167073261</v>
      </c>
      <c r="K9" s="118">
        <f>IF(J9="","",I9/J9)</f>
        <v>1.0808333333333335</v>
      </c>
      <c r="L9" s="144">
        <f>ROUND((Janvier!BE59),1)</f>
        <v>244.4</v>
      </c>
      <c r="M9" s="144">
        <f>Janvier!BD59</f>
        <v>4644.4639999999999</v>
      </c>
      <c r="N9" s="142">
        <f t="shared" ref="N9:N20" si="3">IF(F9="","",F9/L9)</f>
        <v>0.73255653920547537</v>
      </c>
      <c r="O9" s="142">
        <f>IF(F9="","",1/N9)</f>
        <v>1.3650823472063898</v>
      </c>
      <c r="P9" s="146" t="str">
        <f t="shared" ref="P9:P20" si="4">IF(F9="","",IF((F9/L9)&gt;$L$22,"L","J"))</f>
        <v>J</v>
      </c>
      <c r="Q9" s="140">
        <f>Janvier!BE60</f>
        <v>0.6854161277023505</v>
      </c>
      <c r="R9" s="140">
        <f>Janvier!BE62</f>
        <v>0.76052631578947372</v>
      </c>
      <c r="S9" s="140">
        <f>Janvier!BE72</f>
        <v>0.58125119598765451</v>
      </c>
      <c r="T9" s="140">
        <f>Janvier!BE75</f>
        <v>0.2055466415770644</v>
      </c>
      <c r="U9" s="98">
        <f>Janvier!BE89</f>
        <v>27.036947368421057</v>
      </c>
      <c r="V9" s="96">
        <f>ROUND((Janvier!BE93),2)</f>
        <v>0.08</v>
      </c>
      <c r="W9" s="147">
        <f>Janvier!BD91</f>
        <v>5158.1659999999993</v>
      </c>
      <c r="X9" s="117">
        <f>Janvier!BE91</f>
        <v>271.48242105263154</v>
      </c>
      <c r="Y9" s="124" t="str">
        <f t="shared" ref="Y9:Y21" si="5">REPT("g",ROUND(X9/20,2))</f>
        <v>ggggggggggggg</v>
      </c>
      <c r="Z9" s="105" t="s">
        <v>57</v>
      </c>
      <c r="AA9" s="106">
        <v>9.7870000000000008</v>
      </c>
      <c r="AB9" s="108" t="str">
        <f>REPT("g",ROUND(AA9/1,2))</f>
        <v>ggggggggg</v>
      </c>
      <c r="AC9" s="63">
        <f t="shared" ref="AC9:AC20" si="6">IF(AA9="","",AA9*1000/M9)</f>
        <v>2.107239931238567</v>
      </c>
      <c r="AD9" s="62"/>
      <c r="AE9" s="62"/>
      <c r="AF9" s="62"/>
    </row>
    <row r="10" spans="1:32" ht="20.25" x14ac:dyDescent="0.3">
      <c r="B10" s="27" t="s">
        <v>35</v>
      </c>
      <c r="C10" s="125">
        <f>Février!AZ30</f>
        <v>14.3</v>
      </c>
      <c r="D10" s="125">
        <f>Février!AZ31</f>
        <v>3.7</v>
      </c>
      <c r="E10" s="137">
        <f t="shared" si="0"/>
        <v>0.20555555555555557</v>
      </c>
      <c r="F10" s="121">
        <f t="shared" si="1"/>
        <v>178.90636363636361</v>
      </c>
      <c r="G10" s="129">
        <f>((42.74+13.75-0.21+29.32)*7)/22</f>
        <v>27.236363636363635</v>
      </c>
      <c r="H10" s="138">
        <f t="shared" ref="H10:H20" si="7">IF(D28="","",H9+(E28-E27))</f>
        <v>87.919999999999902</v>
      </c>
      <c r="I10" s="118">
        <f t="shared" ref="I10:I20" si="8">IF(H10="","",H10/$A$1)</f>
        <v>0.57967956748203275</v>
      </c>
      <c r="J10" s="118">
        <f t="shared" si="2"/>
        <v>1.7999604404298808</v>
      </c>
      <c r="K10" s="118">
        <f t="shared" ref="K10:K20" si="9">IF(J10="","",I10/J10)</f>
        <v>0.3220512820512817</v>
      </c>
      <c r="L10" s="144">
        <f>Février!AZ59</f>
        <v>209.14853846153844</v>
      </c>
      <c r="M10" s="144">
        <f>Février!AY59</f>
        <v>4278.3770000000004</v>
      </c>
      <c r="N10" s="142">
        <f t="shared" si="3"/>
        <v>0.85540336524638805</v>
      </c>
      <c r="O10" s="142">
        <f t="shared" ref="O10:O20" si="10">IF(N10="","",1/N10)</f>
        <v>1.1690391230948252</v>
      </c>
      <c r="P10" s="146" t="str">
        <f t="shared" si="4"/>
        <v>L</v>
      </c>
      <c r="Q10" s="140">
        <f>Février!AZ60</f>
        <v>0.61224255799716421</v>
      </c>
      <c r="R10" s="140">
        <f>Février!AZ62</f>
        <v>0.71249999999999991</v>
      </c>
      <c r="S10" s="140">
        <f>Février!AZ72</f>
        <v>0.53994656249999995</v>
      </c>
      <c r="T10" s="140">
        <f>Février!AZ75</f>
        <v>0.22136859135590287</v>
      </c>
      <c r="U10" s="98">
        <f>Février!AZ89</f>
        <v>20.378349999999998</v>
      </c>
      <c r="V10" s="97">
        <f>ROUND((Février!AZ93),2)</f>
        <v>7.0000000000000007E-2</v>
      </c>
      <c r="W10" s="147">
        <f>Février!AY91</f>
        <v>4685.9440000000004</v>
      </c>
      <c r="X10" s="117">
        <f>Février!AZ91</f>
        <v>234.29720000000003</v>
      </c>
      <c r="Y10" s="124" t="str">
        <f t="shared" si="5"/>
        <v>ggggggggggg</v>
      </c>
      <c r="Z10" s="105" t="s">
        <v>58</v>
      </c>
      <c r="AA10" s="106">
        <v>5.9260000000000002</v>
      </c>
      <c r="AB10" s="108" t="str">
        <f t="shared" ref="AB10:AB21" si="11">REPT("g",ROUND(AA10/1,2))</f>
        <v>ggggg</v>
      </c>
      <c r="AC10" s="63">
        <f t="shared" si="6"/>
        <v>1.3851046787134467</v>
      </c>
      <c r="AD10" s="62"/>
      <c r="AE10" s="62"/>
      <c r="AF10" s="62"/>
    </row>
    <row r="11" spans="1:32" ht="20.25" x14ac:dyDescent="0.3">
      <c r="B11" s="27" t="s">
        <v>36</v>
      </c>
      <c r="C11" s="125">
        <f>Mars!BD30</f>
        <v>14.19047619047619</v>
      </c>
      <c r="D11" s="125">
        <f>Mars!BD31</f>
        <v>3.8095238095238093</v>
      </c>
      <c r="E11" s="137">
        <f t="shared" si="0"/>
        <v>0.21164021164021163</v>
      </c>
      <c r="F11" s="121">
        <f t="shared" si="1"/>
        <v>178.87136363636361</v>
      </c>
      <c r="G11" s="129">
        <f>((47.85+20.71-0.18+17.11)*7)/22</f>
        <v>27.201363636363634</v>
      </c>
      <c r="H11" s="138">
        <f t="shared" si="7"/>
        <v>87.14999999999992</v>
      </c>
      <c r="I11" s="118">
        <f t="shared" si="8"/>
        <v>0.57460275598338451</v>
      </c>
      <c r="J11" s="118">
        <f t="shared" si="2"/>
        <v>1.0153622997296763</v>
      </c>
      <c r="K11" s="118">
        <f t="shared" si="9"/>
        <v>0.56590909090909047</v>
      </c>
      <c r="L11" s="144">
        <f>Mars!BD59</f>
        <v>201.47514285714286</v>
      </c>
      <c r="M11" s="144">
        <f>Mars!BC59</f>
        <v>4183.8669999999993</v>
      </c>
      <c r="N11" s="142">
        <f t="shared" si="3"/>
        <v>0.88780859563997638</v>
      </c>
      <c r="O11" s="142">
        <f t="shared" si="10"/>
        <v>1.1263689098201966</v>
      </c>
      <c r="P11" s="146" t="str">
        <f t="shared" si="4"/>
        <v>L</v>
      </c>
      <c r="Q11" s="141">
        <f>ROUND((Mars!BD60),2)</f>
        <v>0.57999999999999996</v>
      </c>
      <c r="R11" s="140">
        <f>Mars!BD62</f>
        <v>0.71071428571428574</v>
      </c>
      <c r="S11" s="140">
        <f>Mars!BD72</f>
        <v>0.60267083333333338</v>
      </c>
      <c r="T11" s="140">
        <f>Mars!BD75</f>
        <v>0.24692068876135059</v>
      </c>
      <c r="U11" s="98">
        <f>Mars!BD89</f>
        <v>23.009523809523806</v>
      </c>
      <c r="V11" s="96">
        <f>ROUND((Mars!BD93),2)</f>
        <v>0.08</v>
      </c>
      <c r="W11" s="147">
        <f>Mars!BC91</f>
        <v>4667.067</v>
      </c>
      <c r="X11" s="117">
        <f>Mars!BD91</f>
        <v>222.24128571428571</v>
      </c>
      <c r="Y11" s="124" t="str">
        <f t="shared" si="5"/>
        <v>ggggggggggg</v>
      </c>
      <c r="Z11" s="105" t="s">
        <v>59</v>
      </c>
      <c r="AA11" s="106">
        <v>11.510999999999999</v>
      </c>
      <c r="AB11" s="108" t="str">
        <f t="shared" si="11"/>
        <v>ggggggggggg</v>
      </c>
      <c r="AC11" s="63">
        <f t="shared" si="6"/>
        <v>2.7512824857960356</v>
      </c>
      <c r="AD11" s="62"/>
      <c r="AE11" s="62"/>
      <c r="AF11" s="62"/>
    </row>
    <row r="12" spans="1:32" ht="20.25" x14ac:dyDescent="0.3">
      <c r="B12" s="27" t="s">
        <v>37</v>
      </c>
      <c r="C12" s="125">
        <f>Avril!BC30</f>
        <v>14.272727272727273</v>
      </c>
      <c r="D12" s="125">
        <f>Avril!BC31</f>
        <v>3.7272727272727271</v>
      </c>
      <c r="E12" s="137">
        <f t="shared" si="0"/>
        <v>0.20707070707070707</v>
      </c>
      <c r="F12" s="121">
        <f t="shared" si="1"/>
        <v>183.31318181818179</v>
      </c>
      <c r="G12" s="129">
        <f>((49.87+35.45+0+14.13)*7)/22</f>
        <v>31.643181818181812</v>
      </c>
      <c r="H12" s="138">
        <f t="shared" si="7"/>
        <v>184.86999999999983</v>
      </c>
      <c r="I12" s="118">
        <f t="shared" si="8"/>
        <v>1.2188962879936696</v>
      </c>
      <c r="J12" s="118">
        <f t="shared" si="2"/>
        <v>1.1538207951473596</v>
      </c>
      <c r="K12" s="118">
        <f t="shared" si="9"/>
        <v>1.0563999999999991</v>
      </c>
      <c r="L12" s="144">
        <f>Avril!BC59</f>
        <v>219.70469047619048</v>
      </c>
      <c r="M12" s="144">
        <f>Avril!BB59</f>
        <v>4613.7984999999999</v>
      </c>
      <c r="N12" s="142">
        <f t="shared" si="3"/>
        <v>0.83436171262828607</v>
      </c>
      <c r="O12" s="142">
        <f t="shared" si="10"/>
        <v>1.1985209590333958</v>
      </c>
      <c r="P12" s="146" t="str">
        <f t="shared" si="4"/>
        <v>L</v>
      </c>
      <c r="Q12" s="140">
        <f>Avril!BC60</f>
        <v>0.61309070619715877</v>
      </c>
      <c r="R12" s="140">
        <f>Avril!BC62</f>
        <v>0.75238095238095237</v>
      </c>
      <c r="S12" s="140">
        <f>Avril!BC72</f>
        <v>0.6156448412698412</v>
      </c>
      <c r="T12" s="140">
        <f>Avril!BC75</f>
        <v>0.23579887889022294</v>
      </c>
      <c r="U12" s="98">
        <f>Avril!BC89</f>
        <v>21.651666666666671</v>
      </c>
      <c r="V12" s="97">
        <f>Avril!BC93</f>
        <v>6.9377260649200106E-2</v>
      </c>
      <c r="W12" s="147">
        <f>Avril!BB91</f>
        <v>5068.4835000000003</v>
      </c>
      <c r="X12" s="117">
        <f>Avril!BC91</f>
        <v>241.35635714285715</v>
      </c>
      <c r="Y12" s="124" t="str">
        <f t="shared" si="5"/>
        <v>gggggggggggg</v>
      </c>
      <c r="Z12" s="105" t="s">
        <v>60</v>
      </c>
      <c r="AA12" s="106">
        <v>1.46</v>
      </c>
      <c r="AB12" s="108" t="str">
        <f t="shared" si="11"/>
        <v>g</v>
      </c>
      <c r="AC12" s="63">
        <f t="shared" si="6"/>
        <v>0.31644208129158652</v>
      </c>
      <c r="AD12" s="62"/>
      <c r="AE12" s="62"/>
      <c r="AF12" s="62"/>
    </row>
    <row r="13" spans="1:32" ht="20.25" x14ac:dyDescent="0.3">
      <c r="B13" s="27" t="s">
        <v>38</v>
      </c>
      <c r="C13" s="125">
        <f>Mai!BB30</f>
        <v>14.4</v>
      </c>
      <c r="D13" s="125">
        <f>Mai!BB31</f>
        <v>3.6</v>
      </c>
      <c r="E13" s="137">
        <f t="shared" si="0"/>
        <v>0.2</v>
      </c>
      <c r="F13" s="121" t="str">
        <f t="shared" si="1"/>
        <v/>
      </c>
      <c r="G13" s="129"/>
      <c r="H13" s="138" t="str">
        <f t="shared" si="7"/>
        <v/>
      </c>
      <c r="I13" s="118" t="str">
        <f t="shared" si="8"/>
        <v/>
      </c>
      <c r="J13" s="118">
        <f t="shared" si="2"/>
        <v>0.7845981407002045</v>
      </c>
      <c r="K13" s="118" t="e">
        <f t="shared" si="9"/>
        <v>#VALUE!</v>
      </c>
      <c r="L13" s="144">
        <f>Mai!BB59</f>
        <v>215.25347058823527</v>
      </c>
      <c r="M13" s="144">
        <f>Mai!BA59</f>
        <v>3659.3089999999997</v>
      </c>
      <c r="N13" s="142" t="str">
        <f t="shared" si="3"/>
        <v/>
      </c>
      <c r="O13" s="142" t="str">
        <f t="shared" si="10"/>
        <v/>
      </c>
      <c r="P13" s="146" t="str">
        <f t="shared" si="4"/>
        <v/>
      </c>
      <c r="Q13" s="141">
        <f>ROUND((Mai!BB60),2)</f>
        <v>0.69</v>
      </c>
      <c r="R13" s="140">
        <f>Mai!BB62</f>
        <v>0.68235294117647072</v>
      </c>
      <c r="S13" s="140">
        <f>Mai!BB72</f>
        <v>0.65543047385620923</v>
      </c>
      <c r="T13" s="140">
        <f>Mai!BB75</f>
        <v>0.25516437746325249</v>
      </c>
      <c r="U13" s="98">
        <f>Mai!BB89</f>
        <v>21.95</v>
      </c>
      <c r="V13" s="97">
        <f>Mai!BB93</f>
        <v>7.0000000000000007E-2</v>
      </c>
      <c r="W13" s="147">
        <f>Mai!BA91</f>
        <v>4032.4780000000005</v>
      </c>
      <c r="X13" s="117">
        <f>Mai!BB91</f>
        <v>237.2</v>
      </c>
      <c r="Y13" s="124" t="str">
        <f t="shared" si="5"/>
        <v>ggggggggggg</v>
      </c>
      <c r="Z13" s="26"/>
      <c r="AA13" s="27"/>
      <c r="AB13" s="108" t="str">
        <f t="shared" si="11"/>
        <v/>
      </c>
      <c r="AC13" s="63" t="str">
        <f t="shared" si="6"/>
        <v/>
      </c>
      <c r="AD13" s="62"/>
      <c r="AE13" s="62"/>
      <c r="AF13" s="62"/>
    </row>
    <row r="14" spans="1:32" ht="20.25" x14ac:dyDescent="0.3">
      <c r="B14" s="27" t="s">
        <v>39</v>
      </c>
      <c r="C14" s="131"/>
      <c r="D14" s="131"/>
      <c r="E14" s="137" t="str">
        <f t="shared" si="0"/>
        <v/>
      </c>
      <c r="F14" s="121" t="str">
        <f t="shared" si="1"/>
        <v/>
      </c>
      <c r="G14" s="129"/>
      <c r="H14" s="138" t="str">
        <f t="shared" si="7"/>
        <v/>
      </c>
      <c r="I14" s="118" t="str">
        <f t="shared" si="8"/>
        <v/>
      </c>
      <c r="J14" s="118" t="str">
        <f t="shared" si="2"/>
        <v/>
      </c>
      <c r="K14" s="118" t="str">
        <f t="shared" si="9"/>
        <v/>
      </c>
      <c r="L14" s="144"/>
      <c r="M14" s="144"/>
      <c r="N14" s="142" t="str">
        <f t="shared" si="3"/>
        <v/>
      </c>
      <c r="O14" s="142" t="str">
        <f t="shared" si="10"/>
        <v/>
      </c>
      <c r="P14" s="146" t="str">
        <f t="shared" si="4"/>
        <v/>
      </c>
      <c r="Q14" s="141"/>
      <c r="R14" s="141"/>
      <c r="S14" s="141"/>
      <c r="T14" s="141"/>
      <c r="U14" s="96"/>
      <c r="V14" s="96"/>
      <c r="W14" s="147"/>
      <c r="X14" s="117"/>
      <c r="Y14" s="124" t="str">
        <f t="shared" si="5"/>
        <v/>
      </c>
      <c r="AA14" s="27"/>
      <c r="AB14" s="108" t="str">
        <f t="shared" si="11"/>
        <v/>
      </c>
      <c r="AC14" s="63" t="str">
        <f t="shared" si="6"/>
        <v/>
      </c>
      <c r="AD14" s="62"/>
      <c r="AE14" s="62"/>
      <c r="AF14" s="62"/>
    </row>
    <row r="15" spans="1:32" ht="20.25" x14ac:dyDescent="0.3">
      <c r="B15" s="27" t="s">
        <v>40</v>
      </c>
      <c r="C15" s="131"/>
      <c r="D15" s="131"/>
      <c r="E15" s="137" t="str">
        <f t="shared" si="0"/>
        <v/>
      </c>
      <c r="F15" s="121" t="str">
        <f t="shared" si="1"/>
        <v/>
      </c>
      <c r="G15" s="129"/>
      <c r="H15" s="138" t="str">
        <f t="shared" si="7"/>
        <v/>
      </c>
      <c r="I15" s="118" t="str">
        <f t="shared" si="8"/>
        <v/>
      </c>
      <c r="J15" s="118" t="str">
        <f t="shared" si="2"/>
        <v/>
      </c>
      <c r="K15" s="118" t="str">
        <f t="shared" si="9"/>
        <v/>
      </c>
      <c r="L15" s="144"/>
      <c r="M15" s="144"/>
      <c r="N15" s="142" t="str">
        <f t="shared" si="3"/>
        <v/>
      </c>
      <c r="O15" s="142" t="str">
        <f t="shared" si="10"/>
        <v/>
      </c>
      <c r="P15" s="146" t="str">
        <f t="shared" si="4"/>
        <v/>
      </c>
      <c r="Q15" s="141"/>
      <c r="R15" s="141"/>
      <c r="S15" s="141"/>
      <c r="T15" s="141"/>
      <c r="U15" s="96"/>
      <c r="V15" s="96"/>
      <c r="W15" s="147"/>
      <c r="X15" s="117"/>
      <c r="Y15" s="124" t="str">
        <f t="shared" si="5"/>
        <v/>
      </c>
      <c r="AA15" s="27"/>
      <c r="AB15" s="108" t="str">
        <f t="shared" si="11"/>
        <v/>
      </c>
      <c r="AC15" s="63" t="str">
        <f t="shared" si="6"/>
        <v/>
      </c>
      <c r="AD15" s="62"/>
      <c r="AE15" s="62"/>
      <c r="AF15" s="62"/>
    </row>
    <row r="16" spans="1:32" ht="20.25" x14ac:dyDescent="0.3">
      <c r="B16" s="27" t="s">
        <v>41</v>
      </c>
      <c r="C16" s="131"/>
      <c r="D16" s="131"/>
      <c r="E16" s="137" t="str">
        <f t="shared" si="0"/>
        <v/>
      </c>
      <c r="F16" s="121" t="str">
        <f t="shared" si="1"/>
        <v/>
      </c>
      <c r="G16" s="129"/>
      <c r="H16" s="138" t="str">
        <f t="shared" si="7"/>
        <v/>
      </c>
      <c r="I16" s="118" t="str">
        <f t="shared" si="8"/>
        <v/>
      </c>
      <c r="J16" s="118" t="str">
        <f t="shared" si="2"/>
        <v/>
      </c>
      <c r="K16" s="118" t="str">
        <f t="shared" si="9"/>
        <v/>
      </c>
      <c r="L16" s="144"/>
      <c r="M16" s="144"/>
      <c r="N16" s="142" t="str">
        <f t="shared" si="3"/>
        <v/>
      </c>
      <c r="O16" s="142" t="str">
        <f t="shared" si="10"/>
        <v/>
      </c>
      <c r="P16" s="146" t="str">
        <f t="shared" si="4"/>
        <v/>
      </c>
      <c r="Q16" s="141"/>
      <c r="R16" s="141"/>
      <c r="S16" s="141"/>
      <c r="T16" s="141"/>
      <c r="U16" s="96"/>
      <c r="V16" s="96"/>
      <c r="W16" s="147"/>
      <c r="X16" s="117"/>
      <c r="Y16" s="124" t="str">
        <f t="shared" si="5"/>
        <v/>
      </c>
      <c r="AA16" s="27"/>
      <c r="AB16" s="108" t="str">
        <f t="shared" si="11"/>
        <v/>
      </c>
      <c r="AC16" s="63" t="str">
        <f t="shared" si="6"/>
        <v/>
      </c>
      <c r="AD16" s="62"/>
      <c r="AE16" s="62"/>
      <c r="AF16" s="62"/>
    </row>
    <row r="17" spans="2:32" ht="20.25" x14ac:dyDescent="0.3">
      <c r="B17" s="27" t="s">
        <v>42</v>
      </c>
      <c r="C17" s="131"/>
      <c r="D17" s="131"/>
      <c r="E17" s="137" t="str">
        <f t="shared" si="0"/>
        <v/>
      </c>
      <c r="F17" s="121" t="str">
        <f t="shared" si="1"/>
        <v/>
      </c>
      <c r="G17" s="129"/>
      <c r="H17" s="138" t="str">
        <f t="shared" si="7"/>
        <v/>
      </c>
      <c r="I17" s="118" t="str">
        <f t="shared" si="8"/>
        <v/>
      </c>
      <c r="J17" s="118" t="str">
        <f t="shared" si="2"/>
        <v/>
      </c>
      <c r="K17" s="118" t="str">
        <f t="shared" si="9"/>
        <v/>
      </c>
      <c r="L17" s="144"/>
      <c r="M17" s="144"/>
      <c r="N17" s="142" t="str">
        <f t="shared" si="3"/>
        <v/>
      </c>
      <c r="O17" s="142" t="str">
        <f t="shared" si="10"/>
        <v/>
      </c>
      <c r="P17" s="146" t="str">
        <f t="shared" si="4"/>
        <v/>
      </c>
      <c r="Q17" s="141"/>
      <c r="R17" s="141"/>
      <c r="S17" s="141"/>
      <c r="T17" s="141"/>
      <c r="U17" s="96"/>
      <c r="V17" s="96"/>
      <c r="W17" s="147"/>
      <c r="X17" s="117"/>
      <c r="Y17" s="124" t="str">
        <f t="shared" si="5"/>
        <v/>
      </c>
      <c r="AA17" s="27"/>
      <c r="AB17" s="108" t="str">
        <f t="shared" si="11"/>
        <v/>
      </c>
      <c r="AC17" s="63" t="str">
        <f t="shared" si="6"/>
        <v/>
      </c>
      <c r="AD17" s="62"/>
      <c r="AE17" s="62"/>
      <c r="AF17" s="62"/>
    </row>
    <row r="18" spans="2:32" ht="20.25" x14ac:dyDescent="0.3">
      <c r="B18" s="27" t="s">
        <v>43</v>
      </c>
      <c r="C18" s="131"/>
      <c r="D18" s="131"/>
      <c r="E18" s="137" t="str">
        <f t="shared" si="0"/>
        <v/>
      </c>
      <c r="F18" s="121" t="str">
        <f t="shared" si="1"/>
        <v/>
      </c>
      <c r="G18" s="129"/>
      <c r="H18" s="138" t="str">
        <f t="shared" si="7"/>
        <v/>
      </c>
      <c r="I18" s="118" t="str">
        <f t="shared" si="8"/>
        <v/>
      </c>
      <c r="J18" s="118" t="str">
        <f t="shared" si="2"/>
        <v/>
      </c>
      <c r="K18" s="118" t="str">
        <f t="shared" si="9"/>
        <v/>
      </c>
      <c r="L18" s="144"/>
      <c r="M18" s="144"/>
      <c r="N18" s="142" t="str">
        <f t="shared" si="3"/>
        <v/>
      </c>
      <c r="O18" s="142" t="str">
        <f t="shared" si="10"/>
        <v/>
      </c>
      <c r="P18" s="146" t="str">
        <f t="shared" si="4"/>
        <v/>
      </c>
      <c r="Q18" s="141"/>
      <c r="R18" s="141"/>
      <c r="S18" s="141"/>
      <c r="T18" s="141"/>
      <c r="U18" s="96"/>
      <c r="V18" s="96"/>
      <c r="W18" s="147"/>
      <c r="X18" s="117"/>
      <c r="Y18" s="124" t="str">
        <f t="shared" si="5"/>
        <v/>
      </c>
      <c r="AA18" s="27"/>
      <c r="AB18" s="108" t="str">
        <f t="shared" si="11"/>
        <v/>
      </c>
      <c r="AC18" s="63" t="str">
        <f t="shared" si="6"/>
        <v/>
      </c>
      <c r="AD18" s="62"/>
      <c r="AE18" s="62"/>
      <c r="AF18" s="62"/>
    </row>
    <row r="19" spans="2:32" ht="20.25" x14ac:dyDescent="0.3">
      <c r="B19" s="27" t="s">
        <v>44</v>
      </c>
      <c r="C19" s="131"/>
      <c r="D19" s="131"/>
      <c r="E19" s="137" t="str">
        <f t="shared" si="0"/>
        <v/>
      </c>
      <c r="F19" s="121" t="str">
        <f t="shared" si="1"/>
        <v/>
      </c>
      <c r="G19" s="129"/>
      <c r="H19" s="138" t="str">
        <f t="shared" si="7"/>
        <v/>
      </c>
      <c r="I19" s="118" t="str">
        <f t="shared" si="8"/>
        <v/>
      </c>
      <c r="J19" s="118" t="str">
        <f t="shared" si="2"/>
        <v/>
      </c>
      <c r="K19" s="118" t="str">
        <f t="shared" si="9"/>
        <v/>
      </c>
      <c r="L19" s="144"/>
      <c r="M19" s="144"/>
      <c r="N19" s="142" t="str">
        <f t="shared" si="3"/>
        <v/>
      </c>
      <c r="O19" s="142" t="str">
        <f t="shared" si="10"/>
        <v/>
      </c>
      <c r="P19" s="146" t="str">
        <f t="shared" si="4"/>
        <v/>
      </c>
      <c r="Q19" s="141"/>
      <c r="R19" s="141"/>
      <c r="S19" s="141"/>
      <c r="T19" s="141"/>
      <c r="U19" s="96"/>
      <c r="V19" s="96"/>
      <c r="W19" s="147"/>
      <c r="X19" s="117"/>
      <c r="Y19" s="124" t="str">
        <f t="shared" si="5"/>
        <v/>
      </c>
      <c r="AA19" s="27"/>
      <c r="AB19" s="108" t="str">
        <f t="shared" si="11"/>
        <v/>
      </c>
      <c r="AC19" s="63" t="str">
        <f t="shared" si="6"/>
        <v/>
      </c>
      <c r="AD19" s="62"/>
      <c r="AE19" s="62"/>
      <c r="AF19" s="62"/>
    </row>
    <row r="20" spans="2:32" ht="20.25" x14ac:dyDescent="0.3">
      <c r="B20" s="27" t="s">
        <v>45</v>
      </c>
      <c r="C20" s="131"/>
      <c r="D20" s="131"/>
      <c r="E20" s="137" t="str">
        <f t="shared" si="0"/>
        <v/>
      </c>
      <c r="F20" s="121" t="str">
        <f t="shared" si="1"/>
        <v/>
      </c>
      <c r="G20" s="129"/>
      <c r="H20" s="138" t="str">
        <f t="shared" si="7"/>
        <v/>
      </c>
      <c r="I20" s="118" t="str">
        <f t="shared" si="8"/>
        <v/>
      </c>
      <c r="J20" s="118" t="str">
        <f t="shared" si="2"/>
        <v/>
      </c>
      <c r="K20" s="118" t="str">
        <f t="shared" si="9"/>
        <v/>
      </c>
      <c r="L20" s="144"/>
      <c r="M20" s="144"/>
      <c r="N20" s="142" t="str">
        <f t="shared" si="3"/>
        <v/>
      </c>
      <c r="O20" s="142" t="str">
        <f t="shared" si="10"/>
        <v/>
      </c>
      <c r="P20" s="146" t="str">
        <f t="shared" si="4"/>
        <v/>
      </c>
      <c r="Q20" s="141"/>
      <c r="R20" s="141"/>
      <c r="S20" s="141"/>
      <c r="T20" s="141"/>
      <c r="U20" s="96"/>
      <c r="V20" s="96"/>
      <c r="W20" s="147"/>
      <c r="X20" s="117"/>
      <c r="Y20" s="124" t="str">
        <f t="shared" si="5"/>
        <v/>
      </c>
      <c r="AA20" s="27"/>
      <c r="AB20" s="108" t="str">
        <f t="shared" si="11"/>
        <v/>
      </c>
      <c r="AC20" s="63" t="str">
        <f t="shared" si="6"/>
        <v/>
      </c>
      <c r="AD20" s="62"/>
      <c r="AE20" s="62"/>
      <c r="AF20" s="62"/>
    </row>
    <row r="21" spans="2:32" ht="15.75" x14ac:dyDescent="0.3">
      <c r="B21" s="29" t="s">
        <v>56</v>
      </c>
      <c r="C21" s="90">
        <f>ROUND(AVERAGE(C9:C20),2)</f>
        <v>14.56</v>
      </c>
      <c r="D21" s="90">
        <f>ROUND(AVERAGE(D9:D20),2)</f>
        <v>3.44</v>
      </c>
      <c r="E21" s="90">
        <f>ROUND(AVERAGE(E9:E20),2)</f>
        <v>0.19</v>
      </c>
      <c r="F21" s="90">
        <f>ROUND(AVERAGE(F9:F20),2)</f>
        <v>180.03</v>
      </c>
      <c r="G21" s="90">
        <f>ROUND(AVERAGE(G9:G20),2)</f>
        <v>28.36</v>
      </c>
      <c r="H21" s="121">
        <f t="shared" ref="H21:J21" si="12">ROUND(AVERAGE(H9:H20),2)</f>
        <v>112.68</v>
      </c>
      <c r="I21" s="90">
        <f t="shared" si="12"/>
        <v>0.74</v>
      </c>
      <c r="J21" s="90">
        <f t="shared" si="12"/>
        <v>1.06</v>
      </c>
      <c r="K21" s="90"/>
      <c r="L21" s="89">
        <f>ROUND(AVERAGE(L9:L20),2)</f>
        <v>218</v>
      </c>
      <c r="M21" s="89">
        <f>ROUND(AVERAGE(M9:M20),2)</f>
        <v>4275.96</v>
      </c>
      <c r="N21" s="90">
        <f>ROUND(AVERAGE(N9:N20),3)</f>
        <v>0.82799999999999996</v>
      </c>
      <c r="O21" s="90">
        <f>AVERAGE(O9:O20)</f>
        <v>1.2147528347887018</v>
      </c>
      <c r="P21" s="93"/>
      <c r="Q21" s="93">
        <f t="shared" ref="Q21:W21" si="13">ROUND(AVERAGE(Q9:Q20),2)</f>
        <v>0.64</v>
      </c>
      <c r="R21" s="93">
        <f t="shared" si="13"/>
        <v>0.72</v>
      </c>
      <c r="S21" s="93">
        <f t="shared" si="13"/>
        <v>0.6</v>
      </c>
      <c r="T21" s="93">
        <f t="shared" si="13"/>
        <v>0.23</v>
      </c>
      <c r="U21" s="90">
        <f t="shared" si="13"/>
        <v>22.81</v>
      </c>
      <c r="V21" s="109">
        <f t="shared" si="13"/>
        <v>7.0000000000000007E-2</v>
      </c>
      <c r="W21" s="109">
        <f t="shared" si="13"/>
        <v>4722.43</v>
      </c>
      <c r="X21" s="93">
        <f>ROUND(AVERAGE(X9:X20),2)</f>
        <v>241.32</v>
      </c>
      <c r="Y21" s="124" t="str">
        <f t="shared" si="5"/>
        <v>gggggggggggg</v>
      </c>
      <c r="Z21" s="110"/>
      <c r="AA21" s="93">
        <f>ROUND(AVERAGE(AA9:AA20),2)</f>
        <v>7.17</v>
      </c>
      <c r="AB21" s="108" t="str">
        <f t="shared" si="11"/>
        <v>ggggggg</v>
      </c>
      <c r="AC21" s="63"/>
    </row>
    <row r="22" spans="2:32" x14ac:dyDescent="0.25">
      <c r="G22" s="50"/>
      <c r="H22" s="50"/>
      <c r="L22" s="47">
        <f>F21/L21</f>
        <v>0.82582568807339451</v>
      </c>
      <c r="M22" s="47"/>
      <c r="N22" s="26" t="s">
        <v>64</v>
      </c>
    </row>
    <row r="23" spans="2:32" x14ac:dyDescent="0.25">
      <c r="G23" s="115"/>
      <c r="H23" s="115"/>
      <c r="L23" s="120">
        <f>L22*60</f>
        <v>49.549541284403674</v>
      </c>
      <c r="M23" s="120"/>
      <c r="N23" s="26" t="s">
        <v>65</v>
      </c>
    </row>
    <row r="24" spans="2:32" x14ac:dyDescent="0.25">
      <c r="C24" s="153" t="s">
        <v>85</v>
      </c>
      <c r="D24" s="153"/>
      <c r="E24" s="153"/>
      <c r="Q24" s="113"/>
      <c r="Y24" s="27"/>
      <c r="Z24" s="31"/>
    </row>
    <row r="25" spans="2:32" x14ac:dyDescent="0.25">
      <c r="C25" s="149" t="s">
        <v>87</v>
      </c>
      <c r="D25" s="150">
        <v>7</v>
      </c>
      <c r="E25" s="149" t="s">
        <v>15</v>
      </c>
      <c r="Y25" s="27"/>
      <c r="Z25" s="31"/>
    </row>
    <row r="26" spans="2:32" x14ac:dyDescent="0.25">
      <c r="C26" s="94" t="s">
        <v>86</v>
      </c>
      <c r="D26" s="130">
        <f>(30.84+18.38+0.38+23.44)</f>
        <v>73.040000000000006</v>
      </c>
      <c r="E26" s="130">
        <f>IF(D26="","",D26*$D$25)</f>
        <v>511.28000000000003</v>
      </c>
      <c r="F26" s="53"/>
      <c r="H26" s="53"/>
      <c r="I26" s="132"/>
      <c r="J26" s="132"/>
      <c r="K26" s="132"/>
      <c r="L26" s="53"/>
      <c r="M26" s="53"/>
      <c r="Y26" s="27"/>
      <c r="Z26" s="31"/>
    </row>
    <row r="27" spans="2:32" x14ac:dyDescent="0.25">
      <c r="C27" s="94">
        <v>41671</v>
      </c>
      <c r="D27" s="27">
        <f>38.88+15.38+0.26+31.49</f>
        <v>86.01</v>
      </c>
      <c r="E27" s="130">
        <f t="shared" ref="E27:E37" si="14">IF(D27="","",D27*$D$25)</f>
        <v>602.07000000000005</v>
      </c>
      <c r="Y27" s="27"/>
      <c r="Z27" s="31"/>
    </row>
    <row r="28" spans="2:32" x14ac:dyDescent="0.25">
      <c r="C28" s="94">
        <v>41699</v>
      </c>
      <c r="D28" s="27">
        <f>(42.74+13.75-0.21+29.32)</f>
        <v>85.6</v>
      </c>
      <c r="E28" s="130">
        <f t="shared" si="14"/>
        <v>599.19999999999993</v>
      </c>
      <c r="Y28" s="27"/>
      <c r="Z28" s="31"/>
    </row>
    <row r="29" spans="2:32" x14ac:dyDescent="0.25">
      <c r="C29" s="94">
        <v>41730</v>
      </c>
      <c r="D29" s="27">
        <f>(47.85+20.71-0.18+17.11)</f>
        <v>85.49</v>
      </c>
      <c r="E29" s="130">
        <f t="shared" si="14"/>
        <v>598.42999999999995</v>
      </c>
      <c r="Y29" s="27"/>
      <c r="Z29" s="31"/>
    </row>
    <row r="30" spans="2:32" x14ac:dyDescent="0.25">
      <c r="C30" s="94">
        <v>41760</v>
      </c>
      <c r="D30" s="27">
        <f>(49.87+35.45+0+14.13)</f>
        <v>99.449999999999989</v>
      </c>
      <c r="E30" s="130">
        <f t="shared" si="14"/>
        <v>696.14999999999986</v>
      </c>
      <c r="R30" s="26"/>
      <c r="Y30" s="27"/>
      <c r="Z30" s="31"/>
    </row>
    <row r="31" spans="2:32" x14ac:dyDescent="0.25">
      <c r="C31" s="94">
        <v>41791</v>
      </c>
      <c r="D31" s="27"/>
      <c r="E31" s="130" t="str">
        <f t="shared" si="14"/>
        <v/>
      </c>
      <c r="Y31" s="27"/>
      <c r="Z31" s="31"/>
    </row>
    <row r="32" spans="2:32" x14ac:dyDescent="0.25">
      <c r="C32" s="94">
        <v>41821</v>
      </c>
      <c r="D32" s="27"/>
      <c r="E32" s="130" t="str">
        <f t="shared" si="14"/>
        <v/>
      </c>
      <c r="Y32" s="27"/>
      <c r="Z32" s="31"/>
    </row>
    <row r="33" spans="3:6" x14ac:dyDescent="0.25">
      <c r="C33" s="94">
        <v>41852</v>
      </c>
      <c r="D33" s="27"/>
      <c r="E33" s="130" t="str">
        <f t="shared" si="14"/>
        <v/>
      </c>
    </row>
    <row r="34" spans="3:6" x14ac:dyDescent="0.25">
      <c r="C34" s="94">
        <v>41883</v>
      </c>
      <c r="D34" s="27"/>
      <c r="E34" s="130" t="str">
        <f t="shared" si="14"/>
        <v/>
      </c>
    </row>
    <row r="35" spans="3:6" x14ac:dyDescent="0.25">
      <c r="C35" s="94">
        <v>41913</v>
      </c>
      <c r="D35" s="27"/>
      <c r="E35" s="130" t="str">
        <f t="shared" si="14"/>
        <v/>
      </c>
    </row>
    <row r="36" spans="3:6" x14ac:dyDescent="0.25">
      <c r="C36" s="94">
        <v>41944</v>
      </c>
      <c r="D36" s="27"/>
      <c r="E36" s="130" t="str">
        <f t="shared" si="14"/>
        <v/>
      </c>
    </row>
    <row r="37" spans="3:6" x14ac:dyDescent="0.25">
      <c r="C37" s="94">
        <v>41974</v>
      </c>
      <c r="D37" s="27"/>
      <c r="E37" s="130" t="str">
        <f t="shared" si="14"/>
        <v/>
      </c>
    </row>
    <row r="39" spans="3:6" x14ac:dyDescent="0.25">
      <c r="C39" s="153" t="s">
        <v>88</v>
      </c>
      <c r="D39" s="153"/>
      <c r="E39" s="153"/>
      <c r="F39" s="148"/>
    </row>
    <row r="40" spans="3:6" x14ac:dyDescent="0.25">
      <c r="C40" s="27" t="s">
        <v>87</v>
      </c>
      <c r="D40" s="29">
        <v>7</v>
      </c>
      <c r="E40" s="27" t="s">
        <v>15</v>
      </c>
      <c r="F40" s="77"/>
    </row>
    <row r="41" spans="3:6" x14ac:dyDescent="0.25">
      <c r="C41" s="27"/>
      <c r="D41" s="134"/>
      <c r="E41" s="134"/>
      <c r="F41" s="77"/>
    </row>
    <row r="42" spans="3:6" x14ac:dyDescent="0.25">
      <c r="C42" s="94" t="s">
        <v>89</v>
      </c>
      <c r="D42" s="27">
        <v>12</v>
      </c>
      <c r="E42" s="27">
        <f>IF(D42="","",D42*$D$40)</f>
        <v>84</v>
      </c>
      <c r="F42" s="80"/>
    </row>
    <row r="43" spans="3:6" x14ac:dyDescent="0.25">
      <c r="C43" s="94">
        <v>41698</v>
      </c>
      <c r="D43" s="27">
        <v>39</v>
      </c>
      <c r="E43" s="27">
        <f t="shared" ref="E43:E53" si="15">IF(D43="","",D43*$D$40)</f>
        <v>273</v>
      </c>
      <c r="F43" s="80"/>
    </row>
    <row r="44" spans="3:6" x14ac:dyDescent="0.25">
      <c r="C44" s="94">
        <v>41729</v>
      </c>
      <c r="D44" s="27">
        <v>22</v>
      </c>
      <c r="E44" s="27">
        <f t="shared" si="15"/>
        <v>154</v>
      </c>
      <c r="F44" s="80"/>
    </row>
    <row r="45" spans="3:6" x14ac:dyDescent="0.25">
      <c r="C45" s="94">
        <v>41759</v>
      </c>
      <c r="D45" s="27">
        <v>25</v>
      </c>
      <c r="E45" s="27">
        <f t="shared" si="15"/>
        <v>175</v>
      </c>
      <c r="F45" s="80"/>
    </row>
    <row r="46" spans="3:6" x14ac:dyDescent="0.25">
      <c r="C46" s="94">
        <v>41790</v>
      </c>
      <c r="D46" s="27">
        <f>Mai!BC30</f>
        <v>17</v>
      </c>
      <c r="E46" s="27">
        <f t="shared" si="15"/>
        <v>119</v>
      </c>
      <c r="F46" s="80"/>
    </row>
    <row r="47" spans="3:6" x14ac:dyDescent="0.25">
      <c r="C47" s="94">
        <v>41820</v>
      </c>
      <c r="D47" s="27"/>
      <c r="E47" s="27" t="str">
        <f t="shared" si="15"/>
        <v/>
      </c>
      <c r="F47" s="80"/>
    </row>
    <row r="48" spans="3:6" x14ac:dyDescent="0.25">
      <c r="C48" s="94">
        <v>41851</v>
      </c>
      <c r="D48" s="27"/>
      <c r="E48" s="27" t="str">
        <f t="shared" si="15"/>
        <v/>
      </c>
      <c r="F48" s="80" t="str">
        <f t="shared" ref="F48" si="16">IF(E48="","",E48/$A$1)</f>
        <v/>
      </c>
    </row>
    <row r="49" spans="3:18" x14ac:dyDescent="0.25">
      <c r="C49" s="94">
        <v>41882</v>
      </c>
      <c r="D49" s="27"/>
      <c r="E49" s="27" t="str">
        <f t="shared" si="15"/>
        <v/>
      </c>
      <c r="F49" s="80"/>
    </row>
    <row r="50" spans="3:18" x14ac:dyDescent="0.25">
      <c r="C50" s="94">
        <v>41912</v>
      </c>
      <c r="D50" s="27"/>
      <c r="E50" s="27" t="str">
        <f t="shared" si="15"/>
        <v/>
      </c>
      <c r="F50" s="80"/>
    </row>
    <row r="51" spans="3:18" x14ac:dyDescent="0.25">
      <c r="C51" s="94">
        <v>41943</v>
      </c>
      <c r="D51" s="27"/>
      <c r="E51" s="27" t="str">
        <f t="shared" si="15"/>
        <v/>
      </c>
      <c r="F51" s="80"/>
    </row>
    <row r="52" spans="3:18" x14ac:dyDescent="0.25">
      <c r="C52" s="94">
        <v>41973</v>
      </c>
      <c r="D52" s="27"/>
      <c r="E52" s="27" t="str">
        <f t="shared" si="15"/>
        <v/>
      </c>
      <c r="F52" s="80"/>
    </row>
    <row r="53" spans="3:18" x14ac:dyDescent="0.25">
      <c r="C53" s="94">
        <v>42004</v>
      </c>
      <c r="D53" s="27"/>
      <c r="E53" s="27" t="str">
        <f t="shared" si="15"/>
        <v/>
      </c>
      <c r="F53" s="77"/>
    </row>
    <row r="56" spans="3:18" x14ac:dyDescent="0.25">
      <c r="Q56" s="126"/>
      <c r="R56" s="126"/>
    </row>
    <row r="57" spans="3:18" x14ac:dyDescent="0.25">
      <c r="Q57" s="126"/>
      <c r="R57" s="126"/>
    </row>
    <row r="58" spans="3:18" x14ac:dyDescent="0.25">
      <c r="Q58" s="126"/>
      <c r="R58" s="126"/>
    </row>
    <row r="59" spans="3:18" x14ac:dyDescent="0.25">
      <c r="R59" s="126"/>
    </row>
  </sheetData>
  <mergeCells count="9">
    <mergeCell ref="Q2:S3"/>
    <mergeCell ref="L5:P6"/>
    <mergeCell ref="Q5:T6"/>
    <mergeCell ref="U5:V6"/>
    <mergeCell ref="C39:E39"/>
    <mergeCell ref="C24:E24"/>
    <mergeCell ref="C5:K6"/>
    <mergeCell ref="Z5:AB6"/>
    <mergeCell ref="W5:Y6"/>
  </mergeCells>
  <conditionalFormatting sqref="K9:K20">
    <cfRule type="cellIs" dxfId="0" priority="1" operator="between">
      <formula>0.9</formula>
      <formula>1.1</formula>
    </cfRule>
  </conditionalFormatting>
  <hyperlinks>
    <hyperlink ref="Z9" r:id="rId1"/>
    <hyperlink ref="Z10" r:id="rId2"/>
    <hyperlink ref="Z11" r:id="rId3"/>
    <hyperlink ref="Z12" r:id="rId4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8" name="Button 3">
              <controlPr defaultSize="0" print="0" autoFill="0" autoPict="0" macro="[0]!Bouton3_Cliquer">
                <anchor moveWithCells="1" sizeWithCells="1">
                  <from>
                    <xdr:col>0</xdr:col>
                    <xdr:colOff>142875</xdr:colOff>
                    <xdr:row>1</xdr:row>
                    <xdr:rowOff>95250</xdr:rowOff>
                  </from>
                  <to>
                    <xdr:col>1</xdr:col>
                    <xdr:colOff>419100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9" name="Button 4">
              <controlPr defaultSize="0" print="0" autoFill="0" autoPict="0" macro="[0]!Bouton4_Cliquer">
                <anchor moveWithCells="1" sizeWithCells="1">
                  <from>
                    <xdr:col>0</xdr:col>
                    <xdr:colOff>133350</xdr:colOff>
                    <xdr:row>3</xdr:row>
                    <xdr:rowOff>95250</xdr:rowOff>
                  </from>
                  <to>
                    <xdr:col>1</xdr:col>
                    <xdr:colOff>409575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Mail</vt:lpstr>
      <vt:lpstr>Janvier</vt:lpstr>
      <vt:lpstr>Février</vt:lpstr>
      <vt:lpstr>Mars</vt:lpstr>
      <vt:lpstr>Avril</vt:lpstr>
      <vt:lpstr>Mai</vt:lpstr>
      <vt:lpstr>TB 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CRACH, Thibaut</dc:creator>
  <cp:lastModifiedBy>Morisot, Clement</cp:lastModifiedBy>
  <cp:lastPrinted>2014-05-05T07:30:44Z</cp:lastPrinted>
  <dcterms:created xsi:type="dcterms:W3CDTF">2014-04-07T08:07:02Z</dcterms:created>
  <dcterms:modified xsi:type="dcterms:W3CDTF">2014-05-27T13:27:56Z</dcterms:modified>
</cp:coreProperties>
</file>