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975"/>
  </bookViews>
  <sheets>
    <sheet name="FEVRIER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DATE_R" localSheetId="0">[6]Sommaire!#REF!</definedName>
    <definedName name="DATE_R">[6]Sommaire!#REF!</definedName>
    <definedName name="REP">[6]Sommaire!#REF!</definedName>
    <definedName name="_xlnm.Print_Area" localSheetId="0">FEVRIER!$B$4:$T$46</definedName>
  </definedNames>
  <calcPr calcId="145621"/>
</workbook>
</file>

<file path=xl/calcChain.xml><?xml version="1.0" encoding="utf-8"?>
<calcChain xmlns="http://schemas.openxmlformats.org/spreadsheetml/2006/main">
  <c r="N44" i="1" l="1"/>
  <c r="M44" i="1"/>
  <c r="L44" i="1"/>
  <c r="K44" i="1"/>
  <c r="H44" i="1"/>
  <c r="G44" i="1"/>
  <c r="F44" i="1"/>
  <c r="D44" i="1"/>
  <c r="P42" i="1"/>
  <c r="O42" i="1"/>
  <c r="I42" i="1"/>
  <c r="S42" i="1" s="1"/>
  <c r="P41" i="1"/>
  <c r="O41" i="1"/>
  <c r="I41" i="1"/>
  <c r="S41" i="1" s="1"/>
  <c r="E41" i="1"/>
  <c r="P40" i="1"/>
  <c r="I40" i="1"/>
  <c r="R40" i="1" s="1"/>
  <c r="T40" i="1" s="1"/>
  <c r="E40" i="1"/>
  <c r="E44" i="1" s="1"/>
  <c r="O39" i="1"/>
  <c r="O44" i="1" s="1"/>
  <c r="I39" i="1"/>
  <c r="I44" i="1" s="1"/>
  <c r="I37" i="1"/>
  <c r="N36" i="1"/>
  <c r="M36" i="1"/>
  <c r="L36" i="1"/>
  <c r="K36" i="1"/>
  <c r="G36" i="1"/>
  <c r="F36" i="1"/>
  <c r="D36" i="1"/>
  <c r="I35" i="1"/>
  <c r="P34" i="1"/>
  <c r="I33" i="1"/>
  <c r="R33" i="1" s="1"/>
  <c r="T33" i="1" s="1"/>
  <c r="P32" i="1"/>
  <c r="O32" i="1"/>
  <c r="I32" i="1"/>
  <c r="R32" i="1" s="1"/>
  <c r="T32" i="1" s="1"/>
  <c r="P31" i="1"/>
  <c r="O31" i="1"/>
  <c r="H31" i="1"/>
  <c r="E31" i="1"/>
  <c r="I31" i="1" s="1"/>
  <c r="P30" i="1"/>
  <c r="O30" i="1"/>
  <c r="H30" i="1"/>
  <c r="E30" i="1"/>
  <c r="I30" i="1" s="1"/>
  <c r="O29" i="1"/>
  <c r="O36" i="1" s="1"/>
  <c r="E29" i="1"/>
  <c r="E36" i="1" s="1"/>
  <c r="T28" i="1"/>
  <c r="P28" i="1"/>
  <c r="I28" i="1"/>
  <c r="H28" i="1"/>
  <c r="H36" i="1" s="1"/>
  <c r="N25" i="1"/>
  <c r="M25" i="1"/>
  <c r="L25" i="1"/>
  <c r="K25" i="1"/>
  <c r="G25" i="1"/>
  <c r="F25" i="1"/>
  <c r="D25" i="1"/>
  <c r="P23" i="1"/>
  <c r="E23" i="1"/>
  <c r="I23" i="1" s="1"/>
  <c r="P22" i="1"/>
  <c r="O22" i="1"/>
  <c r="I22" i="1"/>
  <c r="S22" i="1" s="1"/>
  <c r="P21" i="1"/>
  <c r="O21" i="1"/>
  <c r="O25" i="1" s="1"/>
  <c r="E21" i="1"/>
  <c r="I21" i="1" s="1"/>
  <c r="T20" i="1"/>
  <c r="P20" i="1"/>
  <c r="I20" i="1"/>
  <c r="S20" i="1" s="1"/>
  <c r="P19" i="1"/>
  <c r="P25" i="1" s="1"/>
  <c r="H19" i="1"/>
  <c r="H25" i="1" s="1"/>
  <c r="E19" i="1"/>
  <c r="I19" i="1" s="1"/>
  <c r="O16" i="1"/>
  <c r="O46" i="1" s="1"/>
  <c r="N16" i="1"/>
  <c r="N46" i="1" s="1"/>
  <c r="M16" i="1"/>
  <c r="M46" i="1" s="1"/>
  <c r="L16" i="1"/>
  <c r="L46" i="1" s="1"/>
  <c r="K16" i="1"/>
  <c r="K46" i="1" s="1"/>
  <c r="H16" i="1"/>
  <c r="H46" i="1" s="1"/>
  <c r="G16" i="1"/>
  <c r="G46" i="1" s="1"/>
  <c r="D16" i="1"/>
  <c r="D46" i="1" s="1"/>
  <c r="E14" i="1"/>
  <c r="I14" i="1" s="1"/>
  <c r="R14" i="1" s="1"/>
  <c r="T14" i="1" s="1"/>
  <c r="P13" i="1"/>
  <c r="O13" i="1"/>
  <c r="I13" i="1"/>
  <c r="R13" i="1" s="1"/>
  <c r="T13" i="1" s="1"/>
  <c r="P12" i="1"/>
  <c r="O12" i="1"/>
  <c r="I12" i="1"/>
  <c r="R12" i="1" s="1"/>
  <c r="T12" i="1" s="1"/>
  <c r="P11" i="1"/>
  <c r="P16" i="1" s="1"/>
  <c r="O11" i="1"/>
  <c r="H11" i="1"/>
  <c r="F11" i="1"/>
  <c r="F16" i="1" s="1"/>
  <c r="F46" i="1" s="1"/>
  <c r="E11" i="1"/>
  <c r="E16" i="1" s="1"/>
  <c r="R30" i="1" l="1"/>
  <c r="T30" i="1" s="1"/>
  <c r="S30" i="1"/>
  <c r="R31" i="1"/>
  <c r="T31" i="1" s="1"/>
  <c r="S31" i="1"/>
  <c r="R19" i="1"/>
  <c r="T19" i="1" s="1"/>
  <c r="S19" i="1"/>
  <c r="I25" i="1"/>
  <c r="S21" i="1"/>
  <c r="R21" i="1"/>
  <c r="T21" i="1" s="1"/>
  <c r="S23" i="1"/>
  <c r="R23" i="1"/>
  <c r="T23" i="1" s="1"/>
  <c r="R22" i="1"/>
  <c r="T22" i="1" s="1"/>
  <c r="E25" i="1"/>
  <c r="E46" i="1" s="1"/>
  <c r="I29" i="1"/>
  <c r="P29" i="1"/>
  <c r="P36" i="1" s="1"/>
  <c r="S32" i="1"/>
  <c r="S33" i="1"/>
  <c r="P39" i="1"/>
  <c r="S40" i="1"/>
  <c r="R41" i="1"/>
  <c r="T41" i="1" s="1"/>
  <c r="R42" i="1"/>
  <c r="T42" i="1" s="1"/>
  <c r="I11" i="1"/>
  <c r="S12" i="1"/>
  <c r="S13" i="1"/>
  <c r="S28" i="1"/>
  <c r="R39" i="1" l="1"/>
  <c r="T39" i="1" s="1"/>
  <c r="P44" i="1"/>
  <c r="R29" i="1"/>
  <c r="T29" i="1" s="1"/>
  <c r="S29" i="1"/>
  <c r="R25" i="1"/>
  <c r="T25" i="1" s="1"/>
  <c r="S25" i="1"/>
  <c r="I16" i="1"/>
  <c r="R11" i="1"/>
  <c r="T11" i="1" s="1"/>
  <c r="S11" i="1"/>
  <c r="S39" i="1"/>
  <c r="I36" i="1"/>
  <c r="S36" i="1" l="1"/>
  <c r="R36" i="1"/>
  <c r="T36" i="1" s="1"/>
  <c r="I46" i="1"/>
  <c r="S16" i="1"/>
  <c r="R16" i="1"/>
  <c r="T16" i="1" s="1"/>
  <c r="S44" i="1"/>
  <c r="R44" i="1"/>
  <c r="T44" i="1" s="1"/>
  <c r="P46" i="1"/>
  <c r="N51" i="1" s="1"/>
  <c r="S46" i="1" l="1"/>
  <c r="R46" i="1"/>
  <c r="T46" i="1" s="1"/>
</calcChain>
</file>

<file path=xl/sharedStrings.xml><?xml version="1.0" encoding="utf-8"?>
<sst xmlns="http://schemas.openxmlformats.org/spreadsheetml/2006/main" count="50" uniqueCount="41">
  <si>
    <t>CHARGES D'EXPLOITATION PAR PROJET</t>
  </si>
  <si>
    <t>REALISE FEVRIER 2015</t>
  </si>
  <si>
    <t>BUDGET FEVRIER 2015</t>
  </si>
  <si>
    <t>VARIATION</t>
  </si>
  <si>
    <t>%</t>
  </si>
  <si>
    <t>km</t>
  </si>
  <si>
    <t>Installations</t>
  </si>
  <si>
    <t>Project Management</t>
  </si>
  <si>
    <t>Atelier &amp; Magasin</t>
  </si>
  <si>
    <t>Coût Commercial</t>
  </si>
  <si>
    <t>Coût Administratif</t>
  </si>
  <si>
    <t>COÛT TOTAL</t>
  </si>
  <si>
    <t xml:space="preserve"> </t>
  </si>
  <si>
    <t>Fournitures Externes de Prodution</t>
  </si>
  <si>
    <t>ACHATS DE FOURNITURE</t>
  </si>
  <si>
    <t>FRAIS POSTAUX ET FRAIS DE TELECOMMUNICATION</t>
  </si>
  <si>
    <t>HONORAIRES</t>
  </si>
  <si>
    <t>AUTRES CHARGES</t>
  </si>
  <si>
    <t>Total Fournitures Externes de Prodution</t>
  </si>
  <si>
    <t>Coûts des Equipements</t>
  </si>
  <si>
    <t>Achat combustible</t>
  </si>
  <si>
    <t>redevance credit bail</t>
  </si>
  <si>
    <t>assurance materiel de transport</t>
  </si>
  <si>
    <t>taxes sur les vehicules</t>
  </si>
  <si>
    <t>enretien materiel roulant</t>
  </si>
  <si>
    <t>Total Coûts des Equipements</t>
  </si>
  <si>
    <t>Coûts des Locaux</t>
  </si>
  <si>
    <t>assurance multirisques</t>
  </si>
  <si>
    <t>loyers</t>
  </si>
  <si>
    <t xml:space="preserve">taxes urbaines </t>
  </si>
  <si>
    <t>Taxes professionnelles</t>
  </si>
  <si>
    <t>Dotation aux amortissements</t>
  </si>
  <si>
    <t>Eau et lectricité</t>
  </si>
  <si>
    <t>Total Coûts des Locaux</t>
  </si>
  <si>
    <t>Moyens Humains de Production</t>
  </si>
  <si>
    <t>voyage et deplacement</t>
  </si>
  <si>
    <t>Appointements et salaires</t>
  </si>
  <si>
    <t>vetements  de travail</t>
  </si>
  <si>
    <t>Assurances accident de travail</t>
  </si>
  <si>
    <t>Total Moyens Humains de Production</t>
  </si>
  <si>
    <t>Total Charges d'Exploitation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</si>
</sst>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9" tint="-0.499984740745262"/>
      <name val="Calibri"/>
      <family val="2"/>
    </font>
    <font>
      <b/>
      <sz val="10"/>
      <name val="Calibri"/>
      <family val="2"/>
    </font>
    <font>
      <sz val="12"/>
      <name val="FuturaA Bk BT"/>
    </font>
    <font>
      <b/>
      <sz val="14"/>
      <name val="Calibri"/>
      <family val="2"/>
    </font>
    <font>
      <sz val="14"/>
      <color theme="1"/>
      <name val="Calibri"/>
      <family val="2"/>
      <scheme val="minor"/>
    </font>
    <font>
      <b/>
      <sz val="14"/>
      <name val="Wingdings 3"/>
      <family val="1"/>
      <charset val="2"/>
    </font>
    <font>
      <sz val="10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sz val="12"/>
      <name val="Wingdings 3"/>
      <family val="1"/>
      <charset val="2"/>
    </font>
    <font>
      <sz val="16"/>
      <color theme="1"/>
      <name val="Calibri"/>
      <family val="2"/>
      <scheme val="minor"/>
    </font>
    <font>
      <b/>
      <sz val="16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DB93"/>
        <bgColor indexed="64"/>
      </patternFill>
    </fill>
  </fills>
  <borders count="10">
    <border>
      <left/>
      <right/>
      <top/>
      <bottom/>
      <diagonal/>
    </border>
    <border>
      <left style="medium">
        <color indexed="23"/>
      </left>
      <right/>
      <top style="medium">
        <color indexed="23"/>
      </top>
      <bottom style="medium">
        <color indexed="23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 style="medium">
        <color indexed="23"/>
      </right>
      <top style="medium">
        <color indexed="23"/>
      </top>
      <bottom style="medium">
        <color indexed="23"/>
      </bottom>
      <diagonal/>
    </border>
    <border>
      <left style="medium">
        <color indexed="23"/>
      </left>
      <right style="medium">
        <color indexed="23"/>
      </right>
      <top style="medium">
        <color indexed="23"/>
      </top>
      <bottom style="medium">
        <color indexed="23"/>
      </bottom>
      <diagonal/>
    </border>
    <border>
      <left/>
      <right/>
      <top/>
      <bottom style="medium">
        <color indexed="23"/>
      </bottom>
      <diagonal/>
    </border>
    <border>
      <left style="medium">
        <color indexed="23"/>
      </left>
      <right style="medium">
        <color indexed="23"/>
      </right>
      <top style="medium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/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medium">
        <color indexed="23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42">
    <xf numFmtId="0" fontId="0" fillId="0" borderId="0" xfId="0"/>
    <xf numFmtId="0" fontId="0" fillId="2" borderId="0" xfId="0" applyFill="1" applyAlignment="1">
      <alignment vertical="center"/>
    </xf>
    <xf numFmtId="164" fontId="2" fillId="3" borderId="0" xfId="1" applyFont="1" applyFill="1" applyBorder="1" applyAlignment="1"/>
    <xf numFmtId="0" fontId="3" fillId="3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5" fillId="4" borderId="1" xfId="3" applyFont="1" applyFill="1" applyBorder="1" applyAlignment="1">
      <alignment horizontal="center" vertical="center" wrapText="1"/>
    </xf>
    <xf numFmtId="0" fontId="5" fillId="4" borderId="2" xfId="3" applyFont="1" applyFill="1" applyBorder="1" applyAlignment="1">
      <alignment horizontal="center" vertical="center" wrapText="1"/>
    </xf>
    <xf numFmtId="0" fontId="5" fillId="4" borderId="3" xfId="3" applyFont="1" applyFill="1" applyBorder="1" applyAlignment="1">
      <alignment horizontal="center" vertical="center" wrapText="1"/>
    </xf>
    <xf numFmtId="0" fontId="6" fillId="3" borderId="0" xfId="0" applyFont="1" applyFill="1" applyAlignment="1">
      <alignment vertical="center"/>
    </xf>
    <xf numFmtId="0" fontId="5" fillId="4" borderId="4" xfId="3" applyFont="1" applyFill="1" applyBorder="1" applyAlignment="1">
      <alignment horizontal="centerContinuous" vertical="center"/>
    </xf>
    <xf numFmtId="0" fontId="7" fillId="4" borderId="4" xfId="3" applyFont="1" applyFill="1" applyBorder="1" applyAlignment="1">
      <alignment horizontal="centerContinuous" vertical="center"/>
    </xf>
    <xf numFmtId="0" fontId="8" fillId="3" borderId="0" xfId="0" applyFont="1" applyFill="1" applyAlignment="1">
      <alignment vertical="center"/>
    </xf>
    <xf numFmtId="0" fontId="9" fillId="4" borderId="4" xfId="3" applyFont="1" applyFill="1" applyBorder="1" applyAlignment="1">
      <alignment horizontal="center" vertical="center" wrapText="1"/>
    </xf>
    <xf numFmtId="0" fontId="9" fillId="4" borderId="4" xfId="3" applyFont="1" applyFill="1" applyBorder="1" applyAlignment="1">
      <alignment horizontal="center" vertical="center"/>
    </xf>
    <xf numFmtId="0" fontId="8" fillId="3" borderId="0" xfId="3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3" fillId="3" borderId="5" xfId="3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10" fillId="4" borderId="6" xfId="3" applyFont="1" applyFill="1" applyBorder="1" applyAlignment="1">
      <alignment horizontal="left" vertical="center"/>
    </xf>
    <xf numFmtId="165" fontId="8" fillId="3" borderId="0" xfId="1" applyNumberFormat="1" applyFont="1" applyFill="1" applyAlignment="1">
      <alignment vertical="center"/>
    </xf>
    <xf numFmtId="165" fontId="11" fillId="3" borderId="6" xfId="1" applyNumberFormat="1" applyFont="1" applyFill="1" applyBorder="1" applyAlignment="1">
      <alignment vertical="center"/>
    </xf>
    <xf numFmtId="9" fontId="11" fillId="3" borderId="6" xfId="2" applyNumberFormat="1" applyFont="1" applyFill="1" applyBorder="1" applyAlignment="1">
      <alignment horizontal="center" vertical="center"/>
    </xf>
    <xf numFmtId="165" fontId="12" fillId="3" borderId="6" xfId="1" applyNumberFormat="1" applyFont="1" applyFill="1" applyBorder="1" applyAlignment="1">
      <alignment vertical="center"/>
    </xf>
    <xf numFmtId="0" fontId="11" fillId="3" borderId="7" xfId="3" applyFont="1" applyFill="1" applyBorder="1" applyAlignment="1">
      <alignment horizontal="left" vertical="center"/>
    </xf>
    <xf numFmtId="165" fontId="11" fillId="3" borderId="7" xfId="1" applyNumberFormat="1" applyFont="1" applyFill="1" applyBorder="1" applyAlignment="1">
      <alignment vertical="center"/>
    </xf>
    <xf numFmtId="9" fontId="11" fillId="3" borderId="7" xfId="2" applyNumberFormat="1" applyFont="1" applyFill="1" applyBorder="1" applyAlignment="1">
      <alignment horizontal="center" vertical="center"/>
    </xf>
    <xf numFmtId="165" fontId="12" fillId="3" borderId="7" xfId="1" applyNumberFormat="1" applyFont="1" applyFill="1" applyBorder="1" applyAlignment="1">
      <alignment vertical="center"/>
    </xf>
    <xf numFmtId="10" fontId="8" fillId="3" borderId="0" xfId="2" applyNumberFormat="1" applyFont="1" applyFill="1" applyAlignment="1">
      <alignment vertical="center"/>
    </xf>
    <xf numFmtId="165" fontId="5" fillId="4" borderId="4" xfId="1" applyNumberFormat="1" applyFont="1" applyFill="1" applyBorder="1" applyAlignment="1">
      <alignment horizontal="left" vertical="center"/>
    </xf>
    <xf numFmtId="0" fontId="13" fillId="3" borderId="0" xfId="0" applyFont="1" applyFill="1" applyAlignment="1">
      <alignment vertical="center"/>
    </xf>
    <xf numFmtId="165" fontId="14" fillId="4" borderId="4" xfId="1" applyNumberFormat="1" applyFont="1" applyFill="1" applyBorder="1" applyAlignment="1">
      <alignment vertical="center"/>
    </xf>
    <xf numFmtId="9" fontId="14" fillId="4" borderId="4" xfId="2" applyNumberFormat="1" applyFont="1" applyFill="1" applyBorder="1" applyAlignment="1">
      <alignment horizontal="center" vertical="center"/>
    </xf>
    <xf numFmtId="165" fontId="7" fillId="4" borderId="7" xfId="1" applyNumberFormat="1" applyFont="1" applyFill="1" applyBorder="1" applyAlignment="1">
      <alignment vertical="center"/>
    </xf>
    <xf numFmtId="165" fontId="11" fillId="0" borderId="7" xfId="1" applyNumberFormat="1" applyFont="1" applyFill="1" applyBorder="1" applyAlignment="1">
      <alignment vertical="center"/>
    </xf>
    <xf numFmtId="0" fontId="11" fillId="3" borderId="8" xfId="3" applyFont="1" applyFill="1" applyBorder="1" applyAlignment="1">
      <alignment horizontal="left" vertical="center"/>
    </xf>
    <xf numFmtId="0" fontId="11" fillId="3" borderId="9" xfId="3" applyFont="1" applyFill="1" applyBorder="1" applyAlignment="1">
      <alignment horizontal="left" vertical="center"/>
    </xf>
    <xf numFmtId="165" fontId="11" fillId="3" borderId="9" xfId="1" applyNumberFormat="1" applyFont="1" applyFill="1" applyBorder="1" applyAlignment="1">
      <alignment vertical="center"/>
    </xf>
    <xf numFmtId="165" fontId="7" fillId="4" borderId="4" xfId="1" applyNumberFormat="1" applyFont="1" applyFill="1" applyBorder="1" applyAlignment="1">
      <alignment vertical="center"/>
    </xf>
    <xf numFmtId="165" fontId="11" fillId="3" borderId="8" xfId="1" applyNumberFormat="1" applyFont="1" applyFill="1" applyBorder="1" applyAlignment="1">
      <alignment vertical="center"/>
    </xf>
    <xf numFmtId="9" fontId="11" fillId="3" borderId="9" xfId="2" applyNumberFormat="1" applyFont="1" applyFill="1" applyBorder="1" applyAlignment="1">
      <alignment horizontal="center" vertical="center"/>
    </xf>
    <xf numFmtId="165" fontId="12" fillId="3" borderId="9" xfId="1" applyNumberFormat="1" applyFont="1" applyFill="1" applyBorder="1" applyAlignment="1">
      <alignment vertical="center"/>
    </xf>
    <xf numFmtId="165" fontId="0" fillId="2" borderId="0" xfId="0" applyNumberFormat="1" applyFill="1" applyAlignment="1">
      <alignment vertical="center"/>
    </xf>
  </cellXfs>
  <cellStyles count="4">
    <cellStyle name="Milliers" xfId="1" builtinId="3"/>
    <cellStyle name="Normal" xfId="0" builtinId="0"/>
    <cellStyle name="Normal_Feuil1" xfId="3"/>
    <cellStyle name="Pourcentage" xfId="2" builtinId="5"/>
  </cellStyles>
  <dxfs count="18">
    <dxf>
      <font>
        <color rgb="FFFF0000"/>
      </font>
    </dxf>
    <dxf>
      <font>
        <color rgb="FF0099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FF0000"/>
      </font>
    </dxf>
    <dxf>
      <font>
        <color rgb="FF009900"/>
      </font>
    </dxf>
    <dxf>
      <font>
        <color rgb="FF0099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370416</xdr:colOff>
      <xdr:row>2</xdr:row>
      <xdr:rowOff>95250</xdr:rowOff>
    </xdr:from>
    <xdr:to>
      <xdr:col>1</xdr:col>
      <xdr:colOff>2010833</xdr:colOff>
      <xdr:row>4</xdr:row>
      <xdr:rowOff>71967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2416" y="476250"/>
          <a:ext cx="1640417" cy="433917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AppData/Local/Microsoft/Windows/Temporary%20Internet%20Files/Content.Outlook/2DHT2D6P/CAISSE/REPARTITION%20CAISSE%20FEVIER%202015%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AppData/Local/Microsoft/Windows/Temporary%20Internet%20Files/Content.Outlook/2DHT2D6P/REPORTING%20FEVRIER%202015/SOUS%20TRAITANCE/Gasoil%2002.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AppData/Local/Microsoft/Windows/Temporary%20Internet%20Files/Content.Outlook/2DHT2D6P/REPORTING%20FEVRIER%202015/Gasoil%2002.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AppData/Local/Microsoft/Windows/Temporary%20Internet%20Files/Content.Outlook/2DHT2D6P/Copie%20de%20EE%20Assuranc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janvier%202015%20MODIFIE%20VF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wnloads/REPOR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TURE CHARGE "/>
      <sheetName val="EVOLUTION DES CHARGES"/>
      <sheetName val="depense chantier"/>
      <sheetName val="EVOLUTION CHARGE CHANTIER"/>
      <sheetName val="BDD"/>
      <sheetName val="Feuil1"/>
    </sheetNames>
    <sheetDataSet>
      <sheetData sheetId="0">
        <row r="12">
          <cell r="B12">
            <v>6414</v>
          </cell>
        </row>
        <row r="15">
          <cell r="B15">
            <v>3530</v>
          </cell>
        </row>
        <row r="19">
          <cell r="B19">
            <v>3000</v>
          </cell>
        </row>
      </sheetData>
      <sheetData sheetId="1" refreshError="1"/>
      <sheetData sheetId="2" refreshError="1"/>
      <sheetData sheetId="3" refreshError="1"/>
      <sheetData sheetId="4">
        <row r="119">
          <cell r="D119">
            <v>8000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Feuil1"/>
      <sheetName val="Feuil2"/>
    </sheetNames>
    <sheetDataSet>
      <sheetData sheetId="0" refreshError="1"/>
      <sheetData sheetId="1" refreshError="1"/>
      <sheetData sheetId="2">
        <row r="21">
          <cell r="D21">
            <v>14114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Feuil1"/>
      <sheetName val="Feuil2"/>
    </sheetNames>
    <sheetDataSet>
      <sheetData sheetId="0" refreshError="1"/>
      <sheetData sheetId="1" refreshError="1"/>
      <sheetData sheetId="2" refreshError="1">
        <row r="21">
          <cell r="D21">
            <v>24610</v>
          </cell>
          <cell r="E21">
            <v>8754.9479940564634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RANCE VEHICULE"/>
      <sheetName val="ASSURANCE MARCH"/>
      <sheetName val="VIGNETTE"/>
      <sheetName val="TAXES"/>
    </sheetNames>
    <sheetDataSet>
      <sheetData sheetId="0">
        <row r="26">
          <cell r="F26">
            <v>8333.0249999999978</v>
          </cell>
        </row>
      </sheetData>
      <sheetData sheetId="1">
        <row r="7">
          <cell r="E7">
            <v>687.23083333333341</v>
          </cell>
        </row>
        <row r="8">
          <cell r="E8">
            <v>144.58333333333334</v>
          </cell>
        </row>
        <row r="10">
          <cell r="E10">
            <v>662.39583333333337</v>
          </cell>
        </row>
      </sheetData>
      <sheetData sheetId="2" refreshError="1"/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 CA"/>
      <sheetName val="2 FORMATION CA"/>
      <sheetName val="3 ANALYSE CC "/>
      <sheetName val="4 ANALYSE FACTURATION"/>
      <sheetName val="5 MARGE"/>
      <sheetName val="6 CHARGES"/>
      <sheetName val="6 CHARGES (2)"/>
      <sheetName val="7 SYNTHESE CHARGES"/>
      <sheetName val="8 CPC"/>
      <sheetName val="9 Effectif"/>
      <sheetName val="10 Investissement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6">
          <cell r="I46">
            <v>765289.97400000005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1 CA"/>
      <sheetName val="2 FORMATION CA"/>
      <sheetName val="3 ANALYSE CC "/>
      <sheetName val="4 ANALYSE FACTURATION"/>
      <sheetName val="5 MARGE (2)"/>
      <sheetName val="5 MARGE"/>
      <sheetName val="6 CHARGES"/>
      <sheetName val="6 CHARGES (2)"/>
      <sheetName val="7 SYNTHESE CHARGES"/>
      <sheetName val="8 CPC"/>
      <sheetName val="9 Effectif"/>
      <sheetName val="10 Investiss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4:T51"/>
  <sheetViews>
    <sheetView tabSelected="1" topLeftCell="A6" zoomScale="90" zoomScaleNormal="90" workbookViewId="0">
      <pane xSplit="3" ySplit="4" topLeftCell="J31" activePane="bottomRight" state="frozen"/>
      <selection activeCell="A6" sqref="A6"/>
      <selection pane="topRight" activeCell="D6" sqref="D6"/>
      <selection pane="bottomLeft" activeCell="A10" sqref="A10"/>
      <selection pane="bottomRight" activeCell="B8" sqref="B8"/>
    </sheetView>
  </sheetViews>
  <sheetFormatPr baseColWidth="10" defaultRowHeight="15"/>
  <cols>
    <col min="1" max="1" width="11.42578125" style="1"/>
    <col min="2" max="2" width="49.42578125" style="1" bestFit="1" customWidth="1"/>
    <col min="3" max="3" width="0.85546875" style="1" customWidth="1"/>
    <col min="4" max="9" width="18.7109375" style="1" customWidth="1"/>
    <col min="10" max="10" width="0.85546875" style="1" customWidth="1"/>
    <col min="11" max="16" width="19.7109375" style="1" customWidth="1"/>
    <col min="17" max="17" width="0.85546875" style="1" customWidth="1"/>
    <col min="18" max="18" width="15.7109375" style="1" customWidth="1"/>
    <col min="19" max="19" width="9" style="1" bestFit="1" customWidth="1"/>
    <col min="20" max="20" width="9.28515625" style="1" bestFit="1" customWidth="1"/>
    <col min="21" max="16384" width="11.42578125" style="1"/>
  </cols>
  <sheetData>
    <row r="4" spans="2:20" ht="21">
      <c r="D4" s="2" t="s">
        <v>0</v>
      </c>
      <c r="E4" s="2"/>
      <c r="F4" s="2"/>
      <c r="G4" s="2"/>
      <c r="H4" s="2"/>
      <c r="I4" s="2"/>
    </row>
    <row r="6" spans="2:20" ht="15.75" thickBot="1"/>
    <row r="7" spans="2:20" s="11" customFormat="1" ht="27" customHeight="1" thickBot="1">
      <c r="B7" s="3"/>
      <c r="C7" s="4"/>
      <c r="D7" s="5" t="s">
        <v>1</v>
      </c>
      <c r="E7" s="6"/>
      <c r="F7" s="6"/>
      <c r="G7" s="6"/>
      <c r="H7" s="6"/>
      <c r="I7" s="7"/>
      <c r="J7" s="8"/>
      <c r="K7" s="9" t="s">
        <v>2</v>
      </c>
      <c r="L7" s="9"/>
      <c r="M7" s="9"/>
      <c r="N7" s="9"/>
      <c r="O7" s="9"/>
      <c r="P7" s="9"/>
      <c r="Q7" s="8"/>
      <c r="R7" s="9" t="s">
        <v>3</v>
      </c>
      <c r="S7" s="9" t="s">
        <v>4</v>
      </c>
      <c r="T7" s="10" t="s">
        <v>5</v>
      </c>
    </row>
    <row r="8" spans="2:20" s="11" customFormat="1" ht="30.75" thickBot="1">
      <c r="B8" s="3"/>
      <c r="C8" s="4"/>
      <c r="D8" s="12" t="s">
        <v>6</v>
      </c>
      <c r="E8" s="12" t="s">
        <v>7</v>
      </c>
      <c r="F8" s="12" t="s">
        <v>8</v>
      </c>
      <c r="G8" s="12" t="s">
        <v>9</v>
      </c>
      <c r="H8" s="12" t="s">
        <v>10</v>
      </c>
      <c r="I8" s="13" t="s">
        <v>11</v>
      </c>
      <c r="J8" s="8"/>
      <c r="K8" s="12" t="s">
        <v>6</v>
      </c>
      <c r="L8" s="12" t="s">
        <v>7</v>
      </c>
      <c r="M8" s="12" t="s">
        <v>8</v>
      </c>
      <c r="N8" s="12" t="s">
        <v>9</v>
      </c>
      <c r="O8" s="12" t="s">
        <v>10</v>
      </c>
      <c r="P8" s="13" t="s">
        <v>11</v>
      </c>
      <c r="Q8" s="8"/>
      <c r="R8" s="9" t="s">
        <v>3</v>
      </c>
      <c r="S8" s="9" t="s">
        <v>4</v>
      </c>
      <c r="T8" s="10" t="s">
        <v>5</v>
      </c>
    </row>
    <row r="9" spans="2:20" s="17" customFormat="1" ht="4.5" customHeight="1" thickBot="1">
      <c r="B9" s="14" t="s">
        <v>12</v>
      </c>
      <c r="C9" s="15"/>
      <c r="D9" s="16"/>
      <c r="E9" s="16"/>
      <c r="F9" s="16"/>
      <c r="G9" s="16"/>
      <c r="H9" s="16"/>
      <c r="I9" s="16"/>
      <c r="J9" s="15"/>
      <c r="K9" s="16"/>
      <c r="L9" s="16"/>
      <c r="M9" s="16"/>
      <c r="N9" s="16"/>
      <c r="O9" s="16"/>
      <c r="P9" s="16"/>
      <c r="Q9" s="15"/>
      <c r="R9" s="16"/>
      <c r="S9" s="16"/>
      <c r="T9" s="16"/>
    </row>
    <row r="10" spans="2:20" s="19" customFormat="1" ht="20.100000000000001" customHeight="1">
      <c r="B10" s="18" t="s">
        <v>13</v>
      </c>
      <c r="D10" s="20"/>
      <c r="E10" s="20"/>
      <c r="F10" s="20"/>
      <c r="G10" s="20"/>
      <c r="H10" s="20"/>
      <c r="I10" s="20"/>
      <c r="K10" s="20"/>
      <c r="L10" s="20"/>
      <c r="M10" s="20"/>
      <c r="N10" s="20"/>
      <c r="O10" s="20"/>
      <c r="P10" s="20"/>
      <c r="R10" s="20"/>
      <c r="S10" s="21"/>
      <c r="T10" s="22"/>
    </row>
    <row r="11" spans="2:20" s="19" customFormat="1" ht="20.100000000000001" customHeight="1">
      <c r="B11" s="23" t="s">
        <v>14</v>
      </c>
      <c r="D11" s="24"/>
      <c r="E11" s="24">
        <f>2487</f>
        <v>2487</v>
      </c>
      <c r="F11" s="24">
        <f>786+300+858.48</f>
        <v>1944.48</v>
      </c>
      <c r="G11" s="24">
        <v>412.5</v>
      </c>
      <c r="H11" s="24">
        <f>5488.1+1029.45</f>
        <v>6517.55</v>
      </c>
      <c r="I11" s="24">
        <f>+SUM(D11:H11)</f>
        <v>11361.529999999999</v>
      </c>
      <c r="K11" s="24"/>
      <c r="L11" s="24"/>
      <c r="M11" s="24"/>
      <c r="N11" s="24"/>
      <c r="O11" s="24">
        <f>76800/12</f>
        <v>6400</v>
      </c>
      <c r="P11" s="24">
        <f>+SUM(K11:O11)</f>
        <v>6400</v>
      </c>
      <c r="R11" s="24">
        <f>I11-P11</f>
        <v>4961.5299999999988</v>
      </c>
      <c r="S11" s="25">
        <f>IF(I11&lt;&gt;0, I11/P11-1,"")</f>
        <v>0.77523906249999985</v>
      </c>
      <c r="T11" s="26" t="str">
        <f>IF(R11&gt;0,"k",IF(R11=0,"g","m"))</f>
        <v>k</v>
      </c>
    </row>
    <row r="12" spans="2:20" s="19" customFormat="1" ht="20.100000000000001" customHeight="1">
      <c r="B12" s="23" t="s">
        <v>15</v>
      </c>
      <c r="D12" s="24"/>
      <c r="E12" s="24">
        <v>2827.31</v>
      </c>
      <c r="F12" s="24"/>
      <c r="G12" s="24"/>
      <c r="H12" s="24"/>
      <c r="I12" s="24">
        <f t="shared" ref="I12:I14" si="0">+SUM(D12:H12)</f>
        <v>2827.31</v>
      </c>
      <c r="K12" s="24"/>
      <c r="L12" s="24"/>
      <c r="M12" s="24"/>
      <c r="N12" s="24"/>
      <c r="O12" s="24">
        <f>193392/12</f>
        <v>16116</v>
      </c>
      <c r="P12" s="24">
        <f t="shared" ref="P12:P13" si="1">+SUM(K12:O12)</f>
        <v>16116</v>
      </c>
      <c r="R12" s="24">
        <f t="shared" ref="R12:R14" si="2">I12-P12</f>
        <v>-13288.69</v>
      </c>
      <c r="S12" s="25">
        <f t="shared" ref="S12:S16" si="3">IF(I12&lt;&gt;0, I12/P12-1,"")</f>
        <v>-0.82456502854306279</v>
      </c>
      <c r="T12" s="26" t="str">
        <f t="shared" ref="T12:T14" si="4">IF(R12&gt;0,"k",IF(R12=0,"g","m"))</f>
        <v>m</v>
      </c>
    </row>
    <row r="13" spans="2:20" s="19" customFormat="1" ht="20.100000000000001" customHeight="1">
      <c r="B13" s="23" t="s">
        <v>16</v>
      </c>
      <c r="D13" s="24"/>
      <c r="E13" s="24"/>
      <c r="F13" s="24"/>
      <c r="G13" s="24"/>
      <c r="H13" s="24">
        <v>7000</v>
      </c>
      <c r="I13" s="24">
        <f t="shared" si="0"/>
        <v>7000</v>
      </c>
      <c r="K13" s="24"/>
      <c r="L13" s="24"/>
      <c r="M13" s="24"/>
      <c r="N13" s="24"/>
      <c r="O13" s="24">
        <f>204000/12</f>
        <v>17000</v>
      </c>
      <c r="P13" s="24">
        <f t="shared" si="1"/>
        <v>17000</v>
      </c>
      <c r="R13" s="24">
        <f t="shared" si="2"/>
        <v>-10000</v>
      </c>
      <c r="S13" s="25">
        <f t="shared" si="3"/>
        <v>-0.58823529411764708</v>
      </c>
      <c r="T13" s="26" t="str">
        <f t="shared" si="4"/>
        <v>m</v>
      </c>
    </row>
    <row r="14" spans="2:20" s="19" customFormat="1" ht="20.100000000000001" customHeight="1">
      <c r="B14" s="23" t="s">
        <v>17</v>
      </c>
      <c r="D14" s="24"/>
      <c r="E14" s="24">
        <f>+'[1]NATURE CHARGE '!$B$12</f>
        <v>6414</v>
      </c>
      <c r="F14" s="24"/>
      <c r="G14" s="24">
        <v>2640</v>
      </c>
      <c r="H14" s="24">
        <v>2868</v>
      </c>
      <c r="I14" s="24">
        <f t="shared" si="0"/>
        <v>11922</v>
      </c>
      <c r="K14" s="24"/>
      <c r="L14" s="24"/>
      <c r="M14" s="24"/>
      <c r="N14" s="24"/>
      <c r="O14" s="24"/>
      <c r="P14" s="24"/>
      <c r="R14" s="24">
        <f t="shared" si="2"/>
        <v>11922</v>
      </c>
      <c r="S14" s="25"/>
      <c r="T14" s="26" t="str">
        <f t="shared" si="4"/>
        <v>k</v>
      </c>
    </row>
    <row r="15" spans="2:20" s="11" customFormat="1" ht="4.5" customHeight="1" thickBot="1">
      <c r="C15" s="4"/>
      <c r="J15" s="4"/>
      <c r="Q15" s="4"/>
      <c r="S15" s="27"/>
    </row>
    <row r="16" spans="2:20" s="11" customFormat="1" ht="21.75" thickBot="1">
      <c r="B16" s="28" t="s">
        <v>18</v>
      </c>
      <c r="C16" s="29"/>
      <c r="D16" s="30">
        <f>SUM(D11:D14)</f>
        <v>0</v>
      </c>
      <c r="E16" s="30">
        <f>SUM(E11:E14)</f>
        <v>11728.31</v>
      </c>
      <c r="F16" s="30">
        <f>SUM(F11:F14)</f>
        <v>1944.48</v>
      </c>
      <c r="G16" s="30">
        <f>SUM(G11:G14)</f>
        <v>3052.5</v>
      </c>
      <c r="H16" s="30">
        <f>SUM(H11:H14)</f>
        <v>16385.55</v>
      </c>
      <c r="I16" s="30">
        <f>+SUM(I11:I14)</f>
        <v>33110.839999999997</v>
      </c>
      <c r="J16" s="29"/>
      <c r="K16" s="30">
        <f t="shared" ref="K16:P16" si="5">SUM(K11:K14)</f>
        <v>0</v>
      </c>
      <c r="L16" s="30">
        <f t="shared" si="5"/>
        <v>0</v>
      </c>
      <c r="M16" s="30">
        <f t="shared" si="5"/>
        <v>0</v>
      </c>
      <c r="N16" s="30">
        <f t="shared" si="5"/>
        <v>0</v>
      </c>
      <c r="O16" s="30">
        <f t="shared" si="5"/>
        <v>39516</v>
      </c>
      <c r="P16" s="30">
        <f t="shared" si="5"/>
        <v>39516</v>
      </c>
      <c r="Q16" s="29"/>
      <c r="R16" s="30">
        <f t="shared" ref="R16" si="6">I16-P16</f>
        <v>-6405.1600000000035</v>
      </c>
      <c r="S16" s="31">
        <f t="shared" si="3"/>
        <v>-0.16209029253973084</v>
      </c>
      <c r="T16" s="32" t="str">
        <f t="shared" ref="T16" si="7">IF(R16&gt;0,"k",IF(R16=0,"g","m"))</f>
        <v>m</v>
      </c>
    </row>
    <row r="17" spans="2:20" s="11" customFormat="1" ht="4.5" customHeight="1" thickBot="1">
      <c r="C17" s="4"/>
      <c r="J17" s="4"/>
      <c r="Q17" s="4"/>
      <c r="S17" s="27"/>
    </row>
    <row r="18" spans="2:20" s="19" customFormat="1" ht="20.100000000000001" customHeight="1">
      <c r="B18" s="18" t="s">
        <v>19</v>
      </c>
      <c r="D18" s="20"/>
      <c r="E18" s="20"/>
      <c r="F18" s="20"/>
      <c r="G18" s="20"/>
      <c r="H18" s="20"/>
      <c r="I18" s="20"/>
      <c r="K18" s="20"/>
      <c r="L18" s="20"/>
      <c r="M18" s="20"/>
      <c r="N18" s="20"/>
      <c r="O18" s="20"/>
      <c r="P18" s="20"/>
      <c r="R18" s="20"/>
      <c r="S18" s="21"/>
      <c r="T18" s="22"/>
    </row>
    <row r="19" spans="2:20" s="19" customFormat="1" ht="20.100000000000001" customHeight="1">
      <c r="B19" s="23" t="s">
        <v>20</v>
      </c>
      <c r="D19" s="24"/>
      <c r="E19" s="33">
        <f>+[2]Feuil2!$D$21</f>
        <v>14114</v>
      </c>
      <c r="F19" s="24"/>
      <c r="G19" s="24"/>
      <c r="H19" s="24">
        <f>+[3]Feuil2!$E$21+600</f>
        <v>9354.9479940564634</v>
      </c>
      <c r="I19" s="33">
        <f>+SUM(D19:H19)</f>
        <v>23468.947994056463</v>
      </c>
      <c r="K19" s="24"/>
      <c r="L19" s="24">
        <v>17000</v>
      </c>
      <c r="M19" s="24"/>
      <c r="N19" s="24"/>
      <c r="O19" s="24"/>
      <c r="P19" s="24">
        <f>+SUM(K19:O19)</f>
        <v>17000</v>
      </c>
      <c r="R19" s="24">
        <f>I19-P19</f>
        <v>6468.9479940564634</v>
      </c>
      <c r="S19" s="25">
        <f t="shared" ref="S19:S23" si="8">IF(I19&lt;&gt;0, I19/P19-1,"")</f>
        <v>0.38052635259155676</v>
      </c>
      <c r="T19" s="26" t="str">
        <f t="shared" ref="T19:T25" si="9">IF(R19&gt;0,"k",IF(R19=0,"g","m"))</f>
        <v>k</v>
      </c>
    </row>
    <row r="20" spans="2:20" s="19" customFormat="1" ht="20.100000000000001" customHeight="1">
      <c r="B20" s="23" t="s">
        <v>21</v>
      </c>
      <c r="D20" s="24"/>
      <c r="E20" s="24">
        <v>74934.62000000001</v>
      </c>
      <c r="F20" s="24"/>
      <c r="G20" s="24"/>
      <c r="H20" s="24"/>
      <c r="I20" s="33">
        <f t="shared" ref="I20:I23" si="10">+SUM(D20:H20)</f>
        <v>74934.62000000001</v>
      </c>
      <c r="K20" s="24"/>
      <c r="L20" s="24"/>
      <c r="M20" s="24"/>
      <c r="N20" s="24"/>
      <c r="O20" s="33">
        <v>79869</v>
      </c>
      <c r="P20" s="24">
        <f t="shared" ref="P20:P23" si="11">+SUM(K20:O20)</f>
        <v>79869</v>
      </c>
      <c r="R20" s="24">
        <v>0</v>
      </c>
      <c r="S20" s="25">
        <f t="shared" si="8"/>
        <v>-6.1780916250359863E-2</v>
      </c>
      <c r="T20" s="26" t="str">
        <f t="shared" si="9"/>
        <v>g</v>
      </c>
    </row>
    <row r="21" spans="2:20" s="19" customFormat="1" ht="20.100000000000001" customHeight="1">
      <c r="B21" s="34" t="s">
        <v>22</v>
      </c>
      <c r="D21" s="24"/>
      <c r="E21" s="24">
        <f>'[4]ASSURANCE VEHICULE'!$F$26</f>
        <v>8333.0249999999978</v>
      </c>
      <c r="F21" s="24"/>
      <c r="G21" s="24"/>
      <c r="H21" s="24"/>
      <c r="I21" s="24">
        <f t="shared" si="10"/>
        <v>8333.0249999999978</v>
      </c>
      <c r="K21" s="24"/>
      <c r="L21" s="24"/>
      <c r="M21" s="24"/>
      <c r="N21" s="24"/>
      <c r="O21" s="24">
        <f>120196.68/12</f>
        <v>10016.39</v>
      </c>
      <c r="P21" s="24">
        <f t="shared" si="11"/>
        <v>10016.39</v>
      </c>
      <c r="R21" s="24">
        <f t="shared" ref="R21:R23" si="12">I21-P21</f>
        <v>-1683.3650000000016</v>
      </c>
      <c r="S21" s="25">
        <f t="shared" si="8"/>
        <v>-0.16806104794242249</v>
      </c>
      <c r="T21" s="26" t="str">
        <f t="shared" si="9"/>
        <v>m</v>
      </c>
    </row>
    <row r="22" spans="2:20" s="19" customFormat="1" ht="20.100000000000001" customHeight="1">
      <c r="B22" s="34" t="s">
        <v>23</v>
      </c>
      <c r="D22" s="24"/>
      <c r="E22" s="24">
        <v>3059.1666666666665</v>
      </c>
      <c r="F22" s="24"/>
      <c r="G22" s="24"/>
      <c r="H22" s="24">
        <v>558.33333333333337</v>
      </c>
      <c r="I22" s="24">
        <f t="shared" si="10"/>
        <v>3617.5</v>
      </c>
      <c r="K22" s="24"/>
      <c r="L22" s="24"/>
      <c r="M22" s="24"/>
      <c r="N22" s="24"/>
      <c r="O22" s="24">
        <f>34650/12</f>
        <v>2887.5</v>
      </c>
      <c r="P22" s="24">
        <f t="shared" si="11"/>
        <v>2887.5</v>
      </c>
      <c r="R22" s="24">
        <f t="shared" si="12"/>
        <v>730</v>
      </c>
      <c r="S22" s="25">
        <f t="shared" si="8"/>
        <v>0.25281385281385282</v>
      </c>
      <c r="T22" s="26" t="str">
        <f t="shared" si="9"/>
        <v>k</v>
      </c>
    </row>
    <row r="23" spans="2:20" s="19" customFormat="1" ht="20.100000000000001" customHeight="1" thickBot="1">
      <c r="B23" s="35" t="s">
        <v>24</v>
      </c>
      <c r="D23" s="36"/>
      <c r="E23" s="36">
        <f>+'[1]NATURE CHARGE '!$B$15</f>
        <v>3530</v>
      </c>
      <c r="F23" s="36"/>
      <c r="G23" s="36"/>
      <c r="H23" s="36"/>
      <c r="I23" s="36">
        <f t="shared" si="10"/>
        <v>3530</v>
      </c>
      <c r="K23" s="36"/>
      <c r="L23" s="36">
        <v>24700</v>
      </c>
      <c r="M23" s="36"/>
      <c r="N23" s="36"/>
      <c r="O23" s="24"/>
      <c r="P23" s="24">
        <f t="shared" si="11"/>
        <v>24700</v>
      </c>
      <c r="R23" s="24">
        <f t="shared" si="12"/>
        <v>-21170</v>
      </c>
      <c r="S23" s="25">
        <f t="shared" si="8"/>
        <v>-0.857085020242915</v>
      </c>
      <c r="T23" s="26" t="str">
        <f t="shared" si="9"/>
        <v>m</v>
      </c>
    </row>
    <row r="24" spans="2:20" s="11" customFormat="1" ht="4.5" customHeight="1" thickBot="1">
      <c r="C24" s="4"/>
      <c r="J24" s="4"/>
      <c r="Q24" s="4"/>
      <c r="S24" s="27"/>
    </row>
    <row r="25" spans="2:20" s="11" customFormat="1" ht="21.75" thickBot="1">
      <c r="B25" s="28" t="s">
        <v>25</v>
      </c>
      <c r="C25" s="29"/>
      <c r="D25" s="30">
        <f t="shared" ref="D25:H25" si="13">SUM(D19:D23)</f>
        <v>0</v>
      </c>
      <c r="E25" s="30">
        <f t="shared" si="13"/>
        <v>103970.81166666668</v>
      </c>
      <c r="F25" s="30">
        <f t="shared" si="13"/>
        <v>0</v>
      </c>
      <c r="G25" s="30">
        <f t="shared" si="13"/>
        <v>0</v>
      </c>
      <c r="H25" s="30">
        <f t="shared" si="13"/>
        <v>9913.2813273897973</v>
      </c>
      <c r="I25" s="30">
        <f>+SUM(I19:I23)</f>
        <v>113884.09299405647</v>
      </c>
      <c r="J25" s="29"/>
      <c r="K25" s="30">
        <f>SUM(K19:K23)</f>
        <v>0</v>
      </c>
      <c r="L25" s="30">
        <f>SUM(L19:L23)</f>
        <v>41700</v>
      </c>
      <c r="M25" s="30">
        <f>SUM(M19:M23)</f>
        <v>0</v>
      </c>
      <c r="N25" s="30">
        <f>SUM(N19:N23)</f>
        <v>0</v>
      </c>
      <c r="O25" s="30">
        <f>SUM(O20:O23)</f>
        <v>92772.89</v>
      </c>
      <c r="P25" s="30">
        <f>SUM(P19:P23)</f>
        <v>134472.89000000001</v>
      </c>
      <c r="Q25" s="29"/>
      <c r="R25" s="30">
        <f t="shared" ref="R25" si="14">I25-P25</f>
        <v>-20588.797005943547</v>
      </c>
      <c r="S25" s="31">
        <f t="shared" ref="S25" si="15">IF(I25&lt;&gt;0, I25/P25-1,"")</f>
        <v>-0.1531074182011225</v>
      </c>
      <c r="T25" s="37" t="str">
        <f t="shared" si="9"/>
        <v>m</v>
      </c>
    </row>
    <row r="26" spans="2:20" s="11" customFormat="1" ht="4.5" customHeight="1" thickBot="1">
      <c r="C26" s="4"/>
      <c r="J26" s="4"/>
      <c r="Q26" s="4"/>
      <c r="S26" s="27"/>
    </row>
    <row r="27" spans="2:20" s="19" customFormat="1" ht="20.100000000000001" customHeight="1">
      <c r="B27" s="18" t="s">
        <v>26</v>
      </c>
      <c r="D27" s="20"/>
      <c r="E27" s="20"/>
      <c r="F27" s="20"/>
      <c r="G27" s="20"/>
      <c r="H27" s="20"/>
      <c r="I27" s="20"/>
      <c r="K27" s="20"/>
      <c r="L27" s="20"/>
      <c r="M27" s="20"/>
      <c r="N27" s="20"/>
      <c r="O27" s="20"/>
      <c r="P27" s="20"/>
      <c r="R27" s="20"/>
      <c r="S27" s="21"/>
      <c r="T27" s="22"/>
    </row>
    <row r="28" spans="2:20" s="19" customFormat="1" ht="20.100000000000001" customHeight="1">
      <c r="B28" s="23" t="s">
        <v>27</v>
      </c>
      <c r="D28" s="24"/>
      <c r="E28" s="24"/>
      <c r="F28" s="24"/>
      <c r="G28" s="24"/>
      <c r="H28" s="33">
        <f>'[4]ASSURANCE MARCH'!$E$10+'[4]ASSURANCE MARCH'!$E$8</f>
        <v>806.97916666666674</v>
      </c>
      <c r="I28" s="24">
        <f>+SUM(D28:H28)</f>
        <v>806.97916666666674</v>
      </c>
      <c r="K28" s="24"/>
      <c r="L28" s="24"/>
      <c r="M28" s="24"/>
      <c r="N28" s="24"/>
      <c r="O28" s="24">
        <v>1494</v>
      </c>
      <c r="P28" s="24">
        <f>+SUM(K28:O28)</f>
        <v>1494</v>
      </c>
      <c r="R28" s="24">
        <v>0</v>
      </c>
      <c r="S28" s="25">
        <f t="shared" ref="S28:S33" si="16">IF(I28&lt;&gt;0, I28/P28-1,"")</f>
        <v>-0.45985330209727793</v>
      </c>
      <c r="T28" s="26" t="str">
        <f t="shared" ref="T28:T33" si="17">IF(R28&gt;0,"k",IF(R28=0,"g","m"))</f>
        <v>g</v>
      </c>
    </row>
    <row r="29" spans="2:20" s="19" customFormat="1" ht="20.100000000000001" customHeight="1">
      <c r="B29" s="23" t="s">
        <v>28</v>
      </c>
      <c r="D29" s="24"/>
      <c r="E29" s="24">
        <f>+'[1]NATURE CHARGE '!$B$19</f>
        <v>3000</v>
      </c>
      <c r="F29" s="24">
        <v>33000</v>
      </c>
      <c r="G29" s="24">
        <v>5500</v>
      </c>
      <c r="H29" s="24">
        <v>5370.07</v>
      </c>
      <c r="I29" s="24">
        <f t="shared" ref="I29:I32" si="18">+SUM(D29:H29)</f>
        <v>46870.07</v>
      </c>
      <c r="K29" s="24"/>
      <c r="L29" s="24"/>
      <c r="M29" s="24"/>
      <c r="N29" s="24"/>
      <c r="O29" s="24">
        <f>597000/12</f>
        <v>49750</v>
      </c>
      <c r="P29" s="24">
        <f t="shared" ref="P29:P34" si="19">+SUM(K29:O29)</f>
        <v>49750</v>
      </c>
      <c r="R29" s="24">
        <f t="shared" ref="R29:R33" si="20">I29-P29</f>
        <v>-2879.9300000000003</v>
      </c>
      <c r="S29" s="25">
        <f t="shared" si="16"/>
        <v>-5.788804020100502E-2</v>
      </c>
      <c r="T29" s="26" t="str">
        <f t="shared" si="17"/>
        <v>m</v>
      </c>
    </row>
    <row r="30" spans="2:20" s="19" customFormat="1" ht="20.100000000000001" customHeight="1">
      <c r="B30" s="23" t="s">
        <v>29</v>
      </c>
      <c r="D30" s="24"/>
      <c r="E30" s="24">
        <f>(8500.2+37800)/12</f>
        <v>3858.35</v>
      </c>
      <c r="F30" s="24"/>
      <c r="G30" s="24"/>
      <c r="H30" s="24">
        <f>+(14517.3+2445.5)/12</f>
        <v>1413.5666666666666</v>
      </c>
      <c r="I30" s="24">
        <f t="shared" si="18"/>
        <v>5271.9166666666661</v>
      </c>
      <c r="K30" s="24"/>
      <c r="L30" s="24"/>
      <c r="M30" s="24"/>
      <c r="N30" s="24"/>
      <c r="O30" s="24">
        <f>85060.3/12</f>
        <v>7088.3583333333336</v>
      </c>
      <c r="P30" s="24">
        <f t="shared" si="19"/>
        <v>7088.3583333333336</v>
      </c>
      <c r="R30" s="24">
        <f t="shared" si="20"/>
        <v>-1816.4416666666675</v>
      </c>
      <c r="S30" s="25">
        <f t="shared" si="16"/>
        <v>-0.25625703177628112</v>
      </c>
      <c r="T30" s="26" t="str">
        <f t="shared" si="17"/>
        <v>m</v>
      </c>
    </row>
    <row r="31" spans="2:20" s="19" customFormat="1" ht="20.100000000000001" customHeight="1">
      <c r="B31" s="23" t="s">
        <v>30</v>
      </c>
      <c r="D31" s="24"/>
      <c r="E31" s="24">
        <f>79921/12</f>
        <v>6660.083333333333</v>
      </c>
      <c r="F31" s="24"/>
      <c r="G31" s="24"/>
      <c r="H31" s="24">
        <f>+(6980+48000)/12</f>
        <v>4581.666666666667</v>
      </c>
      <c r="I31" s="24">
        <f t="shared" si="18"/>
        <v>11241.75</v>
      </c>
      <c r="K31" s="24"/>
      <c r="L31" s="24"/>
      <c r="M31" s="24"/>
      <c r="N31" s="24"/>
      <c r="O31" s="24">
        <f>182901/12</f>
        <v>15241.75</v>
      </c>
      <c r="P31" s="24">
        <f t="shared" si="19"/>
        <v>15241.75</v>
      </c>
      <c r="R31" s="24">
        <f t="shared" si="20"/>
        <v>-4000</v>
      </c>
      <c r="S31" s="25">
        <f t="shared" si="16"/>
        <v>-0.26243705611232304</v>
      </c>
      <c r="T31" s="26" t="str">
        <f t="shared" si="17"/>
        <v>m</v>
      </c>
    </row>
    <row r="32" spans="2:20" s="19" customFormat="1" ht="20.100000000000001" customHeight="1">
      <c r="B32" s="23" t="s">
        <v>31</v>
      </c>
      <c r="D32" s="24"/>
      <c r="E32" s="24">
        <v>23016.87</v>
      </c>
      <c r="F32" s="24"/>
      <c r="G32" s="24"/>
      <c r="H32" s="24">
        <v>37701.33</v>
      </c>
      <c r="I32" s="24">
        <f t="shared" si="18"/>
        <v>60718.2</v>
      </c>
      <c r="K32" s="24"/>
      <c r="L32" s="24"/>
      <c r="M32" s="24"/>
      <c r="N32" s="24"/>
      <c r="O32" s="24">
        <f>829175.132721917/12</f>
        <v>69097.927726826412</v>
      </c>
      <c r="P32" s="24">
        <f t="shared" si="19"/>
        <v>69097.927726826412</v>
      </c>
      <c r="R32" s="24">
        <f t="shared" si="20"/>
        <v>-8379.7277268264152</v>
      </c>
      <c r="S32" s="25">
        <f t="shared" si="16"/>
        <v>-0.12127321328586083</v>
      </c>
      <c r="T32" s="26" t="str">
        <f t="shared" si="17"/>
        <v>m</v>
      </c>
    </row>
    <row r="33" spans="2:20" s="19" customFormat="1" ht="20.100000000000001" customHeight="1">
      <c r="B33" s="34" t="s">
        <v>32</v>
      </c>
      <c r="D33" s="38"/>
      <c r="E33" s="38">
        <v>516.66666666666663</v>
      </c>
      <c r="F33" s="38"/>
      <c r="G33" s="38"/>
      <c r="H33" s="38">
        <v>1570</v>
      </c>
      <c r="I33" s="24">
        <f>+SUM(D33:H33)</f>
        <v>2086.6666666666665</v>
      </c>
      <c r="K33" s="38"/>
      <c r="L33" s="38"/>
      <c r="M33" s="38"/>
      <c r="N33" s="38"/>
      <c r="O33" s="38">
        <v>4678.67</v>
      </c>
      <c r="P33" s="24">
        <v>4678.67</v>
      </c>
      <c r="R33" s="24">
        <f t="shared" si="20"/>
        <v>-2592.0033333333336</v>
      </c>
      <c r="S33" s="25">
        <f t="shared" si="16"/>
        <v>-0.55400430749194396</v>
      </c>
      <c r="T33" s="26" t="str">
        <f t="shared" si="17"/>
        <v>m</v>
      </c>
    </row>
    <row r="34" spans="2:20" s="19" customFormat="1" ht="20.100000000000001" customHeight="1" thickBot="1">
      <c r="B34" s="35"/>
      <c r="D34" s="36"/>
      <c r="E34" s="36"/>
      <c r="F34" s="36"/>
      <c r="G34" s="36"/>
      <c r="H34" s="36"/>
      <c r="I34" s="36"/>
      <c r="K34" s="36"/>
      <c r="L34" s="36"/>
      <c r="M34" s="36"/>
      <c r="N34" s="36"/>
      <c r="O34" s="36"/>
      <c r="P34" s="24">
        <f t="shared" si="19"/>
        <v>0</v>
      </c>
      <c r="R34" s="36"/>
      <c r="S34" s="39"/>
      <c r="T34" s="40"/>
    </row>
    <row r="35" spans="2:20" s="11" customFormat="1" ht="4.5" customHeight="1" thickBot="1">
      <c r="C35" s="4"/>
      <c r="I35" s="11">
        <f t="shared" ref="I35:I37" si="21">+SUM(D35:H35)</f>
        <v>0</v>
      </c>
      <c r="J35" s="4"/>
      <c r="Q35" s="4"/>
      <c r="S35" s="27"/>
    </row>
    <row r="36" spans="2:20" s="11" customFormat="1" ht="21.75" thickBot="1">
      <c r="B36" s="28" t="s">
        <v>33</v>
      </c>
      <c r="C36" s="29"/>
      <c r="D36" s="30">
        <f>SUM(D28:D34)</f>
        <v>0</v>
      </c>
      <c r="E36" s="30">
        <f>SUM(E28:E34)</f>
        <v>37051.969999999994</v>
      </c>
      <c r="F36" s="30">
        <f>SUM(F28:F34)</f>
        <v>33000</v>
      </c>
      <c r="G36" s="30">
        <f>SUM(G28:G34)</f>
        <v>5500</v>
      </c>
      <c r="H36" s="30">
        <f>SUM(H28:H34)</f>
        <v>51443.612500000003</v>
      </c>
      <c r="I36" s="30">
        <f>+SUM(I28:I34)</f>
        <v>126995.5825</v>
      </c>
      <c r="J36" s="29"/>
      <c r="K36" s="30">
        <f t="shared" ref="K36:P36" si="22">SUM(K28:K34)</f>
        <v>0</v>
      </c>
      <c r="L36" s="30">
        <f t="shared" si="22"/>
        <v>0</v>
      </c>
      <c r="M36" s="30">
        <f t="shared" si="22"/>
        <v>0</v>
      </c>
      <c r="N36" s="30">
        <f t="shared" si="22"/>
        <v>0</v>
      </c>
      <c r="O36" s="30">
        <f t="shared" si="22"/>
        <v>147350.70606015975</v>
      </c>
      <c r="P36" s="30">
        <f t="shared" si="22"/>
        <v>147350.70606015975</v>
      </c>
      <c r="Q36" s="29"/>
      <c r="R36" s="30">
        <f t="shared" ref="R36" si="23">I36-P36</f>
        <v>-20355.123560159744</v>
      </c>
      <c r="S36" s="31">
        <f t="shared" ref="S36" si="24">IF(I36&lt;&gt;0, I36/P36-1,"")</f>
        <v>-0.13814065846314461</v>
      </c>
      <c r="T36" s="37" t="str">
        <f t="shared" ref="T36" si="25">IF(R36&gt;0,"k",IF(R36=0,"g","m"))</f>
        <v>m</v>
      </c>
    </row>
    <row r="37" spans="2:20" s="11" customFormat="1" ht="4.5" customHeight="1" thickBot="1">
      <c r="C37" s="4"/>
      <c r="I37" s="11">
        <f t="shared" si="21"/>
        <v>0</v>
      </c>
      <c r="J37" s="4"/>
      <c r="Q37" s="4"/>
      <c r="S37" s="27"/>
    </row>
    <row r="38" spans="2:20" s="19" customFormat="1" ht="20.100000000000001" customHeight="1">
      <c r="B38" s="18" t="s">
        <v>34</v>
      </c>
      <c r="D38" s="20"/>
      <c r="E38" s="20"/>
      <c r="F38" s="20"/>
      <c r="G38" s="20"/>
      <c r="H38" s="20"/>
      <c r="I38" s="20"/>
      <c r="K38" s="20"/>
      <c r="L38" s="20"/>
      <c r="M38" s="20"/>
      <c r="N38" s="20"/>
      <c r="O38" s="20"/>
      <c r="P38" s="20"/>
      <c r="R38" s="20"/>
      <c r="S38" s="21"/>
      <c r="T38" s="22"/>
    </row>
    <row r="39" spans="2:20" s="19" customFormat="1" ht="20.100000000000001" customHeight="1">
      <c r="B39" s="23" t="s">
        <v>35</v>
      </c>
      <c r="D39" s="24"/>
      <c r="E39" s="24">
        <v>12294</v>
      </c>
      <c r="F39" s="24"/>
      <c r="G39" s="24"/>
      <c r="H39" s="24"/>
      <c r="I39" s="24">
        <f t="shared" ref="I39:I42" si="26">SUM(D39:H39)</f>
        <v>12294</v>
      </c>
      <c r="K39" s="24"/>
      <c r="L39" s="24"/>
      <c r="M39" s="24"/>
      <c r="N39" s="24"/>
      <c r="O39" s="24">
        <f>300000/12</f>
        <v>25000</v>
      </c>
      <c r="P39" s="24">
        <f>SUM(K39:O39)</f>
        <v>25000</v>
      </c>
      <c r="R39" s="24">
        <f t="shared" ref="R39:R46" si="27">I39-P39</f>
        <v>-12706</v>
      </c>
      <c r="S39" s="25">
        <f t="shared" ref="S39:S46" si="28">IF(I39&lt;&gt;0, I39/P39-1,"")</f>
        <v>-0.50824000000000003</v>
      </c>
      <c r="T39" s="26" t="str">
        <f t="shared" ref="T39:T46" si="29">IF(R39&gt;0,"k",IF(R39=0,"g","m"))</f>
        <v>m</v>
      </c>
    </row>
    <row r="40" spans="2:20" s="19" customFormat="1" ht="20.100000000000001" customHeight="1">
      <c r="B40" s="23" t="s">
        <v>36</v>
      </c>
      <c r="D40" s="24"/>
      <c r="E40" s="24">
        <f>134962.04+2520</f>
        <v>137482.04</v>
      </c>
      <c r="F40" s="24"/>
      <c r="G40" s="24"/>
      <c r="H40" s="24">
        <v>293481.35999999876</v>
      </c>
      <c r="I40" s="24">
        <f t="shared" si="26"/>
        <v>430963.39999999874</v>
      </c>
      <c r="K40" s="24"/>
      <c r="L40" s="24">
        <v>221695.68</v>
      </c>
      <c r="M40" s="24"/>
      <c r="N40" s="24"/>
      <c r="O40" s="24">
        <v>250714.1</v>
      </c>
      <c r="P40" s="24">
        <f>SUM(K40:O40)</f>
        <v>472409.78</v>
      </c>
      <c r="R40" s="24">
        <f t="shared" si="27"/>
        <v>-41446.380000001285</v>
      </c>
      <c r="S40" s="25">
        <f t="shared" si="28"/>
        <v>-8.7733958429059844E-2</v>
      </c>
      <c r="T40" s="26" t="str">
        <f t="shared" si="29"/>
        <v>m</v>
      </c>
    </row>
    <row r="41" spans="2:20" s="19" customFormat="1" ht="20.100000000000001" customHeight="1">
      <c r="B41" s="23" t="s">
        <v>37</v>
      </c>
      <c r="D41" s="24"/>
      <c r="E41" s="24">
        <f>4557.016+1742.65</f>
        <v>6299.6659999999993</v>
      </c>
      <c r="F41" s="24"/>
      <c r="G41" s="24"/>
      <c r="H41" s="24"/>
      <c r="I41" s="24">
        <f t="shared" si="26"/>
        <v>6299.6659999999993</v>
      </c>
      <c r="K41" s="24"/>
      <c r="L41" s="24"/>
      <c r="M41" s="24"/>
      <c r="N41" s="24"/>
      <c r="O41" s="24">
        <f>50000/12</f>
        <v>4166.666666666667</v>
      </c>
      <c r="P41" s="24">
        <f t="shared" ref="P41:P42" si="30">SUM(K41:O41)</f>
        <v>4166.666666666667</v>
      </c>
      <c r="R41" s="24">
        <f t="shared" si="27"/>
        <v>2132.9993333333323</v>
      </c>
      <c r="S41" s="25">
        <f t="shared" si="28"/>
        <v>0.51191983999999979</v>
      </c>
      <c r="T41" s="26" t="str">
        <f t="shared" si="29"/>
        <v>k</v>
      </c>
    </row>
    <row r="42" spans="2:20" s="19" customFormat="1" ht="20.100000000000001" customHeight="1">
      <c r="B42" s="34" t="s">
        <v>38</v>
      </c>
      <c r="D42" s="38"/>
      <c r="E42" s="38">
        <v>10294.335000000001</v>
      </c>
      <c r="F42" s="38"/>
      <c r="G42" s="38"/>
      <c r="H42" s="38"/>
      <c r="I42" s="24">
        <f t="shared" si="26"/>
        <v>10294.335000000001</v>
      </c>
      <c r="K42" s="38"/>
      <c r="L42" s="38"/>
      <c r="M42" s="38"/>
      <c r="N42" s="38"/>
      <c r="O42" s="38">
        <f>41660/12</f>
        <v>3471.6666666666665</v>
      </c>
      <c r="P42" s="24">
        <f t="shared" si="30"/>
        <v>3471.6666666666665</v>
      </c>
      <c r="R42" s="24">
        <f t="shared" si="27"/>
        <v>6822.6683333333349</v>
      </c>
      <c r="S42" s="25">
        <f t="shared" si="28"/>
        <v>1.9652429188670193</v>
      </c>
      <c r="T42" s="26" t="str">
        <f t="shared" si="29"/>
        <v>k</v>
      </c>
    </row>
    <row r="43" spans="2:20" s="11" customFormat="1" ht="4.5" customHeight="1" thickBot="1">
      <c r="C43" s="4"/>
      <c r="J43" s="4"/>
      <c r="Q43" s="4"/>
      <c r="S43" s="27"/>
    </row>
    <row r="44" spans="2:20" s="11" customFormat="1" ht="21.75" thickBot="1">
      <c r="B44" s="28" t="s">
        <v>39</v>
      </c>
      <c r="C44" s="29"/>
      <c r="D44" s="30">
        <f t="shared" ref="D44:I44" si="31">SUM(D39:D42)</f>
        <v>0</v>
      </c>
      <c r="E44" s="30">
        <f t="shared" si="31"/>
        <v>166370.041</v>
      </c>
      <c r="F44" s="30">
        <f t="shared" si="31"/>
        <v>0</v>
      </c>
      <c r="G44" s="30">
        <f t="shared" si="31"/>
        <v>0</v>
      </c>
      <c r="H44" s="30">
        <f t="shared" si="31"/>
        <v>293481.35999999876</v>
      </c>
      <c r="I44" s="30">
        <f t="shared" si="31"/>
        <v>459851.40099999879</v>
      </c>
      <c r="J44" s="29"/>
      <c r="K44" s="30">
        <f t="shared" ref="K44:P44" si="32">SUM(K39:K42)</f>
        <v>0</v>
      </c>
      <c r="L44" s="30">
        <f t="shared" si="32"/>
        <v>221695.68</v>
      </c>
      <c r="M44" s="30">
        <f t="shared" si="32"/>
        <v>0</v>
      </c>
      <c r="N44" s="30">
        <f t="shared" si="32"/>
        <v>0</v>
      </c>
      <c r="O44" s="30">
        <f t="shared" si="32"/>
        <v>283352.43333333335</v>
      </c>
      <c r="P44" s="30">
        <f t="shared" si="32"/>
        <v>505048.1133333334</v>
      </c>
      <c r="Q44" s="29"/>
      <c r="R44" s="30">
        <f t="shared" si="27"/>
        <v>-45196.71233333461</v>
      </c>
      <c r="S44" s="31">
        <f t="shared" si="28"/>
        <v>-8.9489914208440213E-2</v>
      </c>
      <c r="T44" s="37" t="str">
        <f t="shared" si="29"/>
        <v>m</v>
      </c>
    </row>
    <row r="45" spans="2:20" ht="26.1" customHeight="1" thickBot="1"/>
    <row r="46" spans="2:20" s="11" customFormat="1" ht="21.75" thickBot="1">
      <c r="B46" s="28" t="s">
        <v>40</v>
      </c>
      <c r="C46" s="29"/>
      <c r="D46" s="30">
        <f t="shared" ref="D46:I46" si="33">D16+D25+D36+D44</f>
        <v>0</v>
      </c>
      <c r="E46" s="30">
        <f t="shared" si="33"/>
        <v>319121.13266666664</v>
      </c>
      <c r="F46" s="30">
        <f t="shared" si="33"/>
        <v>34944.480000000003</v>
      </c>
      <c r="G46" s="30">
        <f t="shared" si="33"/>
        <v>8552.5</v>
      </c>
      <c r="H46" s="30">
        <f t="shared" si="33"/>
        <v>371223.80382738856</v>
      </c>
      <c r="I46" s="30">
        <f t="shared" si="33"/>
        <v>733841.91649405519</v>
      </c>
      <c r="J46" s="29"/>
      <c r="K46" s="30">
        <f t="shared" ref="K46:P46" si="34">K16+K25+K36+K44</f>
        <v>0</v>
      </c>
      <c r="L46" s="30">
        <f t="shared" si="34"/>
        <v>263395.68</v>
      </c>
      <c r="M46" s="30">
        <f t="shared" si="34"/>
        <v>0</v>
      </c>
      <c r="N46" s="30">
        <f t="shared" si="34"/>
        <v>0</v>
      </c>
      <c r="O46" s="30">
        <f t="shared" si="34"/>
        <v>562992.02939349308</v>
      </c>
      <c r="P46" s="30">
        <f t="shared" si="34"/>
        <v>826387.70939349313</v>
      </c>
      <c r="Q46" s="29"/>
      <c r="R46" s="30">
        <f t="shared" si="27"/>
        <v>-92545.792899437947</v>
      </c>
      <c r="S46" s="31">
        <f t="shared" si="28"/>
        <v>-0.11198834620539022</v>
      </c>
      <c r="T46" s="37" t="str">
        <f t="shared" si="29"/>
        <v>m</v>
      </c>
    </row>
    <row r="51" spans="14:14">
      <c r="N51" s="41">
        <f>+P46+'[5]6 CHARGES (2)'!$I$46</f>
        <v>1591677.6833934933</v>
      </c>
    </row>
  </sheetData>
  <mergeCells count="1">
    <mergeCell ref="D7:I7"/>
  </mergeCells>
  <conditionalFormatting sqref="R16:T16 R25:T25 R36:T36 R44:T44 R27:S34 R18:S23 R38:S42 R10:S12">
    <cfRule type="cellIs" dxfId="17" priority="17" operator="greaterThan">
      <formula>0</formula>
    </cfRule>
    <cfRule type="cellIs" dxfId="16" priority="18" operator="lessThanOrEqual">
      <formula>0</formula>
    </cfRule>
  </conditionalFormatting>
  <conditionalFormatting sqref="T16 T25 T36 T44 T18:T23 T27:T34 T38:T42 T10:T12">
    <cfRule type="cellIs" dxfId="15" priority="15" operator="equal">
      <formula>"m"</formula>
    </cfRule>
    <cfRule type="cellIs" dxfId="14" priority="16" operator="equal">
      <formula>"k"</formula>
    </cfRule>
  </conditionalFormatting>
  <conditionalFormatting sqref="R46:T46">
    <cfRule type="cellIs" dxfId="13" priority="13" operator="greaterThan">
      <formula>0</formula>
    </cfRule>
    <cfRule type="cellIs" dxfId="12" priority="14" operator="lessThanOrEqual">
      <formula>0</formula>
    </cfRule>
  </conditionalFormatting>
  <conditionalFormatting sqref="R46:T46">
    <cfRule type="cellIs" dxfId="11" priority="11" operator="greaterThan">
      <formula>0</formula>
    </cfRule>
    <cfRule type="cellIs" dxfId="10" priority="12" operator="lessThanOrEqual">
      <formula>0</formula>
    </cfRule>
  </conditionalFormatting>
  <conditionalFormatting sqref="T46">
    <cfRule type="cellIs" dxfId="9" priority="9" operator="equal">
      <formula>"k"</formula>
    </cfRule>
    <cfRule type="cellIs" dxfId="8" priority="10" operator="equal">
      <formula>"m"</formula>
    </cfRule>
  </conditionalFormatting>
  <conditionalFormatting sqref="T46">
    <cfRule type="cellIs" dxfId="7" priority="7" operator="greaterThan">
      <formula>0</formula>
    </cfRule>
    <cfRule type="cellIs" dxfId="6" priority="8" operator="lessThanOrEqual">
      <formula>0</formula>
    </cfRule>
  </conditionalFormatting>
  <conditionalFormatting sqref="T46">
    <cfRule type="cellIs" dxfId="5" priority="5" operator="equal">
      <formula>"k"</formula>
    </cfRule>
    <cfRule type="cellIs" dxfId="4" priority="6" operator="equal">
      <formula>"m"</formula>
    </cfRule>
  </conditionalFormatting>
  <conditionalFormatting sqref="R13:S14">
    <cfRule type="cellIs" dxfId="3" priority="3" operator="greaterThan">
      <formula>0</formula>
    </cfRule>
    <cfRule type="cellIs" dxfId="2" priority="4" operator="lessThanOrEqual">
      <formula>0</formula>
    </cfRule>
  </conditionalFormatting>
  <conditionalFormatting sqref="T13:T14">
    <cfRule type="cellIs" dxfId="1" priority="1" operator="equal">
      <formula>"m"</formula>
    </cfRule>
    <cfRule type="cellIs" dxfId="0" priority="2" operator="equal">
      <formula>"k"</formula>
    </cfRule>
  </conditionalFormatting>
  <pageMargins left="0" right="0" top="0" bottom="0" header="0" footer="0"/>
  <pageSetup paperSize="9" scale="45" orientation="landscape" r:id="rId1"/>
  <headerFooter>
    <oddFooter>&amp;L&amp;F&amp;R&amp;P/&amp;N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FEVRIER</vt:lpstr>
      <vt:lpstr>FEVRIER!Zone_d_impression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2015-04-16T13:37:32Z</dcterms:created>
  <dcterms:modified xsi:type="dcterms:W3CDTF">2015-04-16T13:38:03Z</dcterms:modified>
</cp:coreProperties>
</file>