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eist\Desktop\"/>
    </mc:Choice>
  </mc:AlternateContent>
  <bookViews>
    <workbookView xWindow="0" yWindow="0" windowWidth="20490" windowHeight="8340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2" l="1"/>
  <c r="N3" i="2"/>
  <c r="P5" i="2"/>
  <c r="P3" i="2"/>
  <c r="N4" i="2"/>
  <c r="M7" i="2" l="1"/>
  <c r="N8" i="2"/>
  <c r="N7" i="2"/>
  <c r="N6" i="2"/>
  <c r="M9" i="2"/>
  <c r="M8" i="2"/>
  <c r="M6" i="2"/>
  <c r="H3" i="2"/>
  <c r="A22" i="2" l="1"/>
  <c r="A20" i="2"/>
  <c r="A19" i="2"/>
  <c r="A18" i="2"/>
  <c r="L12" i="1"/>
  <c r="L10" i="1"/>
  <c r="L7" i="1"/>
  <c r="L4" i="1"/>
  <c r="I18" i="1"/>
  <c r="H19" i="1"/>
  <c r="H8" i="2"/>
  <c r="I14" i="2"/>
  <c r="I10" i="2"/>
  <c r="C24" i="2"/>
  <c r="C23" i="2"/>
  <c r="H7" i="2"/>
  <c r="H9" i="2"/>
  <c r="I9" i="2" s="1"/>
  <c r="H14" i="2"/>
  <c r="H10" i="2"/>
  <c r="H4" i="2"/>
  <c r="I4" i="2" s="1"/>
  <c r="H2" i="2"/>
  <c r="I2" i="2" s="1"/>
  <c r="H6" i="2"/>
  <c r="H5" i="2"/>
  <c r="H13" i="2"/>
  <c r="H12" i="2"/>
  <c r="H11" i="2"/>
  <c r="H7" i="1"/>
  <c r="H6" i="1"/>
  <c r="H18" i="1"/>
  <c r="I11" i="2" l="1"/>
  <c r="H12" i="1"/>
  <c r="H5" i="1"/>
  <c r="H15" i="1"/>
  <c r="H16" i="1"/>
  <c r="H11" i="1" l="1"/>
  <c r="H14" i="1" l="1"/>
  <c r="H4" i="1" l="1"/>
  <c r="H3" i="1"/>
  <c r="H10" i="1"/>
  <c r="I10" i="1" s="1"/>
  <c r="H2" i="1"/>
  <c r="I6" i="1" l="1"/>
  <c r="I2" i="1"/>
</calcChain>
</file>

<file path=xl/sharedStrings.xml><?xml version="1.0" encoding="utf-8"?>
<sst xmlns="http://schemas.openxmlformats.org/spreadsheetml/2006/main" count="84" uniqueCount="30">
  <si>
    <t>Available Power</t>
  </si>
  <si>
    <t>january</t>
  </si>
  <si>
    <t>December</t>
  </si>
  <si>
    <t>August</t>
  </si>
  <si>
    <t>Speed</t>
  </si>
  <si>
    <t>January</t>
  </si>
  <si>
    <t>April</t>
  </si>
  <si>
    <t>September</t>
  </si>
  <si>
    <t>Operating days</t>
  </si>
  <si>
    <t>May</t>
  </si>
  <si>
    <t>983,34x^1,2023</t>
  </si>
  <si>
    <t>quasi lineraire</t>
  </si>
  <si>
    <t>x^1,2592</t>
  </si>
  <si>
    <t>quasi lineaire</t>
  </si>
  <si>
    <t>x^0,512</t>
  </si>
  <si>
    <t>94x^2,54</t>
  </si>
  <si>
    <t>x^1,31</t>
  </si>
  <si>
    <t>x^2,25</t>
  </si>
  <si>
    <t>bien</t>
  </si>
  <si>
    <t>x^2,89</t>
  </si>
  <si>
    <t>x^2,43</t>
  </si>
  <si>
    <t>x^2,46</t>
  </si>
  <si>
    <t>x^2,05</t>
  </si>
  <si>
    <t>x^2,16</t>
  </si>
  <si>
    <t>x^2,33</t>
  </si>
  <si>
    <t>x^2,75</t>
  </si>
  <si>
    <t>100*10</t>
  </si>
  <si>
    <t>x^1,2023</t>
  </si>
  <si>
    <t>x^2,54</t>
  </si>
  <si>
    <t>x^1,0705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</si>
</sst>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" fontId="0" fillId="0" borderId="3" xfId="0" applyNumberFormat="1" applyFill="1" applyBorder="1" applyAlignment="1">
      <alignment horizontal="center" vertical="center"/>
    </xf>
    <xf numFmtId="2" fontId="0" fillId="0" borderId="3" xfId="0" applyNumberFormat="1" applyFill="1" applyBorder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0" xfId="0" applyFill="1"/>
    <xf numFmtId="0" fontId="0" fillId="0" borderId="0" xfId="0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2" fontId="0" fillId="2" borderId="10" xfId="0" applyNumberFormat="1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164" fontId="0" fillId="2" borderId="15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Spread width</a:t>
            </a:r>
            <a:r>
              <a:rPr lang="en-US" baseline="0"/>
              <a:t> vs speed (kts)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/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Sheet2!$A$18:$A$22</c:f>
              <c:numCache>
                <c:formatCode>General</c:formatCode>
                <c:ptCount val="5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4">
                  <c:v>1280</c:v>
                </c:pt>
              </c:numCache>
            </c:numRef>
          </c:xVal>
          <c:yVal>
            <c:numRef>
              <c:f>Sheet2!$B$18:$B$22</c:f>
              <c:numCache>
                <c:formatCode>General</c:formatCode>
                <c:ptCount val="5"/>
                <c:pt idx="0">
                  <c:v>4.82</c:v>
                </c:pt>
                <c:pt idx="1">
                  <c:v>4.74</c:v>
                </c:pt>
                <c:pt idx="2">
                  <c:v>4.1500000000000004</c:v>
                </c:pt>
                <c:pt idx="4">
                  <c:v>3.85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753480"/>
        <c:axId val="312128320"/>
      </c:scatterChart>
      <c:valAx>
        <c:axId val="245753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Spread</a:t>
                </a:r>
                <a:r>
                  <a:rPr lang="en-US" baseline="0"/>
                  <a:t> width (m)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2128320"/>
        <c:crosses val="autoZero"/>
        <c:crossBetween val="midCat"/>
      </c:valAx>
      <c:valAx>
        <c:axId val="312128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Speed (kts)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5753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14</xdr:row>
      <xdr:rowOff>100012</xdr:rowOff>
    </xdr:from>
    <xdr:to>
      <xdr:col>10</xdr:col>
      <xdr:colOff>314325</xdr:colOff>
      <xdr:row>30</xdr:row>
      <xdr:rowOff>76200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9"/>
  <sheetViews>
    <sheetView workbookViewId="0">
      <selection activeCell="E25" sqref="E25"/>
    </sheetView>
  </sheetViews>
  <sheetFormatPr defaultRowHeight="15" x14ac:dyDescent="0.25"/>
  <cols>
    <col min="2" max="2" width="9.28515625" style="5" bestFit="1" customWidth="1"/>
    <col min="3" max="3" width="11.5703125" style="5" bestFit="1" customWidth="1"/>
    <col min="4" max="4" width="9.5703125" style="5" bestFit="1" customWidth="1"/>
    <col min="5" max="5" width="10.7109375" style="1" bestFit="1" customWidth="1"/>
    <col min="6" max="6" width="14.5703125" style="5" bestFit="1" customWidth="1"/>
    <col min="7" max="7" width="15.7109375" style="6" bestFit="1" customWidth="1"/>
    <col min="8" max="9" width="9.28515625" style="2" bestFit="1" customWidth="1"/>
    <col min="10" max="10" width="14.28515625" style="1" bestFit="1" customWidth="1"/>
    <col min="11" max="11" width="13.85546875" style="1" bestFit="1" customWidth="1"/>
  </cols>
  <sheetData>
    <row r="1" spans="1:12" x14ac:dyDescent="0.25">
      <c r="A1" s="1"/>
      <c r="F1" s="5" t="s">
        <v>8</v>
      </c>
      <c r="G1" s="6" t="s">
        <v>0</v>
      </c>
      <c r="H1" s="2" t="s">
        <v>4</v>
      </c>
    </row>
    <row r="2" spans="1:12" x14ac:dyDescent="0.25">
      <c r="A2" s="34"/>
      <c r="B2" s="7">
        <v>8</v>
      </c>
      <c r="C2" s="7">
        <v>12000</v>
      </c>
      <c r="D2" s="7">
        <v>160</v>
      </c>
      <c r="E2" s="8" t="s">
        <v>2</v>
      </c>
      <c r="F2" s="7">
        <v>5</v>
      </c>
      <c r="G2" s="36">
        <v>4000</v>
      </c>
      <c r="H2" s="8">
        <f>(G2/74.367)^(1/2.7613)</f>
        <v>4.2341150891994284</v>
      </c>
      <c r="I2" s="35">
        <f>AVERAGE(H2:H4)</f>
        <v>4.1102414055304051</v>
      </c>
      <c r="J2" s="14" t="s">
        <v>25</v>
      </c>
      <c r="K2" s="14" t="s">
        <v>18</v>
      </c>
    </row>
    <row r="3" spans="1:12" x14ac:dyDescent="0.25">
      <c r="A3" s="34"/>
      <c r="B3" s="7">
        <v>8</v>
      </c>
      <c r="C3" s="7">
        <v>12000</v>
      </c>
      <c r="D3" s="7">
        <v>160</v>
      </c>
      <c r="E3" s="8" t="s">
        <v>1</v>
      </c>
      <c r="F3" s="7">
        <v>21</v>
      </c>
      <c r="G3" s="37"/>
      <c r="H3" s="8">
        <f>(G2/156.85)^(1/2.3316)</f>
        <v>4.0111250202400734</v>
      </c>
      <c r="I3" s="35"/>
      <c r="J3" s="14" t="s">
        <v>24</v>
      </c>
      <c r="K3" s="14" t="s">
        <v>18</v>
      </c>
    </row>
    <row r="4" spans="1:12" x14ac:dyDescent="0.25">
      <c r="A4" s="34"/>
      <c r="B4" s="7">
        <v>8</v>
      </c>
      <c r="C4" s="7">
        <v>12000</v>
      </c>
      <c r="D4" s="7">
        <v>160</v>
      </c>
      <c r="E4" s="8" t="s">
        <v>6</v>
      </c>
      <c r="F4" s="7">
        <v>23</v>
      </c>
      <c r="G4" s="37"/>
      <c r="H4" s="8">
        <f>(G2/193.03)^(1/2.1537)</f>
        <v>4.0854841071517116</v>
      </c>
      <c r="I4" s="35"/>
      <c r="J4" s="14" t="s">
        <v>23</v>
      </c>
      <c r="K4" s="14" t="s">
        <v>18</v>
      </c>
      <c r="L4" s="33">
        <f>B4*D4</f>
        <v>1280</v>
      </c>
    </row>
    <row r="5" spans="1:12" x14ac:dyDescent="0.25">
      <c r="A5" s="34"/>
      <c r="B5" s="7">
        <v>8</v>
      </c>
      <c r="C5" s="7">
        <v>12000</v>
      </c>
      <c r="D5" s="7">
        <v>160</v>
      </c>
      <c r="E5" s="9" t="s">
        <v>9</v>
      </c>
      <c r="F5" s="7">
        <v>9</v>
      </c>
      <c r="G5" s="37"/>
      <c r="H5" s="10">
        <f>(G2/672.91)^(1/1.592)</f>
        <v>3.0636955705006077</v>
      </c>
      <c r="I5" s="35"/>
      <c r="J5" s="14" t="s">
        <v>12</v>
      </c>
      <c r="K5" s="14" t="s">
        <v>11</v>
      </c>
    </row>
    <row r="6" spans="1:12" x14ac:dyDescent="0.25">
      <c r="A6" s="34"/>
      <c r="B6" s="7">
        <v>8</v>
      </c>
      <c r="C6" s="7">
        <v>8100</v>
      </c>
      <c r="D6" s="7">
        <v>100</v>
      </c>
      <c r="E6" s="8" t="s">
        <v>3</v>
      </c>
      <c r="F6" s="7">
        <v>7</v>
      </c>
      <c r="G6" s="37"/>
      <c r="H6" s="8">
        <f>(G2/86.554)^(1/2.4614)</f>
        <v>4.7462653464033506</v>
      </c>
      <c r="I6" s="35">
        <f>AVERAGE(H6:H7)</f>
        <v>4.7539924122752204</v>
      </c>
      <c r="J6" s="14" t="s">
        <v>21</v>
      </c>
      <c r="K6" s="14" t="s">
        <v>18</v>
      </c>
    </row>
    <row r="7" spans="1:12" x14ac:dyDescent="0.25">
      <c r="A7" s="34"/>
      <c r="B7" s="7">
        <v>8</v>
      </c>
      <c r="C7" s="7">
        <v>8100</v>
      </c>
      <c r="D7" s="7">
        <v>100</v>
      </c>
      <c r="E7" s="8" t="s">
        <v>7</v>
      </c>
      <c r="F7" s="7">
        <v>7</v>
      </c>
      <c r="G7" s="37"/>
      <c r="H7" s="8">
        <f>(G2/162.46)^(1/2.0528)</f>
        <v>4.7617194781470911</v>
      </c>
      <c r="I7" s="35"/>
      <c r="J7" s="14" t="s">
        <v>22</v>
      </c>
      <c r="K7" s="14" t="s">
        <v>18</v>
      </c>
      <c r="L7" s="33">
        <f>D6*B6</f>
        <v>800</v>
      </c>
    </row>
    <row r="8" spans="1:12" x14ac:dyDescent="0.25">
      <c r="A8" s="3"/>
      <c r="B8" s="7"/>
      <c r="C8" s="7"/>
      <c r="D8" s="7"/>
      <c r="E8" s="8"/>
      <c r="F8" s="7"/>
      <c r="G8" s="38"/>
      <c r="H8" s="8"/>
      <c r="I8" s="15"/>
      <c r="J8" s="14"/>
      <c r="K8" s="14"/>
    </row>
    <row r="9" spans="1:12" x14ac:dyDescent="0.25">
      <c r="A9" s="43"/>
      <c r="B9" s="43"/>
      <c r="C9" s="43"/>
      <c r="D9" s="43"/>
      <c r="E9" s="43"/>
      <c r="F9" s="43"/>
      <c r="G9" s="43"/>
      <c r="H9" s="43"/>
      <c r="I9" s="43"/>
      <c r="J9" s="43"/>
      <c r="K9" s="44"/>
    </row>
    <row r="10" spans="1:12" x14ac:dyDescent="0.25">
      <c r="A10" s="34"/>
      <c r="B10" s="7">
        <v>8</v>
      </c>
      <c r="C10" s="7">
        <v>5100</v>
      </c>
      <c r="D10" s="7">
        <v>75</v>
      </c>
      <c r="E10" s="8" t="s">
        <v>2</v>
      </c>
      <c r="F10" s="7">
        <v>18</v>
      </c>
      <c r="G10" s="48">
        <v>4000</v>
      </c>
      <c r="H10" s="8">
        <f>(G10/93.328)^(1/2.432)</f>
        <v>4.6889152342686042</v>
      </c>
      <c r="I10" s="35">
        <f>AVERAGE(H10:H11)</f>
        <v>4.8194416110228175</v>
      </c>
      <c r="J10" s="14" t="s">
        <v>20</v>
      </c>
      <c r="K10" s="14" t="s">
        <v>18</v>
      </c>
      <c r="L10" s="33">
        <f>D10*B10</f>
        <v>600</v>
      </c>
    </row>
    <row r="11" spans="1:12" x14ac:dyDescent="0.25">
      <c r="A11" s="34"/>
      <c r="B11" s="7">
        <v>8</v>
      </c>
      <c r="C11" s="7">
        <v>5100</v>
      </c>
      <c r="D11" s="7">
        <v>75</v>
      </c>
      <c r="E11" s="8" t="s">
        <v>5</v>
      </c>
      <c r="F11" s="7">
        <v>6</v>
      </c>
      <c r="G11" s="48"/>
      <c r="H11" s="8">
        <f>(G10/43.361)^(1/2.8289)</f>
        <v>4.9499679877770317</v>
      </c>
      <c r="I11" s="35"/>
      <c r="J11" s="14" t="s">
        <v>19</v>
      </c>
      <c r="K11" s="14" t="s">
        <v>18</v>
      </c>
    </row>
    <row r="12" spans="1:12" x14ac:dyDescent="0.25">
      <c r="A12" s="3"/>
      <c r="B12" s="7">
        <v>8</v>
      </c>
      <c r="C12" s="7">
        <v>6000</v>
      </c>
      <c r="D12" s="7">
        <v>100</v>
      </c>
      <c r="E12" s="8" t="s">
        <v>9</v>
      </c>
      <c r="F12" s="7">
        <v>31</v>
      </c>
      <c r="G12" s="48"/>
      <c r="H12" s="8">
        <f>(G10/1684)^(1/0.512)</f>
        <v>5.4178132572911313</v>
      </c>
      <c r="I12" s="35"/>
      <c r="J12" s="14" t="s">
        <v>14</v>
      </c>
      <c r="K12" s="14" t="s">
        <v>13</v>
      </c>
      <c r="L12" s="33">
        <f>D12*B12</f>
        <v>800</v>
      </c>
    </row>
    <row r="13" spans="1:12" x14ac:dyDescent="0.2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2"/>
    </row>
    <row r="14" spans="1:12" x14ac:dyDescent="0.25">
      <c r="A14" s="43"/>
      <c r="B14" s="12">
        <v>10</v>
      </c>
      <c r="C14" s="12">
        <v>8000</v>
      </c>
      <c r="D14" s="12">
        <v>100</v>
      </c>
      <c r="E14" s="9" t="s">
        <v>3</v>
      </c>
      <c r="F14" s="12">
        <v>15</v>
      </c>
      <c r="G14" s="13">
        <v>4000</v>
      </c>
      <c r="H14" s="8">
        <f>(G14/162.14)^(1/2.2511)</f>
        <v>4.1537446513010901</v>
      </c>
      <c r="I14" s="47"/>
      <c r="J14" s="14" t="s">
        <v>17</v>
      </c>
      <c r="K14" s="14" t="s">
        <v>18</v>
      </c>
    </row>
    <row r="15" spans="1:12" x14ac:dyDescent="0.25">
      <c r="A15" s="43"/>
      <c r="B15" s="12">
        <v>12</v>
      </c>
      <c r="C15" s="12">
        <v>8000</v>
      </c>
      <c r="D15" s="12">
        <v>100</v>
      </c>
      <c r="E15" s="9" t="s">
        <v>6</v>
      </c>
      <c r="F15" s="12">
        <v>7</v>
      </c>
      <c r="G15" s="13">
        <v>4000</v>
      </c>
      <c r="H15" s="8">
        <f>(G15/880)^(1/1.3114)</f>
        <v>3.1727184797648218</v>
      </c>
      <c r="I15" s="47"/>
      <c r="J15" s="14" t="s">
        <v>16</v>
      </c>
      <c r="K15" s="14" t="s">
        <v>11</v>
      </c>
    </row>
    <row r="16" spans="1:12" x14ac:dyDescent="0.25">
      <c r="A16" s="43"/>
      <c r="B16" s="12">
        <v>12</v>
      </c>
      <c r="C16" s="12">
        <v>8000</v>
      </c>
      <c r="D16" s="12">
        <v>75</v>
      </c>
      <c r="E16" s="9" t="s">
        <v>9</v>
      </c>
      <c r="F16" s="12">
        <v>13</v>
      </c>
      <c r="G16" s="11">
        <v>4000</v>
      </c>
      <c r="H16" s="8">
        <f>(G16/983.34)^(1/1.2023)</f>
        <v>3.2123694660748905</v>
      </c>
      <c r="I16" s="47"/>
      <c r="J16" s="14" t="s">
        <v>10</v>
      </c>
      <c r="K16" s="14" t="s">
        <v>11</v>
      </c>
    </row>
    <row r="17" spans="2:11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40"/>
    </row>
    <row r="18" spans="2:11" x14ac:dyDescent="0.25">
      <c r="B18" s="7">
        <v>8</v>
      </c>
      <c r="C18" s="7">
        <v>8000</v>
      </c>
      <c r="D18" s="7">
        <v>100</v>
      </c>
      <c r="E18" s="14" t="s">
        <v>9</v>
      </c>
      <c r="F18" s="7">
        <v>8</v>
      </c>
      <c r="G18" s="11">
        <v>4000</v>
      </c>
      <c r="H18" s="16">
        <f>(G18/94.992)^(1/2.54)</f>
        <v>4.3603054456527737</v>
      </c>
      <c r="I18" s="45">
        <f>AVERAGE(H18:H19)</f>
        <v>4.3974183330172067</v>
      </c>
      <c r="J18" s="14" t="s">
        <v>15</v>
      </c>
      <c r="K18" s="14" t="s">
        <v>18</v>
      </c>
    </row>
    <row r="19" spans="2:11" x14ac:dyDescent="0.25">
      <c r="B19" s="20">
        <v>8</v>
      </c>
      <c r="C19" s="12">
        <v>100</v>
      </c>
      <c r="D19" s="12">
        <v>8500</v>
      </c>
      <c r="E19" s="9" t="s">
        <v>6</v>
      </c>
      <c r="F19" s="12">
        <v>11</v>
      </c>
      <c r="G19" s="11">
        <v>4000</v>
      </c>
      <c r="H19" s="30">
        <f>(G19/812.1)^(1/1.0705)</f>
        <v>4.4345312203816389</v>
      </c>
      <c r="I19" s="46"/>
      <c r="J19" s="32" t="s">
        <v>29</v>
      </c>
      <c r="K19" s="14"/>
    </row>
  </sheetData>
  <mergeCells count="13">
    <mergeCell ref="B17:K17"/>
    <mergeCell ref="A13:K13"/>
    <mergeCell ref="A9:K9"/>
    <mergeCell ref="I18:I19"/>
    <mergeCell ref="A14:A16"/>
    <mergeCell ref="I14:I16"/>
    <mergeCell ref="G10:G12"/>
    <mergeCell ref="I10:I12"/>
    <mergeCell ref="A2:A7"/>
    <mergeCell ref="A10:A11"/>
    <mergeCell ref="I2:I5"/>
    <mergeCell ref="I6:I7"/>
    <mergeCell ref="G2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R28"/>
  <sheetViews>
    <sheetView tabSelected="1" zoomScale="90" zoomScaleNormal="90" workbookViewId="0">
      <selection activeCell="A14" sqref="A1:A14"/>
    </sheetView>
  </sheetViews>
  <sheetFormatPr defaultRowHeight="15" x14ac:dyDescent="0.25"/>
  <cols>
    <col min="1" max="1" width="10.5703125" bestFit="1" customWidth="1"/>
    <col min="2" max="2" width="8.5703125" customWidth="1"/>
    <col min="5" max="5" width="10.85546875" bestFit="1" customWidth="1"/>
    <col min="9" max="9" width="4.85546875" bestFit="1" customWidth="1"/>
    <col min="10" max="10" width="14.28515625" bestFit="1" customWidth="1"/>
    <col min="11" max="11" width="13.85546875" bestFit="1" customWidth="1"/>
    <col min="13" max="13" width="13" style="6" bestFit="1" customWidth="1"/>
  </cols>
  <sheetData>
    <row r="2" spans="1:18" ht="15.75" thickBot="1" x14ac:dyDescent="0.3">
      <c r="A2" s="21"/>
      <c r="B2" s="19">
        <v>8</v>
      </c>
      <c r="C2" s="7">
        <v>75</v>
      </c>
      <c r="D2" s="7">
        <v>5100</v>
      </c>
      <c r="E2" s="8" t="s">
        <v>2</v>
      </c>
      <c r="F2" s="7">
        <v>18</v>
      </c>
      <c r="G2" s="11">
        <v>4000</v>
      </c>
      <c r="H2" s="24">
        <f>(G2/93.328)^(1/2.432)</f>
        <v>4.6889152342686042</v>
      </c>
      <c r="I2" s="45">
        <f>AVERAGE(H2:H3)</f>
        <v>4.8194416110228175</v>
      </c>
      <c r="J2" s="14" t="s">
        <v>20</v>
      </c>
      <c r="K2" s="26" t="s">
        <v>18</v>
      </c>
      <c r="R2">
        <v>500</v>
      </c>
    </row>
    <row r="3" spans="1:18" x14ac:dyDescent="0.25">
      <c r="A3" s="21"/>
      <c r="B3" s="19">
        <v>8</v>
      </c>
      <c r="C3" s="7">
        <v>75</v>
      </c>
      <c r="D3" s="7">
        <v>5100</v>
      </c>
      <c r="E3" s="8" t="s">
        <v>5</v>
      </c>
      <c r="F3" s="7">
        <v>6</v>
      </c>
      <c r="G3" s="11">
        <v>4000</v>
      </c>
      <c r="H3" s="24">
        <f>(G3/43.361)^(1/2.8289)</f>
        <v>4.9499679877770317</v>
      </c>
      <c r="I3" s="46"/>
      <c r="J3" s="14" t="s">
        <v>19</v>
      </c>
      <c r="K3" s="26" t="s">
        <v>18</v>
      </c>
      <c r="M3" s="54">
        <v>780</v>
      </c>
      <c r="N3" s="58">
        <f>_xlfn.FLOOR.MATH(M3,200)</f>
        <v>600</v>
      </c>
      <c r="O3" s="58"/>
      <c r="P3" s="59">
        <f>MATCH(M3,N6:N9)</f>
        <v>1</v>
      </c>
      <c r="R3">
        <v>1000</v>
      </c>
    </row>
    <row r="4" spans="1:18" x14ac:dyDescent="0.25">
      <c r="A4" s="21"/>
      <c r="B4" s="19">
        <v>8</v>
      </c>
      <c r="C4" s="7">
        <v>100</v>
      </c>
      <c r="D4" s="7">
        <v>6000</v>
      </c>
      <c r="E4" s="8" t="s">
        <v>9</v>
      </c>
      <c r="F4" s="7">
        <v>31</v>
      </c>
      <c r="G4" s="11">
        <v>4000</v>
      </c>
      <c r="H4" s="23">
        <f>(G2/1684)^(1/0.512)</f>
        <v>5.4178132572911313</v>
      </c>
      <c r="I4" s="49">
        <f>SUM(H4:H8)/5</f>
        <v>4.7441269495751976</v>
      </c>
      <c r="J4" s="14" t="s">
        <v>14</v>
      </c>
      <c r="K4" s="27" t="s">
        <v>13</v>
      </c>
      <c r="M4" s="53"/>
      <c r="N4" s="60">
        <f>_xlfn.CEILING.MATH(M3,200)</f>
        <v>800</v>
      </c>
      <c r="O4" s="60"/>
      <c r="P4" s="61"/>
      <c r="R4">
        <v>1500</v>
      </c>
    </row>
    <row r="5" spans="1:18" ht="15.75" thickBot="1" x14ac:dyDescent="0.3">
      <c r="A5" s="21"/>
      <c r="B5" s="18">
        <v>8</v>
      </c>
      <c r="C5" s="7">
        <v>100</v>
      </c>
      <c r="D5" s="7">
        <v>8100</v>
      </c>
      <c r="E5" s="8" t="s">
        <v>3</v>
      </c>
      <c r="F5" s="7">
        <v>7</v>
      </c>
      <c r="G5" s="13">
        <v>4000</v>
      </c>
      <c r="H5" s="24">
        <f>(G11/86.554)^(1/2.4614)</f>
        <v>4.7462653464033506</v>
      </c>
      <c r="I5" s="50"/>
      <c r="J5" s="14" t="s">
        <v>21</v>
      </c>
      <c r="K5" s="26" t="s">
        <v>18</v>
      </c>
      <c r="M5" s="53"/>
      <c r="N5" s="60"/>
      <c r="O5" s="60"/>
      <c r="P5" s="61" t="e">
        <f>VLOOKUP($M$3,$N$6:$N$9,15,TRUE)</f>
        <v>#REF!</v>
      </c>
      <c r="R5">
        <v>2000</v>
      </c>
    </row>
    <row r="6" spans="1:18" ht="15.75" thickBot="1" x14ac:dyDescent="0.3">
      <c r="A6" s="21"/>
      <c r="B6" s="18">
        <v>8</v>
      </c>
      <c r="C6" s="7">
        <v>100</v>
      </c>
      <c r="D6" s="7">
        <v>8100</v>
      </c>
      <c r="E6" s="8" t="s">
        <v>7</v>
      </c>
      <c r="F6" s="7">
        <v>7</v>
      </c>
      <c r="G6" s="11">
        <v>4000</v>
      </c>
      <c r="H6" s="24">
        <f>(G11/162.46)^(1/2.0528)</f>
        <v>4.7617194781470911</v>
      </c>
      <c r="I6" s="50"/>
      <c r="J6" s="14" t="s">
        <v>22</v>
      </c>
      <c r="K6" s="26" t="s">
        <v>18</v>
      </c>
      <c r="M6" s="55">
        <f>(R9/43.361)^(1/2.8289)</f>
        <v>4.9499679877770317</v>
      </c>
      <c r="N6" s="62">
        <f>C2*B2</f>
        <v>600</v>
      </c>
      <c r="O6" s="60"/>
      <c r="P6" s="61"/>
      <c r="R6">
        <v>2500</v>
      </c>
    </row>
    <row r="7" spans="1:18" ht="15.75" thickBot="1" x14ac:dyDescent="0.3">
      <c r="B7" s="20">
        <v>8</v>
      </c>
      <c r="C7" s="7">
        <v>100</v>
      </c>
      <c r="D7" s="7">
        <v>8000</v>
      </c>
      <c r="E7" s="14" t="s">
        <v>9</v>
      </c>
      <c r="F7" s="7">
        <v>8</v>
      </c>
      <c r="G7" s="11">
        <v>4000</v>
      </c>
      <c r="H7" s="24">
        <f>(G7/94.992)^(1/2.54)</f>
        <v>4.3603054456527737</v>
      </c>
      <c r="I7" s="50"/>
      <c r="J7" s="14" t="s">
        <v>28</v>
      </c>
      <c r="K7" s="26" t="s">
        <v>18</v>
      </c>
      <c r="M7" s="56">
        <f>((G7/94.992)^(1/2.54)+(R9/162.46)^(1/2.0528))/2</f>
        <v>4.5610124618999324</v>
      </c>
      <c r="N7" s="63">
        <f>C7*B7</f>
        <v>800</v>
      </c>
      <c r="O7" s="60"/>
      <c r="P7" s="64">
        <f>IF(M3&lt;AVERAGE(FLOOR(N6:N9,200),FLOOR(N6:N9,200)),FLOOR(N6:N9,200),FLOOR(N6:N9,200))</f>
        <v>800</v>
      </c>
      <c r="R7">
        <v>3000</v>
      </c>
    </row>
    <row r="8" spans="1:18" x14ac:dyDescent="0.25">
      <c r="B8" s="20">
        <v>8</v>
      </c>
      <c r="C8" s="28">
        <v>100</v>
      </c>
      <c r="D8" s="28">
        <v>8500</v>
      </c>
      <c r="E8" s="29" t="s">
        <v>6</v>
      </c>
      <c r="F8" s="28">
        <v>11</v>
      </c>
      <c r="G8" s="11">
        <v>4000</v>
      </c>
      <c r="H8" s="30">
        <f>(G8/812.1)^(1/1.0705)</f>
        <v>4.4345312203816389</v>
      </c>
      <c r="I8" s="51"/>
      <c r="J8" s="31" t="s">
        <v>29</v>
      </c>
      <c r="K8" s="26" t="s">
        <v>18</v>
      </c>
      <c r="M8" s="56">
        <f>(R9/162.14)^(1/2.2511)</f>
        <v>4.1537446513010901</v>
      </c>
      <c r="N8" s="63">
        <f>C10*B10</f>
        <v>1000</v>
      </c>
      <c r="O8" s="60"/>
      <c r="P8" s="61"/>
      <c r="R8">
        <v>3500</v>
      </c>
    </row>
    <row r="9" spans="1:18" x14ac:dyDescent="0.25">
      <c r="A9" s="22"/>
      <c r="B9" s="17">
        <v>12</v>
      </c>
      <c r="C9" s="12">
        <v>75</v>
      </c>
      <c r="D9" s="12">
        <v>8000</v>
      </c>
      <c r="E9" s="9" t="s">
        <v>9</v>
      </c>
      <c r="F9" s="12">
        <v>13</v>
      </c>
      <c r="G9" s="11">
        <v>4000</v>
      </c>
      <c r="H9" s="23">
        <f>(G9/983.34)^(1/1.2023)</f>
        <v>3.2123694660748905</v>
      </c>
      <c r="I9" s="10">
        <f>AVERAGE(H9)</f>
        <v>3.2123694660748905</v>
      </c>
      <c r="J9" s="27" t="s">
        <v>27</v>
      </c>
      <c r="K9" s="27" t="s">
        <v>11</v>
      </c>
      <c r="M9" s="56">
        <f>(R9/156.85)^(1/2.3316)</f>
        <v>4.0111250202400734</v>
      </c>
      <c r="N9" s="63">
        <v>1280</v>
      </c>
      <c r="O9" s="60"/>
      <c r="P9" s="61"/>
      <c r="R9">
        <v>4000</v>
      </c>
    </row>
    <row r="10" spans="1:18" ht="15.75" thickBot="1" x14ac:dyDescent="0.3">
      <c r="A10" s="22"/>
      <c r="B10" s="17">
        <v>10</v>
      </c>
      <c r="C10" s="12">
        <v>100</v>
      </c>
      <c r="D10" s="12">
        <v>8000</v>
      </c>
      <c r="E10" s="9" t="s">
        <v>3</v>
      </c>
      <c r="F10" s="12">
        <v>15</v>
      </c>
      <c r="G10" s="13">
        <v>4000</v>
      </c>
      <c r="H10" s="25">
        <f>(G10/162.14)^(1/2.2511)</f>
        <v>4.1537446513010901</v>
      </c>
      <c r="I10" s="8">
        <f>(G10/162.14)^(1/2.2511)</f>
        <v>4.1537446513010901</v>
      </c>
      <c r="J10" s="14" t="s">
        <v>17</v>
      </c>
      <c r="K10" s="26" t="s">
        <v>18</v>
      </c>
      <c r="M10" s="57">
        <v>3.76</v>
      </c>
      <c r="N10" s="65">
        <v>1450</v>
      </c>
      <c r="O10" s="66"/>
      <c r="P10" s="67"/>
    </row>
    <row r="11" spans="1:18" x14ac:dyDescent="0.25">
      <c r="A11" s="21"/>
      <c r="B11" s="18">
        <v>8</v>
      </c>
      <c r="C11" s="7">
        <v>160</v>
      </c>
      <c r="D11" s="7">
        <v>12000</v>
      </c>
      <c r="E11" s="8" t="s">
        <v>2</v>
      </c>
      <c r="F11" s="7">
        <v>5</v>
      </c>
      <c r="G11" s="11">
        <v>4000</v>
      </c>
      <c r="H11" s="25">
        <f>(G11/74.367)^(1/2.7613)</f>
        <v>4.2341150891994284</v>
      </c>
      <c r="I11" s="45">
        <f>AVERAGE(H11:H13)</f>
        <v>4.1102414055304051</v>
      </c>
      <c r="J11" s="14" t="s">
        <v>25</v>
      </c>
      <c r="K11" s="26" t="s">
        <v>18</v>
      </c>
    </row>
    <row r="12" spans="1:18" x14ac:dyDescent="0.25">
      <c r="A12" s="21"/>
      <c r="B12" s="18">
        <v>8</v>
      </c>
      <c r="C12" s="7">
        <v>160</v>
      </c>
      <c r="D12" s="7">
        <v>12000</v>
      </c>
      <c r="E12" s="8" t="s">
        <v>1</v>
      </c>
      <c r="F12" s="7">
        <v>21</v>
      </c>
      <c r="G12" s="11">
        <v>4000</v>
      </c>
      <c r="H12" s="25">
        <f>(G11/156.85)^(1/2.3316)</f>
        <v>4.0111250202400734</v>
      </c>
      <c r="I12" s="52"/>
      <c r="J12" s="14" t="s">
        <v>24</v>
      </c>
      <c r="K12" s="26" t="s">
        <v>18</v>
      </c>
    </row>
    <row r="13" spans="1:18" x14ac:dyDescent="0.25">
      <c r="A13" s="21"/>
      <c r="B13" s="18">
        <v>8</v>
      </c>
      <c r="C13" s="7">
        <v>160</v>
      </c>
      <c r="D13" s="7">
        <v>12000</v>
      </c>
      <c r="E13" s="8" t="s">
        <v>6</v>
      </c>
      <c r="F13" s="7">
        <v>23</v>
      </c>
      <c r="G13" s="11">
        <v>4000</v>
      </c>
      <c r="H13" s="25">
        <f>(G11/193.03)^(1/2.1537)</f>
        <v>4.0854841071517116</v>
      </c>
      <c r="I13" s="52"/>
      <c r="J13" s="14" t="s">
        <v>23</v>
      </c>
      <c r="K13" s="26" t="s">
        <v>18</v>
      </c>
    </row>
    <row r="14" spans="1:18" x14ac:dyDescent="0.25">
      <c r="A14" s="22"/>
      <c r="B14" s="17">
        <v>12</v>
      </c>
      <c r="C14" s="12">
        <v>100</v>
      </c>
      <c r="D14" s="12">
        <v>8000</v>
      </c>
      <c r="E14" s="9" t="s">
        <v>6</v>
      </c>
      <c r="F14" s="12">
        <v>7</v>
      </c>
      <c r="G14" s="13">
        <v>4000</v>
      </c>
      <c r="H14" s="25">
        <f>(G14/880)^(1/1.3114)</f>
        <v>3.1727184797648218</v>
      </c>
      <c r="I14" s="8">
        <f>(G14/880)^(1/1.3114)</f>
        <v>3.1727184797648218</v>
      </c>
      <c r="J14" s="14" t="s">
        <v>16</v>
      </c>
      <c r="K14" s="27" t="s">
        <v>11</v>
      </c>
    </row>
    <row r="18" spans="1:3" x14ac:dyDescent="0.25">
      <c r="A18" s="4">
        <f>B2*C2</f>
        <v>600</v>
      </c>
      <c r="B18" s="4">
        <v>4.82</v>
      </c>
    </row>
    <row r="19" spans="1:3" x14ac:dyDescent="0.25">
      <c r="A19" s="4">
        <f>C5*B5</f>
        <v>800</v>
      </c>
      <c r="B19" s="4">
        <v>4.74</v>
      </c>
    </row>
    <row r="20" spans="1:3" x14ac:dyDescent="0.25">
      <c r="A20" s="4">
        <f>B10*C10</f>
        <v>1000</v>
      </c>
      <c r="B20" s="4">
        <v>4.1500000000000004</v>
      </c>
    </row>
    <row r="21" spans="1:3" x14ac:dyDescent="0.25">
      <c r="A21" s="4"/>
      <c r="B21" s="4"/>
    </row>
    <row r="22" spans="1:3" x14ac:dyDescent="0.25">
      <c r="A22" s="4">
        <f>B12*C12</f>
        <v>1280</v>
      </c>
      <c r="B22" s="4">
        <v>3.85</v>
      </c>
    </row>
    <row r="23" spans="1:3" x14ac:dyDescent="0.25">
      <c r="C23">
        <f>160*8</f>
        <v>1280</v>
      </c>
    </row>
    <row r="24" spans="1:3" x14ac:dyDescent="0.25">
      <c r="C24">
        <f>12*75</f>
        <v>900</v>
      </c>
    </row>
    <row r="28" spans="1:3" x14ac:dyDescent="0.25">
      <c r="C28" t="s">
        <v>26</v>
      </c>
    </row>
  </sheetData>
  <mergeCells count="3">
    <mergeCell ref="I2:I3"/>
    <mergeCell ref="I4:I8"/>
    <mergeCell ref="I11:I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Raeis</dc:creator>
  <cp:lastModifiedBy>Thibaut Raeis</cp:lastModifiedBy>
  <cp:lastPrinted>2014-06-05T08:18:02Z</cp:lastPrinted>
  <dcterms:created xsi:type="dcterms:W3CDTF">2014-05-27T15:11:05Z</dcterms:created>
  <dcterms:modified xsi:type="dcterms:W3CDTF">2014-06-05T09:42:11Z</dcterms:modified>
</cp:coreProperties>
</file>