
<file path=[Content_Types].xml><?xml version="1.0" encoding="utf-8"?>
<Types xmlns="http://schemas.openxmlformats.org/package/2006/content-types">
  <Default Extension="xml" ContentType="application/xml"/>
  <Default Extension="bin" ContentType="application/vnd.ms-office.vbaProject"/>
  <Default Extension="vml" ContentType="application/vnd.openxmlformats-officedocument.vmlDrawing"/>
  <Default Extension="png" ContentType="image/png"/>
  <Default Extension="rels" ContentType="application/vnd.openxmlformats-package.relationships+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7322" codeName="{00000000-0000-0000-0000-000000000000}"/>
  <workbookPr showInkAnnotation="0" codeName="ThisWorkbook" checkCompatibility="1" autoCompressPictures="0"/>
  <bookViews>
    <workbookView xWindow="460" yWindow="0" windowWidth="48920" windowHeight="27400" tabRatio="500" activeTab="2"/>
  </bookViews>
  <sheets>
    <sheet name="Dessin" sheetId="2" r:id="rId1"/>
    <sheet name="BC" sheetId="30" r:id="rId2"/>
    <sheet name="Détail BC" sheetId="32" r:id="rId3"/>
  </sheets>
  <definedNames>
    <definedName name="ImpressionBC">'Détail BC'!$A$2:$O$65</definedName>
    <definedName name="ImpressionDessin" localSheetId="2">'Détail BC'!$A$2:$P$13</definedName>
    <definedName name="ImpressionDessin">#REF!</definedName>
    <definedName name="NomAutres" localSheetId="2">#REF!</definedName>
    <definedName name="NomAutres">#REF!</definedName>
    <definedName name="NomBC">'Détail BC'!$D$1</definedName>
    <definedName name="Nombrecours">Dessin!$BT$2</definedName>
    <definedName name="NomDessin" localSheetId="2">'Détail BC'!$D$1</definedName>
    <definedName name="NomDessin">#REF!</definedName>
    <definedName name="Nparticipant">#REF!</definedName>
    <definedName name="PointspossiblesAutres">#REF!</definedName>
    <definedName name="PointspossiblesDessin">Dessin!$L$2</definedName>
  </definedNames>
  <calcPr calcId="140000" concurrentCalc="0"/>
  <extLst>
    <ext xmlns:mx="http://schemas.microsoft.com/office/mac/excel/2008/main" uri="{7523E5D3-25F3-A5E0-1632-64F254C22452}">
      <mx:ArchID Flags="2"/>
    </ext>
  </extLst>
</workbook>
</file>

<file path=xl/calcChain.xml><?xml version="1.0" encoding="utf-8"?>
<calcChain xmlns="http://schemas.openxmlformats.org/spreadsheetml/2006/main">
  <c r="A54" i="2" l="1"/>
  <c r="BY99" i="2"/>
  <c r="BZ99" i="2"/>
  <c r="CA99" i="2"/>
  <c r="CB99" i="2"/>
  <c r="CC99" i="2"/>
  <c r="CD99" i="2"/>
  <c r="CE99" i="2"/>
  <c r="CF99" i="2"/>
  <c r="CG99" i="2"/>
  <c r="CH99" i="2"/>
  <c r="CI99" i="2"/>
  <c r="CJ99" i="2"/>
  <c r="CK99" i="2"/>
  <c r="CL99" i="2"/>
  <c r="CM99" i="2"/>
  <c r="CN99" i="2"/>
  <c r="CO99" i="2"/>
  <c r="CP99" i="2"/>
  <c r="CQ99" i="2"/>
  <c r="BX99" i="2"/>
  <c r="BT99" i="2"/>
  <c r="BU99" i="2"/>
  <c r="BV99" i="2"/>
  <c r="BW99" i="2"/>
  <c r="L99" i="2"/>
  <c r="BY98" i="2"/>
  <c r="BZ98" i="2"/>
  <c r="CA98" i="2"/>
  <c r="CB98" i="2"/>
  <c r="CC98" i="2"/>
  <c r="CD98" i="2"/>
  <c r="CE98" i="2"/>
  <c r="CF98" i="2"/>
  <c r="CG98" i="2"/>
  <c r="CH98" i="2"/>
  <c r="CI98" i="2"/>
  <c r="CJ98" i="2"/>
  <c r="CK98" i="2"/>
  <c r="CL98" i="2"/>
  <c r="CM98" i="2"/>
  <c r="CN98" i="2"/>
  <c r="CO98" i="2"/>
  <c r="CP98" i="2"/>
  <c r="CQ98" i="2"/>
  <c r="BX98" i="2"/>
  <c r="BT98" i="2"/>
  <c r="BU98" i="2"/>
  <c r="BV98" i="2"/>
  <c r="BW98" i="2"/>
  <c r="L98" i="2"/>
  <c r="BY97" i="2"/>
  <c r="BZ97" i="2"/>
  <c r="CA97" i="2"/>
  <c r="CB97" i="2"/>
  <c r="CC97" i="2"/>
  <c r="CD97" i="2"/>
  <c r="CE97" i="2"/>
  <c r="CF97" i="2"/>
  <c r="CG97" i="2"/>
  <c r="CH97" i="2"/>
  <c r="CI97" i="2"/>
  <c r="CJ97" i="2"/>
  <c r="CK97" i="2"/>
  <c r="CL97" i="2"/>
  <c r="CM97" i="2"/>
  <c r="CN97" i="2"/>
  <c r="CO97" i="2"/>
  <c r="CP97" i="2"/>
  <c r="CQ97" i="2"/>
  <c r="BX97" i="2"/>
  <c r="BT97" i="2"/>
  <c r="BU97" i="2"/>
  <c r="BV97" i="2"/>
  <c r="BW97" i="2"/>
  <c r="L97" i="2"/>
  <c r="BY96" i="2"/>
  <c r="BZ96" i="2"/>
  <c r="CA96" i="2"/>
  <c r="CB96" i="2"/>
  <c r="CC96" i="2"/>
  <c r="CD96" i="2"/>
  <c r="CE96" i="2"/>
  <c r="CF96" i="2"/>
  <c r="CG96" i="2"/>
  <c r="CH96" i="2"/>
  <c r="CI96" i="2"/>
  <c r="CJ96" i="2"/>
  <c r="CK96" i="2"/>
  <c r="CL96" i="2"/>
  <c r="CM96" i="2"/>
  <c r="CN96" i="2"/>
  <c r="CO96" i="2"/>
  <c r="CP96" i="2"/>
  <c r="CQ96" i="2"/>
  <c r="BX96" i="2"/>
  <c r="BT96" i="2"/>
  <c r="BU96" i="2"/>
  <c r="BV96" i="2"/>
  <c r="BW96" i="2"/>
  <c r="L96" i="2"/>
  <c r="BY95" i="2"/>
  <c r="BZ95" i="2"/>
  <c r="CA95" i="2"/>
  <c r="CB95" i="2"/>
  <c r="CC95" i="2"/>
  <c r="CD95" i="2"/>
  <c r="CE95" i="2"/>
  <c r="CF95" i="2"/>
  <c r="CG95" i="2"/>
  <c r="CH95" i="2"/>
  <c r="CI95" i="2"/>
  <c r="CJ95" i="2"/>
  <c r="CK95" i="2"/>
  <c r="CL95" i="2"/>
  <c r="CM95" i="2"/>
  <c r="CN95" i="2"/>
  <c r="CO95" i="2"/>
  <c r="CP95" i="2"/>
  <c r="CQ95" i="2"/>
  <c r="BX95" i="2"/>
  <c r="BT95" i="2"/>
  <c r="BU95" i="2"/>
  <c r="BV95" i="2"/>
  <c r="BW95" i="2"/>
  <c r="L95" i="2"/>
  <c r="BY94" i="2"/>
  <c r="BZ94" i="2"/>
  <c r="CA94" i="2"/>
  <c r="CB94" i="2"/>
  <c r="CC94" i="2"/>
  <c r="CD94" i="2"/>
  <c r="CE94" i="2"/>
  <c r="CF94" i="2"/>
  <c r="CG94" i="2"/>
  <c r="CH94" i="2"/>
  <c r="CI94" i="2"/>
  <c r="CJ94" i="2"/>
  <c r="CK94" i="2"/>
  <c r="CL94" i="2"/>
  <c r="CM94" i="2"/>
  <c r="CN94" i="2"/>
  <c r="CO94" i="2"/>
  <c r="CP94" i="2"/>
  <c r="CQ94" i="2"/>
  <c r="BX94" i="2"/>
  <c r="BT94" i="2"/>
  <c r="BU94" i="2"/>
  <c r="BV94" i="2"/>
  <c r="BW94" i="2"/>
  <c r="L94" i="2"/>
  <c r="BY93" i="2"/>
  <c r="BZ93" i="2"/>
  <c r="CA93" i="2"/>
  <c r="CB93" i="2"/>
  <c r="CC93" i="2"/>
  <c r="CD93" i="2"/>
  <c r="CE93" i="2"/>
  <c r="CF93" i="2"/>
  <c r="CG93" i="2"/>
  <c r="CH93" i="2"/>
  <c r="CI93" i="2"/>
  <c r="CJ93" i="2"/>
  <c r="CK93" i="2"/>
  <c r="CL93" i="2"/>
  <c r="CM93" i="2"/>
  <c r="CN93" i="2"/>
  <c r="CO93" i="2"/>
  <c r="CP93" i="2"/>
  <c r="CQ93" i="2"/>
  <c r="BX93" i="2"/>
  <c r="BT93" i="2"/>
  <c r="BU93" i="2"/>
  <c r="BV93" i="2"/>
  <c r="BW93" i="2"/>
  <c r="L93" i="2"/>
  <c r="BY92" i="2"/>
  <c r="BZ92" i="2"/>
  <c r="CA92" i="2"/>
  <c r="CB92" i="2"/>
  <c r="CC92" i="2"/>
  <c r="CD92" i="2"/>
  <c r="CE92" i="2"/>
  <c r="CF92" i="2"/>
  <c r="CG92" i="2"/>
  <c r="CH92" i="2"/>
  <c r="CI92" i="2"/>
  <c r="CJ92" i="2"/>
  <c r="CK92" i="2"/>
  <c r="CL92" i="2"/>
  <c r="CM92" i="2"/>
  <c r="CN92" i="2"/>
  <c r="CO92" i="2"/>
  <c r="CP92" i="2"/>
  <c r="CQ92" i="2"/>
  <c r="BX92" i="2"/>
  <c r="BT92" i="2"/>
  <c r="BU92" i="2"/>
  <c r="BV92" i="2"/>
  <c r="BW92" i="2"/>
  <c r="L92" i="2"/>
  <c r="BY91" i="2"/>
  <c r="BZ91" i="2"/>
  <c r="CA91" i="2"/>
  <c r="CB91" i="2"/>
  <c r="CC91" i="2"/>
  <c r="CD91" i="2"/>
  <c r="CE91" i="2"/>
  <c r="CF91" i="2"/>
  <c r="CG91" i="2"/>
  <c r="CH91" i="2"/>
  <c r="CI91" i="2"/>
  <c r="CJ91" i="2"/>
  <c r="CK91" i="2"/>
  <c r="CL91" i="2"/>
  <c r="CM91" i="2"/>
  <c r="CN91" i="2"/>
  <c r="CO91" i="2"/>
  <c r="CP91" i="2"/>
  <c r="CQ91" i="2"/>
  <c r="BX91" i="2"/>
  <c r="BT91" i="2"/>
  <c r="BU91" i="2"/>
  <c r="BV91" i="2"/>
  <c r="BW91" i="2"/>
  <c r="L91" i="2"/>
  <c r="BY90" i="2"/>
  <c r="BZ90" i="2"/>
  <c r="CA90" i="2"/>
  <c r="CB90" i="2"/>
  <c r="CC90" i="2"/>
  <c r="CD90" i="2"/>
  <c r="CE90" i="2"/>
  <c r="CF90" i="2"/>
  <c r="CG90" i="2"/>
  <c r="CH90" i="2"/>
  <c r="CI90" i="2"/>
  <c r="CJ90" i="2"/>
  <c r="CK90" i="2"/>
  <c r="CL90" i="2"/>
  <c r="CM90" i="2"/>
  <c r="CN90" i="2"/>
  <c r="CO90" i="2"/>
  <c r="CP90" i="2"/>
  <c r="CQ90" i="2"/>
  <c r="BX90" i="2"/>
  <c r="BT90" i="2"/>
  <c r="BU90" i="2"/>
  <c r="BV90" i="2"/>
  <c r="BW90" i="2"/>
  <c r="L90" i="2"/>
  <c r="BY89" i="2"/>
  <c r="BZ89" i="2"/>
  <c r="CA89" i="2"/>
  <c r="CB89" i="2"/>
  <c r="CC89" i="2"/>
  <c r="CD89" i="2"/>
  <c r="CE89" i="2"/>
  <c r="CF89" i="2"/>
  <c r="CG89" i="2"/>
  <c r="CH89" i="2"/>
  <c r="CI89" i="2"/>
  <c r="CJ89" i="2"/>
  <c r="CK89" i="2"/>
  <c r="CL89" i="2"/>
  <c r="CM89" i="2"/>
  <c r="CN89" i="2"/>
  <c r="CO89" i="2"/>
  <c r="CP89" i="2"/>
  <c r="CQ89" i="2"/>
  <c r="BX89" i="2"/>
  <c r="BT89" i="2"/>
  <c r="BU89" i="2"/>
  <c r="BV89" i="2"/>
  <c r="BW89" i="2"/>
  <c r="L89" i="2"/>
  <c r="BY88" i="2"/>
  <c r="BZ88" i="2"/>
  <c r="CA88" i="2"/>
  <c r="CB88" i="2"/>
  <c r="CC88" i="2"/>
  <c r="CD88" i="2"/>
  <c r="CE88" i="2"/>
  <c r="CF88" i="2"/>
  <c r="CG88" i="2"/>
  <c r="CH88" i="2"/>
  <c r="CI88" i="2"/>
  <c r="CJ88" i="2"/>
  <c r="CK88" i="2"/>
  <c r="CL88" i="2"/>
  <c r="CM88" i="2"/>
  <c r="CN88" i="2"/>
  <c r="CO88" i="2"/>
  <c r="CP88" i="2"/>
  <c r="CQ88" i="2"/>
  <c r="BX88" i="2"/>
  <c r="BT88" i="2"/>
  <c r="BU88" i="2"/>
  <c r="BV88" i="2"/>
  <c r="BW88" i="2"/>
  <c r="L88" i="2"/>
  <c r="BY87" i="2"/>
  <c r="BZ87" i="2"/>
  <c r="CA87" i="2"/>
  <c r="CB87" i="2"/>
  <c r="CC87" i="2"/>
  <c r="CD87" i="2"/>
  <c r="CE87" i="2"/>
  <c r="CF87" i="2"/>
  <c r="CG87" i="2"/>
  <c r="CH87" i="2"/>
  <c r="CI87" i="2"/>
  <c r="CJ87" i="2"/>
  <c r="CK87" i="2"/>
  <c r="CL87" i="2"/>
  <c r="CM87" i="2"/>
  <c r="CN87" i="2"/>
  <c r="CO87" i="2"/>
  <c r="CP87" i="2"/>
  <c r="CQ87" i="2"/>
  <c r="BX87" i="2"/>
  <c r="BT87" i="2"/>
  <c r="BU87" i="2"/>
  <c r="BV87" i="2"/>
  <c r="BW87" i="2"/>
  <c r="L87" i="2"/>
  <c r="BY86" i="2"/>
  <c r="BZ86" i="2"/>
  <c r="CA86" i="2"/>
  <c r="CB86" i="2"/>
  <c r="CC86" i="2"/>
  <c r="CD86" i="2"/>
  <c r="CE86" i="2"/>
  <c r="CF86" i="2"/>
  <c r="CG86" i="2"/>
  <c r="CH86" i="2"/>
  <c r="CI86" i="2"/>
  <c r="CJ86" i="2"/>
  <c r="CK86" i="2"/>
  <c r="CL86" i="2"/>
  <c r="CM86" i="2"/>
  <c r="CN86" i="2"/>
  <c r="CO86" i="2"/>
  <c r="CP86" i="2"/>
  <c r="CQ86" i="2"/>
  <c r="BX86" i="2"/>
  <c r="BT86" i="2"/>
  <c r="BU86" i="2"/>
  <c r="BV86" i="2"/>
  <c r="BW86" i="2"/>
  <c r="L86" i="2"/>
  <c r="BY85" i="2"/>
  <c r="BZ85" i="2"/>
  <c r="CA85" i="2"/>
  <c r="CB85" i="2"/>
  <c r="CC85" i="2"/>
  <c r="CD85" i="2"/>
  <c r="CE85" i="2"/>
  <c r="CF85" i="2"/>
  <c r="CG85" i="2"/>
  <c r="CH85" i="2"/>
  <c r="CI85" i="2"/>
  <c r="CJ85" i="2"/>
  <c r="CK85" i="2"/>
  <c r="CL85" i="2"/>
  <c r="CM85" i="2"/>
  <c r="CN85" i="2"/>
  <c r="CO85" i="2"/>
  <c r="CP85" i="2"/>
  <c r="CQ85" i="2"/>
  <c r="BX85" i="2"/>
  <c r="BT85" i="2"/>
  <c r="BU85" i="2"/>
  <c r="BV85" i="2"/>
  <c r="BW85" i="2"/>
  <c r="L85" i="2"/>
  <c r="A68" i="2"/>
  <c r="A4" i="2"/>
  <c r="A5" i="2"/>
  <c r="A6" i="2"/>
  <c r="A7" i="2"/>
  <c r="A8" i="2"/>
  <c r="A9" i="2"/>
  <c r="A10" i="2"/>
  <c r="A11" i="2"/>
  <c r="A12" i="2"/>
  <c r="A13" i="2"/>
  <c r="A14" i="2"/>
  <c r="A15" i="2"/>
  <c r="A16" i="2"/>
  <c r="A17" i="2"/>
  <c r="A18" i="2"/>
  <c r="A19" i="2"/>
  <c r="A20" i="2"/>
  <c r="A21" i="2"/>
  <c r="A22" i="2"/>
  <c r="A23" i="2"/>
  <c r="A24" i="2"/>
  <c r="A25" i="2"/>
  <c r="A26" i="2"/>
  <c r="A27" i="2"/>
  <c r="A28" i="2"/>
  <c r="A29" i="2"/>
  <c r="A30" i="2"/>
  <c r="A31" i="2"/>
  <c r="A32" i="2"/>
  <c r="A33" i="2"/>
  <c r="A34" i="2"/>
  <c r="A35" i="2"/>
  <c r="A36" i="2"/>
  <c r="A37" i="2"/>
  <c r="A38" i="2"/>
  <c r="A39" i="2"/>
  <c r="A40" i="2"/>
  <c r="A41" i="2"/>
  <c r="A42" i="2"/>
  <c r="A43" i="2"/>
  <c r="A44" i="2"/>
  <c r="A45" i="2"/>
  <c r="A46" i="2"/>
  <c r="A47" i="2"/>
  <c r="A48" i="2"/>
  <c r="A49" i="2"/>
  <c r="A50" i="2"/>
  <c r="A51" i="2"/>
  <c r="A52" i="2"/>
  <c r="A53" i="2"/>
  <c r="A55" i="2"/>
  <c r="A56" i="2"/>
  <c r="A57" i="2"/>
  <c r="A58" i="2"/>
  <c r="A59" i="2"/>
  <c r="A60" i="2"/>
  <c r="A61" i="2"/>
  <c r="A62" i="2"/>
  <c r="A63" i="2"/>
  <c r="A64" i="2"/>
  <c r="A65" i="2"/>
  <c r="A66" i="2"/>
  <c r="A67" i="2"/>
  <c r="L14" i="32"/>
  <c r="CX67" i="2"/>
  <c r="CX6" i="2"/>
  <c r="L15" i="32"/>
  <c r="L13" i="32"/>
  <c r="N7" i="32"/>
  <c r="L7" i="32"/>
  <c r="CZ73" i="30"/>
  <c r="CY73" i="30"/>
  <c r="CX73" i="30"/>
  <c r="CW73" i="30"/>
  <c r="CV73" i="30"/>
  <c r="CU73" i="30"/>
  <c r="CT73" i="30"/>
  <c r="CS73" i="30"/>
  <c r="CR73" i="30"/>
  <c r="CQ73" i="30"/>
  <c r="CP73" i="30"/>
  <c r="CO73" i="30"/>
  <c r="CN73" i="30"/>
  <c r="CM73" i="30"/>
  <c r="CL73" i="30"/>
  <c r="CK73" i="30"/>
  <c r="CJ73" i="30"/>
  <c r="CI73" i="30"/>
  <c r="CH73" i="30"/>
  <c r="CG73" i="30"/>
  <c r="CF73" i="30"/>
  <c r="CE73" i="30"/>
  <c r="CD73" i="30"/>
  <c r="CC73" i="30"/>
  <c r="CB73" i="30"/>
  <c r="CA73" i="30"/>
  <c r="BZ73" i="30"/>
  <c r="BY73" i="30"/>
  <c r="BX73" i="30"/>
  <c r="BW73" i="30"/>
  <c r="BV73" i="30"/>
  <c r="BU73" i="30"/>
  <c r="BT73" i="30"/>
  <c r="BS73" i="30"/>
  <c r="BR73" i="30"/>
  <c r="BQ73" i="30"/>
  <c r="BP73" i="30"/>
  <c r="BO73" i="30"/>
  <c r="BN73" i="30"/>
  <c r="BM73" i="30"/>
  <c r="BL73" i="30"/>
  <c r="BK73" i="30"/>
  <c r="BJ73" i="30"/>
  <c r="BI73" i="30"/>
  <c r="BH73" i="30"/>
  <c r="BG73" i="30"/>
  <c r="BF73" i="30"/>
  <c r="BE73" i="30"/>
  <c r="BD73" i="30"/>
  <c r="BC73" i="30"/>
  <c r="BB73" i="30"/>
  <c r="BA73" i="30"/>
  <c r="AZ73" i="30"/>
  <c r="AY73" i="30"/>
  <c r="AX73" i="30"/>
  <c r="AW73" i="30"/>
  <c r="AV73" i="30"/>
  <c r="AU73" i="30"/>
  <c r="AT73" i="30"/>
  <c r="AS73" i="30"/>
  <c r="AR73" i="30"/>
  <c r="AQ73" i="30"/>
  <c r="AP73" i="30"/>
  <c r="AO73" i="30"/>
  <c r="AN73" i="30"/>
  <c r="AM73" i="30"/>
  <c r="AL73" i="30"/>
  <c r="AK73" i="30"/>
  <c r="AJ73" i="30"/>
  <c r="AI73" i="30"/>
  <c r="AH73" i="30"/>
  <c r="AG73" i="30"/>
  <c r="AF73" i="30"/>
  <c r="AE73" i="30"/>
  <c r="AD73" i="30"/>
  <c r="AC73" i="30"/>
  <c r="AB73" i="30"/>
  <c r="AA73" i="30"/>
  <c r="Z73" i="30"/>
  <c r="Y73" i="30"/>
  <c r="X73" i="30"/>
  <c r="W73" i="30"/>
  <c r="V73" i="30"/>
  <c r="U73" i="30"/>
  <c r="T73" i="30"/>
  <c r="S73" i="30"/>
  <c r="R73" i="30"/>
  <c r="Q73" i="30"/>
  <c r="P73" i="30"/>
  <c r="O73" i="30"/>
  <c r="N73" i="30"/>
  <c r="M73" i="30"/>
  <c r="L73" i="30"/>
  <c r="K73" i="30"/>
  <c r="J73" i="30"/>
  <c r="I73" i="30"/>
  <c r="H73" i="30"/>
  <c r="G73" i="30"/>
  <c r="F73" i="30"/>
  <c r="E73" i="30"/>
  <c r="D73" i="30"/>
  <c r="EE59" i="30"/>
  <c r="EA59" i="30"/>
  <c r="DW59" i="30"/>
  <c r="DS59" i="30"/>
  <c r="DO59" i="30"/>
  <c r="DK59" i="30"/>
  <c r="DG59" i="30"/>
  <c r="DC59" i="30"/>
  <c r="EE58" i="30"/>
  <c r="EA58" i="30"/>
  <c r="DW58" i="30"/>
  <c r="DS58" i="30"/>
  <c r="DO58" i="30"/>
  <c r="DK58" i="30"/>
  <c r="DG58" i="30"/>
  <c r="DC58" i="30"/>
  <c r="EE57" i="30"/>
  <c r="EA57" i="30"/>
  <c r="DW57" i="30"/>
  <c r="DS57" i="30"/>
  <c r="DO57" i="30"/>
  <c r="DK57" i="30"/>
  <c r="DG57" i="30"/>
  <c r="DC57" i="30"/>
  <c r="EE56" i="30"/>
  <c r="EA56" i="30"/>
  <c r="DW56" i="30"/>
  <c r="DS56" i="30"/>
  <c r="DO56" i="30"/>
  <c r="DK56" i="30"/>
  <c r="DG56" i="30"/>
  <c r="DC56" i="30"/>
  <c r="EE55" i="30"/>
  <c r="EA55" i="30"/>
  <c r="DW55" i="30"/>
  <c r="DS55" i="30"/>
  <c r="DO55" i="30"/>
  <c r="DK55" i="30"/>
  <c r="DG55" i="30"/>
  <c r="DC55" i="30"/>
  <c r="EE54" i="30"/>
  <c r="EA54" i="30"/>
  <c r="DW54" i="30"/>
  <c r="DS54" i="30"/>
  <c r="DO54" i="30"/>
  <c r="DK54" i="30"/>
  <c r="DG54" i="30"/>
  <c r="DC54" i="30"/>
  <c r="EE53" i="30"/>
  <c r="EA53" i="30"/>
  <c r="DW53" i="30"/>
  <c r="DS53" i="30"/>
  <c r="DO53" i="30"/>
  <c r="DK53" i="30"/>
  <c r="DG53" i="30"/>
  <c r="DC53" i="30"/>
  <c r="EE52" i="30"/>
  <c r="EA52" i="30"/>
  <c r="DW52" i="30"/>
  <c r="DS52" i="30"/>
  <c r="DO52" i="30"/>
  <c r="DK52" i="30"/>
  <c r="DG52" i="30"/>
  <c r="DC52" i="30"/>
  <c r="EE51" i="30"/>
  <c r="EA51" i="30"/>
  <c r="DW51" i="30"/>
  <c r="DS51" i="30"/>
  <c r="DO51" i="30"/>
  <c r="DK51" i="30"/>
  <c r="DG51" i="30"/>
  <c r="DC51" i="30"/>
  <c r="EE50" i="30"/>
  <c r="EA50" i="30"/>
  <c r="DW50" i="30"/>
  <c r="DS50" i="30"/>
  <c r="DO50" i="30"/>
  <c r="DK50" i="30"/>
  <c r="DG50" i="30"/>
  <c r="DC50" i="30"/>
  <c r="EE49" i="30"/>
  <c r="EA49" i="30"/>
  <c r="DW49" i="30"/>
  <c r="DS49" i="30"/>
  <c r="DO49" i="30"/>
  <c r="DK49" i="30"/>
  <c r="DG49" i="30"/>
  <c r="DC49" i="30"/>
  <c r="EE48" i="30"/>
  <c r="EA48" i="30"/>
  <c r="DW48" i="30"/>
  <c r="DS48" i="30"/>
  <c r="DO48" i="30"/>
  <c r="DK48" i="30"/>
  <c r="DG48" i="30"/>
  <c r="DC48" i="30"/>
  <c r="EE47" i="30"/>
  <c r="EA47" i="30"/>
  <c r="DW47" i="30"/>
  <c r="DS47" i="30"/>
  <c r="DO47" i="30"/>
  <c r="DK47" i="30"/>
  <c r="DG47" i="30"/>
  <c r="DC47" i="30"/>
  <c r="EE46" i="30"/>
  <c r="EA46" i="30"/>
  <c r="DW46" i="30"/>
  <c r="DS46" i="30"/>
  <c r="DO46" i="30"/>
  <c r="DK46" i="30"/>
  <c r="DG46" i="30"/>
  <c r="DC46" i="30"/>
  <c r="EE45" i="30"/>
  <c r="EA45" i="30"/>
  <c r="DW45" i="30"/>
  <c r="DS45" i="30"/>
  <c r="DO45" i="30"/>
  <c r="DK45" i="30"/>
  <c r="DG45" i="30"/>
  <c r="DC45" i="30"/>
  <c r="EE44" i="30"/>
  <c r="EA44" i="30"/>
  <c r="DW44" i="30"/>
  <c r="DS44" i="30"/>
  <c r="DO44" i="30"/>
  <c r="DK44" i="30"/>
  <c r="DG44" i="30"/>
  <c r="DC44" i="30"/>
  <c r="EE43" i="30"/>
  <c r="EA43" i="30"/>
  <c r="DW43" i="30"/>
  <c r="DS43" i="30"/>
  <c r="DO43" i="30"/>
  <c r="DK43" i="30"/>
  <c r="DG43" i="30"/>
  <c r="DC43" i="30"/>
  <c r="EE42" i="30"/>
  <c r="EA42" i="30"/>
  <c r="DW42" i="30"/>
  <c r="DS42" i="30"/>
  <c r="DO42" i="30"/>
  <c r="DK42" i="30"/>
  <c r="DG42" i="30"/>
  <c r="DC42" i="30"/>
  <c r="EE41" i="30"/>
  <c r="EA41" i="30"/>
  <c r="DW41" i="30"/>
  <c r="DS41" i="30"/>
  <c r="DO41" i="30"/>
  <c r="DK41" i="30"/>
  <c r="DG41" i="30"/>
  <c r="DC41" i="30"/>
  <c r="EE40" i="30"/>
  <c r="EA40" i="30"/>
  <c r="DW40" i="30"/>
  <c r="DS40" i="30"/>
  <c r="DO40" i="30"/>
  <c r="DK40" i="30"/>
  <c r="DG40" i="30"/>
  <c r="DC40" i="30"/>
  <c r="EE39" i="30"/>
  <c r="EA39" i="30"/>
  <c r="DW39" i="30"/>
  <c r="DS39" i="30"/>
  <c r="DO39" i="30"/>
  <c r="DK39" i="30"/>
  <c r="DG39" i="30"/>
  <c r="DC39" i="30"/>
  <c r="EE38" i="30"/>
  <c r="EA38" i="30"/>
  <c r="DW38" i="30"/>
  <c r="DS38" i="30"/>
  <c r="DO38" i="30"/>
  <c r="DK38" i="30"/>
  <c r="DG38" i="30"/>
  <c r="DC38" i="30"/>
  <c r="EE37" i="30"/>
  <c r="EA37" i="30"/>
  <c r="DW37" i="30"/>
  <c r="DS37" i="30"/>
  <c r="DO37" i="30"/>
  <c r="DK37" i="30"/>
  <c r="DG37" i="30"/>
  <c r="DC37" i="30"/>
  <c r="EE36" i="30"/>
  <c r="EA36" i="30"/>
  <c r="DW36" i="30"/>
  <c r="DS36" i="30"/>
  <c r="DO36" i="30"/>
  <c r="DK36" i="30"/>
  <c r="DG36" i="30"/>
  <c r="DC36" i="30"/>
  <c r="EE35" i="30"/>
  <c r="EA35" i="30"/>
  <c r="DW35" i="30"/>
  <c r="DS35" i="30"/>
  <c r="DO35" i="30"/>
  <c r="DK35" i="30"/>
  <c r="DG35" i="30"/>
  <c r="DC35" i="30"/>
  <c r="EE34" i="30"/>
  <c r="EA34" i="30"/>
  <c r="DW34" i="30"/>
  <c r="DS34" i="30"/>
  <c r="DO34" i="30"/>
  <c r="DK34" i="30"/>
  <c r="DG34" i="30"/>
  <c r="DC34" i="30"/>
  <c r="EE33" i="30"/>
  <c r="EA33" i="30"/>
  <c r="DW33" i="30"/>
  <c r="DS33" i="30"/>
  <c r="DO33" i="30"/>
  <c r="DK33" i="30"/>
  <c r="DG33" i="30"/>
  <c r="DC33" i="30"/>
  <c r="EE32" i="30"/>
  <c r="EA32" i="30"/>
  <c r="DW32" i="30"/>
  <c r="DS32" i="30"/>
  <c r="DO32" i="30"/>
  <c r="DK32" i="30"/>
  <c r="DG32" i="30"/>
  <c r="DC32" i="30"/>
  <c r="EE31" i="30"/>
  <c r="EA31" i="30"/>
  <c r="DW31" i="30"/>
  <c r="DS31" i="30"/>
  <c r="DO31" i="30"/>
  <c r="DK31" i="30"/>
  <c r="DG31" i="30"/>
  <c r="DC31" i="30"/>
  <c r="EE30" i="30"/>
  <c r="EA30" i="30"/>
  <c r="DW30" i="30"/>
  <c r="DS30" i="30"/>
  <c r="DO30" i="30"/>
  <c r="DK30" i="30"/>
  <c r="DG30" i="30"/>
  <c r="DC30" i="30"/>
  <c r="EE29" i="30"/>
  <c r="EA29" i="30"/>
  <c r="DW29" i="30"/>
  <c r="DS29" i="30"/>
  <c r="DO29" i="30"/>
  <c r="DK29" i="30"/>
  <c r="DG29" i="30"/>
  <c r="DC29" i="30"/>
  <c r="EE28" i="30"/>
  <c r="EA28" i="30"/>
  <c r="DW28" i="30"/>
  <c r="DS28" i="30"/>
  <c r="DO28" i="30"/>
  <c r="DK28" i="30"/>
  <c r="DG28" i="30"/>
  <c r="DC28" i="30"/>
  <c r="EE27" i="30"/>
  <c r="EA27" i="30"/>
  <c r="DW27" i="30"/>
  <c r="DS27" i="30"/>
  <c r="DO27" i="30"/>
  <c r="DK27" i="30"/>
  <c r="DG27" i="30"/>
  <c r="DC27" i="30"/>
  <c r="EE26" i="30"/>
  <c r="EA26" i="30"/>
  <c r="DW26" i="30"/>
  <c r="DS26" i="30"/>
  <c r="DO26" i="30"/>
  <c r="DK26" i="30"/>
  <c r="DG26" i="30"/>
  <c r="DC26" i="30"/>
  <c r="EE25" i="30"/>
  <c r="EA25" i="30"/>
  <c r="DW25" i="30"/>
  <c r="DS25" i="30"/>
  <c r="DO25" i="30"/>
  <c r="DK25" i="30"/>
  <c r="DG25" i="30"/>
  <c r="DC25" i="30"/>
  <c r="EE24" i="30"/>
  <c r="EA24" i="30"/>
  <c r="DW24" i="30"/>
  <c r="DS24" i="30"/>
  <c r="DO24" i="30"/>
  <c r="DK24" i="30"/>
  <c r="DG24" i="30"/>
  <c r="DC24" i="30"/>
  <c r="EE23" i="30"/>
  <c r="EA23" i="30"/>
  <c r="DW23" i="30"/>
  <c r="DS23" i="30"/>
  <c r="DO23" i="30"/>
  <c r="DK23" i="30"/>
  <c r="DG23" i="30"/>
  <c r="DC23" i="30"/>
  <c r="EE22" i="30"/>
  <c r="EA22" i="30"/>
  <c r="DW22" i="30"/>
  <c r="DS22" i="30"/>
  <c r="DO22" i="30"/>
  <c r="DK22" i="30"/>
  <c r="DG22" i="30"/>
  <c r="DC22" i="30"/>
  <c r="EE21" i="30"/>
  <c r="EA21" i="30"/>
  <c r="DW21" i="30"/>
  <c r="DS21" i="30"/>
  <c r="DO21" i="30"/>
  <c r="DK21" i="30"/>
  <c r="DG21" i="30"/>
  <c r="DC21" i="30"/>
  <c r="EE20" i="30"/>
  <c r="EA20" i="30"/>
  <c r="DW20" i="30"/>
  <c r="DS20" i="30"/>
  <c r="DO20" i="30"/>
  <c r="DK20" i="30"/>
  <c r="DG20" i="30"/>
  <c r="DC20" i="30"/>
  <c r="EE19" i="30"/>
  <c r="EA19" i="30"/>
  <c r="DW19" i="30"/>
  <c r="DS19" i="30"/>
  <c r="DO19" i="30"/>
  <c r="DK19" i="30"/>
  <c r="DG19" i="30"/>
  <c r="DC19" i="30"/>
  <c r="EE18" i="30"/>
  <c r="EA18" i="30"/>
  <c r="DW18" i="30"/>
  <c r="DS18" i="30"/>
  <c r="DO18" i="30"/>
  <c r="DK18" i="30"/>
  <c r="DG18" i="30"/>
  <c r="DC18" i="30"/>
  <c r="EE17" i="30"/>
  <c r="EA17" i="30"/>
  <c r="DW17" i="30"/>
  <c r="DS17" i="30"/>
  <c r="DO17" i="30"/>
  <c r="DK17" i="30"/>
  <c r="DG17" i="30"/>
  <c r="DC17" i="30"/>
  <c r="EE16" i="30"/>
  <c r="EA16" i="30"/>
  <c r="DW16" i="30"/>
  <c r="DS16" i="30"/>
  <c r="DO16" i="30"/>
  <c r="DK16" i="30"/>
  <c r="DG16" i="30"/>
  <c r="DC16" i="30"/>
  <c r="EE15" i="30"/>
  <c r="EA15" i="30"/>
  <c r="DW15" i="30"/>
  <c r="DS15" i="30"/>
  <c r="DO15" i="30"/>
  <c r="DK15" i="30"/>
  <c r="DG15" i="30"/>
  <c r="DC15" i="30"/>
  <c r="EE14" i="30"/>
  <c r="EA14" i="30"/>
  <c r="DW14" i="30"/>
  <c r="DS14" i="30"/>
  <c r="DO14" i="30"/>
  <c r="DK14" i="30"/>
  <c r="DG14" i="30"/>
  <c r="DC14" i="30"/>
  <c r="EE13" i="30"/>
  <c r="EA13" i="30"/>
  <c r="DW13" i="30"/>
  <c r="DS13" i="30"/>
  <c r="DO13" i="30"/>
  <c r="DK13" i="30"/>
  <c r="DG13" i="30"/>
  <c r="DC13" i="30"/>
  <c r="EE12" i="30"/>
  <c r="EA12" i="30"/>
  <c r="DW12" i="30"/>
  <c r="DS12" i="30"/>
  <c r="DO12" i="30"/>
  <c r="DK12" i="30"/>
  <c r="DG12" i="30"/>
  <c r="DC12" i="30"/>
  <c r="EE11" i="30"/>
  <c r="EA11" i="30"/>
  <c r="DW11" i="30"/>
  <c r="DS11" i="30"/>
  <c r="DO11" i="30"/>
  <c r="DK11" i="30"/>
  <c r="DG11" i="30"/>
  <c r="DC11" i="30"/>
  <c r="EE10" i="30"/>
  <c r="EA10" i="30"/>
  <c r="DW10" i="30"/>
  <c r="DS10" i="30"/>
  <c r="DO10" i="30"/>
  <c r="DK10" i="30"/>
  <c r="DG10" i="30"/>
  <c r="DC10" i="30"/>
  <c r="EE9" i="30"/>
  <c r="EA9" i="30"/>
  <c r="DW9" i="30"/>
  <c r="DS9" i="30"/>
  <c r="DO9" i="30"/>
  <c r="DK9" i="30"/>
  <c r="DG9" i="30"/>
  <c r="DC9" i="30"/>
  <c r="EE8" i="30"/>
  <c r="EA8" i="30"/>
  <c r="DW8" i="30"/>
  <c r="DS8" i="30"/>
  <c r="DO8" i="30"/>
  <c r="DK8" i="30"/>
  <c r="DG8" i="30"/>
  <c r="DC8" i="30"/>
  <c r="EE7" i="30"/>
  <c r="EA7" i="30"/>
  <c r="DW7" i="30"/>
  <c r="DS7" i="30"/>
  <c r="DO7" i="30"/>
  <c r="DK7" i="30"/>
  <c r="DG7" i="30"/>
  <c r="DC7" i="30"/>
  <c r="EE6" i="30"/>
  <c r="EA6" i="30"/>
  <c r="DW6" i="30"/>
  <c r="DS6" i="30"/>
  <c r="DO6" i="30"/>
  <c r="DK6" i="30"/>
  <c r="DG6" i="30"/>
  <c r="DC6" i="30"/>
  <c r="EE5" i="30"/>
  <c r="EA5" i="30"/>
  <c r="DW5" i="30"/>
  <c r="DS5" i="30"/>
  <c r="DO5" i="30"/>
  <c r="DK5" i="30"/>
  <c r="DG5" i="30"/>
  <c r="DC5" i="30"/>
  <c r="EE4" i="30"/>
  <c r="EA4" i="30"/>
  <c r="DW4" i="30"/>
  <c r="DS4" i="30"/>
  <c r="DO4" i="30"/>
  <c r="DK4" i="30"/>
  <c r="DG4" i="30"/>
  <c r="DC4" i="30"/>
  <c r="CZ71" i="30"/>
  <c r="CY71" i="30"/>
  <c r="CX71" i="30"/>
  <c r="CW71" i="30"/>
  <c r="CV71" i="30"/>
  <c r="CU71" i="30"/>
  <c r="CT71" i="30"/>
  <c r="CS71" i="30"/>
  <c r="CR71" i="30"/>
  <c r="CQ71" i="30"/>
  <c r="CP71" i="30"/>
  <c r="CO71" i="30"/>
  <c r="CN71" i="30"/>
  <c r="CM71" i="30"/>
  <c r="CL71" i="30"/>
  <c r="CK71" i="30"/>
  <c r="CJ71" i="30"/>
  <c r="CI71" i="30"/>
  <c r="CH71" i="30"/>
  <c r="CG71" i="30"/>
  <c r="CF71" i="30"/>
  <c r="CE71" i="30"/>
  <c r="CD71" i="30"/>
  <c r="CC71" i="30"/>
  <c r="CB71" i="30"/>
  <c r="CA71" i="30"/>
  <c r="BZ71" i="30"/>
  <c r="BY71" i="30"/>
  <c r="BX71" i="30"/>
  <c r="BW71" i="30"/>
  <c r="BV71" i="30"/>
  <c r="BU71" i="30"/>
  <c r="BT71" i="30"/>
  <c r="BS71" i="30"/>
  <c r="BR71" i="30"/>
  <c r="BQ71" i="30"/>
  <c r="BP71" i="30"/>
  <c r="BO71" i="30"/>
  <c r="BN71" i="30"/>
  <c r="BM71" i="30"/>
  <c r="BL71" i="30"/>
  <c r="BK71" i="30"/>
  <c r="BJ71" i="30"/>
  <c r="BI71" i="30"/>
  <c r="BH71" i="30"/>
  <c r="BG71" i="30"/>
  <c r="BF71" i="30"/>
  <c r="BE71" i="30"/>
  <c r="BD71" i="30"/>
  <c r="BC71" i="30"/>
  <c r="BB71" i="30"/>
  <c r="BA71" i="30"/>
  <c r="AZ71" i="30"/>
  <c r="AY71" i="30"/>
  <c r="AX71" i="30"/>
  <c r="AW71" i="30"/>
  <c r="AV71" i="30"/>
  <c r="AU71" i="30"/>
  <c r="AT71" i="30"/>
  <c r="AS71" i="30"/>
  <c r="AR71" i="30"/>
  <c r="AQ71" i="30"/>
  <c r="AP71" i="30"/>
  <c r="AO71" i="30"/>
  <c r="AN71" i="30"/>
  <c r="AM71" i="30"/>
  <c r="AL71" i="30"/>
  <c r="AK71" i="30"/>
  <c r="AJ71" i="30"/>
  <c r="AI71" i="30"/>
  <c r="AH71" i="30"/>
  <c r="AG71" i="30"/>
  <c r="AF71" i="30"/>
  <c r="AE71" i="30"/>
  <c r="AD71" i="30"/>
  <c r="AC71" i="30"/>
  <c r="AB71" i="30"/>
  <c r="AA71" i="30"/>
  <c r="Z71" i="30"/>
  <c r="Y71" i="30"/>
  <c r="X71" i="30"/>
  <c r="W71" i="30"/>
  <c r="V71" i="30"/>
  <c r="U71" i="30"/>
  <c r="T71" i="30"/>
  <c r="S71" i="30"/>
  <c r="R71" i="30"/>
  <c r="Q71" i="30"/>
  <c r="P71" i="30"/>
  <c r="O71" i="30"/>
  <c r="N71" i="30"/>
  <c r="M71" i="30"/>
  <c r="L71" i="30"/>
  <c r="K71" i="30"/>
  <c r="J71" i="30"/>
  <c r="I71" i="30"/>
  <c r="H71" i="30"/>
  <c r="G71" i="30"/>
  <c r="F71" i="30"/>
  <c r="E71" i="30"/>
  <c r="D71" i="30"/>
  <c r="EF59" i="30"/>
  <c r="EB59" i="30"/>
  <c r="DX59" i="30"/>
  <c r="DT59" i="30"/>
  <c r="DP59" i="30"/>
  <c r="DL59" i="30"/>
  <c r="DH59" i="30"/>
  <c r="DD59" i="30"/>
  <c r="EF58" i="30"/>
  <c r="EB58" i="30"/>
  <c r="DX58" i="30"/>
  <c r="DT58" i="30"/>
  <c r="DP58" i="30"/>
  <c r="DL58" i="30"/>
  <c r="DH58" i="30"/>
  <c r="DD58" i="30"/>
  <c r="EF57" i="30"/>
  <c r="EB57" i="30"/>
  <c r="DX57" i="30"/>
  <c r="DT57" i="30"/>
  <c r="DP57" i="30"/>
  <c r="DL57" i="30"/>
  <c r="DH57" i="30"/>
  <c r="DD57" i="30"/>
  <c r="EF56" i="30"/>
  <c r="EB56" i="30"/>
  <c r="DX56" i="30"/>
  <c r="DT56" i="30"/>
  <c r="DP56" i="30"/>
  <c r="DL56" i="30"/>
  <c r="DH56" i="30"/>
  <c r="DD56" i="30"/>
  <c r="EF55" i="30"/>
  <c r="EB55" i="30"/>
  <c r="DX55" i="30"/>
  <c r="DT55" i="30"/>
  <c r="DP55" i="30"/>
  <c r="DL55" i="30"/>
  <c r="DH55" i="30"/>
  <c r="DD55" i="30"/>
  <c r="EF54" i="30"/>
  <c r="EB54" i="30"/>
  <c r="DX54" i="30"/>
  <c r="DT54" i="30"/>
  <c r="DP54" i="30"/>
  <c r="DL54" i="30"/>
  <c r="DH54" i="30"/>
  <c r="DD54" i="30"/>
  <c r="EF53" i="30"/>
  <c r="EB53" i="30"/>
  <c r="DX53" i="30"/>
  <c r="DT53" i="30"/>
  <c r="DP53" i="30"/>
  <c r="DL53" i="30"/>
  <c r="DH53" i="30"/>
  <c r="DD53" i="30"/>
  <c r="EF52" i="30"/>
  <c r="EB52" i="30"/>
  <c r="DX52" i="30"/>
  <c r="DT52" i="30"/>
  <c r="DP52" i="30"/>
  <c r="DL52" i="30"/>
  <c r="DH52" i="30"/>
  <c r="DD52" i="30"/>
  <c r="EF51" i="30"/>
  <c r="EB51" i="30"/>
  <c r="DX51" i="30"/>
  <c r="DT51" i="30"/>
  <c r="DP51" i="30"/>
  <c r="DL51" i="30"/>
  <c r="DH51" i="30"/>
  <c r="DD51" i="30"/>
  <c r="EF50" i="30"/>
  <c r="EB50" i="30"/>
  <c r="DX50" i="30"/>
  <c r="DT50" i="30"/>
  <c r="DP50" i="30"/>
  <c r="DL50" i="30"/>
  <c r="DH50" i="30"/>
  <c r="DD50" i="30"/>
  <c r="EF49" i="30"/>
  <c r="EB49" i="30"/>
  <c r="DX49" i="30"/>
  <c r="DT49" i="30"/>
  <c r="DP49" i="30"/>
  <c r="DL49" i="30"/>
  <c r="DH49" i="30"/>
  <c r="DD49" i="30"/>
  <c r="EF48" i="30"/>
  <c r="EB48" i="30"/>
  <c r="DX48" i="30"/>
  <c r="DT48" i="30"/>
  <c r="DP48" i="30"/>
  <c r="DL48" i="30"/>
  <c r="DH48" i="30"/>
  <c r="DD48" i="30"/>
  <c r="EF47" i="30"/>
  <c r="EB47" i="30"/>
  <c r="DX47" i="30"/>
  <c r="DT47" i="30"/>
  <c r="DP47" i="30"/>
  <c r="DL47" i="30"/>
  <c r="DH47" i="30"/>
  <c r="DD47" i="30"/>
  <c r="EF46" i="30"/>
  <c r="EB46" i="30"/>
  <c r="DX46" i="30"/>
  <c r="DT46" i="30"/>
  <c r="DP46" i="30"/>
  <c r="DL46" i="30"/>
  <c r="DH46" i="30"/>
  <c r="DD46" i="30"/>
  <c r="EF45" i="30"/>
  <c r="EB45" i="30"/>
  <c r="DX45" i="30"/>
  <c r="DT45" i="30"/>
  <c r="DP45" i="30"/>
  <c r="DL45" i="30"/>
  <c r="DH45" i="30"/>
  <c r="DD45" i="30"/>
  <c r="EF44" i="30"/>
  <c r="EB44" i="30"/>
  <c r="DX44" i="30"/>
  <c r="DT44" i="30"/>
  <c r="DP44" i="30"/>
  <c r="DL44" i="30"/>
  <c r="DH44" i="30"/>
  <c r="DD44" i="30"/>
  <c r="EF43" i="30"/>
  <c r="EB43" i="30"/>
  <c r="DX43" i="30"/>
  <c r="DT43" i="30"/>
  <c r="DP43" i="30"/>
  <c r="DL43" i="30"/>
  <c r="DH43" i="30"/>
  <c r="DD43" i="30"/>
  <c r="EF42" i="30"/>
  <c r="EB42" i="30"/>
  <c r="DX42" i="30"/>
  <c r="DT42" i="30"/>
  <c r="DP42" i="30"/>
  <c r="DL42" i="30"/>
  <c r="DH42" i="30"/>
  <c r="DD42" i="30"/>
  <c r="EF41" i="30"/>
  <c r="EB41" i="30"/>
  <c r="DX41" i="30"/>
  <c r="DT41" i="30"/>
  <c r="DP41" i="30"/>
  <c r="DL41" i="30"/>
  <c r="DH41" i="30"/>
  <c r="DD41" i="30"/>
  <c r="EF40" i="30"/>
  <c r="EB40" i="30"/>
  <c r="DX40" i="30"/>
  <c r="DT40" i="30"/>
  <c r="DP40" i="30"/>
  <c r="DL40" i="30"/>
  <c r="DH40" i="30"/>
  <c r="DD40" i="30"/>
  <c r="EF39" i="30"/>
  <c r="EB39" i="30"/>
  <c r="DX39" i="30"/>
  <c r="DT39" i="30"/>
  <c r="DP39" i="30"/>
  <c r="DL39" i="30"/>
  <c r="DH39" i="30"/>
  <c r="DD39" i="30"/>
  <c r="EF38" i="30"/>
  <c r="EB38" i="30"/>
  <c r="DX38" i="30"/>
  <c r="DT38" i="30"/>
  <c r="DP38" i="30"/>
  <c r="DL38" i="30"/>
  <c r="DH38" i="30"/>
  <c r="DD38" i="30"/>
  <c r="EF37" i="30"/>
  <c r="EB37" i="30"/>
  <c r="DX37" i="30"/>
  <c r="DT37" i="30"/>
  <c r="DP37" i="30"/>
  <c r="DL37" i="30"/>
  <c r="DH37" i="30"/>
  <c r="DD37" i="30"/>
  <c r="EF36" i="30"/>
  <c r="EB36" i="30"/>
  <c r="DX36" i="30"/>
  <c r="DT36" i="30"/>
  <c r="DP36" i="30"/>
  <c r="DL36" i="30"/>
  <c r="DH36" i="30"/>
  <c r="DD36" i="30"/>
  <c r="EF35" i="30"/>
  <c r="EB35" i="30"/>
  <c r="DX35" i="30"/>
  <c r="DT35" i="30"/>
  <c r="DP35" i="30"/>
  <c r="DL35" i="30"/>
  <c r="DH35" i="30"/>
  <c r="DD35" i="30"/>
  <c r="EF34" i="30"/>
  <c r="EB34" i="30"/>
  <c r="DX34" i="30"/>
  <c r="DT34" i="30"/>
  <c r="DP34" i="30"/>
  <c r="DL34" i="30"/>
  <c r="DH34" i="30"/>
  <c r="DD34" i="30"/>
  <c r="EF33" i="30"/>
  <c r="EB33" i="30"/>
  <c r="DX33" i="30"/>
  <c r="DT33" i="30"/>
  <c r="DP33" i="30"/>
  <c r="DL33" i="30"/>
  <c r="DH33" i="30"/>
  <c r="DD33" i="30"/>
  <c r="EF32" i="30"/>
  <c r="EB32" i="30"/>
  <c r="DX32" i="30"/>
  <c r="DT32" i="30"/>
  <c r="DP32" i="30"/>
  <c r="DL32" i="30"/>
  <c r="DH32" i="30"/>
  <c r="DD32" i="30"/>
  <c r="EF31" i="30"/>
  <c r="EB31" i="30"/>
  <c r="DX31" i="30"/>
  <c r="DT31" i="30"/>
  <c r="DP31" i="30"/>
  <c r="DL31" i="30"/>
  <c r="DH31" i="30"/>
  <c r="DD31" i="30"/>
  <c r="EF30" i="30"/>
  <c r="EB30" i="30"/>
  <c r="DX30" i="30"/>
  <c r="DT30" i="30"/>
  <c r="DP30" i="30"/>
  <c r="DL30" i="30"/>
  <c r="DH30" i="30"/>
  <c r="DD30" i="30"/>
  <c r="EF29" i="30"/>
  <c r="EB29" i="30"/>
  <c r="DX29" i="30"/>
  <c r="DT29" i="30"/>
  <c r="DP29" i="30"/>
  <c r="DL29" i="30"/>
  <c r="DH29" i="30"/>
  <c r="DD29" i="30"/>
  <c r="EF28" i="30"/>
  <c r="EB28" i="30"/>
  <c r="DX28" i="30"/>
  <c r="DT28" i="30"/>
  <c r="DP28" i="30"/>
  <c r="DL28" i="30"/>
  <c r="DH28" i="30"/>
  <c r="DD28" i="30"/>
  <c r="EF27" i="30"/>
  <c r="EB27" i="30"/>
  <c r="DX27" i="30"/>
  <c r="DT27" i="30"/>
  <c r="DP27" i="30"/>
  <c r="DL27" i="30"/>
  <c r="DH27" i="30"/>
  <c r="DD27" i="30"/>
  <c r="EF26" i="30"/>
  <c r="EB26" i="30"/>
  <c r="DX26" i="30"/>
  <c r="DT26" i="30"/>
  <c r="DP26" i="30"/>
  <c r="DL26" i="30"/>
  <c r="DH26" i="30"/>
  <c r="DD26" i="30"/>
  <c r="EF25" i="30"/>
  <c r="EB25" i="30"/>
  <c r="DX25" i="30"/>
  <c r="DT25" i="30"/>
  <c r="DP25" i="30"/>
  <c r="DL25" i="30"/>
  <c r="DH25" i="30"/>
  <c r="DD25" i="30"/>
  <c r="EF24" i="30"/>
  <c r="EB24" i="30"/>
  <c r="DX24" i="30"/>
  <c r="DT24" i="30"/>
  <c r="DP24" i="30"/>
  <c r="DL24" i="30"/>
  <c r="DH24" i="30"/>
  <c r="DD24" i="30"/>
  <c r="EF23" i="30"/>
  <c r="EB23" i="30"/>
  <c r="DX23" i="30"/>
  <c r="DT23" i="30"/>
  <c r="DP23" i="30"/>
  <c r="DL23" i="30"/>
  <c r="DH23" i="30"/>
  <c r="DD23" i="30"/>
  <c r="EF22" i="30"/>
  <c r="EB22" i="30"/>
  <c r="DX22" i="30"/>
  <c r="DT22" i="30"/>
  <c r="DP22" i="30"/>
  <c r="DL22" i="30"/>
  <c r="DH22" i="30"/>
  <c r="DD22" i="30"/>
  <c r="EF21" i="30"/>
  <c r="EB21" i="30"/>
  <c r="DX21" i="30"/>
  <c r="DT21" i="30"/>
  <c r="DP21" i="30"/>
  <c r="DL21" i="30"/>
  <c r="DH21" i="30"/>
  <c r="DD21" i="30"/>
  <c r="EF20" i="30"/>
  <c r="EB20" i="30"/>
  <c r="DX20" i="30"/>
  <c r="DT20" i="30"/>
  <c r="DP20" i="30"/>
  <c r="DL20" i="30"/>
  <c r="DH20" i="30"/>
  <c r="DD20" i="30"/>
  <c r="EF19" i="30"/>
  <c r="EB19" i="30"/>
  <c r="DX19" i="30"/>
  <c r="DT19" i="30"/>
  <c r="DP19" i="30"/>
  <c r="DL19" i="30"/>
  <c r="DH19" i="30"/>
  <c r="DD19" i="30"/>
  <c r="EF18" i="30"/>
  <c r="EB18" i="30"/>
  <c r="DX18" i="30"/>
  <c r="DT18" i="30"/>
  <c r="DP18" i="30"/>
  <c r="DL18" i="30"/>
  <c r="DH18" i="30"/>
  <c r="DD18" i="30"/>
  <c r="EF17" i="30"/>
  <c r="EB17" i="30"/>
  <c r="DX17" i="30"/>
  <c r="DT17" i="30"/>
  <c r="DP17" i="30"/>
  <c r="DL17" i="30"/>
  <c r="DH17" i="30"/>
  <c r="DD17" i="30"/>
  <c r="EF16" i="30"/>
  <c r="EB16" i="30"/>
  <c r="DX16" i="30"/>
  <c r="DT16" i="30"/>
  <c r="DP16" i="30"/>
  <c r="DL16" i="30"/>
  <c r="DH16" i="30"/>
  <c r="DD16" i="30"/>
  <c r="EF15" i="30"/>
  <c r="EB15" i="30"/>
  <c r="DX15" i="30"/>
  <c r="DT15" i="30"/>
  <c r="DP15" i="30"/>
  <c r="DL15" i="30"/>
  <c r="DH15" i="30"/>
  <c r="DD15" i="30"/>
  <c r="EF14" i="30"/>
  <c r="EB14" i="30"/>
  <c r="DX14" i="30"/>
  <c r="DT14" i="30"/>
  <c r="DP14" i="30"/>
  <c r="DL14" i="30"/>
  <c r="DH14" i="30"/>
  <c r="DD14" i="30"/>
  <c r="EF13" i="30"/>
  <c r="EB13" i="30"/>
  <c r="DX13" i="30"/>
  <c r="DT13" i="30"/>
  <c r="DP13" i="30"/>
  <c r="DL13" i="30"/>
  <c r="DH13" i="30"/>
  <c r="DD13" i="30"/>
  <c r="EF12" i="30"/>
  <c r="EB12" i="30"/>
  <c r="DX12" i="30"/>
  <c r="DT12" i="30"/>
  <c r="DP12" i="30"/>
  <c r="DL12" i="30"/>
  <c r="DH12" i="30"/>
  <c r="DD12" i="30"/>
  <c r="EF11" i="30"/>
  <c r="EB11" i="30"/>
  <c r="DX11" i="30"/>
  <c r="DT11" i="30"/>
  <c r="DP11" i="30"/>
  <c r="DL11" i="30"/>
  <c r="DH11" i="30"/>
  <c r="DD11" i="30"/>
  <c r="EF10" i="30"/>
  <c r="EB10" i="30"/>
  <c r="DX10" i="30"/>
  <c r="DT10" i="30"/>
  <c r="DP10" i="30"/>
  <c r="DL10" i="30"/>
  <c r="DH10" i="30"/>
  <c r="DD10" i="30"/>
  <c r="EF9" i="30"/>
  <c r="EB9" i="30"/>
  <c r="DX9" i="30"/>
  <c r="DT9" i="30"/>
  <c r="DP9" i="30"/>
  <c r="DL9" i="30"/>
  <c r="DH9" i="30"/>
  <c r="DD9" i="30"/>
  <c r="EF8" i="30"/>
  <c r="EB8" i="30"/>
  <c r="DX8" i="30"/>
  <c r="DT8" i="30"/>
  <c r="DP8" i="30"/>
  <c r="DL8" i="30"/>
  <c r="DH8" i="30"/>
  <c r="DD8" i="30"/>
  <c r="EF7" i="30"/>
  <c r="EB7" i="30"/>
  <c r="DX7" i="30"/>
  <c r="DT7" i="30"/>
  <c r="DP7" i="30"/>
  <c r="DL7" i="30"/>
  <c r="DH7" i="30"/>
  <c r="DD7" i="30"/>
  <c r="EF6" i="30"/>
  <c r="EB6" i="30"/>
  <c r="DX6" i="30"/>
  <c r="DT6" i="30"/>
  <c r="DP6" i="30"/>
  <c r="DL6" i="30"/>
  <c r="DH6" i="30"/>
  <c r="DD6" i="30"/>
  <c r="EF5" i="30"/>
  <c r="EB5" i="30"/>
  <c r="DX5" i="30"/>
  <c r="DT5" i="30"/>
  <c r="DP5" i="30"/>
  <c r="DL5" i="30"/>
  <c r="DH5" i="30"/>
  <c r="DD5" i="30"/>
  <c r="EF4" i="30"/>
  <c r="EB4" i="30"/>
  <c r="DX4" i="30"/>
  <c r="DT4" i="30"/>
  <c r="DP4" i="30"/>
  <c r="DL4" i="30"/>
  <c r="DH4" i="30"/>
  <c r="DD4" i="30"/>
  <c r="CX5" i="2"/>
  <c r="CX7" i="2"/>
  <c r="CX8" i="2"/>
  <c r="CX10" i="2"/>
  <c r="CX11" i="2"/>
  <c r="CX13" i="2"/>
  <c r="CX14" i="2"/>
  <c r="CX15" i="2"/>
  <c r="CX16" i="2"/>
  <c r="CX17" i="2"/>
  <c r="CX18" i="2"/>
  <c r="CX19" i="2"/>
  <c r="CX20" i="2"/>
  <c r="CX21" i="2"/>
  <c r="CX22" i="2"/>
  <c r="CX23" i="2"/>
  <c r="CX24" i="2"/>
  <c r="CX25" i="2"/>
  <c r="CX26" i="2"/>
  <c r="CX27" i="2"/>
  <c r="CX28" i="2"/>
  <c r="CX29" i="2"/>
  <c r="CX30" i="2"/>
  <c r="CX31" i="2"/>
  <c r="CX32" i="2"/>
  <c r="CX33" i="2"/>
  <c r="CX34" i="2"/>
  <c r="CX35" i="2"/>
  <c r="CX36" i="2"/>
  <c r="CX37" i="2"/>
  <c r="CX38" i="2"/>
  <c r="CX39" i="2"/>
  <c r="CX40" i="2"/>
  <c r="CX41" i="2"/>
  <c r="CX43" i="2"/>
  <c r="CX44" i="2"/>
  <c r="CX45" i="2"/>
  <c r="CX46" i="2"/>
  <c r="CX47" i="2"/>
  <c r="CX49" i="2"/>
  <c r="CX50" i="2"/>
  <c r="CX51" i="2"/>
  <c r="CX52" i="2"/>
  <c r="CX53" i="2"/>
  <c r="CX55" i="2"/>
  <c r="CX57" i="2"/>
  <c r="CX58" i="2"/>
  <c r="CX59" i="2"/>
  <c r="CX60" i="2"/>
  <c r="CX61" i="2"/>
  <c r="CX62" i="2"/>
  <c r="CX63" i="2"/>
  <c r="CX64" i="2"/>
  <c r="CX65" i="2"/>
  <c r="CX66" i="2"/>
  <c r="C4" i="32"/>
  <c r="D4" i="32"/>
  <c r="A20" i="30"/>
  <c r="A21" i="30"/>
  <c r="A22" i="30"/>
  <c r="A31" i="30"/>
  <c r="A33" i="30"/>
  <c r="A32" i="30"/>
  <c r="A36" i="30"/>
  <c r="A43" i="30"/>
  <c r="A44" i="30"/>
  <c r="A46" i="30"/>
  <c r="A56" i="30"/>
  <c r="A4" i="30"/>
  <c r="A19" i="30"/>
  <c r="A41" i="30"/>
  <c r="A49" i="30"/>
  <c r="A11" i="30"/>
  <c r="A29" i="30"/>
  <c r="A47" i="30"/>
  <c r="A13" i="30"/>
  <c r="A45" i="30"/>
  <c r="A55" i="30"/>
  <c r="A7" i="30"/>
  <c r="A14" i="30"/>
  <c r="A8" i="30"/>
  <c r="A12" i="30"/>
  <c r="A50" i="30"/>
  <c r="A57" i="30"/>
  <c r="A23" i="30"/>
  <c r="A27" i="30"/>
  <c r="A6" i="30"/>
  <c r="A16" i="30"/>
  <c r="A25" i="30"/>
  <c r="A37" i="30"/>
  <c r="A18" i="30"/>
  <c r="A53" i="30"/>
  <c r="A51" i="30"/>
  <c r="A17" i="30"/>
  <c r="A40" i="30"/>
  <c r="A9" i="30"/>
  <c r="A28" i="30"/>
  <c r="A10" i="30"/>
  <c r="A35" i="30"/>
  <c r="A48" i="30"/>
  <c r="A42" i="30"/>
  <c r="A58" i="30"/>
  <c r="A24" i="30"/>
  <c r="A15" i="30"/>
  <c r="A34" i="30"/>
  <c r="A39" i="30"/>
  <c r="A52" i="30"/>
  <c r="A30" i="30"/>
  <c r="A54" i="30"/>
  <c r="A5" i="30"/>
  <c r="A26" i="30"/>
  <c r="A59" i="30"/>
  <c r="A38" i="30"/>
  <c r="EI20" i="30"/>
  <c r="EI21" i="30"/>
  <c r="EI22" i="30"/>
  <c r="EI31" i="30"/>
  <c r="EI33" i="30"/>
  <c r="EI32" i="30"/>
  <c r="EI36" i="30"/>
  <c r="EI43" i="30"/>
  <c r="EI44" i="30"/>
  <c r="EI46" i="30"/>
  <c r="EI56" i="30"/>
  <c r="EI4" i="30"/>
  <c r="EI19" i="30"/>
  <c r="EI41" i="30"/>
  <c r="EI49" i="30"/>
  <c r="EI11" i="30"/>
  <c r="EI29" i="30"/>
  <c r="EI47" i="30"/>
  <c r="EI13" i="30"/>
  <c r="EI45" i="30"/>
  <c r="EI55" i="30"/>
  <c r="EI7" i="30"/>
  <c r="EI14" i="30"/>
  <c r="EI8" i="30"/>
  <c r="EI12" i="30"/>
  <c r="EI50" i="30"/>
  <c r="EI57" i="30"/>
  <c r="EI23" i="30"/>
  <c r="EI27" i="30"/>
  <c r="EI6" i="30"/>
  <c r="EI16" i="30"/>
  <c r="EI25" i="30"/>
  <c r="EI37" i="30"/>
  <c r="EI18" i="30"/>
  <c r="EI53" i="30"/>
  <c r="EI51" i="30"/>
  <c r="EI17" i="30"/>
  <c r="EI40" i="30"/>
  <c r="EI9" i="30"/>
  <c r="EI28" i="30"/>
  <c r="EI10" i="30"/>
  <c r="EI35" i="30"/>
  <c r="EI48" i="30"/>
  <c r="EI42" i="30"/>
  <c r="EI58" i="30"/>
  <c r="EI24" i="30"/>
  <c r="EI15" i="30"/>
  <c r="EI34" i="30"/>
  <c r="EI39" i="30"/>
  <c r="EI52" i="30"/>
  <c r="EI30" i="30"/>
  <c r="EI54" i="30"/>
  <c r="EI5" i="30"/>
  <c r="EI26" i="30"/>
  <c r="EI59" i="30"/>
  <c r="EI38" i="30"/>
  <c r="L24" i="32"/>
  <c r="DB4" i="30"/>
  <c r="DF4" i="30"/>
  <c r="DJ4" i="30"/>
  <c r="DN4" i="30"/>
  <c r="DR4" i="30"/>
  <c r="DV4" i="30"/>
  <c r="DZ4" i="30"/>
  <c r="ED4" i="30"/>
  <c r="EH4" i="30"/>
  <c r="DB26" i="30"/>
  <c r="DF26" i="30"/>
  <c r="DJ26" i="30"/>
  <c r="DN26" i="30"/>
  <c r="DR26" i="30"/>
  <c r="DV26" i="30"/>
  <c r="DZ26" i="30"/>
  <c r="ED26" i="30"/>
  <c r="EH26" i="30"/>
  <c r="DB59" i="30"/>
  <c r="DF59" i="30"/>
  <c r="DJ59" i="30"/>
  <c r="DN59" i="30"/>
  <c r="DR59" i="30"/>
  <c r="DV59" i="30"/>
  <c r="DZ59" i="30"/>
  <c r="ED59" i="30"/>
  <c r="EH59" i="30"/>
  <c r="DB5" i="30"/>
  <c r="DF5" i="30"/>
  <c r="DJ5" i="30"/>
  <c r="DN5" i="30"/>
  <c r="DR5" i="30"/>
  <c r="DV5" i="30"/>
  <c r="DZ5" i="30"/>
  <c r="ED5" i="30"/>
  <c r="EH5" i="30"/>
  <c r="L23" i="32"/>
  <c r="EJ4" i="30"/>
  <c r="EJ26" i="30"/>
  <c r="EJ59" i="30"/>
  <c r="EJ5" i="30"/>
  <c r="L22" i="32"/>
  <c r="DB29" i="2"/>
  <c r="DB6" i="2"/>
  <c r="DB67" i="2"/>
  <c r="L17" i="32"/>
  <c r="L16" i="32"/>
  <c r="N9" i="32"/>
  <c r="L9" i="32"/>
  <c r="L8" i="32"/>
  <c r="D8" i="32"/>
  <c r="H9" i="32"/>
  <c r="H61" i="32"/>
  <c r="H60" i="32"/>
  <c r="H59" i="32"/>
  <c r="H58" i="32"/>
  <c r="H57" i="32"/>
  <c r="H56" i="32"/>
  <c r="H55" i="32"/>
  <c r="H54" i="32"/>
  <c r="H53" i="32"/>
  <c r="H52" i="32"/>
  <c r="H50" i="32"/>
  <c r="H49" i="32"/>
  <c r="H48" i="32"/>
  <c r="H47" i="32"/>
  <c r="H46" i="32"/>
  <c r="H45" i="32"/>
  <c r="H44" i="32"/>
  <c r="H43" i="32"/>
  <c r="H42" i="32"/>
  <c r="H41" i="32"/>
  <c r="H40" i="32"/>
  <c r="H39" i="32"/>
  <c r="H38" i="32"/>
  <c r="H37" i="32"/>
  <c r="H35" i="32"/>
  <c r="H34" i="32"/>
  <c r="H33" i="32"/>
  <c r="H32" i="32"/>
  <c r="H31" i="32"/>
  <c r="H30" i="32"/>
  <c r="H29" i="32"/>
  <c r="H28" i="32"/>
  <c r="H27" i="32"/>
  <c r="H26" i="32"/>
  <c r="H25" i="32"/>
  <c r="H23" i="32"/>
  <c r="H22" i="32"/>
  <c r="H21" i="32"/>
  <c r="H20" i="32"/>
  <c r="H19" i="32"/>
  <c r="H18" i="32"/>
  <c r="H17" i="32"/>
  <c r="H16" i="32"/>
  <c r="H15" i="32"/>
  <c r="H14" i="32"/>
  <c r="H13" i="32"/>
  <c r="H12" i="32"/>
  <c r="H11" i="32"/>
  <c r="H10" i="32"/>
  <c r="H8" i="32"/>
  <c r="D60" i="32"/>
  <c r="D59" i="32"/>
  <c r="D58" i="32"/>
  <c r="D57" i="32"/>
  <c r="D56" i="32"/>
  <c r="D55" i="32"/>
  <c r="D54" i="32"/>
  <c r="D53" i="32"/>
  <c r="D52" i="32"/>
  <c r="D51" i="32"/>
  <c r="D50" i="32"/>
  <c r="D49" i="32"/>
  <c r="D48" i="32"/>
  <c r="D46" i="32"/>
  <c r="D45" i="32"/>
  <c r="D44" i="32"/>
  <c r="D43" i="32"/>
  <c r="D42" i="32"/>
  <c r="D41" i="32"/>
  <c r="D40" i="32"/>
  <c r="D39" i="32"/>
  <c r="D38" i="32"/>
  <c r="D36" i="32"/>
  <c r="D35" i="32"/>
  <c r="D34" i="32"/>
  <c r="D33" i="32"/>
  <c r="D32" i="32"/>
  <c r="D31" i="32"/>
  <c r="D30" i="32"/>
  <c r="D29" i="32"/>
  <c r="D28" i="32"/>
  <c r="D27" i="32"/>
  <c r="D26" i="32"/>
  <c r="D25" i="32"/>
  <c r="D23" i="32"/>
  <c r="D22" i="32"/>
  <c r="D21" i="32"/>
  <c r="D20" i="32"/>
  <c r="D19" i="32"/>
  <c r="D18" i="32"/>
  <c r="D17" i="32"/>
  <c r="D16" i="32"/>
  <c r="D15" i="32"/>
  <c r="D14" i="32"/>
  <c r="D13" i="32"/>
  <c r="D12" i="32"/>
  <c r="D11" i="32"/>
  <c r="D10" i="32"/>
  <c r="D9" i="32"/>
  <c r="BY5" i="2"/>
  <c r="CA5" i="2"/>
  <c r="CC5" i="2"/>
  <c r="CE5" i="2"/>
  <c r="CG5" i="2"/>
  <c r="CI5" i="2"/>
  <c r="CK5" i="2"/>
  <c r="CM5" i="2"/>
  <c r="CO5" i="2"/>
  <c r="BX5" i="2"/>
  <c r="BT5" i="2"/>
  <c r="BU5" i="2"/>
  <c r="BV5" i="2"/>
  <c r="BW5" i="2"/>
  <c r="BZ5" i="2"/>
  <c r="CB5" i="2"/>
  <c r="CD5" i="2"/>
  <c r="CF5" i="2"/>
  <c r="CH5" i="2"/>
  <c r="CJ5" i="2"/>
  <c r="CL5" i="2"/>
  <c r="CN5" i="2"/>
  <c r="CP5" i="2"/>
  <c r="CQ5" i="2"/>
  <c r="L5" i="2"/>
  <c r="E72" i="30"/>
  <c r="F72" i="30"/>
  <c r="G72" i="30"/>
  <c r="H72" i="30"/>
  <c r="I72" i="30"/>
  <c r="J72" i="30"/>
  <c r="K72" i="30"/>
  <c r="L72" i="30"/>
  <c r="M72" i="30"/>
  <c r="N72" i="30"/>
  <c r="O72" i="30"/>
  <c r="P72" i="30"/>
  <c r="Q72" i="30"/>
  <c r="R72" i="30"/>
  <c r="S72" i="30"/>
  <c r="T72" i="30"/>
  <c r="U72" i="30"/>
  <c r="V72" i="30"/>
  <c r="W72" i="30"/>
  <c r="X72" i="30"/>
  <c r="Y72" i="30"/>
  <c r="Z72" i="30"/>
  <c r="AA72" i="30"/>
  <c r="AB72" i="30"/>
  <c r="AC72" i="30"/>
  <c r="AD72" i="30"/>
  <c r="AE72" i="30"/>
  <c r="AF72" i="30"/>
  <c r="AG72" i="30"/>
  <c r="AH72" i="30"/>
  <c r="AI72" i="30"/>
  <c r="AJ72" i="30"/>
  <c r="AK72" i="30"/>
  <c r="AL72" i="30"/>
  <c r="AM72" i="30"/>
  <c r="AN72" i="30"/>
  <c r="AO72" i="30"/>
  <c r="AP72" i="30"/>
  <c r="AQ72" i="30"/>
  <c r="AR72" i="30"/>
  <c r="AS72" i="30"/>
  <c r="AT72" i="30"/>
  <c r="AU72" i="30"/>
  <c r="AV72" i="30"/>
  <c r="AW72" i="30"/>
  <c r="AX72" i="30"/>
  <c r="AY72" i="30"/>
  <c r="AZ72" i="30"/>
  <c r="BA72" i="30"/>
  <c r="BB72" i="30"/>
  <c r="BC72" i="30"/>
  <c r="BD72" i="30"/>
  <c r="BE72" i="30"/>
  <c r="BF72" i="30"/>
  <c r="BG72" i="30"/>
  <c r="BH72" i="30"/>
  <c r="BI72" i="30"/>
  <c r="BJ72" i="30"/>
  <c r="BK72" i="30"/>
  <c r="BL72" i="30"/>
  <c r="BM72" i="30"/>
  <c r="BN72" i="30"/>
  <c r="BO72" i="30"/>
  <c r="BP72" i="30"/>
  <c r="BQ72" i="30"/>
  <c r="BR72" i="30"/>
  <c r="BS72" i="30"/>
  <c r="BT72" i="30"/>
  <c r="BU72" i="30"/>
  <c r="BV72" i="30"/>
  <c r="BW72" i="30"/>
  <c r="BX72" i="30"/>
  <c r="BY72" i="30"/>
  <c r="BZ72" i="30"/>
  <c r="CA72" i="30"/>
  <c r="CB72" i="30"/>
  <c r="CC72" i="30"/>
  <c r="CD72" i="30"/>
  <c r="CE72" i="30"/>
  <c r="CF72" i="30"/>
  <c r="CG72" i="30"/>
  <c r="CH72" i="30"/>
  <c r="CI72" i="30"/>
  <c r="CJ72" i="30"/>
  <c r="CK72" i="30"/>
  <c r="CL72" i="30"/>
  <c r="CM72" i="30"/>
  <c r="CN72" i="30"/>
  <c r="CO72" i="30"/>
  <c r="CP72" i="30"/>
  <c r="CQ72" i="30"/>
  <c r="CR72" i="30"/>
  <c r="CS72" i="30"/>
  <c r="CT72" i="30"/>
  <c r="CU72" i="30"/>
  <c r="CV72" i="30"/>
  <c r="CW72" i="30"/>
  <c r="CX72" i="30"/>
  <c r="CY72" i="30"/>
  <c r="CZ72" i="30"/>
  <c r="D72" i="30"/>
  <c r="EG59" i="30"/>
  <c r="DB58" i="30"/>
  <c r="DF58" i="30"/>
  <c r="DJ58" i="30"/>
  <c r="DN58" i="30"/>
  <c r="DR58" i="30"/>
  <c r="DV58" i="30"/>
  <c r="DZ58" i="30"/>
  <c r="ED58" i="30"/>
  <c r="EH58" i="30"/>
  <c r="EG58" i="30"/>
  <c r="DB57" i="30"/>
  <c r="DF57" i="30"/>
  <c r="DJ57" i="30"/>
  <c r="DN57" i="30"/>
  <c r="DR57" i="30"/>
  <c r="DV57" i="30"/>
  <c r="DZ57" i="30"/>
  <c r="ED57" i="30"/>
  <c r="EH57" i="30"/>
  <c r="EG57" i="30"/>
  <c r="DB56" i="30"/>
  <c r="DF56" i="30"/>
  <c r="DJ56" i="30"/>
  <c r="DN56" i="30"/>
  <c r="DR56" i="30"/>
  <c r="DV56" i="30"/>
  <c r="DZ56" i="30"/>
  <c r="ED56" i="30"/>
  <c r="EH56" i="30"/>
  <c r="EG56" i="30"/>
  <c r="DB55" i="30"/>
  <c r="DF55" i="30"/>
  <c r="DJ55" i="30"/>
  <c r="DN55" i="30"/>
  <c r="DR55" i="30"/>
  <c r="DV55" i="30"/>
  <c r="DZ55" i="30"/>
  <c r="ED55" i="30"/>
  <c r="EH55" i="30"/>
  <c r="EG55" i="30"/>
  <c r="DB54" i="30"/>
  <c r="DF54" i="30"/>
  <c r="DJ54" i="30"/>
  <c r="DN54" i="30"/>
  <c r="DR54" i="30"/>
  <c r="DV54" i="30"/>
  <c r="DZ54" i="30"/>
  <c r="ED54" i="30"/>
  <c r="EH54" i="30"/>
  <c r="EG54" i="30"/>
  <c r="DB53" i="30"/>
  <c r="DF53" i="30"/>
  <c r="DJ53" i="30"/>
  <c r="DN53" i="30"/>
  <c r="DR53" i="30"/>
  <c r="DV53" i="30"/>
  <c r="DZ53" i="30"/>
  <c r="ED53" i="30"/>
  <c r="EH53" i="30"/>
  <c r="EG53" i="30"/>
  <c r="DB52" i="30"/>
  <c r="DF52" i="30"/>
  <c r="DJ52" i="30"/>
  <c r="DN52" i="30"/>
  <c r="DR52" i="30"/>
  <c r="DV52" i="30"/>
  <c r="DZ52" i="30"/>
  <c r="ED52" i="30"/>
  <c r="EH52" i="30"/>
  <c r="EG52" i="30"/>
  <c r="DB51" i="30"/>
  <c r="DF51" i="30"/>
  <c r="DJ51" i="30"/>
  <c r="DN51" i="30"/>
  <c r="DR51" i="30"/>
  <c r="DV51" i="30"/>
  <c r="DZ51" i="30"/>
  <c r="ED51" i="30"/>
  <c r="EH51" i="30"/>
  <c r="EG51" i="30"/>
  <c r="DB50" i="30"/>
  <c r="DF50" i="30"/>
  <c r="DJ50" i="30"/>
  <c r="DN50" i="30"/>
  <c r="DR50" i="30"/>
  <c r="DV50" i="30"/>
  <c r="DZ50" i="30"/>
  <c r="ED50" i="30"/>
  <c r="EH50" i="30"/>
  <c r="EG50" i="30"/>
  <c r="DB49" i="30"/>
  <c r="DF49" i="30"/>
  <c r="DJ49" i="30"/>
  <c r="DN49" i="30"/>
  <c r="DR49" i="30"/>
  <c r="DV49" i="30"/>
  <c r="DZ49" i="30"/>
  <c r="ED49" i="30"/>
  <c r="EH49" i="30"/>
  <c r="EG49" i="30"/>
  <c r="DB48" i="30"/>
  <c r="DF48" i="30"/>
  <c r="DJ48" i="30"/>
  <c r="DN48" i="30"/>
  <c r="DR48" i="30"/>
  <c r="DV48" i="30"/>
  <c r="DZ48" i="30"/>
  <c r="ED48" i="30"/>
  <c r="EH48" i="30"/>
  <c r="EG48" i="30"/>
  <c r="DB47" i="30"/>
  <c r="DF47" i="30"/>
  <c r="DJ47" i="30"/>
  <c r="DN47" i="30"/>
  <c r="DR47" i="30"/>
  <c r="DV47" i="30"/>
  <c r="DZ47" i="30"/>
  <c r="ED47" i="30"/>
  <c r="EH47" i="30"/>
  <c r="EG47" i="30"/>
  <c r="DB46" i="30"/>
  <c r="DF46" i="30"/>
  <c r="DJ46" i="30"/>
  <c r="DN46" i="30"/>
  <c r="DR46" i="30"/>
  <c r="DV46" i="30"/>
  <c r="DZ46" i="30"/>
  <c r="ED46" i="30"/>
  <c r="EH46" i="30"/>
  <c r="EG46" i="30"/>
  <c r="DB45" i="30"/>
  <c r="DF45" i="30"/>
  <c r="DJ45" i="30"/>
  <c r="DN45" i="30"/>
  <c r="DR45" i="30"/>
  <c r="DV45" i="30"/>
  <c r="DZ45" i="30"/>
  <c r="ED45" i="30"/>
  <c r="EH45" i="30"/>
  <c r="EG45" i="30"/>
  <c r="DB44" i="30"/>
  <c r="DF44" i="30"/>
  <c r="DJ44" i="30"/>
  <c r="DN44" i="30"/>
  <c r="DR44" i="30"/>
  <c r="DV44" i="30"/>
  <c r="DZ44" i="30"/>
  <c r="ED44" i="30"/>
  <c r="EH44" i="30"/>
  <c r="EG44" i="30"/>
  <c r="DB43" i="30"/>
  <c r="DF43" i="30"/>
  <c r="DJ43" i="30"/>
  <c r="DN43" i="30"/>
  <c r="DR43" i="30"/>
  <c r="DV43" i="30"/>
  <c r="DZ43" i="30"/>
  <c r="ED43" i="30"/>
  <c r="EH43" i="30"/>
  <c r="EG43" i="30"/>
  <c r="DB42" i="30"/>
  <c r="DF42" i="30"/>
  <c r="DJ42" i="30"/>
  <c r="DN42" i="30"/>
  <c r="DR42" i="30"/>
  <c r="DV42" i="30"/>
  <c r="DZ42" i="30"/>
  <c r="ED42" i="30"/>
  <c r="EH42" i="30"/>
  <c r="EG42" i="30"/>
  <c r="DB41" i="30"/>
  <c r="DF41" i="30"/>
  <c r="DJ41" i="30"/>
  <c r="DN41" i="30"/>
  <c r="DR41" i="30"/>
  <c r="DV41" i="30"/>
  <c r="DZ41" i="30"/>
  <c r="ED41" i="30"/>
  <c r="EH41" i="30"/>
  <c r="EG41" i="30"/>
  <c r="DB40" i="30"/>
  <c r="DF40" i="30"/>
  <c r="DJ40" i="30"/>
  <c r="DN40" i="30"/>
  <c r="DR40" i="30"/>
  <c r="DV40" i="30"/>
  <c r="DZ40" i="30"/>
  <c r="ED40" i="30"/>
  <c r="EH40" i="30"/>
  <c r="EG40" i="30"/>
  <c r="DB39" i="30"/>
  <c r="DF39" i="30"/>
  <c r="DJ39" i="30"/>
  <c r="DN39" i="30"/>
  <c r="DR39" i="30"/>
  <c r="DV39" i="30"/>
  <c r="DZ39" i="30"/>
  <c r="ED39" i="30"/>
  <c r="EH39" i="30"/>
  <c r="EG39" i="30"/>
  <c r="DB38" i="30"/>
  <c r="DF38" i="30"/>
  <c r="DJ38" i="30"/>
  <c r="DN38" i="30"/>
  <c r="DR38" i="30"/>
  <c r="DV38" i="30"/>
  <c r="DZ38" i="30"/>
  <c r="ED38" i="30"/>
  <c r="EH38" i="30"/>
  <c r="EG38" i="30"/>
  <c r="DB37" i="30"/>
  <c r="DF37" i="30"/>
  <c r="DJ37" i="30"/>
  <c r="DN37" i="30"/>
  <c r="DR37" i="30"/>
  <c r="DV37" i="30"/>
  <c r="DZ37" i="30"/>
  <c r="ED37" i="30"/>
  <c r="EH37" i="30"/>
  <c r="EG37" i="30"/>
  <c r="DB36" i="30"/>
  <c r="DF36" i="30"/>
  <c r="DJ36" i="30"/>
  <c r="DN36" i="30"/>
  <c r="DR36" i="30"/>
  <c r="DV36" i="30"/>
  <c r="DZ36" i="30"/>
  <c r="ED36" i="30"/>
  <c r="EH36" i="30"/>
  <c r="EG36" i="30"/>
  <c r="DB35" i="30"/>
  <c r="DF35" i="30"/>
  <c r="DJ35" i="30"/>
  <c r="DN35" i="30"/>
  <c r="DR35" i="30"/>
  <c r="DV35" i="30"/>
  <c r="DZ35" i="30"/>
  <c r="ED35" i="30"/>
  <c r="EH35" i="30"/>
  <c r="EG35" i="30"/>
  <c r="DB34" i="30"/>
  <c r="DF34" i="30"/>
  <c r="DJ34" i="30"/>
  <c r="DN34" i="30"/>
  <c r="DR34" i="30"/>
  <c r="DV34" i="30"/>
  <c r="DZ34" i="30"/>
  <c r="ED34" i="30"/>
  <c r="EH34" i="30"/>
  <c r="EG34" i="30"/>
  <c r="DB32" i="30"/>
  <c r="DF32" i="30"/>
  <c r="DJ32" i="30"/>
  <c r="DN32" i="30"/>
  <c r="DR32" i="30"/>
  <c r="DV32" i="30"/>
  <c r="DZ32" i="30"/>
  <c r="ED32" i="30"/>
  <c r="EH32" i="30"/>
  <c r="EG32" i="30"/>
  <c r="DB33" i="30"/>
  <c r="DF33" i="30"/>
  <c r="DJ33" i="30"/>
  <c r="DN33" i="30"/>
  <c r="DR33" i="30"/>
  <c r="DV33" i="30"/>
  <c r="DZ33" i="30"/>
  <c r="ED33" i="30"/>
  <c r="EH33" i="30"/>
  <c r="EG33" i="30"/>
  <c r="DB31" i="30"/>
  <c r="DF31" i="30"/>
  <c r="DJ31" i="30"/>
  <c r="DN31" i="30"/>
  <c r="DR31" i="30"/>
  <c r="DV31" i="30"/>
  <c r="DZ31" i="30"/>
  <c r="ED31" i="30"/>
  <c r="EH31" i="30"/>
  <c r="EG31" i="30"/>
  <c r="DB30" i="30"/>
  <c r="DF30" i="30"/>
  <c r="DJ30" i="30"/>
  <c r="DN30" i="30"/>
  <c r="DR30" i="30"/>
  <c r="DV30" i="30"/>
  <c r="DZ30" i="30"/>
  <c r="ED30" i="30"/>
  <c r="EH30" i="30"/>
  <c r="EG30" i="30"/>
  <c r="DB29" i="30"/>
  <c r="DF29" i="30"/>
  <c r="DJ29" i="30"/>
  <c r="DN29" i="30"/>
  <c r="DR29" i="30"/>
  <c r="DV29" i="30"/>
  <c r="DZ29" i="30"/>
  <c r="ED29" i="30"/>
  <c r="EH29" i="30"/>
  <c r="EG29" i="30"/>
  <c r="DB28" i="30"/>
  <c r="DF28" i="30"/>
  <c r="DJ28" i="30"/>
  <c r="DN28" i="30"/>
  <c r="DR28" i="30"/>
  <c r="DV28" i="30"/>
  <c r="DZ28" i="30"/>
  <c r="ED28" i="30"/>
  <c r="EH28" i="30"/>
  <c r="EG28" i="30"/>
  <c r="DB27" i="30"/>
  <c r="DF27" i="30"/>
  <c r="DJ27" i="30"/>
  <c r="DN27" i="30"/>
  <c r="DR27" i="30"/>
  <c r="DV27" i="30"/>
  <c r="DZ27" i="30"/>
  <c r="ED27" i="30"/>
  <c r="EH27" i="30"/>
  <c r="EG27" i="30"/>
  <c r="EG26" i="30"/>
  <c r="DB25" i="30"/>
  <c r="DF25" i="30"/>
  <c r="DJ25" i="30"/>
  <c r="DN25" i="30"/>
  <c r="DR25" i="30"/>
  <c r="DV25" i="30"/>
  <c r="DZ25" i="30"/>
  <c r="ED25" i="30"/>
  <c r="EH25" i="30"/>
  <c r="EG25" i="30"/>
  <c r="DB24" i="30"/>
  <c r="DF24" i="30"/>
  <c r="DJ24" i="30"/>
  <c r="DN24" i="30"/>
  <c r="DR24" i="30"/>
  <c r="DV24" i="30"/>
  <c r="DZ24" i="30"/>
  <c r="ED24" i="30"/>
  <c r="EH24" i="30"/>
  <c r="EG24" i="30"/>
  <c r="DB23" i="30"/>
  <c r="DF23" i="30"/>
  <c r="DJ23" i="30"/>
  <c r="DN23" i="30"/>
  <c r="DR23" i="30"/>
  <c r="DV23" i="30"/>
  <c r="DZ23" i="30"/>
  <c r="ED23" i="30"/>
  <c r="EH23" i="30"/>
  <c r="EG23" i="30"/>
  <c r="DB22" i="30"/>
  <c r="DF22" i="30"/>
  <c r="DJ22" i="30"/>
  <c r="DN22" i="30"/>
  <c r="DR22" i="30"/>
  <c r="DV22" i="30"/>
  <c r="DZ22" i="30"/>
  <c r="ED22" i="30"/>
  <c r="EH22" i="30"/>
  <c r="EG22" i="30"/>
  <c r="DB21" i="30"/>
  <c r="DF21" i="30"/>
  <c r="DJ21" i="30"/>
  <c r="DN21" i="30"/>
  <c r="DR21" i="30"/>
  <c r="DV21" i="30"/>
  <c r="DZ21" i="30"/>
  <c r="ED21" i="30"/>
  <c r="EH21" i="30"/>
  <c r="EG21" i="30"/>
  <c r="DB20" i="30"/>
  <c r="DF20" i="30"/>
  <c r="DJ20" i="30"/>
  <c r="DN20" i="30"/>
  <c r="DR20" i="30"/>
  <c r="DV20" i="30"/>
  <c r="DZ20" i="30"/>
  <c r="ED20" i="30"/>
  <c r="EH20" i="30"/>
  <c r="EG20" i="30"/>
  <c r="DB19" i="30"/>
  <c r="DF19" i="30"/>
  <c r="DJ19" i="30"/>
  <c r="DN19" i="30"/>
  <c r="DR19" i="30"/>
  <c r="DV19" i="30"/>
  <c r="DZ19" i="30"/>
  <c r="ED19" i="30"/>
  <c r="EH19" i="30"/>
  <c r="EG19" i="30"/>
  <c r="DB18" i="30"/>
  <c r="DF18" i="30"/>
  <c r="DJ18" i="30"/>
  <c r="DN18" i="30"/>
  <c r="DR18" i="30"/>
  <c r="DV18" i="30"/>
  <c r="DZ18" i="30"/>
  <c r="ED18" i="30"/>
  <c r="EH18" i="30"/>
  <c r="EG18" i="30"/>
  <c r="DB17" i="30"/>
  <c r="DF17" i="30"/>
  <c r="DJ17" i="30"/>
  <c r="DN17" i="30"/>
  <c r="DR17" i="30"/>
  <c r="DV17" i="30"/>
  <c r="DZ17" i="30"/>
  <c r="ED17" i="30"/>
  <c r="EH17" i="30"/>
  <c r="EG17" i="30"/>
  <c r="DB16" i="30"/>
  <c r="DF16" i="30"/>
  <c r="DJ16" i="30"/>
  <c r="DN16" i="30"/>
  <c r="DR16" i="30"/>
  <c r="DV16" i="30"/>
  <c r="DZ16" i="30"/>
  <c r="ED16" i="30"/>
  <c r="EH16" i="30"/>
  <c r="EG16" i="30"/>
  <c r="DB15" i="30"/>
  <c r="DF15" i="30"/>
  <c r="DJ15" i="30"/>
  <c r="DN15" i="30"/>
  <c r="DR15" i="30"/>
  <c r="DV15" i="30"/>
  <c r="DZ15" i="30"/>
  <c r="ED15" i="30"/>
  <c r="EH15" i="30"/>
  <c r="EG15" i="30"/>
  <c r="DB14" i="30"/>
  <c r="DF14" i="30"/>
  <c r="DJ14" i="30"/>
  <c r="DN14" i="30"/>
  <c r="DR14" i="30"/>
  <c r="DV14" i="30"/>
  <c r="DZ14" i="30"/>
  <c r="ED14" i="30"/>
  <c r="EH14" i="30"/>
  <c r="EG14" i="30"/>
  <c r="DB13" i="30"/>
  <c r="DF13" i="30"/>
  <c r="DJ13" i="30"/>
  <c r="DN13" i="30"/>
  <c r="DR13" i="30"/>
  <c r="DV13" i="30"/>
  <c r="DZ13" i="30"/>
  <c r="ED13" i="30"/>
  <c r="EH13" i="30"/>
  <c r="EG13" i="30"/>
  <c r="DB12" i="30"/>
  <c r="DF12" i="30"/>
  <c r="DJ12" i="30"/>
  <c r="DN12" i="30"/>
  <c r="DR12" i="30"/>
  <c r="DV12" i="30"/>
  <c r="DZ12" i="30"/>
  <c r="ED12" i="30"/>
  <c r="EH12" i="30"/>
  <c r="EG12" i="30"/>
  <c r="DB11" i="30"/>
  <c r="DF11" i="30"/>
  <c r="DJ11" i="30"/>
  <c r="DN11" i="30"/>
  <c r="DR11" i="30"/>
  <c r="DV11" i="30"/>
  <c r="DZ11" i="30"/>
  <c r="ED11" i="30"/>
  <c r="EH11" i="30"/>
  <c r="EG11" i="30"/>
  <c r="DB10" i="30"/>
  <c r="DF10" i="30"/>
  <c r="DJ10" i="30"/>
  <c r="DN10" i="30"/>
  <c r="DR10" i="30"/>
  <c r="DV10" i="30"/>
  <c r="DZ10" i="30"/>
  <c r="ED10" i="30"/>
  <c r="EH10" i="30"/>
  <c r="EG10" i="30"/>
  <c r="DB9" i="30"/>
  <c r="DF9" i="30"/>
  <c r="DJ9" i="30"/>
  <c r="DN9" i="30"/>
  <c r="DR9" i="30"/>
  <c r="DV9" i="30"/>
  <c r="DZ9" i="30"/>
  <c r="ED9" i="30"/>
  <c r="EH9" i="30"/>
  <c r="EG9" i="30"/>
  <c r="DB8" i="30"/>
  <c r="DF8" i="30"/>
  <c r="DJ8" i="30"/>
  <c r="DN8" i="30"/>
  <c r="DR8" i="30"/>
  <c r="DV8" i="30"/>
  <c r="DZ8" i="30"/>
  <c r="ED8" i="30"/>
  <c r="EH8" i="30"/>
  <c r="EG8" i="30"/>
  <c r="DB7" i="30"/>
  <c r="DF7" i="30"/>
  <c r="DJ7" i="30"/>
  <c r="DN7" i="30"/>
  <c r="DR7" i="30"/>
  <c r="DV7" i="30"/>
  <c r="DZ7" i="30"/>
  <c r="ED7" i="30"/>
  <c r="EH7" i="30"/>
  <c r="EG7" i="30"/>
  <c r="DB6" i="30"/>
  <c r="DF6" i="30"/>
  <c r="DJ6" i="30"/>
  <c r="DN6" i="30"/>
  <c r="DR6" i="30"/>
  <c r="DV6" i="30"/>
  <c r="DZ6" i="30"/>
  <c r="ED6" i="30"/>
  <c r="EH6" i="30"/>
  <c r="EG6" i="30"/>
  <c r="EG4" i="30"/>
  <c r="EB1048561" i="30"/>
  <c r="EC1048561" i="30"/>
  <c r="EJ6" i="30"/>
  <c r="EJ7" i="30"/>
  <c r="EJ8" i="30"/>
  <c r="EJ9" i="30"/>
  <c r="EJ10" i="30"/>
  <c r="EJ11" i="30"/>
  <c r="EJ12" i="30"/>
  <c r="EJ13" i="30"/>
  <c r="EJ14" i="30"/>
  <c r="EJ15" i="30"/>
  <c r="EJ16" i="30"/>
  <c r="EJ17" i="30"/>
  <c r="EJ18" i="30"/>
  <c r="EJ19" i="30"/>
  <c r="EJ20" i="30"/>
  <c r="EJ21" i="30"/>
  <c r="EJ22" i="30"/>
  <c r="EJ23" i="30"/>
  <c r="EJ24" i="30"/>
  <c r="EJ25" i="30"/>
  <c r="EJ27" i="30"/>
  <c r="EJ28" i="30"/>
  <c r="EJ29" i="30"/>
  <c r="EJ30" i="30"/>
  <c r="EJ31" i="30"/>
  <c r="EJ33" i="30"/>
  <c r="EJ32" i="30"/>
  <c r="EJ34" i="30"/>
  <c r="EJ35" i="30"/>
  <c r="EJ36" i="30"/>
  <c r="EJ37" i="30"/>
  <c r="EJ38" i="30"/>
  <c r="EJ39" i="30"/>
  <c r="EJ40" i="30"/>
  <c r="EJ41" i="30"/>
  <c r="EJ42" i="30"/>
  <c r="EJ43" i="30"/>
  <c r="EJ44" i="30"/>
  <c r="EJ45" i="30"/>
  <c r="EJ46" i="30"/>
  <c r="EJ47" i="30"/>
  <c r="EJ48" i="30"/>
  <c r="EJ49" i="30"/>
  <c r="EJ50" i="30"/>
  <c r="EJ51" i="30"/>
  <c r="EJ52" i="30"/>
  <c r="EJ53" i="30"/>
  <c r="EJ54" i="30"/>
  <c r="EJ55" i="30"/>
  <c r="EJ56" i="30"/>
  <c r="EJ57" i="30"/>
  <c r="EJ58" i="30"/>
  <c r="BX42" i="2"/>
  <c r="BX48" i="2"/>
  <c r="BX79" i="2"/>
  <c r="BX71" i="2"/>
  <c r="BX82" i="2"/>
  <c r="BX72" i="2"/>
  <c r="BX70" i="2"/>
  <c r="BX84" i="2"/>
  <c r="BX74" i="2"/>
  <c r="BX80" i="2"/>
  <c r="BX73" i="2"/>
  <c r="BX76" i="2"/>
  <c r="BX81" i="2"/>
  <c r="BX69" i="2"/>
  <c r="BX4" i="2"/>
  <c r="BX68" i="2"/>
  <c r="BX54" i="2"/>
  <c r="BX83" i="2"/>
  <c r="BX78" i="2"/>
  <c r="BX7" i="2"/>
  <c r="BX8" i="2"/>
  <c r="BX9" i="2"/>
  <c r="BX10" i="2"/>
  <c r="BX12" i="2"/>
  <c r="BX15" i="2"/>
  <c r="BX16" i="2"/>
  <c r="BX25" i="2"/>
  <c r="BX32" i="2"/>
  <c r="BX35" i="2"/>
  <c r="BX41" i="2"/>
  <c r="BX43" i="2"/>
  <c r="BX44" i="2"/>
  <c r="BX77" i="2"/>
  <c r="BX45" i="2"/>
  <c r="BX47" i="2"/>
  <c r="BX75" i="2"/>
  <c r="BX53" i="2"/>
  <c r="BX55" i="2"/>
  <c r="BX56" i="2"/>
  <c r="BX60" i="2"/>
  <c r="BX62" i="2"/>
  <c r="BX65" i="2"/>
  <c r="BX6" i="2"/>
  <c r="BX11" i="2"/>
  <c r="BX13" i="2"/>
  <c r="BX14" i="2"/>
  <c r="BX17" i="2"/>
  <c r="BX18" i="2"/>
  <c r="BX19" i="2"/>
  <c r="BX20" i="2"/>
  <c r="BX21" i="2"/>
  <c r="BX22" i="2"/>
  <c r="BX23" i="2"/>
  <c r="BX24" i="2"/>
  <c r="BX26" i="2"/>
  <c r="BX27" i="2"/>
  <c r="BX28" i="2"/>
  <c r="BX29" i="2"/>
  <c r="BX30" i="2"/>
  <c r="BX31" i="2"/>
  <c r="BX33" i="2"/>
  <c r="BX34" i="2"/>
  <c r="BX37" i="2"/>
  <c r="BX38" i="2"/>
  <c r="BX39" i="2"/>
  <c r="BX40" i="2"/>
  <c r="BX49" i="2"/>
  <c r="BX50" i="2"/>
  <c r="BX51" i="2"/>
  <c r="BX52" i="2"/>
  <c r="BX57" i="2"/>
  <c r="BX58" i="2"/>
  <c r="BX59" i="2"/>
  <c r="BX61" i="2"/>
  <c r="BX63" i="2"/>
  <c r="BX64" i="2"/>
  <c r="BX36" i="2"/>
  <c r="BX66" i="2"/>
  <c r="BX46" i="2"/>
  <c r="BX67" i="2"/>
  <c r="BT35" i="2"/>
  <c r="BU35" i="2"/>
  <c r="BV35" i="2"/>
  <c r="BW35" i="2"/>
  <c r="BT30" i="2"/>
  <c r="BU30" i="2"/>
  <c r="BV30" i="2"/>
  <c r="BW30" i="2"/>
  <c r="BT59" i="2"/>
  <c r="BU59" i="2"/>
  <c r="BV59" i="2"/>
  <c r="BW59" i="2"/>
  <c r="BU78" i="2"/>
  <c r="BV78" i="2"/>
  <c r="BT78" i="2"/>
  <c r="BW78" i="2"/>
  <c r="BU7" i="2"/>
  <c r="BV7" i="2"/>
  <c r="BT7" i="2"/>
  <c r="BW7" i="2"/>
  <c r="BT29" i="2"/>
  <c r="BU29" i="2"/>
  <c r="BV29" i="2"/>
  <c r="BW29" i="2"/>
  <c r="BT36" i="2"/>
  <c r="BU36" i="2"/>
  <c r="BV36" i="2"/>
  <c r="BW36" i="2"/>
  <c r="BU61" i="2"/>
  <c r="BV61" i="2"/>
  <c r="BT61" i="2"/>
  <c r="BW61" i="2"/>
  <c r="BY35" i="2"/>
  <c r="BY30" i="2"/>
  <c r="BY59" i="2"/>
  <c r="BY78" i="2"/>
  <c r="BY7" i="2"/>
  <c r="BY29" i="2"/>
  <c r="BY36" i="2"/>
  <c r="BY61" i="2"/>
  <c r="CA35" i="2"/>
  <c r="CA30" i="2"/>
  <c r="CA59" i="2"/>
  <c r="CA78" i="2"/>
  <c r="CA7" i="2"/>
  <c r="CA29" i="2"/>
  <c r="CA36" i="2"/>
  <c r="CA61" i="2"/>
  <c r="CC35" i="2"/>
  <c r="CC30" i="2"/>
  <c r="CC59" i="2"/>
  <c r="CC78" i="2"/>
  <c r="CC7" i="2"/>
  <c r="CC29" i="2"/>
  <c r="CC36" i="2"/>
  <c r="CC61" i="2"/>
  <c r="CE35" i="2"/>
  <c r="CE30" i="2"/>
  <c r="CE59" i="2"/>
  <c r="CE78" i="2"/>
  <c r="CE7" i="2"/>
  <c r="CE29" i="2"/>
  <c r="CE36" i="2"/>
  <c r="CE61" i="2"/>
  <c r="CG35" i="2"/>
  <c r="CG30" i="2"/>
  <c r="CG59" i="2"/>
  <c r="CG78" i="2"/>
  <c r="CG7" i="2"/>
  <c r="CG29" i="2"/>
  <c r="CG36" i="2"/>
  <c r="CG61" i="2"/>
  <c r="CI35" i="2"/>
  <c r="CI30" i="2"/>
  <c r="CI59" i="2"/>
  <c r="CI78" i="2"/>
  <c r="CI7" i="2"/>
  <c r="CI29" i="2"/>
  <c r="CI36" i="2"/>
  <c r="CI61" i="2"/>
  <c r="CK35" i="2"/>
  <c r="CK30" i="2"/>
  <c r="CK59" i="2"/>
  <c r="CK78" i="2"/>
  <c r="CK7" i="2"/>
  <c r="CK29" i="2"/>
  <c r="CK36" i="2"/>
  <c r="CK61" i="2"/>
  <c r="CM35" i="2"/>
  <c r="CM30" i="2"/>
  <c r="CM59" i="2"/>
  <c r="CM78" i="2"/>
  <c r="CM7" i="2"/>
  <c r="CM29" i="2"/>
  <c r="CM36" i="2"/>
  <c r="CM61" i="2"/>
  <c r="CO35" i="2"/>
  <c r="CO30" i="2"/>
  <c r="CO59" i="2"/>
  <c r="CO78" i="2"/>
  <c r="CO7" i="2"/>
  <c r="CO29" i="2"/>
  <c r="CO36" i="2"/>
  <c r="CO61" i="2"/>
  <c r="DB35" i="2"/>
  <c r="DB30" i="2"/>
  <c r="DB59" i="2"/>
  <c r="DB5" i="2"/>
  <c r="DB36" i="2"/>
  <c r="DB61" i="2"/>
  <c r="L2" i="2"/>
  <c r="BZ35" i="2"/>
  <c r="CB35" i="2"/>
  <c r="CD35" i="2"/>
  <c r="CF35" i="2"/>
  <c r="CH35" i="2"/>
  <c r="CJ35" i="2"/>
  <c r="CL35" i="2"/>
  <c r="CN35" i="2"/>
  <c r="CP35" i="2"/>
  <c r="CQ35" i="2"/>
  <c r="L35" i="2"/>
  <c r="BZ30" i="2"/>
  <c r="CB30" i="2"/>
  <c r="CD30" i="2"/>
  <c r="CF30" i="2"/>
  <c r="CH30" i="2"/>
  <c r="CJ30" i="2"/>
  <c r="CL30" i="2"/>
  <c r="CN30" i="2"/>
  <c r="CP30" i="2"/>
  <c r="CQ30" i="2"/>
  <c r="L30" i="2"/>
  <c r="BZ59" i="2"/>
  <c r="CB59" i="2"/>
  <c r="CD59" i="2"/>
  <c r="CF59" i="2"/>
  <c r="CH59" i="2"/>
  <c r="CJ59" i="2"/>
  <c r="CL59" i="2"/>
  <c r="CN59" i="2"/>
  <c r="CP59" i="2"/>
  <c r="CQ59" i="2"/>
  <c r="L59" i="2"/>
  <c r="BZ78" i="2"/>
  <c r="CB78" i="2"/>
  <c r="CD78" i="2"/>
  <c r="CF78" i="2"/>
  <c r="CH78" i="2"/>
  <c r="CJ78" i="2"/>
  <c r="CL78" i="2"/>
  <c r="CN78" i="2"/>
  <c r="CP78" i="2"/>
  <c r="CQ78" i="2"/>
  <c r="L78" i="2"/>
  <c r="BZ7" i="2"/>
  <c r="CB7" i="2"/>
  <c r="CD7" i="2"/>
  <c r="CF7" i="2"/>
  <c r="CH7" i="2"/>
  <c r="CJ7" i="2"/>
  <c r="CL7" i="2"/>
  <c r="CN7" i="2"/>
  <c r="CP7" i="2"/>
  <c r="CQ7" i="2"/>
  <c r="L7" i="2"/>
  <c r="BZ29" i="2"/>
  <c r="CB29" i="2"/>
  <c r="CD29" i="2"/>
  <c r="CF29" i="2"/>
  <c r="CH29" i="2"/>
  <c r="CJ29" i="2"/>
  <c r="CL29" i="2"/>
  <c r="CN29" i="2"/>
  <c r="CP29" i="2"/>
  <c r="CQ29" i="2"/>
  <c r="L29" i="2"/>
  <c r="BZ36" i="2"/>
  <c r="CB36" i="2"/>
  <c r="CD36" i="2"/>
  <c r="CF36" i="2"/>
  <c r="CH36" i="2"/>
  <c r="CJ36" i="2"/>
  <c r="CL36" i="2"/>
  <c r="CN36" i="2"/>
  <c r="CP36" i="2"/>
  <c r="CQ36" i="2"/>
  <c r="L36" i="2"/>
  <c r="BZ61" i="2"/>
  <c r="CB61" i="2"/>
  <c r="CD61" i="2"/>
  <c r="CF61" i="2"/>
  <c r="CH61" i="2"/>
  <c r="CJ61" i="2"/>
  <c r="CL61" i="2"/>
  <c r="CN61" i="2"/>
  <c r="CP61" i="2"/>
  <c r="CQ61" i="2"/>
  <c r="L61" i="2"/>
  <c r="BU6" i="2"/>
  <c r="BV6" i="2"/>
  <c r="BT6" i="2"/>
  <c r="BW6" i="2"/>
  <c r="BU8" i="2"/>
  <c r="BV8" i="2"/>
  <c r="BT8" i="2"/>
  <c r="BW8" i="2"/>
  <c r="BU9" i="2"/>
  <c r="BV9" i="2"/>
  <c r="BT9" i="2"/>
  <c r="BW9" i="2"/>
  <c r="BU10" i="2"/>
  <c r="BV10" i="2"/>
  <c r="BT10" i="2"/>
  <c r="BW10" i="2"/>
  <c r="BU11" i="2"/>
  <c r="BV11" i="2"/>
  <c r="BT11" i="2"/>
  <c r="BW11" i="2"/>
  <c r="BU12" i="2"/>
  <c r="BV12" i="2"/>
  <c r="BT12" i="2"/>
  <c r="BW12" i="2"/>
  <c r="BU13" i="2"/>
  <c r="BV13" i="2"/>
  <c r="BT13" i="2"/>
  <c r="BW13" i="2"/>
  <c r="BU14" i="2"/>
  <c r="BV14" i="2"/>
  <c r="BT14" i="2"/>
  <c r="BW14" i="2"/>
  <c r="BU15" i="2"/>
  <c r="BV15" i="2"/>
  <c r="BT15" i="2"/>
  <c r="BW15" i="2"/>
  <c r="BU16" i="2"/>
  <c r="BV16" i="2"/>
  <c r="BT16" i="2"/>
  <c r="BW16" i="2"/>
  <c r="BU17" i="2"/>
  <c r="BV17" i="2"/>
  <c r="BT17" i="2"/>
  <c r="BW17" i="2"/>
  <c r="BU18" i="2"/>
  <c r="BV18" i="2"/>
  <c r="BT18" i="2"/>
  <c r="BW18" i="2"/>
  <c r="BU19" i="2"/>
  <c r="BV19" i="2"/>
  <c r="BT19" i="2"/>
  <c r="BW19" i="2"/>
  <c r="BU20" i="2"/>
  <c r="BV20" i="2"/>
  <c r="BT20" i="2"/>
  <c r="BW20" i="2"/>
  <c r="BU21" i="2"/>
  <c r="BV21" i="2"/>
  <c r="BT21" i="2"/>
  <c r="BW21" i="2"/>
  <c r="BU22" i="2"/>
  <c r="BV22" i="2"/>
  <c r="BT22" i="2"/>
  <c r="BW22" i="2"/>
  <c r="BU23" i="2"/>
  <c r="BV23" i="2"/>
  <c r="BT23" i="2"/>
  <c r="BW23" i="2"/>
  <c r="BU24" i="2"/>
  <c r="BV24" i="2"/>
  <c r="BT24" i="2"/>
  <c r="BW24" i="2"/>
  <c r="BU25" i="2"/>
  <c r="BV25" i="2"/>
  <c r="BT25" i="2"/>
  <c r="BW25" i="2"/>
  <c r="BU26" i="2"/>
  <c r="BV26" i="2"/>
  <c r="BT26" i="2"/>
  <c r="BW26" i="2"/>
  <c r="BU27" i="2"/>
  <c r="BV27" i="2"/>
  <c r="BT27" i="2"/>
  <c r="BW27" i="2"/>
  <c r="BU28" i="2"/>
  <c r="BV28" i="2"/>
  <c r="BT28" i="2"/>
  <c r="BW28" i="2"/>
  <c r="BU31" i="2"/>
  <c r="BV31" i="2"/>
  <c r="BT31" i="2"/>
  <c r="BW31" i="2"/>
  <c r="BU32" i="2"/>
  <c r="BV32" i="2"/>
  <c r="BT32" i="2"/>
  <c r="BW32" i="2"/>
  <c r="BU33" i="2"/>
  <c r="BV33" i="2"/>
  <c r="BT33" i="2"/>
  <c r="BW33" i="2"/>
  <c r="BU34" i="2"/>
  <c r="BV34" i="2"/>
  <c r="BT34" i="2"/>
  <c r="BW34" i="2"/>
  <c r="BU37" i="2"/>
  <c r="BV37" i="2"/>
  <c r="BT37" i="2"/>
  <c r="BW37" i="2"/>
  <c r="BU38" i="2"/>
  <c r="BV38" i="2"/>
  <c r="BT38" i="2"/>
  <c r="BW38" i="2"/>
  <c r="BU39" i="2"/>
  <c r="BV39" i="2"/>
  <c r="BT39" i="2"/>
  <c r="BW39" i="2"/>
  <c r="BU40" i="2"/>
  <c r="BV40" i="2"/>
  <c r="BT40" i="2"/>
  <c r="BW40" i="2"/>
  <c r="BU41" i="2"/>
  <c r="BV41" i="2"/>
  <c r="BT41" i="2"/>
  <c r="BW41" i="2"/>
  <c r="BU43" i="2"/>
  <c r="BV43" i="2"/>
  <c r="BT43" i="2"/>
  <c r="BW43" i="2"/>
  <c r="BU44" i="2"/>
  <c r="BV44" i="2"/>
  <c r="BT44" i="2"/>
  <c r="BW44" i="2"/>
  <c r="BU77" i="2"/>
  <c r="BV77" i="2"/>
  <c r="BT77" i="2"/>
  <c r="BW77" i="2"/>
  <c r="BU45" i="2"/>
  <c r="BV45" i="2"/>
  <c r="BT45" i="2"/>
  <c r="BW45" i="2"/>
  <c r="BU46" i="2"/>
  <c r="BV46" i="2"/>
  <c r="BT46" i="2"/>
  <c r="BW46" i="2"/>
  <c r="BU47" i="2"/>
  <c r="BV47" i="2"/>
  <c r="BT47" i="2"/>
  <c r="BW47" i="2"/>
  <c r="BU75" i="2"/>
  <c r="BV75" i="2"/>
  <c r="BT75" i="2"/>
  <c r="BW75" i="2"/>
  <c r="BU49" i="2"/>
  <c r="BV49" i="2"/>
  <c r="BT49" i="2"/>
  <c r="BW49" i="2"/>
  <c r="BU50" i="2"/>
  <c r="BV50" i="2"/>
  <c r="BT50" i="2"/>
  <c r="BW50" i="2"/>
  <c r="BU51" i="2"/>
  <c r="BV51" i="2"/>
  <c r="BT51" i="2"/>
  <c r="BW51" i="2"/>
  <c r="BU52" i="2"/>
  <c r="BV52" i="2"/>
  <c r="BT52" i="2"/>
  <c r="BW52" i="2"/>
  <c r="BU53" i="2"/>
  <c r="BV53" i="2"/>
  <c r="BT53" i="2"/>
  <c r="BW53" i="2"/>
  <c r="BU55" i="2"/>
  <c r="BV55" i="2"/>
  <c r="BT55" i="2"/>
  <c r="BW55" i="2"/>
  <c r="BU56" i="2"/>
  <c r="BV56" i="2"/>
  <c r="BT56" i="2"/>
  <c r="BW56" i="2"/>
  <c r="BU57" i="2"/>
  <c r="BV57" i="2"/>
  <c r="BT57" i="2"/>
  <c r="BW57" i="2"/>
  <c r="BU58" i="2"/>
  <c r="BV58" i="2"/>
  <c r="BT58" i="2"/>
  <c r="BW58" i="2"/>
  <c r="BU60" i="2"/>
  <c r="BV60" i="2"/>
  <c r="BT60" i="2"/>
  <c r="BW60" i="2"/>
  <c r="BU62" i="2"/>
  <c r="BV62" i="2"/>
  <c r="BT62" i="2"/>
  <c r="BW62" i="2"/>
  <c r="BU63" i="2"/>
  <c r="BV63" i="2"/>
  <c r="BT63" i="2"/>
  <c r="BW63" i="2"/>
  <c r="BU83" i="2"/>
  <c r="BV83" i="2"/>
  <c r="BT83" i="2"/>
  <c r="BW83" i="2"/>
  <c r="BU64" i="2"/>
  <c r="BV64" i="2"/>
  <c r="BT64" i="2"/>
  <c r="BW64" i="2"/>
  <c r="BU65" i="2"/>
  <c r="BV65" i="2"/>
  <c r="BT65" i="2"/>
  <c r="BW65" i="2"/>
  <c r="BU66" i="2"/>
  <c r="BV66" i="2"/>
  <c r="BT66" i="2"/>
  <c r="BW66" i="2"/>
  <c r="BU67" i="2"/>
  <c r="BV67" i="2"/>
  <c r="BT67" i="2"/>
  <c r="BW67" i="2"/>
  <c r="BU81" i="2"/>
  <c r="BV81" i="2"/>
  <c r="BT81" i="2"/>
  <c r="BW81" i="2"/>
  <c r="BU69" i="2"/>
  <c r="BV69" i="2"/>
  <c r="BT69" i="2"/>
  <c r="BW69" i="2"/>
  <c r="BU82" i="2"/>
  <c r="BV82" i="2"/>
  <c r="BT82" i="2"/>
  <c r="BW82" i="2"/>
  <c r="BU73" i="2"/>
  <c r="BV73" i="2"/>
  <c r="BT73" i="2"/>
  <c r="BW73" i="2"/>
  <c r="BU70" i="2"/>
  <c r="BV70" i="2"/>
  <c r="BT70" i="2"/>
  <c r="BW70" i="2"/>
  <c r="BU76" i="2"/>
  <c r="BV76" i="2"/>
  <c r="BT76" i="2"/>
  <c r="BW76" i="2"/>
  <c r="BU80" i="2"/>
  <c r="BV80" i="2"/>
  <c r="BT80" i="2"/>
  <c r="BW80" i="2"/>
  <c r="BU74" i="2"/>
  <c r="BV74" i="2"/>
  <c r="BT74" i="2"/>
  <c r="BW74" i="2"/>
  <c r="BU71" i="2"/>
  <c r="BV71" i="2"/>
  <c r="BT71" i="2"/>
  <c r="BW71" i="2"/>
  <c r="BU84" i="2"/>
  <c r="BV84" i="2"/>
  <c r="BT84" i="2"/>
  <c r="BW84" i="2"/>
  <c r="BU72" i="2"/>
  <c r="BV72" i="2"/>
  <c r="BT72" i="2"/>
  <c r="BW72" i="2"/>
  <c r="BU79" i="2"/>
  <c r="BV79" i="2"/>
  <c r="BT79" i="2"/>
  <c r="BW79" i="2"/>
  <c r="BU48" i="2"/>
  <c r="BV48" i="2"/>
  <c r="BT48" i="2"/>
  <c r="BW48" i="2"/>
  <c r="BU42" i="2"/>
  <c r="BV42" i="2"/>
  <c r="BT42" i="2"/>
  <c r="BW42" i="2"/>
  <c r="BU4" i="2"/>
  <c r="BV4" i="2"/>
  <c r="BT4" i="2"/>
  <c r="BW4" i="2"/>
  <c r="BU68" i="2"/>
  <c r="BV68" i="2"/>
  <c r="BT68" i="2"/>
  <c r="BW68" i="2"/>
  <c r="BU54" i="2"/>
  <c r="BV54" i="2"/>
  <c r="BT54" i="2"/>
  <c r="BW54" i="2"/>
  <c r="DB14" i="2"/>
  <c r="DB19" i="2"/>
  <c r="DB21" i="2"/>
  <c r="DB58" i="2"/>
  <c r="DB23" i="2"/>
  <c r="DB49" i="2"/>
  <c r="DB51" i="2"/>
  <c r="DB52" i="2"/>
  <c r="DB57" i="2"/>
  <c r="DB27" i="2"/>
  <c r="DB33" i="2"/>
  <c r="DB40" i="2"/>
  <c r="DB7" i="2"/>
  <c r="DB8" i="2"/>
  <c r="DB10" i="2"/>
  <c r="DB11" i="2"/>
  <c r="DB13" i="2"/>
  <c r="DB15" i="2"/>
  <c r="DB16" i="2"/>
  <c r="DB17" i="2"/>
  <c r="DB18" i="2"/>
  <c r="DB20" i="2"/>
  <c r="DB22" i="2"/>
  <c r="DB24" i="2"/>
  <c r="DB25" i="2"/>
  <c r="DB26" i="2"/>
  <c r="DB28" i="2"/>
  <c r="DB31" i="2"/>
  <c r="DB32" i="2"/>
  <c r="DB34" i="2"/>
  <c r="DB37" i="2"/>
  <c r="DB38" i="2"/>
  <c r="DB39" i="2"/>
  <c r="DB41" i="2"/>
  <c r="DB43" i="2"/>
  <c r="DB44" i="2"/>
  <c r="DB45" i="2"/>
  <c r="DB46" i="2"/>
  <c r="DB47" i="2"/>
  <c r="DB50" i="2"/>
  <c r="DB53" i="2"/>
  <c r="DB55" i="2"/>
  <c r="DB60" i="2"/>
  <c r="DB62" i="2"/>
  <c r="DB63" i="2"/>
  <c r="DB64" i="2"/>
  <c r="DB65" i="2"/>
  <c r="DB66" i="2"/>
  <c r="BY54" i="2"/>
  <c r="BZ54" i="2"/>
  <c r="CA54" i="2"/>
  <c r="CB54" i="2"/>
  <c r="CC54" i="2"/>
  <c r="CD54" i="2"/>
  <c r="CE54" i="2"/>
  <c r="CF54" i="2"/>
  <c r="CG54" i="2"/>
  <c r="CH54" i="2"/>
  <c r="CI54" i="2"/>
  <c r="CJ54" i="2"/>
  <c r="CK54" i="2"/>
  <c r="CL54" i="2"/>
  <c r="CM54" i="2"/>
  <c r="CN54" i="2"/>
  <c r="CO54" i="2"/>
  <c r="CP54" i="2"/>
  <c r="CQ54" i="2"/>
  <c r="L54" i="2"/>
  <c r="BY68" i="2"/>
  <c r="BZ68" i="2"/>
  <c r="CA68" i="2"/>
  <c r="CB68" i="2"/>
  <c r="CC68" i="2"/>
  <c r="CD68" i="2"/>
  <c r="CE68" i="2"/>
  <c r="CF68" i="2"/>
  <c r="CG68" i="2"/>
  <c r="CH68" i="2"/>
  <c r="CI68" i="2"/>
  <c r="CJ68" i="2"/>
  <c r="CK68" i="2"/>
  <c r="CL68" i="2"/>
  <c r="CM68" i="2"/>
  <c r="CN68" i="2"/>
  <c r="CO68" i="2"/>
  <c r="CP68" i="2"/>
  <c r="CQ68" i="2"/>
  <c r="L68" i="2"/>
  <c r="BY4" i="2"/>
  <c r="BZ4" i="2"/>
  <c r="CA4" i="2"/>
  <c r="CB4" i="2"/>
  <c r="CC4" i="2"/>
  <c r="CD4" i="2"/>
  <c r="CE4" i="2"/>
  <c r="CF4" i="2"/>
  <c r="CG4" i="2"/>
  <c r="CH4" i="2"/>
  <c r="CI4" i="2"/>
  <c r="CJ4" i="2"/>
  <c r="CK4" i="2"/>
  <c r="CL4" i="2"/>
  <c r="CM4" i="2"/>
  <c r="CN4" i="2"/>
  <c r="CO4" i="2"/>
  <c r="CP4" i="2"/>
  <c r="CQ4" i="2"/>
  <c r="L4" i="2"/>
  <c r="BY42" i="2"/>
  <c r="BZ42" i="2"/>
  <c r="CA42" i="2"/>
  <c r="CB42" i="2"/>
  <c r="CC42" i="2"/>
  <c r="CD42" i="2"/>
  <c r="CE42" i="2"/>
  <c r="CF42" i="2"/>
  <c r="CG42" i="2"/>
  <c r="CH42" i="2"/>
  <c r="CI42" i="2"/>
  <c r="CJ42" i="2"/>
  <c r="CK42" i="2"/>
  <c r="CL42" i="2"/>
  <c r="CM42" i="2"/>
  <c r="CN42" i="2"/>
  <c r="CO42" i="2"/>
  <c r="CP42" i="2"/>
  <c r="CQ42" i="2"/>
  <c r="L42" i="2"/>
  <c r="BY41" i="2"/>
  <c r="BZ41" i="2"/>
  <c r="CA41" i="2"/>
  <c r="CB41" i="2"/>
  <c r="CC41" i="2"/>
  <c r="CD41" i="2"/>
  <c r="CE41" i="2"/>
  <c r="CF41" i="2"/>
  <c r="CG41" i="2"/>
  <c r="CH41" i="2"/>
  <c r="CI41" i="2"/>
  <c r="CJ41" i="2"/>
  <c r="CK41" i="2"/>
  <c r="CL41" i="2"/>
  <c r="CM41" i="2"/>
  <c r="CN41" i="2"/>
  <c r="CO41" i="2"/>
  <c r="CP41" i="2"/>
  <c r="CQ41" i="2"/>
  <c r="L41" i="2"/>
  <c r="AW100" i="2"/>
  <c r="BY48" i="2"/>
  <c r="BZ48" i="2"/>
  <c r="CA48" i="2"/>
  <c r="CB48" i="2"/>
  <c r="CC48" i="2"/>
  <c r="CD48" i="2"/>
  <c r="CE48" i="2"/>
  <c r="CF48" i="2"/>
  <c r="CG48" i="2"/>
  <c r="CH48" i="2"/>
  <c r="CI48" i="2"/>
  <c r="CJ48" i="2"/>
  <c r="CK48" i="2"/>
  <c r="CL48" i="2"/>
  <c r="CM48" i="2"/>
  <c r="CN48" i="2"/>
  <c r="CO48" i="2"/>
  <c r="CP48" i="2"/>
  <c r="CQ48" i="2"/>
  <c r="L48" i="2"/>
  <c r="B107" i="2"/>
  <c r="B106" i="2"/>
  <c r="B105" i="2"/>
  <c r="B104" i="2"/>
  <c r="B103" i="2"/>
  <c r="B102" i="2"/>
  <c r="B101" i="2"/>
  <c r="A100" i="2"/>
  <c r="BY6" i="2"/>
  <c r="BY8" i="2"/>
  <c r="BY9" i="2"/>
  <c r="BY80" i="2"/>
  <c r="BY10" i="2"/>
  <c r="BY11" i="2"/>
  <c r="BY12" i="2"/>
  <c r="BY76" i="2"/>
  <c r="BY13" i="2"/>
  <c r="BY73" i="2"/>
  <c r="BY14" i="2"/>
  <c r="BY15" i="2"/>
  <c r="BY16" i="2"/>
  <c r="BY17" i="2"/>
  <c r="BY18" i="2"/>
  <c r="BY19" i="2"/>
  <c r="BY20" i="2"/>
  <c r="BY21" i="2"/>
  <c r="BY22" i="2"/>
  <c r="BY23" i="2"/>
  <c r="BY24" i="2"/>
  <c r="BY25" i="2"/>
  <c r="BY26" i="2"/>
  <c r="BY27" i="2"/>
  <c r="BY28" i="2"/>
  <c r="BY31" i="2"/>
  <c r="BY32" i="2"/>
  <c r="BY33" i="2"/>
  <c r="BY34" i="2"/>
  <c r="BY37" i="2"/>
  <c r="BY81" i="2"/>
  <c r="BY38" i="2"/>
  <c r="BY39" i="2"/>
  <c r="BY40" i="2"/>
  <c r="BY43" i="2"/>
  <c r="BY44" i="2"/>
  <c r="BY77" i="2"/>
  <c r="BY45" i="2"/>
  <c r="BY46" i="2"/>
  <c r="BY47" i="2"/>
  <c r="BY75" i="2"/>
  <c r="BY49" i="2"/>
  <c r="BY50" i="2"/>
  <c r="BY51" i="2"/>
  <c r="BY52" i="2"/>
  <c r="BY53" i="2"/>
  <c r="BY55" i="2"/>
  <c r="BY56" i="2"/>
  <c r="BY57" i="2"/>
  <c r="BY58" i="2"/>
  <c r="BY60" i="2"/>
  <c r="BY62" i="2"/>
  <c r="BY63" i="2"/>
  <c r="BY83" i="2"/>
  <c r="BY64" i="2"/>
  <c r="BY65" i="2"/>
  <c r="BY66" i="2"/>
  <c r="BY67" i="2"/>
  <c r="BY69" i="2"/>
  <c r="BY74" i="2"/>
  <c r="BY84" i="2"/>
  <c r="BY82" i="2"/>
  <c r="BY79" i="2"/>
  <c r="BY71" i="2"/>
  <c r="BY70" i="2"/>
  <c r="BY72" i="2"/>
  <c r="CA6" i="2"/>
  <c r="CA8" i="2"/>
  <c r="CA9" i="2"/>
  <c r="CA80" i="2"/>
  <c r="CA10" i="2"/>
  <c r="CA11" i="2"/>
  <c r="CA12" i="2"/>
  <c r="CA76" i="2"/>
  <c r="CA13" i="2"/>
  <c r="CA73" i="2"/>
  <c r="CA14" i="2"/>
  <c r="CA15" i="2"/>
  <c r="CA16" i="2"/>
  <c r="CA17" i="2"/>
  <c r="CA18" i="2"/>
  <c r="CA19" i="2"/>
  <c r="CA20" i="2"/>
  <c r="CA21" i="2"/>
  <c r="CA22" i="2"/>
  <c r="CA23" i="2"/>
  <c r="CA24" i="2"/>
  <c r="CA25" i="2"/>
  <c r="CA26" i="2"/>
  <c r="CA27" i="2"/>
  <c r="CA28" i="2"/>
  <c r="CA31" i="2"/>
  <c r="CA32" i="2"/>
  <c r="CA33" i="2"/>
  <c r="CA34" i="2"/>
  <c r="CA37" i="2"/>
  <c r="CA81" i="2"/>
  <c r="CA38" i="2"/>
  <c r="CA39" i="2"/>
  <c r="CA40" i="2"/>
  <c r="CA43" i="2"/>
  <c r="CA44" i="2"/>
  <c r="CA77" i="2"/>
  <c r="CA45" i="2"/>
  <c r="CA46" i="2"/>
  <c r="CA47" i="2"/>
  <c r="CA75" i="2"/>
  <c r="CA49" i="2"/>
  <c r="CA50" i="2"/>
  <c r="CA51" i="2"/>
  <c r="CA52" i="2"/>
  <c r="CA53" i="2"/>
  <c r="CA55" i="2"/>
  <c r="CA56" i="2"/>
  <c r="CA57" i="2"/>
  <c r="CA58" i="2"/>
  <c r="CA60" i="2"/>
  <c r="CA62" i="2"/>
  <c r="CA63" i="2"/>
  <c r="CA83" i="2"/>
  <c r="CA64" i="2"/>
  <c r="CA65" i="2"/>
  <c r="CA66" i="2"/>
  <c r="CA67" i="2"/>
  <c r="CA69" i="2"/>
  <c r="CA74" i="2"/>
  <c r="CA84" i="2"/>
  <c r="CA82" i="2"/>
  <c r="CA79" i="2"/>
  <c r="CA71" i="2"/>
  <c r="CA70" i="2"/>
  <c r="CA72" i="2"/>
  <c r="CC6" i="2"/>
  <c r="CC8" i="2"/>
  <c r="CC9" i="2"/>
  <c r="CC80" i="2"/>
  <c r="CC10" i="2"/>
  <c r="CC11" i="2"/>
  <c r="CC12" i="2"/>
  <c r="CC76" i="2"/>
  <c r="CC13" i="2"/>
  <c r="CC73" i="2"/>
  <c r="CC14" i="2"/>
  <c r="CC15" i="2"/>
  <c r="CC16" i="2"/>
  <c r="CC17" i="2"/>
  <c r="CC18" i="2"/>
  <c r="CC19" i="2"/>
  <c r="CC20" i="2"/>
  <c r="CC21" i="2"/>
  <c r="CC22" i="2"/>
  <c r="CC23" i="2"/>
  <c r="CC24" i="2"/>
  <c r="CC25" i="2"/>
  <c r="CC26" i="2"/>
  <c r="CC27" i="2"/>
  <c r="CC28" i="2"/>
  <c r="CC31" i="2"/>
  <c r="CC32" i="2"/>
  <c r="CC33" i="2"/>
  <c r="CC34" i="2"/>
  <c r="CC37" i="2"/>
  <c r="CC81" i="2"/>
  <c r="CC38" i="2"/>
  <c r="CC39" i="2"/>
  <c r="CC40" i="2"/>
  <c r="CC43" i="2"/>
  <c r="CC44" i="2"/>
  <c r="CC77" i="2"/>
  <c r="CC45" i="2"/>
  <c r="CC46" i="2"/>
  <c r="CC47" i="2"/>
  <c r="CC75" i="2"/>
  <c r="CC49" i="2"/>
  <c r="CC50" i="2"/>
  <c r="CC51" i="2"/>
  <c r="CC52" i="2"/>
  <c r="CC53" i="2"/>
  <c r="CC55" i="2"/>
  <c r="CC56" i="2"/>
  <c r="CC57" i="2"/>
  <c r="CC58" i="2"/>
  <c r="CC60" i="2"/>
  <c r="CC62" i="2"/>
  <c r="CC63" i="2"/>
  <c r="CC83" i="2"/>
  <c r="CC64" i="2"/>
  <c r="CC65" i="2"/>
  <c r="CC66" i="2"/>
  <c r="CC67" i="2"/>
  <c r="CC69" i="2"/>
  <c r="CC74" i="2"/>
  <c r="CC84" i="2"/>
  <c r="CC82" i="2"/>
  <c r="CC79" i="2"/>
  <c r="CC71" i="2"/>
  <c r="CC70" i="2"/>
  <c r="CC72" i="2"/>
  <c r="CE6" i="2"/>
  <c r="CE8" i="2"/>
  <c r="CE9" i="2"/>
  <c r="CE80" i="2"/>
  <c r="CE10" i="2"/>
  <c r="CE11" i="2"/>
  <c r="CE12" i="2"/>
  <c r="CE76" i="2"/>
  <c r="CE13" i="2"/>
  <c r="CE73" i="2"/>
  <c r="CE14" i="2"/>
  <c r="CE15" i="2"/>
  <c r="CE16" i="2"/>
  <c r="CE17" i="2"/>
  <c r="CE18" i="2"/>
  <c r="CE19" i="2"/>
  <c r="CE20" i="2"/>
  <c r="CE21" i="2"/>
  <c r="CE22" i="2"/>
  <c r="CE23" i="2"/>
  <c r="CE24" i="2"/>
  <c r="CE25" i="2"/>
  <c r="CE26" i="2"/>
  <c r="CE27" i="2"/>
  <c r="CE28" i="2"/>
  <c r="CE31" i="2"/>
  <c r="CE32" i="2"/>
  <c r="CE33" i="2"/>
  <c r="CE34" i="2"/>
  <c r="CE37" i="2"/>
  <c r="CE81" i="2"/>
  <c r="CE38" i="2"/>
  <c r="CE39" i="2"/>
  <c r="CE40" i="2"/>
  <c r="CE43" i="2"/>
  <c r="CE44" i="2"/>
  <c r="CE77" i="2"/>
  <c r="CE45" i="2"/>
  <c r="CE46" i="2"/>
  <c r="CE47" i="2"/>
  <c r="CE75" i="2"/>
  <c r="CE49" i="2"/>
  <c r="CE50" i="2"/>
  <c r="CE51" i="2"/>
  <c r="CE52" i="2"/>
  <c r="CE53" i="2"/>
  <c r="CE55" i="2"/>
  <c r="CE56" i="2"/>
  <c r="CE57" i="2"/>
  <c r="CE58" i="2"/>
  <c r="CE60" i="2"/>
  <c r="CE62" i="2"/>
  <c r="CE63" i="2"/>
  <c r="CE83" i="2"/>
  <c r="CE64" i="2"/>
  <c r="CE65" i="2"/>
  <c r="CE66" i="2"/>
  <c r="CE67" i="2"/>
  <c r="CE69" i="2"/>
  <c r="CE74" i="2"/>
  <c r="CE84" i="2"/>
  <c r="CE82" i="2"/>
  <c r="CE79" i="2"/>
  <c r="CE71" i="2"/>
  <c r="CE70" i="2"/>
  <c r="CE72" i="2"/>
  <c r="CG6" i="2"/>
  <c r="CG8" i="2"/>
  <c r="CG9" i="2"/>
  <c r="CG80" i="2"/>
  <c r="CG10" i="2"/>
  <c r="CG11" i="2"/>
  <c r="CG12" i="2"/>
  <c r="CG76" i="2"/>
  <c r="CG13" i="2"/>
  <c r="CG73" i="2"/>
  <c r="CG14" i="2"/>
  <c r="CG15" i="2"/>
  <c r="CG16" i="2"/>
  <c r="CG17" i="2"/>
  <c r="CG18" i="2"/>
  <c r="CG19" i="2"/>
  <c r="CG20" i="2"/>
  <c r="CG21" i="2"/>
  <c r="CG22" i="2"/>
  <c r="CG23" i="2"/>
  <c r="CG24" i="2"/>
  <c r="CG25" i="2"/>
  <c r="CG26" i="2"/>
  <c r="CG27" i="2"/>
  <c r="CG28" i="2"/>
  <c r="CG31" i="2"/>
  <c r="CG32" i="2"/>
  <c r="CG33" i="2"/>
  <c r="CG34" i="2"/>
  <c r="CG37" i="2"/>
  <c r="CG81" i="2"/>
  <c r="CG38" i="2"/>
  <c r="CG39" i="2"/>
  <c r="CG40" i="2"/>
  <c r="CG43" i="2"/>
  <c r="CG44" i="2"/>
  <c r="CG77" i="2"/>
  <c r="CG45" i="2"/>
  <c r="CG46" i="2"/>
  <c r="CG47" i="2"/>
  <c r="CG75" i="2"/>
  <c r="CG49" i="2"/>
  <c r="CG50" i="2"/>
  <c r="CG51" i="2"/>
  <c r="CG52" i="2"/>
  <c r="CG53" i="2"/>
  <c r="CG55" i="2"/>
  <c r="CG56" i="2"/>
  <c r="CG57" i="2"/>
  <c r="CG58" i="2"/>
  <c r="CG60" i="2"/>
  <c r="CG62" i="2"/>
  <c r="CG63" i="2"/>
  <c r="CG83" i="2"/>
  <c r="CG64" i="2"/>
  <c r="CG65" i="2"/>
  <c r="CG66" i="2"/>
  <c r="CG67" i="2"/>
  <c r="CG69" i="2"/>
  <c r="CG74" i="2"/>
  <c r="CG84" i="2"/>
  <c r="CG82" i="2"/>
  <c r="CG79" i="2"/>
  <c r="CG71" i="2"/>
  <c r="CG70" i="2"/>
  <c r="CG72" i="2"/>
  <c r="CI6" i="2"/>
  <c r="CI8" i="2"/>
  <c r="CI9" i="2"/>
  <c r="CI80" i="2"/>
  <c r="CI10" i="2"/>
  <c r="CI11" i="2"/>
  <c r="CI12" i="2"/>
  <c r="CI76" i="2"/>
  <c r="CI13" i="2"/>
  <c r="CI73" i="2"/>
  <c r="CI14" i="2"/>
  <c r="CI15" i="2"/>
  <c r="CI16" i="2"/>
  <c r="CI17" i="2"/>
  <c r="CI18" i="2"/>
  <c r="CI19" i="2"/>
  <c r="CI20" i="2"/>
  <c r="CI21" i="2"/>
  <c r="CI22" i="2"/>
  <c r="CI23" i="2"/>
  <c r="CI24" i="2"/>
  <c r="CI25" i="2"/>
  <c r="CI26" i="2"/>
  <c r="CI27" i="2"/>
  <c r="CI28" i="2"/>
  <c r="CI31" i="2"/>
  <c r="CI32" i="2"/>
  <c r="CI33" i="2"/>
  <c r="CI34" i="2"/>
  <c r="CI37" i="2"/>
  <c r="CI81" i="2"/>
  <c r="CI38" i="2"/>
  <c r="CI39" i="2"/>
  <c r="CI40" i="2"/>
  <c r="CI43" i="2"/>
  <c r="CI44" i="2"/>
  <c r="CI77" i="2"/>
  <c r="CI45" i="2"/>
  <c r="CI46" i="2"/>
  <c r="CI47" i="2"/>
  <c r="CI75" i="2"/>
  <c r="CI49" i="2"/>
  <c r="CI50" i="2"/>
  <c r="CI51" i="2"/>
  <c r="CI52" i="2"/>
  <c r="CI53" i="2"/>
  <c r="CI55" i="2"/>
  <c r="CI56" i="2"/>
  <c r="CI57" i="2"/>
  <c r="CI58" i="2"/>
  <c r="CI60" i="2"/>
  <c r="CI62" i="2"/>
  <c r="CI63" i="2"/>
  <c r="CI83" i="2"/>
  <c r="CI64" i="2"/>
  <c r="CI65" i="2"/>
  <c r="CI66" i="2"/>
  <c r="CI67" i="2"/>
  <c r="CI69" i="2"/>
  <c r="CI74" i="2"/>
  <c r="CI84" i="2"/>
  <c r="CI82" i="2"/>
  <c r="CI79" i="2"/>
  <c r="CI71" i="2"/>
  <c r="CI70" i="2"/>
  <c r="CI72" i="2"/>
  <c r="CK6" i="2"/>
  <c r="CK8" i="2"/>
  <c r="CK9" i="2"/>
  <c r="CK80" i="2"/>
  <c r="CK10" i="2"/>
  <c r="CK11" i="2"/>
  <c r="CK12" i="2"/>
  <c r="CK76" i="2"/>
  <c r="CK13" i="2"/>
  <c r="CK73" i="2"/>
  <c r="CK14" i="2"/>
  <c r="CK15" i="2"/>
  <c r="CK16" i="2"/>
  <c r="CK17" i="2"/>
  <c r="CK18" i="2"/>
  <c r="CK19" i="2"/>
  <c r="CK20" i="2"/>
  <c r="CK21" i="2"/>
  <c r="CK22" i="2"/>
  <c r="CK23" i="2"/>
  <c r="CK24" i="2"/>
  <c r="CK25" i="2"/>
  <c r="CK26" i="2"/>
  <c r="CK27" i="2"/>
  <c r="CK28" i="2"/>
  <c r="CK31" i="2"/>
  <c r="CK32" i="2"/>
  <c r="CK33" i="2"/>
  <c r="CK34" i="2"/>
  <c r="CK37" i="2"/>
  <c r="CK81" i="2"/>
  <c r="CK38" i="2"/>
  <c r="CK39" i="2"/>
  <c r="CK40" i="2"/>
  <c r="CK43" i="2"/>
  <c r="CK44" i="2"/>
  <c r="CK77" i="2"/>
  <c r="CK45" i="2"/>
  <c r="CK46" i="2"/>
  <c r="CK47" i="2"/>
  <c r="CK75" i="2"/>
  <c r="CK49" i="2"/>
  <c r="CK50" i="2"/>
  <c r="CK51" i="2"/>
  <c r="CK52" i="2"/>
  <c r="CK53" i="2"/>
  <c r="CK55" i="2"/>
  <c r="CK56" i="2"/>
  <c r="CK57" i="2"/>
  <c r="CK58" i="2"/>
  <c r="CK60" i="2"/>
  <c r="CK62" i="2"/>
  <c r="CK63" i="2"/>
  <c r="CK83" i="2"/>
  <c r="CK64" i="2"/>
  <c r="CK65" i="2"/>
  <c r="CK66" i="2"/>
  <c r="CK67" i="2"/>
  <c r="CK69" i="2"/>
  <c r="CK74" i="2"/>
  <c r="CK84" i="2"/>
  <c r="CK82" i="2"/>
  <c r="CK79" i="2"/>
  <c r="CK71" i="2"/>
  <c r="CK70" i="2"/>
  <c r="CK72" i="2"/>
  <c r="CM6" i="2"/>
  <c r="CM8" i="2"/>
  <c r="CM9" i="2"/>
  <c r="CM80" i="2"/>
  <c r="CM10" i="2"/>
  <c r="CM11" i="2"/>
  <c r="CM12" i="2"/>
  <c r="CM76" i="2"/>
  <c r="CM13" i="2"/>
  <c r="CM73" i="2"/>
  <c r="CM14" i="2"/>
  <c r="CM15" i="2"/>
  <c r="CM16" i="2"/>
  <c r="CM17" i="2"/>
  <c r="CM18" i="2"/>
  <c r="CM19" i="2"/>
  <c r="CM20" i="2"/>
  <c r="CM21" i="2"/>
  <c r="CM22" i="2"/>
  <c r="CM23" i="2"/>
  <c r="CM24" i="2"/>
  <c r="CM25" i="2"/>
  <c r="CM26" i="2"/>
  <c r="CM27" i="2"/>
  <c r="CM28" i="2"/>
  <c r="CM31" i="2"/>
  <c r="CM32" i="2"/>
  <c r="CM33" i="2"/>
  <c r="CM34" i="2"/>
  <c r="CM37" i="2"/>
  <c r="CM81" i="2"/>
  <c r="CM38" i="2"/>
  <c r="CM39" i="2"/>
  <c r="CM40" i="2"/>
  <c r="CM43" i="2"/>
  <c r="CM44" i="2"/>
  <c r="CM77" i="2"/>
  <c r="CM45" i="2"/>
  <c r="CM46" i="2"/>
  <c r="CM47" i="2"/>
  <c r="CM75" i="2"/>
  <c r="CM49" i="2"/>
  <c r="CM50" i="2"/>
  <c r="CM51" i="2"/>
  <c r="CM52" i="2"/>
  <c r="CM53" i="2"/>
  <c r="CM55" i="2"/>
  <c r="CM56" i="2"/>
  <c r="CM57" i="2"/>
  <c r="CM58" i="2"/>
  <c r="CM60" i="2"/>
  <c r="CM62" i="2"/>
  <c r="CM63" i="2"/>
  <c r="CM83" i="2"/>
  <c r="CM64" i="2"/>
  <c r="CM65" i="2"/>
  <c r="CM66" i="2"/>
  <c r="CM67" i="2"/>
  <c r="CM69" i="2"/>
  <c r="CM74" i="2"/>
  <c r="CM84" i="2"/>
  <c r="CM82" i="2"/>
  <c r="CM79" i="2"/>
  <c r="CM71" i="2"/>
  <c r="CM70" i="2"/>
  <c r="CM72" i="2"/>
  <c r="CO6" i="2"/>
  <c r="CO8" i="2"/>
  <c r="CO9" i="2"/>
  <c r="CO80" i="2"/>
  <c r="CO10" i="2"/>
  <c r="CO11" i="2"/>
  <c r="CO12" i="2"/>
  <c r="CO76" i="2"/>
  <c r="CO13" i="2"/>
  <c r="CO73" i="2"/>
  <c r="CO14" i="2"/>
  <c r="CO15" i="2"/>
  <c r="CO16" i="2"/>
  <c r="CO17" i="2"/>
  <c r="CO18" i="2"/>
  <c r="CO19" i="2"/>
  <c r="CO20" i="2"/>
  <c r="CO21" i="2"/>
  <c r="CO22" i="2"/>
  <c r="CO23" i="2"/>
  <c r="CO24" i="2"/>
  <c r="CO25" i="2"/>
  <c r="CO26" i="2"/>
  <c r="CO27" i="2"/>
  <c r="CO28" i="2"/>
  <c r="CO31" i="2"/>
  <c r="CO32" i="2"/>
  <c r="CO33" i="2"/>
  <c r="CO34" i="2"/>
  <c r="CO37" i="2"/>
  <c r="CO81" i="2"/>
  <c r="CO38" i="2"/>
  <c r="CO39" i="2"/>
  <c r="CO40" i="2"/>
  <c r="CO43" i="2"/>
  <c r="CO44" i="2"/>
  <c r="CO77" i="2"/>
  <c r="CO45" i="2"/>
  <c r="CO46" i="2"/>
  <c r="CO47" i="2"/>
  <c r="CO75" i="2"/>
  <c r="CO49" i="2"/>
  <c r="CO50" i="2"/>
  <c r="CO51" i="2"/>
  <c r="CO52" i="2"/>
  <c r="CO53" i="2"/>
  <c r="CO55" i="2"/>
  <c r="CO56" i="2"/>
  <c r="CO57" i="2"/>
  <c r="CO58" i="2"/>
  <c r="CO60" i="2"/>
  <c r="CO62" i="2"/>
  <c r="CO63" i="2"/>
  <c r="CO83" i="2"/>
  <c r="CO64" i="2"/>
  <c r="CO65" i="2"/>
  <c r="CO66" i="2"/>
  <c r="CO67" i="2"/>
  <c r="CO69" i="2"/>
  <c r="CO74" i="2"/>
  <c r="CO84" i="2"/>
  <c r="CO82" i="2"/>
  <c r="CO79" i="2"/>
  <c r="CO71" i="2"/>
  <c r="CO70" i="2"/>
  <c r="CO72" i="2"/>
  <c r="BZ14" i="2"/>
  <c r="CB14" i="2"/>
  <c r="CD14" i="2"/>
  <c r="CF14" i="2"/>
  <c r="CH14" i="2"/>
  <c r="CJ14" i="2"/>
  <c r="CL14" i="2"/>
  <c r="CN14" i="2"/>
  <c r="CP14" i="2"/>
  <c r="CQ14" i="2"/>
  <c r="L14" i="2"/>
  <c r="BZ70" i="2"/>
  <c r="CB70" i="2"/>
  <c r="CD70" i="2"/>
  <c r="CF70" i="2"/>
  <c r="CH70" i="2"/>
  <c r="CJ70" i="2"/>
  <c r="CL70" i="2"/>
  <c r="CN70" i="2"/>
  <c r="CP70" i="2"/>
  <c r="CQ70" i="2"/>
  <c r="L70" i="2"/>
  <c r="BZ71" i="2"/>
  <c r="CB71" i="2"/>
  <c r="CD71" i="2"/>
  <c r="CF71" i="2"/>
  <c r="CH71" i="2"/>
  <c r="CJ71" i="2"/>
  <c r="CL71" i="2"/>
  <c r="CN71" i="2"/>
  <c r="CP71" i="2"/>
  <c r="CQ71" i="2"/>
  <c r="L71" i="2"/>
  <c r="BZ79" i="2"/>
  <c r="CB79" i="2"/>
  <c r="CD79" i="2"/>
  <c r="CF79" i="2"/>
  <c r="CH79" i="2"/>
  <c r="CJ79" i="2"/>
  <c r="CL79" i="2"/>
  <c r="CN79" i="2"/>
  <c r="CP79" i="2"/>
  <c r="CQ79" i="2"/>
  <c r="L79" i="2"/>
  <c r="BZ75" i="2"/>
  <c r="CB75" i="2"/>
  <c r="CD75" i="2"/>
  <c r="CF75" i="2"/>
  <c r="CH75" i="2"/>
  <c r="CJ75" i="2"/>
  <c r="CL75" i="2"/>
  <c r="CN75" i="2"/>
  <c r="CP75" i="2"/>
  <c r="CQ75" i="2"/>
  <c r="L75" i="2"/>
  <c r="BZ57" i="2"/>
  <c r="CB57" i="2"/>
  <c r="CD57" i="2"/>
  <c r="CF57" i="2"/>
  <c r="CH57" i="2"/>
  <c r="CJ57" i="2"/>
  <c r="CL57" i="2"/>
  <c r="CN57" i="2"/>
  <c r="CP57" i="2"/>
  <c r="CQ57" i="2"/>
  <c r="L57" i="2"/>
  <c r="BZ76" i="2"/>
  <c r="CB76" i="2"/>
  <c r="CD76" i="2"/>
  <c r="CF76" i="2"/>
  <c r="CH76" i="2"/>
  <c r="CJ76" i="2"/>
  <c r="CL76" i="2"/>
  <c r="CN76" i="2"/>
  <c r="CP76" i="2"/>
  <c r="CQ76" i="2"/>
  <c r="L76" i="2"/>
  <c r="BZ46" i="2"/>
  <c r="CB46" i="2"/>
  <c r="CD46" i="2"/>
  <c r="CF46" i="2"/>
  <c r="CH46" i="2"/>
  <c r="CJ46" i="2"/>
  <c r="CL46" i="2"/>
  <c r="CN46" i="2"/>
  <c r="CP46" i="2"/>
  <c r="CQ46" i="2"/>
  <c r="L46" i="2"/>
  <c r="BZ37" i="2"/>
  <c r="CB37" i="2"/>
  <c r="CD37" i="2"/>
  <c r="CF37" i="2"/>
  <c r="CH37" i="2"/>
  <c r="CJ37" i="2"/>
  <c r="CL37" i="2"/>
  <c r="CN37" i="2"/>
  <c r="CP37" i="2"/>
  <c r="CQ37" i="2"/>
  <c r="L37" i="2"/>
  <c r="BZ6" i="2"/>
  <c r="CB6" i="2"/>
  <c r="CD6" i="2"/>
  <c r="CF6" i="2"/>
  <c r="CH6" i="2"/>
  <c r="CJ6" i="2"/>
  <c r="CL6" i="2"/>
  <c r="CN6" i="2"/>
  <c r="CP6" i="2"/>
  <c r="CQ6" i="2"/>
  <c r="BZ72" i="2"/>
  <c r="CB72" i="2"/>
  <c r="CD72" i="2"/>
  <c r="CF72" i="2"/>
  <c r="CH72" i="2"/>
  <c r="CJ72" i="2"/>
  <c r="CL72" i="2"/>
  <c r="CN72" i="2"/>
  <c r="CP72" i="2"/>
  <c r="CQ72" i="2"/>
  <c r="BZ8" i="2"/>
  <c r="CB8" i="2"/>
  <c r="CD8" i="2"/>
  <c r="CF8" i="2"/>
  <c r="CH8" i="2"/>
  <c r="CJ8" i="2"/>
  <c r="CL8" i="2"/>
  <c r="CN8" i="2"/>
  <c r="CP8" i="2"/>
  <c r="CQ8" i="2"/>
  <c r="BZ9" i="2"/>
  <c r="CB9" i="2"/>
  <c r="CD9" i="2"/>
  <c r="CF9" i="2"/>
  <c r="CH9" i="2"/>
  <c r="CJ9" i="2"/>
  <c r="CL9" i="2"/>
  <c r="CN9" i="2"/>
  <c r="CP9" i="2"/>
  <c r="CQ9" i="2"/>
  <c r="BZ80" i="2"/>
  <c r="CB80" i="2"/>
  <c r="CD80" i="2"/>
  <c r="CF80" i="2"/>
  <c r="CH80" i="2"/>
  <c r="CJ80" i="2"/>
  <c r="CL80" i="2"/>
  <c r="CN80" i="2"/>
  <c r="CP80" i="2"/>
  <c r="CQ80" i="2"/>
  <c r="BZ10" i="2"/>
  <c r="CB10" i="2"/>
  <c r="CD10" i="2"/>
  <c r="CF10" i="2"/>
  <c r="CH10" i="2"/>
  <c r="CJ10" i="2"/>
  <c r="CL10" i="2"/>
  <c r="CN10" i="2"/>
  <c r="CP10" i="2"/>
  <c r="CQ10" i="2"/>
  <c r="BZ11" i="2"/>
  <c r="CB11" i="2"/>
  <c r="CD11" i="2"/>
  <c r="CF11" i="2"/>
  <c r="CH11" i="2"/>
  <c r="CJ11" i="2"/>
  <c r="CL11" i="2"/>
  <c r="CN11" i="2"/>
  <c r="CP11" i="2"/>
  <c r="CQ11" i="2"/>
  <c r="BZ12" i="2"/>
  <c r="CB12" i="2"/>
  <c r="CD12" i="2"/>
  <c r="CF12" i="2"/>
  <c r="CH12" i="2"/>
  <c r="CJ12" i="2"/>
  <c r="CL12" i="2"/>
  <c r="CN12" i="2"/>
  <c r="CP12" i="2"/>
  <c r="CQ12" i="2"/>
  <c r="BZ13" i="2"/>
  <c r="CB13" i="2"/>
  <c r="CD13" i="2"/>
  <c r="CF13" i="2"/>
  <c r="CH13" i="2"/>
  <c r="CJ13" i="2"/>
  <c r="CL13" i="2"/>
  <c r="CN13" i="2"/>
  <c r="CP13" i="2"/>
  <c r="CQ13" i="2"/>
  <c r="BZ73" i="2"/>
  <c r="CB73" i="2"/>
  <c r="CD73" i="2"/>
  <c r="CF73" i="2"/>
  <c r="CH73" i="2"/>
  <c r="CJ73" i="2"/>
  <c r="CL73" i="2"/>
  <c r="CN73" i="2"/>
  <c r="CP73" i="2"/>
  <c r="CQ73" i="2"/>
  <c r="BZ15" i="2"/>
  <c r="CB15" i="2"/>
  <c r="CD15" i="2"/>
  <c r="CF15" i="2"/>
  <c r="CH15" i="2"/>
  <c r="CJ15" i="2"/>
  <c r="CL15" i="2"/>
  <c r="CN15" i="2"/>
  <c r="CP15" i="2"/>
  <c r="CQ15" i="2"/>
  <c r="BZ16" i="2"/>
  <c r="CB16" i="2"/>
  <c r="CD16" i="2"/>
  <c r="CF16" i="2"/>
  <c r="CH16" i="2"/>
  <c r="CJ16" i="2"/>
  <c r="CL16" i="2"/>
  <c r="CN16" i="2"/>
  <c r="CP16" i="2"/>
  <c r="CQ16" i="2"/>
  <c r="BZ17" i="2"/>
  <c r="CB17" i="2"/>
  <c r="CD17" i="2"/>
  <c r="CF17" i="2"/>
  <c r="CH17" i="2"/>
  <c r="CJ17" i="2"/>
  <c r="CL17" i="2"/>
  <c r="CN17" i="2"/>
  <c r="CP17" i="2"/>
  <c r="CQ17" i="2"/>
  <c r="BZ18" i="2"/>
  <c r="CB18" i="2"/>
  <c r="CD18" i="2"/>
  <c r="CF18" i="2"/>
  <c r="CH18" i="2"/>
  <c r="CJ18" i="2"/>
  <c r="CL18" i="2"/>
  <c r="CN18" i="2"/>
  <c r="CP18" i="2"/>
  <c r="CQ18" i="2"/>
  <c r="BZ19" i="2"/>
  <c r="CB19" i="2"/>
  <c r="CD19" i="2"/>
  <c r="CF19" i="2"/>
  <c r="CH19" i="2"/>
  <c r="CJ19" i="2"/>
  <c r="CL19" i="2"/>
  <c r="CN19" i="2"/>
  <c r="CP19" i="2"/>
  <c r="CQ19" i="2"/>
  <c r="BZ20" i="2"/>
  <c r="CB20" i="2"/>
  <c r="CD20" i="2"/>
  <c r="CF20" i="2"/>
  <c r="CH20" i="2"/>
  <c r="CJ20" i="2"/>
  <c r="CL20" i="2"/>
  <c r="CN20" i="2"/>
  <c r="CP20" i="2"/>
  <c r="CQ20" i="2"/>
  <c r="BZ21" i="2"/>
  <c r="CB21" i="2"/>
  <c r="CD21" i="2"/>
  <c r="CF21" i="2"/>
  <c r="CH21" i="2"/>
  <c r="CJ21" i="2"/>
  <c r="CL21" i="2"/>
  <c r="CN21" i="2"/>
  <c r="CP21" i="2"/>
  <c r="CQ21" i="2"/>
  <c r="BZ22" i="2"/>
  <c r="CB22" i="2"/>
  <c r="CD22" i="2"/>
  <c r="CF22" i="2"/>
  <c r="CH22" i="2"/>
  <c r="CJ22" i="2"/>
  <c r="CL22" i="2"/>
  <c r="CN22" i="2"/>
  <c r="CP22" i="2"/>
  <c r="CQ22" i="2"/>
  <c r="BZ23" i="2"/>
  <c r="CB23" i="2"/>
  <c r="CD23" i="2"/>
  <c r="CF23" i="2"/>
  <c r="CH23" i="2"/>
  <c r="CJ23" i="2"/>
  <c r="CL23" i="2"/>
  <c r="CN23" i="2"/>
  <c r="CP23" i="2"/>
  <c r="CQ23" i="2"/>
  <c r="BZ24" i="2"/>
  <c r="CB24" i="2"/>
  <c r="CD24" i="2"/>
  <c r="CF24" i="2"/>
  <c r="CH24" i="2"/>
  <c r="CJ24" i="2"/>
  <c r="CL24" i="2"/>
  <c r="CN24" i="2"/>
  <c r="CP24" i="2"/>
  <c r="CQ24" i="2"/>
  <c r="BZ25" i="2"/>
  <c r="CB25" i="2"/>
  <c r="CD25" i="2"/>
  <c r="CF25" i="2"/>
  <c r="CH25" i="2"/>
  <c r="CJ25" i="2"/>
  <c r="CL25" i="2"/>
  <c r="CN25" i="2"/>
  <c r="CP25" i="2"/>
  <c r="CQ25" i="2"/>
  <c r="BZ26" i="2"/>
  <c r="CB26" i="2"/>
  <c r="CD26" i="2"/>
  <c r="CF26" i="2"/>
  <c r="CH26" i="2"/>
  <c r="CJ26" i="2"/>
  <c r="CL26" i="2"/>
  <c r="CN26" i="2"/>
  <c r="CP26" i="2"/>
  <c r="CQ26" i="2"/>
  <c r="BZ27" i="2"/>
  <c r="CB27" i="2"/>
  <c r="CD27" i="2"/>
  <c r="CF27" i="2"/>
  <c r="CH27" i="2"/>
  <c r="CJ27" i="2"/>
  <c r="CL27" i="2"/>
  <c r="CN27" i="2"/>
  <c r="CP27" i="2"/>
  <c r="CQ27" i="2"/>
  <c r="BZ28" i="2"/>
  <c r="CB28" i="2"/>
  <c r="CD28" i="2"/>
  <c r="CF28" i="2"/>
  <c r="CH28" i="2"/>
  <c r="CJ28" i="2"/>
  <c r="CL28" i="2"/>
  <c r="CN28" i="2"/>
  <c r="CP28" i="2"/>
  <c r="CQ28" i="2"/>
  <c r="BZ31" i="2"/>
  <c r="CB31" i="2"/>
  <c r="CD31" i="2"/>
  <c r="CF31" i="2"/>
  <c r="CH31" i="2"/>
  <c r="CJ31" i="2"/>
  <c r="CL31" i="2"/>
  <c r="CN31" i="2"/>
  <c r="CP31" i="2"/>
  <c r="CQ31" i="2"/>
  <c r="BZ32" i="2"/>
  <c r="CB32" i="2"/>
  <c r="CD32" i="2"/>
  <c r="CF32" i="2"/>
  <c r="CH32" i="2"/>
  <c r="CJ32" i="2"/>
  <c r="CL32" i="2"/>
  <c r="CN32" i="2"/>
  <c r="CP32" i="2"/>
  <c r="CQ32" i="2"/>
  <c r="BZ33" i="2"/>
  <c r="CB33" i="2"/>
  <c r="CD33" i="2"/>
  <c r="CF33" i="2"/>
  <c r="CH33" i="2"/>
  <c r="CJ33" i="2"/>
  <c r="CL33" i="2"/>
  <c r="CN33" i="2"/>
  <c r="CP33" i="2"/>
  <c r="CQ33" i="2"/>
  <c r="BZ34" i="2"/>
  <c r="CB34" i="2"/>
  <c r="CD34" i="2"/>
  <c r="CF34" i="2"/>
  <c r="CH34" i="2"/>
  <c r="CJ34" i="2"/>
  <c r="CL34" i="2"/>
  <c r="CN34" i="2"/>
  <c r="CP34" i="2"/>
  <c r="CQ34" i="2"/>
  <c r="BZ74" i="2"/>
  <c r="CB74" i="2"/>
  <c r="CD74" i="2"/>
  <c r="CF74" i="2"/>
  <c r="CH74" i="2"/>
  <c r="CJ74" i="2"/>
  <c r="CL74" i="2"/>
  <c r="CN74" i="2"/>
  <c r="CP74" i="2"/>
  <c r="CQ74" i="2"/>
  <c r="BZ81" i="2"/>
  <c r="CB81" i="2"/>
  <c r="CD81" i="2"/>
  <c r="CF81" i="2"/>
  <c r="CH81" i="2"/>
  <c r="CJ81" i="2"/>
  <c r="CL81" i="2"/>
  <c r="CN81" i="2"/>
  <c r="CP81" i="2"/>
  <c r="CQ81" i="2"/>
  <c r="BZ38" i="2"/>
  <c r="CB38" i="2"/>
  <c r="CD38" i="2"/>
  <c r="CF38" i="2"/>
  <c r="CH38" i="2"/>
  <c r="CJ38" i="2"/>
  <c r="CL38" i="2"/>
  <c r="CN38" i="2"/>
  <c r="CP38" i="2"/>
  <c r="CQ38" i="2"/>
  <c r="BZ39" i="2"/>
  <c r="CB39" i="2"/>
  <c r="CD39" i="2"/>
  <c r="CF39" i="2"/>
  <c r="CH39" i="2"/>
  <c r="CJ39" i="2"/>
  <c r="CL39" i="2"/>
  <c r="CN39" i="2"/>
  <c r="CP39" i="2"/>
  <c r="CQ39" i="2"/>
  <c r="BZ40" i="2"/>
  <c r="CB40" i="2"/>
  <c r="CD40" i="2"/>
  <c r="CF40" i="2"/>
  <c r="CH40" i="2"/>
  <c r="CJ40" i="2"/>
  <c r="CL40" i="2"/>
  <c r="CN40" i="2"/>
  <c r="CP40" i="2"/>
  <c r="CQ40" i="2"/>
  <c r="BZ43" i="2"/>
  <c r="CB43" i="2"/>
  <c r="CD43" i="2"/>
  <c r="CF43" i="2"/>
  <c r="CH43" i="2"/>
  <c r="CJ43" i="2"/>
  <c r="CL43" i="2"/>
  <c r="CN43" i="2"/>
  <c r="CP43" i="2"/>
  <c r="CQ43" i="2"/>
  <c r="BZ44" i="2"/>
  <c r="CB44" i="2"/>
  <c r="CD44" i="2"/>
  <c r="CF44" i="2"/>
  <c r="CH44" i="2"/>
  <c r="CJ44" i="2"/>
  <c r="CL44" i="2"/>
  <c r="CN44" i="2"/>
  <c r="CP44" i="2"/>
  <c r="CQ44" i="2"/>
  <c r="BZ77" i="2"/>
  <c r="CB77" i="2"/>
  <c r="CD77" i="2"/>
  <c r="CF77" i="2"/>
  <c r="CH77" i="2"/>
  <c r="CJ77" i="2"/>
  <c r="CL77" i="2"/>
  <c r="CN77" i="2"/>
  <c r="CP77" i="2"/>
  <c r="CQ77" i="2"/>
  <c r="BZ45" i="2"/>
  <c r="CB45" i="2"/>
  <c r="CD45" i="2"/>
  <c r="CF45" i="2"/>
  <c r="CH45" i="2"/>
  <c r="CJ45" i="2"/>
  <c r="CL45" i="2"/>
  <c r="CN45" i="2"/>
  <c r="CP45" i="2"/>
  <c r="CQ45" i="2"/>
  <c r="BZ47" i="2"/>
  <c r="CB47" i="2"/>
  <c r="CD47" i="2"/>
  <c r="CF47" i="2"/>
  <c r="CH47" i="2"/>
  <c r="CJ47" i="2"/>
  <c r="CL47" i="2"/>
  <c r="CN47" i="2"/>
  <c r="CP47" i="2"/>
  <c r="CQ47" i="2"/>
  <c r="BZ49" i="2"/>
  <c r="CB49" i="2"/>
  <c r="CD49" i="2"/>
  <c r="CF49" i="2"/>
  <c r="CH49" i="2"/>
  <c r="CJ49" i="2"/>
  <c r="CL49" i="2"/>
  <c r="CN49" i="2"/>
  <c r="CP49" i="2"/>
  <c r="CQ49" i="2"/>
  <c r="BZ50" i="2"/>
  <c r="CB50" i="2"/>
  <c r="CD50" i="2"/>
  <c r="CF50" i="2"/>
  <c r="CH50" i="2"/>
  <c r="CJ50" i="2"/>
  <c r="CL50" i="2"/>
  <c r="CN50" i="2"/>
  <c r="CP50" i="2"/>
  <c r="CQ50" i="2"/>
  <c r="BZ51" i="2"/>
  <c r="CB51" i="2"/>
  <c r="CD51" i="2"/>
  <c r="CF51" i="2"/>
  <c r="CH51" i="2"/>
  <c r="CJ51" i="2"/>
  <c r="CL51" i="2"/>
  <c r="CN51" i="2"/>
  <c r="CP51" i="2"/>
  <c r="CQ51" i="2"/>
  <c r="BZ53" i="2"/>
  <c r="CB53" i="2"/>
  <c r="CD53" i="2"/>
  <c r="CF53" i="2"/>
  <c r="CH53" i="2"/>
  <c r="CJ53" i="2"/>
  <c r="CL53" i="2"/>
  <c r="CN53" i="2"/>
  <c r="CP53" i="2"/>
  <c r="CQ53" i="2"/>
  <c r="BZ82" i="2"/>
  <c r="CB82" i="2"/>
  <c r="CD82" i="2"/>
  <c r="CF82" i="2"/>
  <c r="CH82" i="2"/>
  <c r="CJ82" i="2"/>
  <c r="CL82" i="2"/>
  <c r="CN82" i="2"/>
  <c r="CP82" i="2"/>
  <c r="CQ82" i="2"/>
  <c r="BZ55" i="2"/>
  <c r="CB55" i="2"/>
  <c r="CD55" i="2"/>
  <c r="CF55" i="2"/>
  <c r="CH55" i="2"/>
  <c r="CJ55" i="2"/>
  <c r="CL55" i="2"/>
  <c r="CN55" i="2"/>
  <c r="CP55" i="2"/>
  <c r="CQ55" i="2"/>
  <c r="BZ56" i="2"/>
  <c r="CB56" i="2"/>
  <c r="CD56" i="2"/>
  <c r="CF56" i="2"/>
  <c r="CH56" i="2"/>
  <c r="CJ56" i="2"/>
  <c r="CL56" i="2"/>
  <c r="CN56" i="2"/>
  <c r="CP56" i="2"/>
  <c r="CQ56" i="2"/>
  <c r="BZ58" i="2"/>
  <c r="CB58" i="2"/>
  <c r="CD58" i="2"/>
  <c r="CF58" i="2"/>
  <c r="CH58" i="2"/>
  <c r="CJ58" i="2"/>
  <c r="CL58" i="2"/>
  <c r="CN58" i="2"/>
  <c r="CP58" i="2"/>
  <c r="CQ58" i="2"/>
  <c r="BZ60" i="2"/>
  <c r="CB60" i="2"/>
  <c r="CD60" i="2"/>
  <c r="CF60" i="2"/>
  <c r="CH60" i="2"/>
  <c r="CJ60" i="2"/>
  <c r="CL60" i="2"/>
  <c r="CN60" i="2"/>
  <c r="CP60" i="2"/>
  <c r="CQ60" i="2"/>
  <c r="BZ62" i="2"/>
  <c r="CB62" i="2"/>
  <c r="CD62" i="2"/>
  <c r="CF62" i="2"/>
  <c r="CH62" i="2"/>
  <c r="CJ62" i="2"/>
  <c r="CL62" i="2"/>
  <c r="CN62" i="2"/>
  <c r="CP62" i="2"/>
  <c r="CQ62" i="2"/>
  <c r="BZ63" i="2"/>
  <c r="CB63" i="2"/>
  <c r="CD63" i="2"/>
  <c r="CF63" i="2"/>
  <c r="CH63" i="2"/>
  <c r="CJ63" i="2"/>
  <c r="CL63" i="2"/>
  <c r="CN63" i="2"/>
  <c r="CP63" i="2"/>
  <c r="CQ63" i="2"/>
  <c r="BZ83" i="2"/>
  <c r="CB83" i="2"/>
  <c r="CD83" i="2"/>
  <c r="CF83" i="2"/>
  <c r="CH83" i="2"/>
  <c r="CJ83" i="2"/>
  <c r="CL83" i="2"/>
  <c r="CN83" i="2"/>
  <c r="CP83" i="2"/>
  <c r="CQ83" i="2"/>
  <c r="BZ64" i="2"/>
  <c r="CB64" i="2"/>
  <c r="CD64" i="2"/>
  <c r="CF64" i="2"/>
  <c r="CH64" i="2"/>
  <c r="CJ64" i="2"/>
  <c r="CL64" i="2"/>
  <c r="CN64" i="2"/>
  <c r="CP64" i="2"/>
  <c r="CQ64" i="2"/>
  <c r="BZ65" i="2"/>
  <c r="CB65" i="2"/>
  <c r="CD65" i="2"/>
  <c r="CF65" i="2"/>
  <c r="CH65" i="2"/>
  <c r="CJ65" i="2"/>
  <c r="CL65" i="2"/>
  <c r="CN65" i="2"/>
  <c r="CP65" i="2"/>
  <c r="CQ65" i="2"/>
  <c r="BZ66" i="2"/>
  <c r="CB66" i="2"/>
  <c r="CD66" i="2"/>
  <c r="CF66" i="2"/>
  <c r="CH66" i="2"/>
  <c r="CJ66" i="2"/>
  <c r="CL66" i="2"/>
  <c r="CN66" i="2"/>
  <c r="CP66" i="2"/>
  <c r="CQ66" i="2"/>
  <c r="BZ84" i="2"/>
  <c r="CB84" i="2"/>
  <c r="CD84" i="2"/>
  <c r="CF84" i="2"/>
  <c r="CH84" i="2"/>
  <c r="CJ84" i="2"/>
  <c r="CL84" i="2"/>
  <c r="CN84" i="2"/>
  <c r="CP84" i="2"/>
  <c r="CQ84" i="2"/>
  <c r="BZ67" i="2"/>
  <c r="CB67" i="2"/>
  <c r="CD67" i="2"/>
  <c r="CF67" i="2"/>
  <c r="CH67" i="2"/>
  <c r="CJ67" i="2"/>
  <c r="CL67" i="2"/>
  <c r="CN67" i="2"/>
  <c r="CP67" i="2"/>
  <c r="CQ67" i="2"/>
  <c r="BZ69" i="2"/>
  <c r="CB69" i="2"/>
  <c r="CD69" i="2"/>
  <c r="CF69" i="2"/>
  <c r="CH69" i="2"/>
  <c r="CJ69" i="2"/>
  <c r="CL69" i="2"/>
  <c r="CN69" i="2"/>
  <c r="CP69" i="2"/>
  <c r="CQ69" i="2"/>
  <c r="BZ52" i="2"/>
  <c r="CB52" i="2"/>
  <c r="CD52" i="2"/>
  <c r="CF52" i="2"/>
  <c r="CH52" i="2"/>
  <c r="CJ52" i="2"/>
  <c r="CL52" i="2"/>
  <c r="CN52" i="2"/>
  <c r="CP52" i="2"/>
  <c r="CQ52" i="2"/>
  <c r="BR100" i="2"/>
  <c r="L52" i="2"/>
  <c r="U100" i="2"/>
  <c r="L47" i="2"/>
  <c r="L65" i="2"/>
  <c r="L72" i="2"/>
  <c r="L13" i="2"/>
  <c r="L82" i="2"/>
  <c r="L16" i="2"/>
  <c r="L80" i="2"/>
  <c r="L10" i="2"/>
  <c r="L21" i="2"/>
  <c r="L6" i="2"/>
  <c r="L8" i="2"/>
  <c r="L9" i="2"/>
  <c r="L11" i="2"/>
  <c r="L12" i="2"/>
  <c r="L73" i="2"/>
  <c r="L15" i="2"/>
  <c r="L17" i="2"/>
  <c r="L18" i="2"/>
  <c r="L19" i="2"/>
  <c r="L20" i="2"/>
  <c r="L22" i="2"/>
  <c r="L23" i="2"/>
  <c r="L24" i="2"/>
  <c r="L25" i="2"/>
  <c r="L26" i="2"/>
  <c r="L27" i="2"/>
  <c r="L28" i="2"/>
  <c r="L31" i="2"/>
  <c r="L32" i="2"/>
  <c r="L33" i="2"/>
  <c r="L34" i="2"/>
  <c r="L74" i="2"/>
  <c r="L81" i="2"/>
  <c r="L38" i="2"/>
  <c r="L39" i="2"/>
  <c r="L40" i="2"/>
  <c r="L43" i="2"/>
  <c r="L44" i="2"/>
  <c r="L77" i="2"/>
  <c r="L45" i="2"/>
  <c r="L49" i="2"/>
  <c r="L50" i="2"/>
  <c r="L51" i="2"/>
  <c r="L53" i="2"/>
  <c r="L55" i="2"/>
  <c r="L56" i="2"/>
  <c r="L58" i="2"/>
  <c r="L60" i="2"/>
  <c r="L62" i="2"/>
  <c r="L63" i="2"/>
  <c r="L83" i="2"/>
  <c r="L64" i="2"/>
  <c r="L66" i="2"/>
  <c r="L84" i="2"/>
  <c r="L67" i="2"/>
  <c r="L69" i="2"/>
  <c r="BS100" i="2"/>
</calcChain>
</file>

<file path=xl/sharedStrings.xml><?xml version="1.0" encoding="utf-8"?>
<sst xmlns="http://schemas.openxmlformats.org/spreadsheetml/2006/main" count="11399" uniqueCount="873">
  <si>
    <t>Date</t>
  </si>
  <si>
    <t>Total points possibles</t>
  </si>
  <si>
    <t>Clé</t>
  </si>
  <si>
    <t>Nom</t>
  </si>
  <si>
    <t>Prénom</t>
  </si>
  <si>
    <t>Secteur</t>
  </si>
  <si>
    <t>Arrivée</t>
  </si>
  <si>
    <t>Départ</t>
  </si>
  <si>
    <t>Référent</t>
  </si>
  <si>
    <t>Dessine</t>
  </si>
  <si>
    <t>Version AC 31.12.15</t>
  </si>
  <si>
    <t>Remarques</t>
  </si>
  <si>
    <t>Total points acquis</t>
  </si>
  <si>
    <t>FAC-3H</t>
  </si>
  <si>
    <t>FAC-9H 1</t>
  </si>
  <si>
    <t>FAC-9H 2</t>
  </si>
  <si>
    <t>FAC-9H 3</t>
  </si>
  <si>
    <t>Date choisie cours 01</t>
  </si>
  <si>
    <t>Présence cours 01</t>
  </si>
  <si>
    <t>Date choisie cours 02</t>
  </si>
  <si>
    <t>Présence cours 02</t>
  </si>
  <si>
    <t>Date choisie cours 03</t>
  </si>
  <si>
    <t>Présence cours 03</t>
  </si>
  <si>
    <t>Date choisie cours 04</t>
  </si>
  <si>
    <t>Présence cours 04</t>
  </si>
  <si>
    <t>Date choisie cours 05</t>
  </si>
  <si>
    <t>Présence cours 05</t>
  </si>
  <si>
    <t>Date choisie cours 06</t>
  </si>
  <si>
    <t>Présence cours 06</t>
  </si>
  <si>
    <t>Date choisie cours 07</t>
  </si>
  <si>
    <t>Présence cours 07</t>
  </si>
  <si>
    <t>Date choisie cours 08</t>
  </si>
  <si>
    <t>Présence cours 08</t>
  </si>
  <si>
    <t>Date choisie cours 09</t>
  </si>
  <si>
    <t>Présence cours 09</t>
  </si>
  <si>
    <t>Date choisie cours 10</t>
  </si>
  <si>
    <t>Présence cours 10</t>
  </si>
  <si>
    <t>Nombre de cours</t>
  </si>
  <si>
    <t>Nombre N-employé</t>
  </si>
  <si>
    <t>Nombre de cours possibles</t>
  </si>
  <si>
    <t>Nombre de cours suivis</t>
  </si>
  <si>
    <t>-</t>
  </si>
  <si>
    <t>x</t>
  </si>
  <si>
    <t>Non</t>
  </si>
  <si>
    <t>RAS</t>
  </si>
  <si>
    <t>Pas besoin</t>
  </si>
  <si>
    <t>Borloz</t>
  </si>
  <si>
    <t>Sebastiani</t>
  </si>
  <si>
    <t>Alicia</t>
  </si>
  <si>
    <t>AR</t>
  </si>
  <si>
    <t>Miguel</t>
  </si>
  <si>
    <t>Oui</t>
  </si>
  <si>
    <t>DATE</t>
  </si>
  <si>
    <t>16 &gt; 19</t>
  </si>
  <si>
    <t>CP</t>
  </si>
  <si>
    <t>Eicher</t>
  </si>
  <si>
    <t>Anita</t>
  </si>
  <si>
    <t>DB</t>
  </si>
  <si>
    <t>Armand</t>
  </si>
  <si>
    <t>Hollo</t>
  </si>
  <si>
    <t>Attila</t>
  </si>
  <si>
    <t>Patry</t>
  </si>
  <si>
    <t>Augustin</t>
  </si>
  <si>
    <t>ST</t>
  </si>
  <si>
    <t>Coralie</t>
  </si>
  <si>
    <t>17 &gt; 19</t>
  </si>
  <si>
    <t>Tran</t>
  </si>
  <si>
    <t>Bao</t>
  </si>
  <si>
    <t>Bernard</t>
  </si>
  <si>
    <t>Daniels</t>
  </si>
  <si>
    <t>Bart</t>
  </si>
  <si>
    <t>Mareine</t>
  </si>
  <si>
    <t>Benjamin</t>
  </si>
  <si>
    <t>???</t>
  </si>
  <si>
    <t>Curchod</t>
  </si>
  <si>
    <t>Benoît</t>
  </si>
  <si>
    <t>Cherix</t>
  </si>
  <si>
    <t>Shala</t>
  </si>
  <si>
    <t>Brahim</t>
  </si>
  <si>
    <t>Patrick</t>
  </si>
  <si>
    <t>Larané</t>
  </si>
  <si>
    <t>Camille</t>
  </si>
  <si>
    <t>UR</t>
  </si>
  <si>
    <t>Azevedo</t>
  </si>
  <si>
    <t>Carolina</t>
  </si>
  <si>
    <t>Plaschy-Roten</t>
  </si>
  <si>
    <t>Catherine</t>
  </si>
  <si>
    <t>Affolter</t>
  </si>
  <si>
    <t>Cendrine</t>
  </si>
  <si>
    <t>AI</t>
  </si>
  <si>
    <t>Fabrice</t>
  </si>
  <si>
    <t>Valentin</t>
  </si>
  <si>
    <t>Charlotte</t>
  </si>
  <si>
    <t>AP</t>
  </si>
  <si>
    <t>De Salvo</t>
  </si>
  <si>
    <t>Chiara</t>
  </si>
  <si>
    <t>Joly-Pottuz</t>
  </si>
  <si>
    <t>Chloé</t>
  </si>
  <si>
    <t>Schmid-Hennard</t>
  </si>
  <si>
    <t>Zosso</t>
  </si>
  <si>
    <t>Christine</t>
  </si>
  <si>
    <t>Svitok</t>
  </si>
  <si>
    <t>Cindy</t>
  </si>
  <si>
    <t>Cuendet</t>
  </si>
  <si>
    <t>Bajnok</t>
  </si>
  <si>
    <t>Csilla</t>
  </si>
  <si>
    <t>David</t>
  </si>
  <si>
    <t>Freire</t>
  </si>
  <si>
    <t>Minguet</t>
  </si>
  <si>
    <t>Kossi-Odi</t>
  </si>
  <si>
    <t>Elvira</t>
  </si>
  <si>
    <t>Roulin</t>
  </si>
  <si>
    <t>Papp</t>
  </si>
  <si>
    <t>Florian</t>
  </si>
  <si>
    <t>Genoux</t>
  </si>
  <si>
    <t>Gilles</t>
  </si>
  <si>
    <t>Goumaz</t>
  </si>
  <si>
    <t>Gregory</t>
  </si>
  <si>
    <t>Herrera</t>
  </si>
  <si>
    <t>Hector</t>
  </si>
  <si>
    <t>Ferrero</t>
  </si>
  <si>
    <t>Isabelle</t>
  </si>
  <si>
    <t>Neukomm</t>
  </si>
  <si>
    <t>Perez-Fiz</t>
  </si>
  <si>
    <t>Jaime</t>
  </si>
  <si>
    <t>Joana</t>
  </si>
  <si>
    <t>Da Costa</t>
  </si>
  <si>
    <t>Joe</t>
  </si>
  <si>
    <t>Aeberli</t>
  </si>
  <si>
    <t>Jonathan</t>
  </si>
  <si>
    <t>Pernet</t>
  </si>
  <si>
    <t>Garraza</t>
  </si>
  <si>
    <t>José</t>
  </si>
  <si>
    <t>Held</t>
  </si>
  <si>
    <t>Lila</t>
  </si>
  <si>
    <t>Werder</t>
  </si>
  <si>
    <t>Logan</t>
  </si>
  <si>
    <t>Nespolo</t>
  </si>
  <si>
    <t>Lucas</t>
  </si>
  <si>
    <t>Campana</t>
  </si>
  <si>
    <t>Lydia</t>
  </si>
  <si>
    <t>Bergundthal</t>
  </si>
  <si>
    <t>Marc</t>
  </si>
  <si>
    <t>Diacon</t>
  </si>
  <si>
    <t>Fiori</t>
  </si>
  <si>
    <t>Marcela</t>
  </si>
  <si>
    <t>Haldimann</t>
  </si>
  <si>
    <t>Marie-Joëlle</t>
  </si>
  <si>
    <t>Paternain-Martinez</t>
  </si>
  <si>
    <t>Marta</t>
  </si>
  <si>
    <t>Maxime</t>
  </si>
  <si>
    <t>Dupont</t>
  </si>
  <si>
    <t>Monsciani</t>
  </si>
  <si>
    <t>Mélanie</t>
  </si>
  <si>
    <t>Mélissa</t>
  </si>
  <si>
    <t>Gomes-Perdigao</t>
  </si>
  <si>
    <t>Aebischer</t>
  </si>
  <si>
    <t>Nathalie</t>
  </si>
  <si>
    <t>Bechyne</t>
  </si>
  <si>
    <t>Ondrej</t>
  </si>
  <si>
    <t>Pidoux</t>
  </si>
  <si>
    <t>Vieira De Almeida</t>
  </si>
  <si>
    <t>Pedro</t>
  </si>
  <si>
    <t>Philippe</t>
  </si>
  <si>
    <t>Torriani</t>
  </si>
  <si>
    <t>Batschelet</t>
  </si>
  <si>
    <t>Raphael</t>
  </si>
  <si>
    <t>Sandrine</t>
  </si>
  <si>
    <t>Stettler</t>
  </si>
  <si>
    <t>Serge</t>
  </si>
  <si>
    <t>Mury</t>
  </si>
  <si>
    <t>Silvia</t>
  </si>
  <si>
    <t>Vetsch</t>
  </si>
  <si>
    <t>Sonia</t>
  </si>
  <si>
    <t>Superchi</t>
  </si>
  <si>
    <t>Sophie</t>
  </si>
  <si>
    <t>Von Büren</t>
  </si>
  <si>
    <t>Ventura</t>
  </si>
  <si>
    <t>Tania</t>
  </si>
  <si>
    <t>Martinez</t>
  </si>
  <si>
    <t>Teresa</t>
  </si>
  <si>
    <t>Parrella</t>
  </si>
  <si>
    <t>Garcia</t>
  </si>
  <si>
    <t>Véronica</t>
  </si>
  <si>
    <t>Bavaud</t>
  </si>
  <si>
    <t>Victoire</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</si>
  <si>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</si>
  <si>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</si>
  <si>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</si>
  <si>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</si>
  <si>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</si>
  <si>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</si>
  <si>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</si>
  <si>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</si>
  <si>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</si>
  <si>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</si>
  <si>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</si>
  <si>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</si>
  <si>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</si>
  <si>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</si>
  <si>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</si>
  <si>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</si>
  <si>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</si>
  <si>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</si>
  <si>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</si>
  <si>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</si>
  <si>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</si>
  <si>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</si>
  <si>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</si>
  <si>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</si>
  <si>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</si>
  <si>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</si>
  <si>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</si>
  <si>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</si>
  <si>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</si>
  <si>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</si>
  <si>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</si>
  <si>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32</t>
  </si>
  <si>
    <t>33</t>
  </si>
  <si>
    <t>34</t>
  </si>
  <si>
    <t>35</t>
  </si>
  <si>
    <t>36</t>
  </si>
  <si>
    <t>37</t>
  </si>
  <si>
    <t>38</t>
  </si>
  <si>
    <t>39</t>
  </si>
  <si>
    <t>40</t>
  </si>
  <si>
    <t>41</t>
  </si>
  <si>
    <t>42</t>
  </si>
  <si>
    <t>43</t>
  </si>
  <si>
    <t>44</t>
  </si>
  <si>
    <t>45</t>
  </si>
  <si>
    <t>46</t>
  </si>
  <si>
    <t>47</t>
  </si>
  <si>
    <t>48</t>
  </si>
  <si>
    <t>49</t>
  </si>
  <si>
    <t>50</t>
  </si>
  <si>
    <t>51</t>
  </si>
  <si>
    <t>52</t>
  </si>
  <si>
    <t>53</t>
  </si>
  <si>
    <t>54</t>
  </si>
  <si>
    <t>55</t>
  </si>
  <si>
    <t>56</t>
  </si>
  <si>
    <t>57</t>
  </si>
  <si>
    <t>58</t>
  </si>
  <si>
    <t>59</t>
  </si>
  <si>
    <t>60</t>
  </si>
  <si>
    <t>ZZZ Libre</t>
  </si>
  <si>
    <t>Formation AC</t>
  </si>
  <si>
    <t>Inscrit</t>
  </si>
  <si>
    <t>Date choisie</t>
  </si>
  <si>
    <t>Présence</t>
  </si>
  <si>
    <t>Matthieu</t>
  </si>
  <si>
    <t>PTS</t>
  </si>
  <si>
    <t>Réponse doodle 01</t>
  </si>
  <si>
    <t>Ne peut s'inscrire</t>
  </si>
  <si>
    <t>Indisponible</t>
  </si>
  <si>
    <t>Sans information</t>
  </si>
  <si>
    <t>Présent</t>
  </si>
  <si>
    <t>Excusé</t>
  </si>
  <si>
    <t>Pas présent</t>
  </si>
  <si>
    <t>Réponse doodle 02</t>
  </si>
  <si>
    <t>Réponse doodle 03</t>
  </si>
  <si>
    <t>Réponse doodle 04</t>
  </si>
  <si>
    <t>Réponse doodle 05</t>
  </si>
  <si>
    <t>Réponse doodle 06</t>
  </si>
  <si>
    <t>Réponse doodle 07</t>
  </si>
  <si>
    <t>Réponse doodle 08</t>
  </si>
  <si>
    <t>Réponse doodle 09</t>
  </si>
  <si>
    <t>Réponse doodle 10</t>
  </si>
  <si>
    <t>P FAC-3H</t>
  </si>
  <si>
    <t>P FAC-9H 2</t>
  </si>
  <si>
    <t>P FAC-9H 3</t>
  </si>
  <si>
    <t>11.11.15       12.11.15      17.11.15</t>
  </si>
  <si>
    <t>Réponse doodle MàN AC</t>
  </si>
  <si>
    <t>Présence MàN AC</t>
  </si>
  <si>
    <t>Date MàN AC</t>
  </si>
  <si>
    <t>Heure MàN AC</t>
  </si>
  <si>
    <t>MàN AC prévue</t>
  </si>
  <si>
    <t>Inscrit à …</t>
  </si>
  <si>
    <t>Correspondance</t>
  </si>
  <si>
    <t>?</t>
  </si>
  <si>
    <t>N-employé</t>
  </si>
  <si>
    <t>09h00</t>
  </si>
  <si>
    <t>11h00</t>
  </si>
  <si>
    <t>10h00</t>
  </si>
  <si>
    <t>13h00</t>
  </si>
  <si>
    <t>14h30</t>
  </si>
  <si>
    <t>SI</t>
  </si>
  <si>
    <t>15.12.2015 - 09h00</t>
  </si>
  <si>
    <t>15.12.15 - 13h00</t>
  </si>
  <si>
    <t>17.12.15 - 13h00</t>
  </si>
  <si>
    <t>P FAC-9H 1</t>
  </si>
  <si>
    <t>P pas nécessaire</t>
  </si>
  <si>
    <t>R pas nécessaire</t>
  </si>
  <si>
    <t>Fok</t>
  </si>
  <si>
    <t>Michal</t>
  </si>
  <si>
    <t>Bizet</t>
  </si>
  <si>
    <t>Marine</t>
  </si>
  <si>
    <t>FAC-9H - 12.2015</t>
  </si>
  <si>
    <t>PTS "Inscrit" (3)</t>
  </si>
  <si>
    <t>Pts "R pas nécessaire" (3)</t>
  </si>
  <si>
    <t>PTS "Indisponible" (2)</t>
  </si>
  <si>
    <t>PTS "Ne peut s'inscrire" (1)</t>
  </si>
  <si>
    <t>PTS "Sans information" (0)</t>
  </si>
  <si>
    <t>PTS "Présent" (2)</t>
  </si>
  <si>
    <t>Pts "P pas nécessaire" (2)</t>
  </si>
  <si>
    <t>PTS "Excusé" (1)</t>
  </si>
  <si>
    <t>PTS "Pas présent" (0)</t>
  </si>
  <si>
    <t>19.02.16 - 09h00</t>
  </si>
  <si>
    <t>19.02.16 - 13h00</t>
  </si>
  <si>
    <t>26.02.16 - 13h00</t>
  </si>
  <si>
    <t>Ferreira</t>
  </si>
  <si>
    <t>Ines</t>
  </si>
  <si>
    <t>Cavalheiro</t>
  </si>
  <si>
    <t>Jorge</t>
  </si>
  <si>
    <t>Charvet</t>
  </si>
  <si>
    <t>Caroline</t>
  </si>
  <si>
    <t>Z Employé parti</t>
  </si>
  <si>
    <t>FAC-9H - 02.2016</t>
  </si>
  <si>
    <t>Mars ?</t>
  </si>
  <si>
    <t>Santos</t>
  </si>
  <si>
    <t>Paulo</t>
  </si>
  <si>
    <t>Hoffmeyer</t>
  </si>
  <si>
    <t>25.02.16 - 09h00</t>
  </si>
  <si>
    <t>25.02.16 - 13h00</t>
  </si>
  <si>
    <t>Eira Velha</t>
  </si>
  <si>
    <t>07.04.16 - 09h00 07.04.16 - 13h00 19.04.16 - 09h00 20.04.16 - 13h00</t>
  </si>
  <si>
    <t>07.04.16 - 10h30 07.04.16 - 14h30 19.04.16 - 10h30 20.04.16 - 14h30</t>
  </si>
  <si>
    <t>02.03.16 - 13h00 09.03.16 - 13h00 10.03.16 - 09h00</t>
  </si>
  <si>
    <t>17.02.16 - 13h00 25.02.16 - 09h00 25.02.16 - 13h00</t>
  </si>
  <si>
    <t>Attila Hollo</t>
  </si>
  <si>
    <t>20.04.16 - 13h00</t>
  </si>
  <si>
    <t>07.04.16 - 09h00</t>
  </si>
  <si>
    <t>07.04.16 - 13h00</t>
  </si>
  <si>
    <t>19.04.16 - 09h00</t>
  </si>
  <si>
    <t>20.04.16 - 14h30</t>
  </si>
  <si>
    <t>19.04.16 - 10h30</t>
  </si>
  <si>
    <t>07.04.16 - 14h30</t>
  </si>
  <si>
    <t>07.04.16 - 10h30</t>
  </si>
  <si>
    <t>Info 01</t>
  </si>
  <si>
    <t>Cause cours professionnels et rendu enquête</t>
  </si>
  <si>
    <t>Ne s'est pas inscrit</t>
  </si>
  <si>
    <t>Dispensé grâce à FAC-9H</t>
  </si>
  <si>
    <t>Absent sans excuse</t>
  </si>
  <si>
    <t xml:space="preserve">MàN AC : Ne s'est pas inscrit mais était présente le 11.12.15                                                      ------------------------------------------------------- </t>
  </si>
  <si>
    <t>MàN AC : Ne s'est pas inscrit                                                      -------------------------------------------------------</t>
  </si>
  <si>
    <t>MàN AC : Absent sans excuse                                                      -------------------------------------------------------</t>
  </si>
  <si>
    <t>A assisté Cédric Magnin dans la démonstration</t>
  </si>
  <si>
    <t>Inscrit pour le 20.04.16 à 13h00 - Présent le 07.04.16 à 09h00</t>
  </si>
  <si>
    <t>Info 02</t>
  </si>
  <si>
    <t>Info 03</t>
  </si>
  <si>
    <t>Info 04</t>
  </si>
  <si>
    <t>Info 05</t>
  </si>
  <si>
    <t>Inscrit pour 19.04.16 à 09h00 - Présent le 07.04.16 à 09h00</t>
  </si>
  <si>
    <t>Congé maternité</t>
  </si>
  <si>
    <t>Cause concours</t>
  </si>
  <si>
    <t>Causae maladie</t>
  </si>
  <si>
    <t>Inscrit pour 07.04.16 à 13h00 - Présent le 07.04.16 à 09h00</t>
  </si>
  <si>
    <t>Ne travaille pas encore chez CCHE</t>
  </si>
  <si>
    <t xml:space="preserve">MàN AC : Ne travaille pas encore chez CCHE                                                         ------------------------------------------------------- FAC-9H : Un 4e cours est donné le 08.03.16 de 9h à 12h cause faible niveau du groupe                                                      ------------------------------------------------------- </t>
  </si>
  <si>
    <t>Cause cours professionnels</t>
  </si>
  <si>
    <t>MàN AC : Excusé cause séance mandataire                                                      -------------------------------------------------------</t>
  </si>
  <si>
    <t>MàN AC : Ne travaille pas encore chez CCHE                                                      -------------------------------------------------------</t>
  </si>
  <si>
    <t>Cause Castel Beau-Cèdre</t>
  </si>
  <si>
    <t>MàN AC : Excusé cause séance chantier                                                      -------------------------------------------------------</t>
  </si>
  <si>
    <t>MàN AC : Séance Bel-Air                                                      -------------------------------------------------------</t>
  </si>
  <si>
    <t>Cause maladie</t>
  </si>
  <si>
    <t>Cause séance professionnelle</t>
  </si>
  <si>
    <t>Ne travaille plus chez CCHE</t>
  </si>
  <si>
    <t xml:space="preserve">Points au moment du départ : 15/20     </t>
  </si>
  <si>
    <t xml:space="preserve">MàN AC : Ne s'est pas inscrit                                                      ------------------------------------------------------- Points au moment du départ : 5/20               </t>
  </si>
  <si>
    <t xml:space="preserve">Points au moment du départ : 15/20                                                         ------------------------------------------------------- </t>
  </si>
  <si>
    <t>Points au moment du départ : 21/25</t>
  </si>
  <si>
    <t>Cause Bel-Air</t>
  </si>
  <si>
    <t>MàN AC : Inscrit au cours 16 &gt; 19 et présent au cours 17 &gt; 19                                                      -------------------------------------------------------</t>
  </si>
  <si>
    <t>Cause affaire n°1153</t>
  </si>
  <si>
    <t>Cause affaire n°0718</t>
  </si>
  <si>
    <t xml:space="preserve">MàN AC : Ne travaille pas encore chez CCHE                                                      ------------------------------------------------------- FAC-9H : Un 4e cours est donné le 08.03.16 de 9h à 12h cause faible niveau du groupe                                                      ------------------------------------------------------- </t>
  </si>
  <si>
    <t>Cause affaire n°1515</t>
  </si>
  <si>
    <t>Cause armée</t>
  </si>
  <si>
    <t>Cause Toula</t>
  </si>
  <si>
    <t>Inscrit pour le 19.04.16 à 09h00 - Présent le 20.04.16 à 13h00</t>
  </si>
  <si>
    <t>Inscrit pour le 07.04.16 à 09h00 - Présent le 19.04.16 à 09h00</t>
  </si>
  <si>
    <t>Cause séance professionnell</t>
  </si>
  <si>
    <t>MàN AC : Ne travaille pas le mercredi                                                      -------------------------------------------------------</t>
  </si>
  <si>
    <t>MàN AC : Congé maternité                                                      -------------------------------------------------------</t>
  </si>
  <si>
    <t>Présent le 07.04.16 à 09h00 sans inscription</t>
  </si>
  <si>
    <t>Présent le 07.04.16 à 10h30 sans inscription</t>
  </si>
  <si>
    <t>MàN AC : Ne travaille pas le vendredi                                                      -------------------------------------------------------</t>
  </si>
  <si>
    <t>Cause affaire n°1348</t>
  </si>
  <si>
    <t>Cause affaire n°1432</t>
  </si>
  <si>
    <t>MàN AC : Excusé cause affaire n°1432                                                      -------------------------------------------------------</t>
  </si>
  <si>
    <t>Inscrit pour le 20.04.16 à 13h00 - Présent le 07.04.16 à 13h00</t>
  </si>
  <si>
    <t>Cause affaire n°0829</t>
  </si>
  <si>
    <t>MàN AC : Ne travaille pas encore chez CCHE                                                         -------------------------------------------------------</t>
  </si>
  <si>
    <t>MàN AC : Excusé cause cours professionnels                                                         -------------------------------------------------------</t>
  </si>
  <si>
    <t>MàN AC : Ne travaille pas le vendredi                                                         -------------------------------------------------------</t>
  </si>
  <si>
    <t>Présent le 07.04.16 à 13h00 sans inscription</t>
  </si>
  <si>
    <t>Présent le 20.04.16 à 14h30 sans inscription</t>
  </si>
  <si>
    <t>Info 06</t>
  </si>
  <si>
    <t>Info 10</t>
  </si>
  <si>
    <t>Info 09</t>
  </si>
  <si>
    <t>Info 08</t>
  </si>
  <si>
    <t>Info 07</t>
  </si>
  <si>
    <t>Présent sans inscription</t>
  </si>
  <si>
    <t>Cause référent</t>
  </si>
  <si>
    <t>04.05.16 - 13h00  04.05.16 - 14h30  19.05.16 - 09h00  19.05.16 - 10h30  19.05.16 - 13h00</t>
  </si>
  <si>
    <t>Réponse doodle 11</t>
  </si>
  <si>
    <t>Date choisie cours 11</t>
  </si>
  <si>
    <t>Présence cours 11</t>
  </si>
  <si>
    <t>Info 11</t>
  </si>
  <si>
    <t>05.07.16 - 09h00 05.07.16 - 10h30 05.07.16 - 13h00 05.07.16 - 14h30 13.07.16 - 09h00</t>
  </si>
  <si>
    <t>08.11.16 - 09h00 08.11.16 - 10h30 08.11.16 - 13h00 08.11.16 - 14h30 23.11.16 - 09h00</t>
  </si>
  <si>
    <t>04.05.16 - 13h00</t>
  </si>
  <si>
    <t>04.05.16 - 14h30</t>
  </si>
  <si>
    <t>19.05.16 - 09h00</t>
  </si>
  <si>
    <t>19.05.16 - 10h30</t>
  </si>
  <si>
    <t>19.05.16 - 13h00</t>
  </si>
  <si>
    <t>Présent le 04.05.16 à 13h00</t>
  </si>
  <si>
    <t>Cause affaire n°1609</t>
  </si>
  <si>
    <t>Présent le 19.05.16 à 13h00</t>
  </si>
  <si>
    <t>Vide</t>
  </si>
  <si>
    <t>En vacances jusqu'au 11.07.16</t>
  </si>
  <si>
    <t>Vacances</t>
  </si>
  <si>
    <t>05.07.16 - 09h00</t>
  </si>
  <si>
    <t>05.07.16 - 10h30</t>
  </si>
  <si>
    <t>Présent le 05.07.16 à 09h00</t>
  </si>
  <si>
    <t>05.07.16 - 14h30</t>
  </si>
  <si>
    <t>Présent le 05.07.16 à 10h30</t>
  </si>
  <si>
    <t>05.07.16 - 13h00</t>
  </si>
  <si>
    <t>13.07.16 - 09h00</t>
  </si>
  <si>
    <t>En vacances, sans message d'absence</t>
  </si>
  <si>
    <t>Présent le 05.07.16 à 14h30</t>
  </si>
  <si>
    <t>Présence BC AC19</t>
  </si>
  <si>
    <t>Session choisie BC AC19</t>
  </si>
  <si>
    <t>Première inscription le 19.05.16</t>
  </si>
  <si>
    <t>Cause affaire n°1317</t>
  </si>
  <si>
    <t>Heure</t>
  </si>
  <si>
    <t>08h00</t>
  </si>
  <si>
    <t>09h15</t>
  </si>
  <si>
    <t>10h30</t>
  </si>
  <si>
    <t>13h30</t>
  </si>
  <si>
    <t>14h45</t>
  </si>
  <si>
    <t>16h00</t>
  </si>
  <si>
    <t>Utilisateur n°</t>
  </si>
  <si>
    <t>Première inscription le 13.07.16</t>
  </si>
  <si>
    <t>Indiqué indisponible, mais présent</t>
  </si>
  <si>
    <t>Présent sans inscription le 19.05.16</t>
  </si>
  <si>
    <t>Chmiel</t>
  </si>
  <si>
    <t>Magdalena</t>
  </si>
  <si>
    <t>Nombre excusé</t>
  </si>
  <si>
    <t>DA</t>
  </si>
  <si>
    <t>Résultat Niveau 1</t>
  </si>
  <si>
    <t>Résultat Avancé</t>
  </si>
  <si>
    <t>Heure arrivée</t>
  </si>
  <si>
    <t>Heure départ</t>
  </si>
  <si>
    <t>10h25</t>
  </si>
  <si>
    <t>10h15</t>
  </si>
  <si>
    <t>10h10</t>
  </si>
  <si>
    <t>12h00</t>
  </si>
  <si>
    <t>12h05</t>
  </si>
  <si>
    <t>11h25</t>
  </si>
  <si>
    <t>Durée BC AC19 (en min)</t>
  </si>
  <si>
    <t>Durée (en min)</t>
  </si>
  <si>
    <t>13h25</t>
  </si>
  <si>
    <t>14h00</t>
  </si>
  <si>
    <t>14h40</t>
  </si>
  <si>
    <t>15h55</t>
  </si>
  <si>
    <t>15h35</t>
  </si>
  <si>
    <t>17h05</t>
  </si>
  <si>
    <t>17h20</t>
  </si>
  <si>
    <t>17h15</t>
  </si>
  <si>
    <t>17h00</t>
  </si>
  <si>
    <t>P/M</t>
  </si>
  <si>
    <t>Points/minute</t>
  </si>
  <si>
    <t>H début / H fin</t>
  </si>
  <si>
    <t>Total de points</t>
  </si>
  <si>
    <t>à</t>
  </si>
  <si>
    <t>Points au moment du départ : 37/40</t>
  </si>
  <si>
    <t>Points au moment du départ : 30/45</t>
  </si>
  <si>
    <t>Points au moment du départ : 18/45</t>
  </si>
  <si>
    <t>Total points</t>
  </si>
  <si>
    <t>13.01.16       21.01.16      29.01.16</t>
  </si>
  <si>
    <t>Brocard</t>
  </si>
  <si>
    <t>Matéo</t>
  </si>
  <si>
    <t>Huguenin</t>
  </si>
  <si>
    <t>Manon</t>
  </si>
  <si>
    <t>Dispensé</t>
  </si>
  <si>
    <t>08h40</t>
  </si>
  <si>
    <t>08h35</t>
  </si>
  <si>
    <t>09h55</t>
  </si>
  <si>
    <t>09h20</t>
  </si>
  <si>
    <t>09h30</t>
  </si>
  <si>
    <t>10h20</t>
  </si>
  <si>
    <t>11h35</t>
  </si>
  <si>
    <t>14h35</t>
  </si>
  <si>
    <t>15h45</t>
  </si>
  <si>
    <t>15h50</t>
  </si>
  <si>
    <t>16h10</t>
  </si>
  <si>
    <t>16h15</t>
  </si>
  <si>
    <t>17h25</t>
  </si>
  <si>
    <t>17h30</t>
  </si>
  <si>
    <t>17h45</t>
  </si>
  <si>
    <t>17h50</t>
  </si>
  <si>
    <t>09h05</t>
  </si>
  <si>
    <t>Points Niveau 1</t>
  </si>
  <si>
    <t></t>
  </si>
  <si>
    <t>Pas d'information</t>
  </si>
  <si>
    <t>Convoqué le 05.07.16 à 13h00, présent le 05.07.16 à 14h30</t>
  </si>
  <si>
    <t>Questions "Démarrage d'un projet"</t>
  </si>
  <si>
    <t>Questions "Principes de construction"</t>
  </si>
  <si>
    <t>Questions "Objets et documentation"</t>
  </si>
  <si>
    <t>Questions "Production des documents graphiques"</t>
  </si>
  <si>
    <t>Questions "Implantation et étude de forme"</t>
  </si>
  <si>
    <t>Questions "Matériaux et métrés"</t>
  </si>
  <si>
    <t>Questions "Aménagement"</t>
  </si>
  <si>
    <t>Questions "Grands projets"</t>
  </si>
  <si>
    <t>Total juste</t>
  </si>
  <si>
    <t>La qualification "BIM" attribuée à ARCHICAD :</t>
  </si>
  <si>
    <t>Avec ARCHICAD, un dossier par affaire placé sur le disque dur d’un serveur (ou du poste local), me permet :</t>
  </si>
  <si>
    <t>Pour commencer un nouveau projet dans ARCHICAD :</t>
  </si>
  <si>
    <t>Lorsque j’ajoute une bibliothèque à mon projet, celle-ci se range automatiquement</t>
  </si>
  <si>
    <t>J'utilise les favoris pour :</t>
  </si>
  <si>
    <t>Un fichier DWG peut se placer dans un projet ARCHICAD :</t>
  </si>
  <si>
    <t>Pour modéliser un terrain en pente et afficher les niveaux d'altitude en plan:</t>
  </si>
  <si>
    <t>Pour comptabiliser rapidement les surfaces et volumes bruts par étage dans une simple étude volumique :</t>
  </si>
  <si>
    <t>Pour faire un plan masse avec cotation et ombres :</t>
  </si>
  <si>
    <t>Si les marques de coupes et façades sont présentes dans mon modèle de départ, je dois :</t>
  </si>
  <si>
    <t>Dans le dialogue "Option calques", l'indice numérique apparaissant dans la colonne située avant le nom de calque permet :</t>
  </si>
  <si>
    <t>Pour représenter le contour des murs avec des épaisseurs de stylos différents entre la phase de permis de construire et la phase d’exécution :</t>
  </si>
  <si>
    <t>Le projet sur lequel je travaille est organisé sur un système d'axes que je souhaite visualiser en plan, en coupe et en 3D:</t>
  </si>
  <si>
    <t>En plan, pour placer et aligner automatiquement une dalle au nu extérieur de la structure porteuse des murs périphériques avec isolation extérieure, je choisis :</t>
  </si>
  <si>
    <t>Les altitudes hautes et basses des murs par rapport aux dalles:</t>
  </si>
  <si>
    <t>Pour organiser les intersections entre les différents matériaux de construction d’une dalle et d’un mur, j’ajuste :</t>
  </si>
  <si>
    <t>Dans un immeuble d’habitation, pour faire passer une isolation extérieure devant une tête de dalle :</t>
  </si>
  <si>
    <t>Afin de préparer les plans pour l’ingénieur civil et que celui-ci puisse trouver la structure et sa cotation uniquement,</t>
  </si>
  <si>
    <t>Les "Profils complexes" permettent de :</t>
  </si>
  <si>
    <t>Dans une cloison en brique qui repose sur le brut d’une dalle composée d’une chape et de béton, une porte intérieure laisse passer la chape au niveau du seuil</t>
  </si>
  <si>
    <t>Dans une fenêtre, en cas d'ébrasures, il est possible de faire retourner les couches d'un mur composite, si</t>
  </si>
  <si>
    <t>Un " Mur rideau " peut être mis en place :</t>
  </si>
  <si>
    <t>Pour placer une porte-fenêtre de 3 x 2.5 m dans un mur rideau dont le calepinage est de 1.5 x 2.5 m,</t>
  </si>
  <si>
    <t>Je dois représenter une toiture dont une partie est isolée (intérieur) et une autre partie non isolée (Avant-toit) :</t>
  </si>
  <si>
    <t>Pour raccorder 2 pans de toits simples, je dois :</t>
  </si>
  <si>
    <t>Lorsque je souhaite relier des murs à une toiture,</t>
  </si>
  <si>
    <t>Lorsque je souhaite orienter quelques pannes pour les rendre perpendiculaires à la pente de toiture :</t>
  </si>
  <si>
    <t>Je dois ranger des objets communs à plusieurs projets confiés à des collaborateurs différents:</t>
  </si>
  <si>
    <t>Je peux créer un escalier paramètrable :</t>
  </si>
  <si>
    <t>Pour afficher un type de cotation correspondant à une phase du projet, je dois :</t>
  </si>
  <si>
    <t>Je peux aussi me servir d’une “Etiquette” :</t>
  </si>
  <si>
    <t>Une Zone en mode automatique me permet d'afficher la surface habitable d'une pièce si celle-ci est :</t>
  </si>
  <si>
    <t>Pour réaliser un détail 2D lié à mon modèle 3D :</t>
  </si>
  <si>
    <t>J’utilise une feuille de travail pour :</t>
  </si>
  <si>
    <t>J’utilise la commande "Trace et Comparaison" :</t>
  </si>
  <si>
    <t>Pour afficher une liste de fenêtres avec dimensions, représentation graphique en plan et de face :</t>
  </si>
  <si>
    <t>Les modifications apparaissent en tant que révision dans les mises en page appropriées :</t>
  </si>
  <si>
    <t>Où dois-je ajuster et enregistrer un document dont la représentation est en phase "Permis de construire" :</t>
  </si>
  <si>
    <t>Dans le navigateur, une vue c'est</t>
  </si>
  <si>
    <t>Une vue dont l’ "Affichage partiel des structures" est réglé sur "Ame seulement" :</t>
  </si>
  <si>
    <t>Dans le navigateur, un clone sur les coupes</t>
  </si>
  <si>
    <t>Dans les mises en pages, pour placer une vue :</t>
  </si>
  <si>
    <t>L'importation de Mises en page type d'un fichier ARCHICAD à un autre est possible :</t>
  </si>
  <si>
    <t>La fonctionnalité ''Texte automatique'' permet :</t>
  </si>
  <si>
    <t>Le réglage de la numérotation automatique des mises en page est accessible :</t>
  </si>
  <si>
    <t>Dans une mise en page :</t>
  </si>
  <si>
    <t>L’onglet "Publication" du navigateur permet :</t>
  </si>
  <si>
    <t>Le réglage des sources lumineuses du moteur de rendu Cinerender se fait :</t>
  </si>
  <si>
    <t>Lorsqu’on enregistre un 3D en format Artlantis</t>
  </si>
  <si>
    <t>Pour créer un modèle de bureau, il est nécessaire d'effectuer tous les réglages souhaités (éléments, outils par défauts, favoris, vues et attributs, etc..) dans un projet vierge ARCHICAD et de l'enregistrer :</t>
  </si>
  <si>
    <t>Pour implanter mon bâtiment dans son environnement, je demande un fichier DWG (ou DXF) au géomètre et :</t>
  </si>
  <si>
    <t>Pour générer des courbes de niveau sur un terrain, il suffit de sélectionner :</t>
  </si>
  <si>
    <t>Le placement d'une cote de niveau (altitude en plan) avec gravitation permet de détecter et d'afficher :</t>
  </si>
  <si>
    <t>Pour placer l'origine d'une texture sur un maillage en 3D, je dois :</t>
  </si>
  <si>
    <t>La modification d’un géométrie sans perdre sa surface est possible :</t>
  </si>
  <si>
    <t>Dans une étude volumique, l’outil adéquat pour obtenir rapidement un volume s’affichant sur plusieurs étages est :</t>
  </si>
  <si>
    <t>La géo-localisation consiste :</t>
  </si>
  <si>
    <t>Pour placer mon bâtiment 3D dans Google Earth :</t>
  </si>
  <si>
    <t>BIMx est un format qui permet :</t>
  </si>
  <si>
    <t>Pour réaliser une ferme complexe en lamellé collé, je peux :</t>
  </si>
  <si>
    <t>Pour réaliser une modélisation qui implique qu’une section rectangulaire doit suivre une courbe spatiale non régulière, (exemple: une main courante ou le limon d’un escalier tournant), j’utilise de préférence :</t>
  </si>
  <si>
    <t>J’ai créé un objet à partir d’un 3D composé de plusieurs " Formes ". Si je transforme cet objet à nouveau en " Forme " :</t>
  </si>
  <si>
    <t>Dans une coque, un trou défini avec la commande " Définir trou dans coque " :</t>
  </si>
  <si>
    <t>En phase d’exécution, pour réaliser un pan de toiture multicouches dont les altitudes des extrémités de sablière et de faîtage sont toutes différentes :</t>
  </si>
  <si>
    <t>Pour réaliser une toiture de type dôme (demi-sphère) dont la base est légèrement penchée (5°} avec représentation en coupe et en plan des différents composants (structure, isolation et couverture) susceptibles de changer, je :</t>
  </si>
  <si>
    <t>Un mur de refend intérieur doit s'arrêter contre la couche structurelle d'un mur composite extérieur dont la couche intérieure est en plâtre :</t>
  </si>
  <si>
    <t>Pour qu’un mur A découpe un autre mur B, je dois :</t>
  </si>
  <si>
    <t>Pour construire un plancher composé de structures et de finitions d’épaisseurs différentes sur le même étage et afficher un graphisme correct en coupe ainsi que le métré des matériaux :</t>
  </si>
  <si>
    <t>Pour les différentes couches d'une structure composite, l'attribution des types de composants : "Ame", "Finition" et "Autre" s'ajuste dans :</t>
  </si>
  <si>
    <t>Pour faire un détail 3D lié au projet avec cotations et annotations, je demande un 3D et :</t>
  </si>
  <si>
    <t>Mon degré de modélisation en 3D :</t>
  </si>
  <si>
    <t>Je souhaite visualiser et comptabiliser en m3 un remblai de gravier entre un talus de terrain avec pente et les murs de fondations (ou le radier) d'un bâtiment, pour cela :</t>
  </si>
  <si>
    <t>Pour obtenir la surface de plâtre à appliquer sur certains murs dans un bâtiment :</t>
  </si>
  <si>
    <t>En phase d’exécution ou de détail, pour améliorer et adapter uniquement le 3D d’un escalier créé avec StairMaker :</t>
  </si>
  <si>
    <t>En 2D comme en 3D, je dois faire figurer ce qui est à construire et ce qui est à démolir avec les codes de couleurs appropriés :</t>
  </si>
  <si>
    <t>Pour enregistrer et préparer pour l’impression les différents états de rénovation d’un bâtiment</t>
  </si>
  <si>
    <t>Pour que les cotations et les textes seulement, liés à la phase démolition, ne soient pas visibles dans la phase construction :</t>
  </si>
  <si>
    <t>Pour calculer et identifier les surfaces et volumes de pièces à démolir et à construire,</t>
  </si>
  <si>
    <t>Pour créer un symbole 2D d'un lavabo qui n'existe pas dans la bibliothèque, je le dessine en 2D (ou le récupère en DWG depuis un site internet) puis :</t>
  </si>
  <si>
    <t>La commande "Créer un patch" du menu "Documentation" est une fonctionnalité qui permet de :</t>
  </si>
  <si>
    <t>La procédure pour créer un nouvel objet 3D :</t>
  </si>
  <si>
    <t>Pour créer un objet paramètrable (par exemple, une table avec la section des pieds variables), je peux :</t>
  </si>
  <si>
    <t>Dans une porte dont le cadre convient, mais dont le battant de porte souhaité n'existe pas, je peux :</t>
  </si>
  <si>
    <t>Lorsque je souhaite importer un objet DWG 3D dans ARCHICAD:</t>
  </si>
  <si>
    <t>Pour créer une fenêtre 3D non paramètrable à partir d'une sélection 3D, il faut :</t>
  </si>
  <si>
    <t>Pour créer un percement non rectangulaire dans un mur et visible en plan:</t>
  </si>
  <si>
    <t>En phase "Exécution", pour organiser un projet 3D comportant plusieurs immeubles reliés entre eux par un parking souterrain :</t>
  </si>
  <si>
    <t>Dans le cadre d’un projet immobilier sur un terrain en pente et dont chaque bâtiment est un module différent, je souhaite imprimer une coupe représentant les bâtiments et les niveaux d’étage spécifiques à chaque bâtiment,</t>
  </si>
  <si>
    <t>Dans le cadre d’un projet immobilier conséquent en phase exécution, je souhaite alléger mon fichier en séparant la coordination qui provient de fichiers DWG externe et la maquette 3D</t>
  </si>
  <si>
    <t>Pour importer et afficher sur un plan d’étage un fichier DWG 2D de l’ingénieur ventilation :</t>
  </si>
  <si>
    <t>Dans un DWG placé comme dessin, je peux changer :</t>
  </si>
  <si>
    <t>Dans le cadre de la coordination, pour échanger avec l’ingénieur des modèles 3D contenant les informations structurelles,</t>
  </si>
  <si>
    <t>Le "BIM Server" est :</t>
  </si>
  <si>
    <t>Lorsque je partage un projet, les autres collaborateurs invités à intervenir sur les éléments de construction du projet :</t>
  </si>
  <si>
    <t>Pour pouvoir travailler à plusieurs sur un module non partagé déjà placé dans un projet partagé :</t>
  </si>
  <si>
    <t>Démarrage d'un projet</t>
  </si>
  <si>
    <t>Principes de construction</t>
  </si>
  <si>
    <t>Objets et documentation</t>
  </si>
  <si>
    <t>Production de documents graphiques</t>
  </si>
  <si>
    <t>Implantation et étude de forme</t>
  </si>
  <si>
    <t>Matériaux et métrés</t>
  </si>
  <si>
    <t>Aménagements</t>
  </si>
  <si>
    <t>Grands projets</t>
  </si>
  <si>
    <t>A</t>
  </si>
  <si>
    <t>B</t>
  </si>
  <si>
    <t>C</t>
  </si>
  <si>
    <t>D</t>
  </si>
  <si>
    <t>E</t>
  </si>
  <si>
    <t>F</t>
  </si>
  <si>
    <t>G</t>
  </si>
  <si>
    <t>H</t>
  </si>
  <si>
    <t>I</t>
  </si>
  <si>
    <t>J</t>
  </si>
  <si>
    <t>K</t>
  </si>
  <si>
    <t>L</t>
  </si>
  <si>
    <t>M</t>
  </si>
  <si>
    <t>61</t>
  </si>
  <si>
    <t>62</t>
  </si>
  <si>
    <t>63</t>
  </si>
  <si>
    <t>64</t>
  </si>
  <si>
    <t>65</t>
  </si>
  <si>
    <t>66</t>
  </si>
  <si>
    <t>67</t>
  </si>
  <si>
    <t>68</t>
  </si>
  <si>
    <t>69</t>
  </si>
  <si>
    <t>70</t>
  </si>
  <si>
    <t>71</t>
  </si>
  <si>
    <t>72</t>
  </si>
  <si>
    <t>73</t>
  </si>
  <si>
    <t>74</t>
  </si>
  <si>
    <t>75</t>
  </si>
  <si>
    <t>76</t>
  </si>
  <si>
    <t>77</t>
  </si>
  <si>
    <t>78</t>
  </si>
  <si>
    <t>79</t>
  </si>
  <si>
    <t>80</t>
  </si>
  <si>
    <t>81</t>
  </si>
  <si>
    <t>82</t>
  </si>
  <si>
    <t>83</t>
  </si>
  <si>
    <t>84</t>
  </si>
  <si>
    <t>85</t>
  </si>
  <si>
    <t>86</t>
  </si>
  <si>
    <t>87</t>
  </si>
  <si>
    <t>88</t>
  </si>
  <si>
    <t>89</t>
  </si>
  <si>
    <t>90</t>
  </si>
  <si>
    <t>91</t>
  </si>
  <si>
    <t>92</t>
  </si>
  <si>
    <t>93</t>
  </si>
  <si>
    <t>94</t>
  </si>
  <si>
    <t>95</t>
  </si>
  <si>
    <t>96</t>
  </si>
  <si>
    <t>97</t>
  </si>
  <si>
    <t>98</t>
  </si>
  <si>
    <t>99</t>
  </si>
  <si>
    <t>100</t>
  </si>
  <si>
    <t>101</t>
  </si>
  <si>
    <t>08h55</t>
  </si>
  <si>
    <t xml:space="preserve">Sens des questions pas clairs (des fois flou), mettre à disposition case "autre" pour donner explication/points de vues. </t>
  </si>
  <si>
    <t xml:space="preserve">Certaines réponses proposées manquent de clarté. Il y a des fois risque de confusion du fait des tournures de phrases. </t>
  </si>
  <si>
    <t xml:space="preserve">ayo le cerveau </t>
  </si>
  <si>
    <t xml:space="preserve">Questions pas très claires et réponses idem.... </t>
  </si>
  <si>
    <t xml:space="preserve">Ce test n'est pas forcément représentatif des connaissances acquissent... En effet, je reçois la plupart du temps des fichiers en état de fin de Projet qui sont déjà "construits". Personnellement je n'ai fait que de la transformation de bâtiments de moyenne importance, alors les x bâtiments sur x fichiers différents organisés en modules... pas connaître ! En résumé, les connaissances sont en adéquation avec les projets sur lesquels ont travail et par lesquels ont acquière de l'expérience, tout le reste (cours) n'est qu'information... ABE salut ! </t>
  </si>
  <si>
    <t xml:space="preserve">Aucune utilisation d'AC19 à ce jour. </t>
  </si>
  <si>
    <t xml:space="preserve">Les questions sont tordues... </t>
  </si>
  <si>
    <t xml:space="preserve">Certains outils ont été vus en cours, mais n'ont jamais été utilisés (pratiqués) dans le cadre de projet d'architecture d'intérieur. Difficile de répondre, sans pratique régulière des outils archicad. </t>
  </si>
  <si>
    <t xml:space="preserve">Les connaissances dépendent de l'usager et des bénéfices qu'il requiert de certains outils. Je suis plus "pratique" que théorique. Certaines questions m'ont semblées difficiles à répondre alors que je m'imagine en les faisant concrètement, parfois en tâtonnant pour trouver la solution, arriver au résultat escompté. </t>
  </si>
  <si>
    <t xml:space="preserve">Que cherche à viser ce questionnaire...? </t>
  </si>
  <si>
    <t xml:space="preserve">questions sur les scripts: heureusement qu'on en fait pas.... cela deviendrait vite compliqué! </t>
  </si>
  <si>
    <t xml:space="preserve">Le test est vraiment trop global pour les utilisations ciblées en fonction de notre cahier des charge, je ne peux pas répondre sur le thème des "grands projets" en travaillant dans le secteur d'architecture d'intérieure. Tout comme les modifications sur des toitures ou des coques! De même que l'implantation de mon projet sur Google Earth... si j'avais du temps à tuer je pourrai imaginer implanter mon bâtiment sur G.Earth pour une présentation mais le temps à tuer est rare dans la maison ! Idem pour ce qui est des modifications de scripts/gdl. Malheureusement ce que nous voyions au cours mais n'avons pas le temps ou l'occasion d'appliquer ensuite est difficilement gardé en mémoire. Je pense vraiment que la bonne utilisation d'archicad dépend du temps imparti pour mettre en place le fichier de base à chaque fois qu'on commence sur une affaire ( affaire qui est souvent déjà en route avec des fichiers souvent moyens voir très mal faits!) Bref... abe </t>
  </si>
  <si>
    <t xml:space="preserve">Les questions présentes dans le questionnaire ne sont pas très claires, certaines n'ont même pas lieu d'être (Scripts). </t>
  </si>
  <si>
    <t xml:space="preserve">Il est souvent difficile de comprendre le sens de la question dû au manque de précision sur la situation fictive dans laquelle la question a été formulée, car il y a souvent plusieurs manières possible de faire qui sont définies par le projet sur lequel on travail. Peut-être un test de dessin directement sur Archicad et non un QCM serait plus approprié pour juger du niveau de chacun ? </t>
  </si>
  <si>
    <t>08h50</t>
  </si>
  <si>
    <t>09h10</t>
  </si>
  <si>
    <t>11h15</t>
  </si>
  <si>
    <t>13h15</t>
  </si>
  <si>
    <t>14h25</t>
  </si>
  <si>
    <t>15h40</t>
  </si>
  <si>
    <t>14h50</t>
  </si>
  <si>
    <t>Réponses fausses</t>
  </si>
  <si>
    <t>"Je ne sais pas"</t>
  </si>
  <si>
    <t>Réponses justes</t>
  </si>
  <si>
    <t>A2</t>
  </si>
  <si>
    <t>A3</t>
  </si>
  <si>
    <t>A4</t>
  </si>
  <si>
    <t>B2</t>
  </si>
  <si>
    <t>B3</t>
  </si>
  <si>
    <t>B4</t>
  </si>
  <si>
    <t>C2</t>
  </si>
  <si>
    <t>C3</t>
  </si>
  <si>
    <t>C4</t>
  </si>
  <si>
    <t>D2</t>
  </si>
  <si>
    <t>D3</t>
  </si>
  <si>
    <t>D4</t>
  </si>
  <si>
    <t>E2</t>
  </si>
  <si>
    <t>E3</t>
  </si>
  <si>
    <t>E4</t>
  </si>
  <si>
    <t>F2</t>
  </si>
  <si>
    <t>F3</t>
  </si>
  <si>
    <t>F4</t>
  </si>
  <si>
    <t>G2</t>
  </si>
  <si>
    <t>G3</t>
  </si>
  <si>
    <t>G4</t>
  </si>
  <si>
    <t>H2</t>
  </si>
  <si>
    <t>H3</t>
  </si>
  <si>
    <t>H4</t>
  </si>
  <si>
    <t>Total question</t>
  </si>
  <si>
    <t>Total faux</t>
  </si>
  <si>
    <t>Pour afficher une axonométrie d’un bâtiment avec un étage coupé à 1m2FAUX de son niveau fini :</t>
  </si>
  <si>
    <t>Pour un bâtiment industriel en phase d'exécution au 5FAUXème, je dois faire figurer un acrotère en tôle pliée qui devra apparaitre sur toutes les coupes :</t>
  </si>
  <si>
    <t>Le type d'instruction GDL : "if glob_scale &gt;=1FAUXFAUX then end" permet :</t>
  </si>
  <si>
    <t>Dans un immeuble de 10 étages avec des dalles composites identiques à tous les étages, je dois modifier l’épaisseur de la dalle placée au dernier étage</t>
  </si>
  <si>
    <t>Dans un immeuble locatif de 20 appartements dont les 20 salles de bain sont identiques, pour pouvoir modifier toutes les salles de bain en une seule fois :</t>
  </si>
  <si>
    <t>JSNP</t>
  </si>
  <si>
    <t>Clé2</t>
  </si>
  <si>
    <t>Question</t>
  </si>
  <si>
    <t>Q1</t>
  </si>
  <si>
    <t>Q2</t>
  </si>
  <si>
    <t>Q3</t>
  </si>
  <si>
    <t>Q4</t>
  </si>
  <si>
    <t>Q5</t>
  </si>
  <si>
    <t>Q6</t>
  </si>
  <si>
    <t>Q7</t>
  </si>
  <si>
    <t>Q8</t>
  </si>
  <si>
    <t>Q9</t>
  </si>
  <si>
    <t>Q10</t>
  </si>
  <si>
    <t>Q11</t>
  </si>
  <si>
    <t>Q12</t>
  </si>
  <si>
    <t>Q13</t>
  </si>
  <si>
    <t>Q14</t>
  </si>
  <si>
    <t>Q15</t>
  </si>
  <si>
    <t>Q16</t>
  </si>
  <si>
    <t>Q17</t>
  </si>
  <si>
    <t>Q18</t>
  </si>
  <si>
    <t>Q19</t>
  </si>
  <si>
    <t>Q20</t>
  </si>
  <si>
    <t>Q21</t>
  </si>
  <si>
    <t>Q22</t>
  </si>
  <si>
    <t>Q23</t>
  </si>
  <si>
    <t>Q24</t>
  </si>
  <si>
    <t>Q25</t>
  </si>
  <si>
    <t>Q26</t>
  </si>
  <si>
    <t>Q27</t>
  </si>
  <si>
    <t>Q28</t>
  </si>
  <si>
    <t>Q29</t>
  </si>
  <si>
    <t>Q30</t>
  </si>
  <si>
    <t>Q31</t>
  </si>
  <si>
    <t>Q32</t>
  </si>
  <si>
    <t>Q33</t>
  </si>
  <si>
    <t>Q34</t>
  </si>
  <si>
    <t>Q35</t>
  </si>
  <si>
    <t>Q36</t>
  </si>
  <si>
    <t>Q37</t>
  </si>
  <si>
    <t>Q38</t>
  </si>
  <si>
    <t>Q39</t>
  </si>
  <si>
    <t>Q40</t>
  </si>
  <si>
    <t>Q41</t>
  </si>
  <si>
    <t>Q42</t>
  </si>
  <si>
    <t>Q43</t>
  </si>
  <si>
    <t>Q44</t>
  </si>
  <si>
    <t>Q45</t>
  </si>
  <si>
    <t>Q46</t>
  </si>
  <si>
    <t>Q47</t>
  </si>
  <si>
    <t>Q48</t>
  </si>
  <si>
    <t>Q49</t>
  </si>
  <si>
    <t>Q50</t>
  </si>
  <si>
    <t>Q51</t>
  </si>
  <si>
    <t>Q52</t>
  </si>
  <si>
    <t>Q53</t>
  </si>
  <si>
    <t>Q54</t>
  </si>
  <si>
    <t>Q55</t>
  </si>
  <si>
    <t>Q56</t>
  </si>
  <si>
    <t>Q57</t>
  </si>
  <si>
    <t>Q58</t>
  </si>
  <si>
    <t>Q59</t>
  </si>
  <si>
    <t>Q60</t>
  </si>
  <si>
    <t>Q61</t>
  </si>
  <si>
    <t>Q62</t>
  </si>
  <si>
    <t>Q63</t>
  </si>
  <si>
    <t>Q64</t>
  </si>
  <si>
    <t>Q65</t>
  </si>
  <si>
    <t>Q66</t>
  </si>
  <si>
    <t>Q67</t>
  </si>
  <si>
    <t>Q68</t>
  </si>
  <si>
    <t>Q69</t>
  </si>
  <si>
    <t>Q70</t>
  </si>
  <si>
    <t>Q71</t>
  </si>
  <si>
    <t>Q72</t>
  </si>
  <si>
    <t>Q73</t>
  </si>
  <si>
    <t>Q74</t>
  </si>
  <si>
    <t>Q75</t>
  </si>
  <si>
    <t>Q76</t>
  </si>
  <si>
    <t>Q77</t>
  </si>
  <si>
    <t>Q78</t>
  </si>
  <si>
    <t>Q79</t>
  </si>
  <si>
    <t>Q80</t>
  </si>
  <si>
    <t>Q81</t>
  </si>
  <si>
    <t>Q82</t>
  </si>
  <si>
    <t>Q83</t>
  </si>
  <si>
    <t>Q84</t>
  </si>
  <si>
    <t>Q85</t>
  </si>
  <si>
    <t>Q86</t>
  </si>
  <si>
    <t>Q87</t>
  </si>
  <si>
    <t>Q88</t>
  </si>
  <si>
    <t>Q89</t>
  </si>
  <si>
    <t>Q90</t>
  </si>
  <si>
    <t>Q91</t>
  </si>
  <si>
    <t>Q92</t>
  </si>
  <si>
    <t>Q93</t>
  </si>
  <si>
    <t>Q94</t>
  </si>
  <si>
    <t>Q95</t>
  </si>
  <si>
    <t>Q96</t>
  </si>
  <si>
    <t>Q97</t>
  </si>
  <si>
    <t>Q98</t>
  </si>
  <si>
    <t>Q99</t>
  </si>
  <si>
    <t>Q100</t>
  </si>
  <si>
    <t>Q101</t>
  </si>
  <si>
    <t>Inscription et présence</t>
  </si>
  <si>
    <t>Résultats</t>
  </si>
  <si>
    <t>Nbre de question</t>
  </si>
  <si>
    <t>Rép. justes</t>
  </si>
  <si>
    <t>Rép. fausses</t>
  </si>
  <si>
    <t>Je ne sais pas</t>
  </si>
  <si>
    <t>Détails des réponses</t>
  </si>
  <si>
    <t>Pour obtenir une liste de portes avec appartenance à une pièce (par ex: Porte vitrée 90x200 - Cuisine), je demande une nomenclature dont :</t>
  </si>
  <si>
    <t>06.09.16 - 09h00 06.09.16 - 10h30 06.09.16 - 13h00 06.09.16 - 14h30 28.09.16 - 09h00</t>
  </si>
  <si>
    <t>19.05.16 - 14h30 13.07.16 - 10h30 28.09.16 - 10h30 23.11.16 - 10h30</t>
  </si>
  <si>
    <t>MàN AC : Ne travaille pas encore chez CCHE                                                          ------------------------------------------------------- Points au moment du départ : 30/45</t>
  </si>
  <si>
    <t>Juste</t>
  </si>
  <si>
    <t>Total Je ne sais pas</t>
  </si>
  <si>
    <t>Niveau 1</t>
  </si>
  <si>
    <t>Avancé</t>
  </si>
  <si>
    <t>Barème</t>
  </si>
  <si>
    <t>Points Niveau Avancé</t>
  </si>
  <si>
    <t>Total des points</t>
  </si>
  <si>
    <t>Durée</t>
  </si>
  <si>
    <t>Supérieur à 75 minutes</t>
  </si>
  <si>
    <t>Entre 45 et 75 minutes</t>
  </si>
  <si>
    <t>Inférieur à 50 sur 100</t>
  </si>
  <si>
    <t>Entre 50 et 75 sur 100</t>
  </si>
  <si>
    <t>Supérieur à 75 sur 100</t>
  </si>
  <si>
    <t>Inférieur à 100 sur 200</t>
  </si>
  <si>
    <t>Entre 100 et 150 sur 200</t>
  </si>
  <si>
    <t>Supérieur à 150 sur 200</t>
  </si>
  <si>
    <t>Remarques générales</t>
  </si>
  <si>
    <t>Les questions grisées sont jugées moins importantes du fait de leurs spécificités.                         ................................................................................... Le questionnaire transmis aux utilisateurs est celui qu'Abvent utilise pour ses certifications. Il comporte 101 questions et Abvent annonce un temps de 35 minutes pour le remplir. Les référents ont estimé un temps de 60 minutes, ce qui est jugé suffisant</t>
  </si>
  <si>
    <t>sur 100</t>
  </si>
  <si>
    <t>sur 200</t>
  </si>
  <si>
    <t>Inférieur à 45 minutes</t>
  </si>
  <si>
    <t>Ortiz</t>
  </si>
  <si>
    <t>Angeline</t>
  </si>
  <si>
    <t>Bettex</t>
  </si>
  <si>
    <t>Xavier</t>
  </si>
  <si>
    <t>Böwing</t>
  </si>
  <si>
    <t>Nick</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</si>
</sst>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hh:mm:ss;@"/>
    <numFmt numFmtId="165" formatCode="[$-F400]h:mm:ss\ AM/PM"/>
  </numFmts>
  <fonts count="14" x14ac:knownFonts="1">
    <font>
      <sz val="10"/>
      <color theme="1"/>
      <name val="Arial"/>
      <family val="2"/>
    </font>
    <font>
      <sz val="6"/>
      <color theme="1"/>
      <name val="Arial"/>
    </font>
    <font>
      <b/>
      <sz val="6"/>
      <color theme="1"/>
      <name val="Arial"/>
      <family val="2"/>
    </font>
    <font>
      <u/>
      <sz val="10"/>
      <color theme="10"/>
      <name val="Arial"/>
      <family val="2"/>
    </font>
    <font>
      <u/>
      <sz val="10"/>
      <color theme="11"/>
      <name val="Arial"/>
      <family val="2"/>
    </font>
    <font>
      <sz val="6"/>
      <color rgb="FF000000"/>
      <name val="Arial"/>
    </font>
    <font>
      <sz val="8"/>
      <name val="Arial"/>
      <family val="2"/>
    </font>
    <font>
      <sz val="10"/>
      <name val="Arial"/>
    </font>
    <font>
      <b/>
      <sz val="20"/>
      <color theme="1"/>
      <name val="Arial"/>
    </font>
    <font>
      <b/>
      <sz val="10"/>
      <color theme="1"/>
      <name val="Arial"/>
      <family val="2"/>
    </font>
    <font>
      <sz val="8"/>
      <color theme="1"/>
      <name val="Arial"/>
    </font>
    <font>
      <b/>
      <sz val="8"/>
      <color theme="1"/>
      <name val="Arial"/>
    </font>
    <font>
      <sz val="8"/>
      <color theme="1"/>
      <name val="Wingdings"/>
    </font>
    <font>
      <i/>
      <sz val="8"/>
      <color theme="1"/>
      <name val="Arial"/>
    </font>
  </fonts>
  <fills count="9">
    <fill>
      <patternFill patternType="none"/>
    </fill>
    <fill>
      <patternFill patternType="gray125"/>
    </fill>
    <fill>
      <patternFill patternType="solid">
        <fgColor rgb="FFFFE1A4"/>
        <bgColor indexed="64"/>
      </patternFill>
    </fill>
    <fill>
      <patternFill patternType="solid">
        <fgColor rgb="FFE1FFA4"/>
        <bgColor indexed="64"/>
      </patternFill>
    </fill>
    <fill>
      <patternFill patternType="solid">
        <fgColor theme="0" tint="-0.14999847407452621"/>
        <bgColor theme="0" tint="-0.14999847407452621"/>
      </patternFill>
    </fill>
    <fill>
      <patternFill patternType="solid">
        <fgColor theme="8" tint="0.79998168889431442"/>
        <bgColor indexed="64"/>
      </patternFill>
    </fill>
    <fill>
      <patternFill patternType="solid">
        <fgColor theme="0" tint="-0.14999847407452621"/>
        <bgColor indexed="64"/>
      </patternFill>
    </fill>
    <fill>
      <patternFill patternType="solid">
        <fgColor theme="8" tint="0.59999389629810485"/>
        <bgColor indexed="64"/>
      </patternFill>
    </fill>
    <fill>
      <patternFill patternType="solid">
        <fgColor rgb="FFFB8D94"/>
        <bgColor indexed="64"/>
      </patternFill>
    </fill>
  </fills>
  <borders count="52">
    <border>
      <left/>
      <right/>
      <top/>
      <bottom/>
      <diagonal/>
    </border>
    <border>
      <left style="medium">
        <color auto="1"/>
      </left>
      <right/>
      <top/>
      <bottom/>
      <diagonal/>
    </border>
    <border>
      <left/>
      <right style="medium">
        <color auto="1"/>
      </right>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top style="medium">
        <color indexed="50"/>
      </top>
      <bottom style="thin">
        <color auto="1"/>
      </bottom>
      <diagonal/>
    </border>
    <border>
      <left/>
      <right/>
      <top style="thin">
        <color auto="1"/>
      </top>
      <bottom style="medium">
        <color indexed="50"/>
      </bottom>
      <diagonal/>
    </border>
    <border>
      <left/>
      <right/>
      <top style="thin">
        <color theme="1"/>
      </top>
      <bottom/>
      <diagonal/>
    </border>
    <border>
      <left/>
      <right/>
      <top style="thin">
        <color auto="1"/>
      </top>
      <bottom style="thin">
        <color auto="1"/>
      </bottom>
      <diagonal/>
    </border>
    <border>
      <left/>
      <right/>
      <top style="thin">
        <color theme="1"/>
      </top>
      <bottom style="thin">
        <color theme="1"/>
      </bottom>
      <diagonal/>
    </border>
    <border>
      <left style="medium">
        <color auto="1"/>
      </left>
      <right/>
      <top style="thin">
        <color theme="1"/>
      </top>
      <bottom style="thin">
        <color theme="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indexed="50"/>
      </left>
      <right/>
      <top style="medium">
        <color indexed="50"/>
      </top>
      <bottom style="thin">
        <color auto="1"/>
      </bottom>
      <diagonal/>
    </border>
    <border>
      <left style="thin">
        <color auto="1"/>
      </left>
      <right/>
      <top style="medium">
        <color indexed="50"/>
      </top>
      <bottom style="thin">
        <color auto="1"/>
      </bottom>
      <diagonal/>
    </border>
    <border>
      <left/>
      <right style="medium">
        <color indexed="50"/>
      </right>
      <top style="medium">
        <color indexed="50"/>
      </top>
      <bottom style="thin">
        <color auto="1"/>
      </bottom>
      <diagonal/>
    </border>
    <border>
      <left style="thin">
        <color auto="1"/>
      </left>
      <right/>
      <top style="thin">
        <color auto="1"/>
      </top>
      <bottom style="medium">
        <color indexed="50"/>
      </bottom>
      <diagonal/>
    </border>
    <border>
      <left/>
      <right/>
      <top/>
      <bottom style="thin">
        <color theme="4"/>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indexed="50"/>
      </left>
      <right/>
      <top style="thin">
        <color auto="1"/>
      </top>
      <bottom style="medium">
        <color indexed="50"/>
      </bottom>
      <diagonal/>
    </border>
    <border>
      <left style="thin">
        <color indexed="55"/>
      </left>
      <right style="medium">
        <color auto="1"/>
      </right>
      <top style="medium">
        <color auto="1"/>
      </top>
      <bottom style="thin">
        <color indexed="55"/>
      </bottom>
      <diagonal/>
    </border>
    <border>
      <left style="thin">
        <color indexed="55"/>
      </left>
      <right style="medium">
        <color auto="1"/>
      </right>
      <top style="thin">
        <color indexed="55"/>
      </top>
      <bottom style="thin">
        <color indexed="55"/>
      </bottom>
      <diagonal/>
    </border>
    <border>
      <left style="thin">
        <color indexed="55"/>
      </left>
      <right style="medium">
        <color auto="1"/>
      </right>
      <top style="thin">
        <color indexed="55"/>
      </top>
      <bottom style="medium">
        <color auto="1"/>
      </bottom>
      <diagonal/>
    </border>
    <border>
      <left/>
      <right style="thin">
        <color indexed="55"/>
      </right>
      <top style="medium">
        <color auto="1"/>
      </top>
      <bottom style="thin">
        <color indexed="55"/>
      </bottom>
      <diagonal/>
    </border>
    <border>
      <left/>
      <right style="thin">
        <color indexed="55"/>
      </right>
      <top style="thin">
        <color indexed="55"/>
      </top>
      <bottom style="thin">
        <color indexed="55"/>
      </bottom>
      <diagonal/>
    </border>
    <border>
      <left/>
      <right style="thin">
        <color indexed="55"/>
      </right>
      <top style="thin">
        <color indexed="55"/>
      </top>
      <bottom style="medium">
        <color auto="1"/>
      </bottom>
      <diagonal/>
    </border>
    <border>
      <left style="medium">
        <color auto="1"/>
      </left>
      <right style="medium">
        <color auto="1"/>
      </right>
      <top style="medium">
        <color auto="1"/>
      </top>
      <bottom style="thin">
        <color indexed="55"/>
      </bottom>
      <diagonal/>
    </border>
    <border>
      <left style="medium">
        <color auto="1"/>
      </left>
      <right style="medium">
        <color auto="1"/>
      </right>
      <top style="thin">
        <color indexed="55"/>
      </top>
      <bottom style="thin">
        <color indexed="55"/>
      </bottom>
      <diagonal/>
    </border>
    <border>
      <left style="medium">
        <color auto="1"/>
      </left>
      <right style="medium">
        <color auto="1"/>
      </right>
      <top style="thin">
        <color indexed="55"/>
      </top>
      <bottom style="medium">
        <color auto="1"/>
      </bottom>
      <diagonal/>
    </border>
    <border>
      <left/>
      <right style="medium">
        <color indexed="50"/>
      </right>
      <top style="thin">
        <color auto="1"/>
      </top>
      <bottom style="medium">
        <color indexed="50"/>
      </bottom>
      <diagonal/>
    </border>
    <border>
      <left/>
      <right/>
      <top/>
      <bottom style="thin">
        <color theme="1"/>
      </bottom>
      <diagonal/>
    </border>
    <border>
      <left style="medium">
        <color auto="1"/>
      </left>
      <right/>
      <top/>
      <bottom style="thin">
        <color theme="1"/>
      </bottom>
      <diagonal/>
    </border>
    <border>
      <left style="medium">
        <color auto="1"/>
      </left>
      <right style="medium">
        <color auto="1"/>
      </right>
      <top style="medium">
        <color auto="1"/>
      </top>
      <bottom style="medium">
        <color auto="1"/>
      </bottom>
      <diagonal/>
    </border>
    <border>
      <left style="medium">
        <color auto="1"/>
      </left>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auto="1"/>
      </left>
      <right/>
      <top style="thin">
        <color auto="1"/>
      </top>
      <bottom style="thin">
        <color auto="1"/>
      </bottom>
      <diagonal/>
    </border>
    <border>
      <left/>
      <right style="medium">
        <color auto="1"/>
      </right>
      <top style="thin">
        <color auto="1"/>
      </top>
      <bottom style="thin">
        <color auto="1"/>
      </bottom>
      <diagonal/>
    </border>
    <border>
      <left style="medium">
        <color auto="1"/>
      </left>
      <right/>
      <top style="thin">
        <color auto="1"/>
      </top>
      <bottom style="medium">
        <color auto="1"/>
      </bottom>
      <diagonal/>
    </border>
    <border>
      <left/>
      <right style="thin">
        <color auto="1"/>
      </right>
      <top style="thin">
        <color auto="1"/>
      </top>
      <bottom style="medium">
        <color auto="1"/>
      </bottom>
      <diagonal/>
    </border>
    <border>
      <left style="thin">
        <color auto="1"/>
      </left>
      <right/>
      <top style="thin">
        <color auto="1"/>
      </top>
      <bottom style="medium">
        <color auto="1"/>
      </bottom>
      <diagonal/>
    </border>
    <border>
      <left/>
      <right/>
      <top style="thin">
        <color auto="1"/>
      </top>
      <bottom style="medium">
        <color auto="1"/>
      </bottom>
      <diagonal/>
    </border>
    <border>
      <left/>
      <right style="medium">
        <color auto="1"/>
      </right>
      <top style="thin">
        <color auto="1"/>
      </top>
      <bottom style="medium">
        <color auto="1"/>
      </bottom>
      <diagonal/>
    </border>
    <border>
      <left style="medium">
        <color auto="1"/>
      </left>
      <right style="thin">
        <color auto="1"/>
      </right>
      <top style="thin">
        <color auto="1"/>
      </top>
      <bottom style="thin">
        <color auto="1"/>
      </bottom>
      <diagonal/>
    </border>
    <border>
      <left style="medium">
        <color auto="1"/>
      </left>
      <right style="thin">
        <color auto="1"/>
      </right>
      <top style="thin">
        <color auto="1"/>
      </top>
      <bottom style="medium">
        <color auto="1"/>
      </bottom>
      <diagonal/>
    </border>
    <border>
      <left style="medium">
        <color auto="1"/>
      </left>
      <right style="thin">
        <color auto="1"/>
      </right>
      <top style="medium">
        <color auto="1"/>
      </top>
      <bottom style="thin">
        <color auto="1"/>
      </bottom>
      <diagonal/>
    </border>
  </borders>
  <cellStyleXfs count="1705">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223">
    <xf numFmtId="0" fontId="0" fillId="0" borderId="0" xfId="0"/>
    <xf numFmtId="0" fontId="1" fillId="0" borderId="0" xfId="0" applyFont="1"/>
    <xf numFmtId="0" fontId="1" fillId="0" borderId="0" xfId="0" applyFont="1" applyAlignment="1">
      <alignment wrapText="1"/>
    </xf>
    <xf numFmtId="14" fontId="1" fillId="0" borderId="0" xfId="0" applyNumberFormat="1" applyFont="1"/>
    <xf numFmtId="0" fontId="1" fillId="0" borderId="1" xfId="0" applyFont="1" applyBorder="1" applyAlignment="1">
      <alignment wrapText="1"/>
    </xf>
    <xf numFmtId="0" fontId="1" fillId="0" borderId="0" xfId="0" applyFont="1" applyBorder="1" applyAlignment="1">
      <alignment wrapText="1"/>
    </xf>
    <xf numFmtId="0" fontId="1" fillId="0" borderId="2" xfId="0" applyFont="1" applyBorder="1" applyAlignment="1">
      <alignment wrapText="1"/>
    </xf>
    <xf numFmtId="0" fontId="1" fillId="0" borderId="0" xfId="0" applyFont="1" applyFill="1"/>
    <xf numFmtId="0" fontId="1" fillId="0" borderId="0" xfId="0" applyFont="1" applyFill="1" applyAlignment="1">
      <alignment wrapText="1"/>
    </xf>
    <xf numFmtId="0" fontId="1" fillId="0" borderId="0" xfId="0" applyFont="1" applyBorder="1" applyAlignment="1"/>
    <xf numFmtId="0" fontId="1" fillId="0" borderId="0" xfId="0" applyFont="1" applyBorder="1" applyAlignment="1">
      <alignment horizontal="left" vertical="top" wrapText="1"/>
    </xf>
    <xf numFmtId="0" fontId="1" fillId="0" borderId="0" xfId="0" applyFont="1" applyFill="1" applyBorder="1" applyAlignment="1">
      <alignment horizontal="right" vertical="center"/>
    </xf>
    <xf numFmtId="0" fontId="1" fillId="0" borderId="0" xfId="0" applyFont="1" applyFill="1" applyBorder="1" applyAlignment="1">
      <alignment horizontal="left" vertical="center"/>
    </xf>
    <xf numFmtId="0" fontId="0" fillId="0" borderId="0" xfId="0" applyAlignment="1">
      <alignment horizontal="left" vertical="top" wrapText="1"/>
    </xf>
    <xf numFmtId="0" fontId="1" fillId="0" borderId="0" xfId="0" applyFont="1" applyAlignment="1">
      <alignment horizontal="left" vertical="top" wrapText="1"/>
    </xf>
    <xf numFmtId="0" fontId="1" fillId="0" borderId="1" xfId="0" applyFont="1" applyBorder="1" applyAlignment="1">
      <alignment horizontal="left" vertical="top" wrapText="1"/>
    </xf>
    <xf numFmtId="0" fontId="1" fillId="0" borderId="2" xfId="0" applyFont="1" applyBorder="1" applyAlignment="1">
      <alignment horizontal="left" vertical="top" wrapText="1"/>
    </xf>
    <xf numFmtId="0" fontId="0" fillId="0" borderId="0" xfId="0" applyAlignment="1">
      <alignment wrapText="1"/>
    </xf>
    <xf numFmtId="0" fontId="1" fillId="0" borderId="0" xfId="0" applyFont="1" applyAlignment="1">
      <alignment horizontal="right" wrapText="1"/>
    </xf>
    <xf numFmtId="0" fontId="1" fillId="0" borderId="0" xfId="0" applyFont="1" applyAlignment="1">
      <alignment vertical="top"/>
    </xf>
    <xf numFmtId="0" fontId="0" fillId="0" borderId="0" xfId="0" applyAlignment="1">
      <alignment vertical="top"/>
    </xf>
    <xf numFmtId="0" fontId="1" fillId="0" borderId="0" xfId="0" applyFont="1" applyAlignment="1"/>
    <xf numFmtId="14" fontId="1" fillId="0" borderId="0" xfId="0" applyNumberFormat="1" applyFont="1" applyAlignment="1"/>
    <xf numFmtId="0" fontId="1" fillId="0" borderId="1" xfId="0" applyFont="1" applyBorder="1" applyAlignment="1"/>
    <xf numFmtId="0" fontId="1" fillId="0" borderId="2" xfId="0" applyFont="1" applyBorder="1" applyAlignment="1"/>
    <xf numFmtId="0" fontId="0" fillId="0" borderId="0" xfId="0" applyAlignment="1"/>
    <xf numFmtId="14" fontId="1" fillId="0" borderId="0" xfId="0" applyNumberFormat="1" applyFont="1" applyAlignment="1">
      <alignment wrapText="1"/>
    </xf>
    <xf numFmtId="0" fontId="1" fillId="0" borderId="0" xfId="0" applyFont="1" applyFill="1" applyAlignment="1">
      <alignment vertical="top"/>
    </xf>
    <xf numFmtId="14" fontId="1" fillId="0" borderId="0" xfId="0" applyNumberFormat="1" applyFont="1" applyFill="1" applyAlignment="1">
      <alignment vertical="top"/>
    </xf>
    <xf numFmtId="0" fontId="2" fillId="0" borderId="0" xfId="0" applyFont="1" applyFill="1" applyAlignment="1">
      <alignment vertical="top"/>
    </xf>
    <xf numFmtId="0" fontId="1" fillId="0" borderId="0" xfId="0" applyFont="1" applyFill="1" applyAlignment="1">
      <alignment vertical="top" wrapText="1"/>
    </xf>
    <xf numFmtId="0" fontId="1" fillId="0" borderId="1" xfId="0" applyFont="1" applyFill="1" applyBorder="1" applyAlignment="1">
      <alignment vertical="top"/>
    </xf>
    <xf numFmtId="0" fontId="1" fillId="0" borderId="0" xfId="0" applyFont="1" applyFill="1" applyBorder="1" applyAlignment="1">
      <alignment vertical="top"/>
    </xf>
    <xf numFmtId="0" fontId="1" fillId="0" borderId="2" xfId="0" applyFont="1" applyFill="1" applyBorder="1" applyAlignment="1">
      <alignment vertical="top"/>
    </xf>
    <xf numFmtId="0" fontId="1" fillId="0" borderId="2" xfId="0" applyFont="1" applyFill="1" applyBorder="1"/>
    <xf numFmtId="0" fontId="2" fillId="0" borderId="0" xfId="0" applyFont="1" applyFill="1" applyBorder="1" applyAlignment="1">
      <alignment vertical="top"/>
    </xf>
    <xf numFmtId="14" fontId="1" fillId="0" borderId="0" xfId="0" applyNumberFormat="1" applyFont="1" applyFill="1" applyBorder="1" applyAlignment="1">
      <alignment vertical="top"/>
    </xf>
    <xf numFmtId="0" fontId="1" fillId="0" borderId="1" xfId="0" applyFont="1" applyFill="1" applyBorder="1"/>
    <xf numFmtId="0" fontId="2" fillId="0" borderId="9" xfId="0" applyFont="1" applyBorder="1" applyAlignment="1">
      <alignment horizontal="left" vertical="top" wrapText="1"/>
    </xf>
    <xf numFmtId="0" fontId="2" fillId="0" borderId="10" xfId="0" applyFont="1" applyBorder="1" applyAlignment="1">
      <alignment horizontal="left" vertical="top" wrapText="1"/>
    </xf>
    <xf numFmtId="0" fontId="0" fillId="0" borderId="0" xfId="0" applyAlignment="1">
      <alignment horizontal="left"/>
    </xf>
    <xf numFmtId="0" fontId="5" fillId="0" borderId="0" xfId="0" applyFont="1" applyFill="1" applyAlignment="1">
      <alignment vertical="top"/>
    </xf>
    <xf numFmtId="0" fontId="0" fillId="0" borderId="0" xfId="0" applyFill="1"/>
    <xf numFmtId="0" fontId="2" fillId="0" borderId="7" xfId="0" applyFont="1" applyBorder="1" applyAlignment="1">
      <alignment horizontal="left" textRotation="90" wrapText="1"/>
    </xf>
    <xf numFmtId="0" fontId="1" fillId="0" borderId="0" xfId="0" applyFont="1" applyFill="1" applyAlignment="1">
      <alignment horizontal="right" wrapText="1"/>
    </xf>
    <xf numFmtId="0" fontId="1" fillId="0" borderId="0" xfId="0" applyFont="1" applyFill="1" applyAlignment="1">
      <alignment horizontal="left" vertical="top" wrapText="1"/>
    </xf>
    <xf numFmtId="0" fontId="0" fillId="0" borderId="0" xfId="0" applyFill="1" applyAlignment="1">
      <alignment vertical="top" wrapText="1"/>
    </xf>
    <xf numFmtId="0" fontId="1" fillId="0" borderId="0" xfId="0" applyFont="1" applyFill="1" applyAlignment="1">
      <alignment horizontal="left" vertical="top"/>
    </xf>
    <xf numFmtId="0" fontId="1" fillId="0" borderId="0" xfId="0" applyFont="1" applyFill="1" applyBorder="1" applyAlignment="1">
      <alignment horizontal="left" vertical="top"/>
    </xf>
    <xf numFmtId="0" fontId="1" fillId="0" borderId="1" xfId="0" applyFont="1" applyBorder="1" applyAlignment="1">
      <alignment horizontal="left" vertical="top" textRotation="90" wrapText="1"/>
    </xf>
    <xf numFmtId="0" fontId="1" fillId="0" borderId="0" xfId="0" applyFont="1" applyBorder="1" applyAlignment="1">
      <alignment horizontal="left" vertical="top" textRotation="90" wrapText="1"/>
    </xf>
    <xf numFmtId="0" fontId="2" fillId="0" borderId="9" xfId="0" applyFont="1" applyBorder="1" applyAlignment="1">
      <alignment horizontal="left" vertical="top" textRotation="90" wrapText="1"/>
    </xf>
    <xf numFmtId="0" fontId="1" fillId="0" borderId="0" xfId="0" applyNumberFormat="1" applyFont="1" applyFill="1" applyBorder="1" applyAlignment="1">
      <alignment vertical="top"/>
    </xf>
    <xf numFmtId="14" fontId="1" fillId="0" borderId="0" xfId="0" applyNumberFormat="1" applyFont="1" applyFill="1" applyAlignment="1">
      <alignment horizontal="right" vertical="top"/>
    </xf>
    <xf numFmtId="0" fontId="1" fillId="0" borderId="0" xfId="0" applyFont="1" applyFill="1" applyAlignment="1">
      <alignment horizontal="right" vertical="top"/>
    </xf>
    <xf numFmtId="14" fontId="1" fillId="0" borderId="0" xfId="0" applyNumberFormat="1" applyFont="1" applyFill="1" applyBorder="1" applyAlignment="1">
      <alignment horizontal="right" vertical="top"/>
    </xf>
    <xf numFmtId="0" fontId="1" fillId="0" borderId="0" xfId="0" applyFont="1" applyFill="1" applyBorder="1" applyAlignment="1">
      <alignment horizontal="right" vertical="top"/>
    </xf>
    <xf numFmtId="0" fontId="1" fillId="0" borderId="0" xfId="0" applyNumberFormat="1" applyFont="1" applyFill="1" applyAlignment="1">
      <alignment vertical="top"/>
    </xf>
    <xf numFmtId="0" fontId="1" fillId="0" borderId="2" xfId="0" applyNumberFormat="1" applyFont="1" applyFill="1" applyBorder="1" applyAlignment="1">
      <alignment vertical="top"/>
    </xf>
    <xf numFmtId="0" fontId="1" fillId="0" borderId="1" xfId="0" applyNumberFormat="1" applyFont="1" applyFill="1" applyBorder="1" applyAlignment="1">
      <alignment vertical="top"/>
    </xf>
    <xf numFmtId="0" fontId="5" fillId="0" borderId="2" xfId="0" applyFont="1" applyFill="1" applyBorder="1" applyAlignment="1">
      <alignment vertical="top"/>
    </xf>
    <xf numFmtId="0" fontId="0" fillId="0" borderId="0" xfId="0" applyAlignment="1">
      <alignment horizontal="right"/>
    </xf>
    <xf numFmtId="0" fontId="2" fillId="0" borderId="0" xfId="0" applyFont="1" applyFill="1" applyAlignment="1">
      <alignment vertical="center"/>
    </xf>
    <xf numFmtId="0" fontId="1" fillId="0" borderId="0" xfId="0" applyFont="1" applyFill="1" applyAlignment="1">
      <alignment vertical="center"/>
    </xf>
    <xf numFmtId="14" fontId="1" fillId="0" borderId="0" xfId="0" applyNumberFormat="1" applyFont="1" applyFill="1" applyAlignment="1">
      <alignment vertical="center"/>
    </xf>
    <xf numFmtId="0" fontId="1" fillId="0" borderId="0" xfId="0" applyFont="1" applyFill="1" applyAlignment="1">
      <alignment horizontal="left" vertical="center"/>
    </xf>
    <xf numFmtId="0" fontId="5" fillId="0" borderId="0" xfId="0" applyFont="1" applyFill="1" applyAlignment="1">
      <alignment vertical="center"/>
    </xf>
    <xf numFmtId="0" fontId="1" fillId="0" borderId="0" xfId="0" applyFont="1" applyFill="1" applyBorder="1" applyAlignment="1">
      <alignment vertical="center"/>
    </xf>
    <xf numFmtId="0" fontId="1" fillId="0" borderId="1" xfId="0" applyFont="1" applyFill="1" applyBorder="1" applyAlignment="1">
      <alignment vertical="center"/>
    </xf>
    <xf numFmtId="0" fontId="1" fillId="0" borderId="2" xfId="0" applyFont="1" applyFill="1" applyBorder="1" applyAlignment="1">
      <alignment vertical="center"/>
    </xf>
    <xf numFmtId="14" fontId="1" fillId="0" borderId="0" xfId="0" applyNumberFormat="1" applyFont="1" applyFill="1" applyAlignment="1">
      <alignment horizontal="right" vertical="center"/>
    </xf>
    <xf numFmtId="14" fontId="1" fillId="0" borderId="0" xfId="0" applyNumberFormat="1" applyFont="1" applyFill="1" applyBorder="1" applyAlignment="1">
      <alignment horizontal="right" vertical="center"/>
    </xf>
    <xf numFmtId="14" fontId="1" fillId="0" borderId="0" xfId="0" applyNumberFormat="1" applyFont="1" applyFill="1" applyBorder="1" applyAlignment="1">
      <alignment vertical="center"/>
    </xf>
    <xf numFmtId="0" fontId="5" fillId="0" borderId="2" xfId="0" applyFont="1" applyFill="1" applyBorder="1" applyAlignment="1">
      <alignment vertical="center"/>
    </xf>
    <xf numFmtId="14" fontId="5" fillId="0" borderId="0" xfId="0" applyNumberFormat="1" applyFont="1" applyFill="1" applyAlignment="1">
      <alignment vertical="center"/>
    </xf>
    <xf numFmtId="0" fontId="1" fillId="0" borderId="0" xfId="0" applyFont="1" applyFill="1" applyAlignment="1">
      <alignment horizontal="right" vertical="center"/>
    </xf>
    <xf numFmtId="0" fontId="5" fillId="0" borderId="1" xfId="0" applyFont="1" applyFill="1" applyBorder="1" applyAlignment="1">
      <alignment vertical="center"/>
    </xf>
    <xf numFmtId="49" fontId="1" fillId="0" borderId="0" xfId="0" applyNumberFormat="1" applyFont="1" applyFill="1" applyBorder="1" applyAlignment="1">
      <alignment vertical="top"/>
    </xf>
    <xf numFmtId="14" fontId="1" fillId="0" borderId="1" xfId="0" applyNumberFormat="1" applyFont="1" applyFill="1" applyBorder="1" applyAlignment="1">
      <alignment vertical="center"/>
    </xf>
    <xf numFmtId="164" fontId="1" fillId="0" borderId="0" xfId="0" applyNumberFormat="1" applyFont="1" applyFill="1" applyBorder="1" applyAlignment="1">
      <alignment vertical="center"/>
    </xf>
    <xf numFmtId="0" fontId="1" fillId="0" borderId="1" xfId="0" applyFont="1" applyBorder="1" applyAlignment="1">
      <alignment horizontal="right" wrapText="1"/>
    </xf>
    <xf numFmtId="9" fontId="1" fillId="0" borderId="0" xfId="0" applyNumberFormat="1" applyFont="1" applyFill="1" applyBorder="1" applyAlignment="1">
      <alignment horizontal="left" vertical="top"/>
    </xf>
    <xf numFmtId="9" fontId="1" fillId="0" borderId="0" xfId="0" applyNumberFormat="1" applyFont="1" applyFill="1"/>
    <xf numFmtId="165" fontId="1" fillId="0" borderId="0" xfId="0" applyNumberFormat="1" applyFont="1" applyFill="1" applyBorder="1" applyAlignment="1">
      <alignment vertical="center"/>
    </xf>
    <xf numFmtId="0" fontId="1" fillId="0" borderId="0" xfId="0" applyNumberFormat="1" applyFont="1" applyFill="1" applyBorder="1" applyAlignment="1">
      <alignment vertical="center"/>
    </xf>
    <xf numFmtId="2" fontId="1" fillId="0" borderId="2" xfId="0" applyNumberFormat="1" applyFont="1" applyBorder="1" applyAlignment="1">
      <alignment wrapText="1"/>
    </xf>
    <xf numFmtId="2" fontId="1" fillId="0" borderId="2" xfId="0" applyNumberFormat="1" applyFont="1" applyBorder="1" applyAlignment="1"/>
    <xf numFmtId="2" fontId="1" fillId="0" borderId="2" xfId="0" applyNumberFormat="1" applyFont="1" applyBorder="1" applyAlignment="1">
      <alignment horizontal="left" vertical="top" wrapText="1"/>
    </xf>
    <xf numFmtId="2" fontId="1" fillId="0" borderId="2" xfId="0" applyNumberFormat="1" applyFont="1" applyFill="1" applyBorder="1" applyAlignment="1">
      <alignment vertical="center"/>
    </xf>
    <xf numFmtId="2" fontId="1" fillId="0" borderId="2" xfId="0" applyNumberFormat="1" applyFont="1" applyFill="1" applyBorder="1" applyAlignment="1">
      <alignment vertical="top"/>
    </xf>
    <xf numFmtId="2" fontId="5" fillId="0" borderId="2" xfId="0" applyNumberFormat="1" applyFont="1" applyFill="1" applyBorder="1" applyAlignment="1">
      <alignment vertical="top"/>
    </xf>
    <xf numFmtId="2" fontId="1" fillId="0" borderId="0" xfId="0" applyNumberFormat="1" applyFont="1" applyAlignment="1">
      <alignment vertical="top"/>
    </xf>
    <xf numFmtId="2" fontId="0" fillId="0" borderId="0" xfId="0" applyNumberFormat="1" applyAlignment="1">
      <alignment vertical="top"/>
    </xf>
    <xf numFmtId="0" fontId="1" fillId="0" borderId="0" xfId="0" applyNumberFormat="1" applyFont="1" applyFill="1" applyAlignment="1">
      <alignment horizontal="left" vertical="top"/>
    </xf>
    <xf numFmtId="0" fontId="5" fillId="0" borderId="0" xfId="0" applyFont="1" applyFill="1" applyBorder="1" applyAlignment="1">
      <alignment vertical="top"/>
    </xf>
    <xf numFmtId="0" fontId="7" fillId="0" borderId="1" xfId="0" applyFont="1" applyFill="1" applyBorder="1" applyAlignment="1">
      <alignment horizontal="left" vertical="top" wrapText="1"/>
    </xf>
    <xf numFmtId="0" fontId="7" fillId="0" borderId="1" xfId="0" applyFont="1" applyFill="1" applyBorder="1"/>
    <xf numFmtId="0" fontId="7" fillId="0" borderId="0" xfId="0" applyFont="1" applyFill="1" applyAlignment="1">
      <alignment vertical="center"/>
    </xf>
    <xf numFmtId="0" fontId="7" fillId="0" borderId="0" xfId="0" applyFont="1" applyFill="1" applyBorder="1" applyAlignment="1">
      <alignment vertical="center"/>
    </xf>
    <xf numFmtId="0" fontId="7" fillId="0" borderId="21" xfId="0" applyFont="1" applyFill="1" applyBorder="1" applyAlignment="1">
      <alignment vertical="center"/>
    </xf>
    <xf numFmtId="0" fontId="9" fillId="0" borderId="0" xfId="0" applyFont="1"/>
    <xf numFmtId="0" fontId="9" fillId="0" borderId="0" xfId="0" applyFont="1" applyFill="1"/>
    <xf numFmtId="0" fontId="0" fillId="0" borderId="0" xfId="0" applyFill="1" applyAlignment="1">
      <alignment wrapText="1"/>
    </xf>
    <xf numFmtId="0" fontId="7" fillId="0" borderId="0" xfId="0" applyFont="1" applyFill="1" applyBorder="1"/>
    <xf numFmtId="0" fontId="10" fillId="0" borderId="0" xfId="0" applyFont="1" applyBorder="1" applyAlignment="1">
      <alignment vertical="center"/>
    </xf>
    <xf numFmtId="0" fontId="11" fillId="0" borderId="0" xfId="0" applyFont="1" applyBorder="1" applyAlignment="1">
      <alignment vertical="center"/>
    </xf>
    <xf numFmtId="0" fontId="11" fillId="0" borderId="17" xfId="0" applyFont="1" applyBorder="1" applyAlignment="1">
      <alignment vertical="center"/>
    </xf>
    <xf numFmtId="0" fontId="11" fillId="0" borderId="18" xfId="0" applyFont="1" applyBorder="1" applyAlignment="1">
      <alignment vertical="center"/>
    </xf>
    <xf numFmtId="0" fontId="11" fillId="0" borderId="0" xfId="0" applyFont="1" applyAlignment="1">
      <alignment vertical="center"/>
    </xf>
    <xf numFmtId="0" fontId="11" fillId="0" borderId="25" xfId="0" applyFont="1" applyBorder="1" applyAlignment="1">
      <alignment vertical="center"/>
    </xf>
    <xf numFmtId="0" fontId="11" fillId="0" borderId="20" xfId="0" applyFont="1" applyBorder="1" applyAlignment="1">
      <alignment vertical="center"/>
    </xf>
    <xf numFmtId="0" fontId="10" fillId="0" borderId="0" xfId="0" applyFont="1" applyAlignment="1">
      <alignment vertical="center"/>
    </xf>
    <xf numFmtId="0" fontId="10" fillId="0" borderId="29" xfId="0" applyFont="1" applyBorder="1" applyAlignment="1">
      <alignment horizontal="left" vertical="center"/>
    </xf>
    <xf numFmtId="0" fontId="10" fillId="0" borderId="26" xfId="0" applyNumberFormat="1" applyFont="1" applyFill="1" applyBorder="1" applyAlignment="1">
      <alignment horizontal="left" vertical="center"/>
    </xf>
    <xf numFmtId="0" fontId="10" fillId="0" borderId="30" xfId="0" applyFont="1" applyBorder="1" applyAlignment="1">
      <alignment horizontal="left" vertical="center"/>
    </xf>
    <xf numFmtId="0" fontId="10" fillId="0" borderId="27" xfId="0" applyNumberFormat="1" applyFont="1" applyFill="1" applyBorder="1" applyAlignment="1">
      <alignment horizontal="left" vertical="center"/>
    </xf>
    <xf numFmtId="0" fontId="10" fillId="0" borderId="31" xfId="0" applyFont="1" applyBorder="1" applyAlignment="1">
      <alignment horizontal="left" vertical="center"/>
    </xf>
    <xf numFmtId="0" fontId="10" fillId="0" borderId="28" xfId="0" applyNumberFormat="1" applyFont="1" applyFill="1" applyBorder="1" applyAlignment="1">
      <alignment horizontal="left" vertical="center"/>
    </xf>
    <xf numFmtId="14" fontId="10" fillId="0" borderId="3" xfId="0" applyNumberFormat="1" applyFont="1" applyFill="1" applyBorder="1" applyAlignment="1">
      <alignment horizontal="left" vertical="center"/>
    </xf>
    <xf numFmtId="0" fontId="10" fillId="0" borderId="8" xfId="0" applyFont="1" applyBorder="1" applyAlignment="1">
      <alignment horizontal="center" vertical="center"/>
    </xf>
    <xf numFmtId="0" fontId="11" fillId="0" borderId="5" xfId="0" applyFont="1" applyBorder="1" applyAlignment="1">
      <alignment vertical="center"/>
    </xf>
    <xf numFmtId="0" fontId="11" fillId="0" borderId="6" xfId="0" applyFont="1" applyBorder="1" applyAlignment="1">
      <alignment vertical="center"/>
    </xf>
    <xf numFmtId="0" fontId="11" fillId="0" borderId="5" xfId="0" applyFont="1" applyBorder="1" applyAlignment="1">
      <alignment horizontal="right" vertical="center"/>
    </xf>
    <xf numFmtId="0" fontId="11" fillId="0" borderId="6" xfId="0" applyFont="1" applyBorder="1" applyAlignment="1">
      <alignment horizontal="right" vertical="center"/>
    </xf>
    <xf numFmtId="0" fontId="10" fillId="0" borderId="5" xfId="0" applyFont="1" applyBorder="1" applyAlignment="1">
      <alignment vertical="center"/>
    </xf>
    <xf numFmtId="0" fontId="10" fillId="0" borderId="19" xfId="0" applyFont="1" applyBorder="1" applyAlignment="1">
      <alignment vertical="center"/>
    </xf>
    <xf numFmtId="0" fontId="10" fillId="0" borderId="6" xfId="0" applyFont="1" applyBorder="1" applyAlignment="1">
      <alignment vertical="center"/>
    </xf>
    <xf numFmtId="0" fontId="10" fillId="0" borderId="35" xfId="0" applyFont="1" applyBorder="1" applyAlignment="1">
      <alignment vertical="center"/>
    </xf>
    <xf numFmtId="0" fontId="9" fillId="4" borderId="0" xfId="0" applyFont="1" applyFill="1" applyAlignment="1">
      <alignment horizontal="left"/>
    </xf>
    <xf numFmtId="0" fontId="7" fillId="4" borderId="0" xfId="0" applyFont="1" applyFill="1" applyAlignment="1">
      <alignment horizontal="left" wrapText="1"/>
    </xf>
    <xf numFmtId="0" fontId="7" fillId="4" borderId="1" xfId="0" applyFont="1" applyFill="1" applyBorder="1" applyAlignment="1">
      <alignment horizontal="left" wrapText="1"/>
    </xf>
    <xf numFmtId="0" fontId="7" fillId="4" borderId="0" xfId="0" applyFont="1" applyFill="1" applyBorder="1" applyAlignment="1">
      <alignment horizontal="left" wrapText="1"/>
    </xf>
    <xf numFmtId="49" fontId="7" fillId="4" borderId="1" xfId="0" applyNumberFormat="1" applyFont="1" applyFill="1" applyBorder="1" applyAlignment="1">
      <alignment horizontal="center"/>
    </xf>
    <xf numFmtId="49" fontId="7" fillId="4" borderId="0" xfId="0" applyNumberFormat="1" applyFont="1" applyFill="1" applyAlignment="1">
      <alignment horizontal="center"/>
    </xf>
    <xf numFmtId="49" fontId="7" fillId="4" borderId="0" xfId="0" applyNumberFormat="1" applyFont="1" applyFill="1" applyBorder="1" applyAlignment="1">
      <alignment horizontal="center" vertical="center"/>
    </xf>
    <xf numFmtId="49" fontId="7" fillId="4" borderId="0" xfId="0" applyNumberFormat="1" applyFont="1" applyFill="1" applyAlignment="1">
      <alignment horizontal="center" vertical="center"/>
    </xf>
    <xf numFmtId="49" fontId="7" fillId="0" borderId="1" xfId="0" applyNumberFormat="1" applyFont="1" applyBorder="1" applyAlignment="1">
      <alignment horizontal="center"/>
    </xf>
    <xf numFmtId="49" fontId="7" fillId="0" borderId="0" xfId="0" applyNumberFormat="1" applyFont="1" applyAlignment="1">
      <alignment horizontal="center"/>
    </xf>
    <xf numFmtId="49" fontId="7" fillId="0" borderId="0" xfId="0" applyNumberFormat="1" applyFont="1" applyAlignment="1">
      <alignment horizontal="center" vertical="center"/>
    </xf>
    <xf numFmtId="49" fontId="7" fillId="0" borderId="0" xfId="0" applyNumberFormat="1" applyFont="1" applyBorder="1" applyAlignment="1">
      <alignment horizontal="center" vertical="center"/>
    </xf>
    <xf numFmtId="0" fontId="13" fillId="6" borderId="30" xfId="0" applyFont="1" applyFill="1" applyBorder="1" applyAlignment="1">
      <alignment horizontal="left" vertical="center"/>
    </xf>
    <xf numFmtId="0" fontId="13" fillId="6" borderId="27" xfId="0" applyNumberFormat="1" applyFont="1" applyFill="1" applyBorder="1" applyAlignment="1">
      <alignment horizontal="left" vertical="center"/>
    </xf>
    <xf numFmtId="0" fontId="13" fillId="6" borderId="29" xfId="0" applyFont="1" applyFill="1" applyBorder="1" applyAlignment="1">
      <alignment horizontal="left" vertical="center"/>
    </xf>
    <xf numFmtId="0" fontId="13" fillId="6" borderId="26" xfId="0" applyNumberFormat="1" applyFont="1" applyFill="1" applyBorder="1" applyAlignment="1">
      <alignment horizontal="left" vertical="center"/>
    </xf>
    <xf numFmtId="0" fontId="13" fillId="6" borderId="31" xfId="0" applyFont="1" applyFill="1" applyBorder="1" applyAlignment="1">
      <alignment horizontal="left" vertical="center"/>
    </xf>
    <xf numFmtId="0" fontId="13" fillId="6" borderId="28" xfId="0" applyNumberFormat="1" applyFont="1" applyFill="1" applyBorder="1" applyAlignment="1">
      <alignment horizontal="left" vertical="center"/>
    </xf>
    <xf numFmtId="0" fontId="11" fillId="0" borderId="0" xfId="0" applyFont="1" applyBorder="1" applyAlignment="1">
      <alignment horizontal="right" vertical="center"/>
    </xf>
    <xf numFmtId="14" fontId="10" fillId="0" borderId="43" xfId="0" applyNumberFormat="1" applyFont="1" applyFill="1" applyBorder="1" applyAlignment="1">
      <alignment vertical="center"/>
    </xf>
    <xf numFmtId="9" fontId="10" fillId="0" borderId="46" xfId="0" applyNumberFormat="1" applyFont="1" applyFill="1" applyBorder="1" applyAlignment="1">
      <alignment vertical="center"/>
    </xf>
    <xf numFmtId="0" fontId="12" fillId="0" borderId="47" xfId="0" applyFont="1" applyBorder="1" applyAlignment="1">
      <alignment horizontal="center" vertical="center"/>
    </xf>
    <xf numFmtId="9" fontId="10" fillId="0" borderId="48" xfId="0" applyNumberFormat="1" applyFont="1" applyFill="1" applyBorder="1" applyAlignment="1">
      <alignment vertical="center"/>
    </xf>
    <xf numFmtId="0" fontId="10" fillId="0" borderId="1" xfId="0" applyFont="1" applyBorder="1" applyAlignment="1">
      <alignment vertical="center"/>
    </xf>
    <xf numFmtId="0" fontId="10" fillId="0" borderId="2" xfId="0" applyFont="1" applyBorder="1" applyAlignment="1">
      <alignment vertical="center"/>
    </xf>
    <xf numFmtId="0" fontId="10" fillId="0" borderId="8" xfId="0" applyFont="1" applyBorder="1" applyAlignment="1">
      <alignment vertical="center"/>
    </xf>
    <xf numFmtId="0" fontId="10" fillId="0" borderId="43" xfId="0" applyFont="1" applyBorder="1" applyAlignment="1">
      <alignment vertical="center"/>
    </xf>
    <xf numFmtId="0" fontId="10" fillId="2" borderId="8" xfId="0" applyFont="1" applyFill="1" applyBorder="1" applyAlignment="1">
      <alignment vertical="center"/>
    </xf>
    <xf numFmtId="0" fontId="10" fillId="2" borderId="43" xfId="0" applyFont="1" applyFill="1" applyBorder="1" applyAlignment="1">
      <alignment vertical="center"/>
    </xf>
    <xf numFmtId="0" fontId="10" fillId="3" borderId="47" xfId="0" applyFont="1" applyFill="1" applyBorder="1" applyAlignment="1">
      <alignment vertical="center"/>
    </xf>
    <xf numFmtId="0" fontId="10" fillId="3" borderId="48" xfId="0" applyFont="1" applyFill="1" applyBorder="1" applyAlignment="1">
      <alignment vertical="center"/>
    </xf>
    <xf numFmtId="0" fontId="10" fillId="0" borderId="23" xfId="0" applyFont="1" applyBorder="1" applyAlignment="1">
      <alignment vertical="center"/>
    </xf>
    <xf numFmtId="0" fontId="10" fillId="8" borderId="40" xfId="0" applyFont="1" applyFill="1" applyBorder="1" applyAlignment="1">
      <alignment vertical="center"/>
    </xf>
    <xf numFmtId="0" fontId="10" fillId="8" borderId="41" xfId="0" applyFont="1" applyFill="1" applyBorder="1" applyAlignment="1">
      <alignment vertical="center"/>
    </xf>
    <xf numFmtId="0" fontId="10" fillId="0" borderId="0" xfId="0" applyFont="1" applyBorder="1" applyAlignment="1">
      <alignment horizontal="right" vertical="center"/>
    </xf>
    <xf numFmtId="9" fontId="10" fillId="0" borderId="0" xfId="0" applyNumberFormat="1" applyFont="1" applyFill="1" applyBorder="1" applyAlignment="1">
      <alignment vertical="center"/>
    </xf>
    <xf numFmtId="0" fontId="12" fillId="0" borderId="0" xfId="0" applyFont="1" applyBorder="1" applyAlignment="1">
      <alignment horizontal="center" vertical="center"/>
    </xf>
    <xf numFmtId="2" fontId="10" fillId="0" borderId="0" xfId="0" applyNumberFormat="1" applyFont="1" applyFill="1" applyBorder="1" applyAlignment="1">
      <alignment horizontal="left" vertical="center"/>
    </xf>
    <xf numFmtId="1" fontId="10" fillId="0" borderId="0" xfId="0" applyNumberFormat="1" applyFont="1" applyFill="1" applyBorder="1" applyAlignment="1">
      <alignment horizontal="left" vertical="center"/>
    </xf>
    <xf numFmtId="1" fontId="10" fillId="0" borderId="3" xfId="0" applyNumberFormat="1" applyFont="1" applyFill="1" applyBorder="1" applyAlignment="1">
      <alignment vertical="center"/>
    </xf>
    <xf numFmtId="1" fontId="10" fillId="0" borderId="8" xfId="0" applyNumberFormat="1" applyFont="1" applyFill="1" applyBorder="1" applyAlignment="1">
      <alignment vertical="center"/>
    </xf>
    <xf numFmtId="1" fontId="10" fillId="0" borderId="43" xfId="0" applyNumberFormat="1" applyFont="1" applyFill="1" applyBorder="1" applyAlignment="1">
      <alignment vertical="center"/>
    </xf>
    <xf numFmtId="0" fontId="10" fillId="0" borderId="3" xfId="0" applyFont="1" applyBorder="1" applyAlignment="1">
      <alignment vertical="center"/>
    </xf>
    <xf numFmtId="0" fontId="10" fillId="0" borderId="3" xfId="0" applyNumberFormat="1" applyFont="1" applyFill="1" applyBorder="1" applyAlignment="1">
      <alignment vertical="center"/>
    </xf>
    <xf numFmtId="0" fontId="10" fillId="0" borderId="8" xfId="0" applyNumberFormat="1" applyFont="1" applyFill="1" applyBorder="1" applyAlignment="1">
      <alignment vertical="center"/>
    </xf>
    <xf numFmtId="0" fontId="10" fillId="0" borderId="43" xfId="0" applyNumberFormat="1" applyFont="1" applyFill="1" applyBorder="1" applyAlignment="1">
      <alignment vertical="center"/>
    </xf>
    <xf numFmtId="0" fontId="8" fillId="5" borderId="22" xfId="0" applyFont="1" applyFill="1" applyBorder="1" applyAlignment="1">
      <alignment horizontal="center"/>
    </xf>
    <xf numFmtId="0" fontId="8" fillId="5" borderId="23" xfId="0" applyFont="1" applyFill="1" applyBorder="1" applyAlignment="1">
      <alignment horizontal="center"/>
    </xf>
    <xf numFmtId="0" fontId="8" fillId="5" borderId="24" xfId="0" applyFont="1" applyFill="1" applyBorder="1" applyAlignment="1">
      <alignment horizontal="center"/>
    </xf>
    <xf numFmtId="0" fontId="11" fillId="5" borderId="51" xfId="0" applyFont="1" applyFill="1" applyBorder="1" applyAlignment="1">
      <alignment horizontal="center" vertical="center" wrapText="1"/>
    </xf>
    <xf numFmtId="0" fontId="11" fillId="5" borderId="49" xfId="0" applyFont="1" applyFill="1" applyBorder="1" applyAlignment="1">
      <alignment horizontal="center" vertical="center" wrapText="1"/>
    </xf>
    <xf numFmtId="0" fontId="11" fillId="5" borderId="50" xfId="0" applyFont="1" applyFill="1" applyBorder="1" applyAlignment="1">
      <alignment horizontal="center" vertical="center" wrapText="1"/>
    </xf>
    <xf numFmtId="0" fontId="11" fillId="7" borderId="22" xfId="0" applyFont="1" applyFill="1" applyBorder="1" applyAlignment="1">
      <alignment horizontal="center" vertical="center"/>
    </xf>
    <xf numFmtId="0" fontId="11" fillId="7" borderId="23" xfId="0" applyFont="1" applyFill="1" applyBorder="1" applyAlignment="1">
      <alignment horizontal="center" vertical="center"/>
    </xf>
    <xf numFmtId="0" fontId="11" fillId="7" borderId="24" xfId="0" applyFont="1" applyFill="1" applyBorder="1" applyAlignment="1">
      <alignment horizontal="center" vertical="center"/>
    </xf>
    <xf numFmtId="0" fontId="11" fillId="7" borderId="22" xfId="0" applyFont="1" applyFill="1" applyBorder="1" applyAlignment="1">
      <alignment horizontal="center" vertical="top"/>
    </xf>
    <xf numFmtId="0" fontId="11" fillId="7" borderId="23" xfId="0" applyFont="1" applyFill="1" applyBorder="1" applyAlignment="1">
      <alignment horizontal="center" vertical="top"/>
    </xf>
    <xf numFmtId="0" fontId="11" fillId="7" borderId="24" xfId="0" applyFont="1" applyFill="1" applyBorder="1" applyAlignment="1">
      <alignment horizontal="center" vertical="top"/>
    </xf>
    <xf numFmtId="0" fontId="10" fillId="0" borderId="11" xfId="0" applyFont="1" applyBorder="1" applyAlignment="1">
      <alignment horizontal="left" vertical="top" wrapText="1"/>
    </xf>
    <xf numFmtId="0" fontId="10" fillId="0" borderId="12" xfId="0" applyFont="1" applyBorder="1" applyAlignment="1">
      <alignment horizontal="left" vertical="top" wrapText="1"/>
    </xf>
    <xf numFmtId="0" fontId="10" fillId="0" borderId="13" xfId="0" applyFont="1" applyBorder="1" applyAlignment="1">
      <alignment horizontal="left" vertical="top" wrapText="1"/>
    </xf>
    <xf numFmtId="0" fontId="10" fillId="0" borderId="1" xfId="0" applyFont="1" applyBorder="1" applyAlignment="1">
      <alignment horizontal="left" vertical="top" wrapText="1"/>
    </xf>
    <xf numFmtId="0" fontId="10" fillId="0" borderId="0" xfId="0" applyFont="1" applyBorder="1" applyAlignment="1">
      <alignment horizontal="left" vertical="top" wrapText="1"/>
    </xf>
    <xf numFmtId="0" fontId="10" fillId="0" borderId="2" xfId="0" applyFont="1" applyBorder="1" applyAlignment="1">
      <alignment horizontal="left" vertical="top" wrapText="1"/>
    </xf>
    <xf numFmtId="0" fontId="10" fillId="0" borderId="14" xfId="0" applyFont="1" applyBorder="1" applyAlignment="1">
      <alignment horizontal="left" vertical="top" wrapText="1"/>
    </xf>
    <xf numFmtId="0" fontId="10" fillId="0" borderId="15" xfId="0" applyFont="1" applyBorder="1" applyAlignment="1">
      <alignment horizontal="left" vertical="top" wrapText="1"/>
    </xf>
    <xf numFmtId="0" fontId="10" fillId="0" borderId="16" xfId="0" applyFont="1" applyBorder="1" applyAlignment="1">
      <alignment horizontal="left" vertical="top" wrapText="1"/>
    </xf>
    <xf numFmtId="0" fontId="11" fillId="7" borderId="38" xfId="0" applyFont="1" applyFill="1" applyBorder="1" applyAlignment="1">
      <alignment horizontal="center" vertical="center"/>
    </xf>
    <xf numFmtId="0" fontId="11" fillId="7" borderId="39" xfId="0" applyFont="1" applyFill="1" applyBorder="1" applyAlignment="1">
      <alignment horizontal="center" vertical="center"/>
    </xf>
    <xf numFmtId="0" fontId="11" fillId="7" borderId="40" xfId="0" applyFont="1" applyFill="1" applyBorder="1" applyAlignment="1">
      <alignment horizontal="center" vertical="center"/>
    </xf>
    <xf numFmtId="0" fontId="11" fillId="7" borderId="41" xfId="0" applyFont="1" applyFill="1" applyBorder="1" applyAlignment="1">
      <alignment horizontal="center" vertical="center"/>
    </xf>
    <xf numFmtId="0" fontId="10" fillId="0" borderId="42" xfId="0" applyFont="1" applyBorder="1" applyAlignment="1">
      <alignment horizontal="right" vertical="center"/>
    </xf>
    <xf numFmtId="0" fontId="10" fillId="0" borderId="4" xfId="0" applyFont="1" applyBorder="1" applyAlignment="1">
      <alignment horizontal="right" vertical="center"/>
    </xf>
    <xf numFmtId="0" fontId="10" fillId="0" borderId="44" xfId="0" applyFont="1" applyBorder="1" applyAlignment="1">
      <alignment horizontal="right" vertical="center"/>
    </xf>
    <xf numFmtId="0" fontId="10" fillId="0" borderId="45" xfId="0" applyFont="1" applyBorder="1" applyAlignment="1">
      <alignment horizontal="right" vertical="center"/>
    </xf>
    <xf numFmtId="1" fontId="10" fillId="0" borderId="46" xfId="0" applyNumberFormat="1" applyFont="1" applyFill="1" applyBorder="1" applyAlignment="1">
      <alignment horizontal="left" vertical="center"/>
    </xf>
    <xf numFmtId="1" fontId="10" fillId="0" borderId="47" xfId="0" applyNumberFormat="1" applyFont="1" applyFill="1" applyBorder="1" applyAlignment="1">
      <alignment horizontal="left" vertical="center"/>
    </xf>
    <xf numFmtId="1" fontId="10" fillId="0" borderId="48" xfId="0" applyNumberFormat="1" applyFont="1" applyFill="1" applyBorder="1" applyAlignment="1">
      <alignment horizontal="left" vertical="center"/>
    </xf>
    <xf numFmtId="1" fontId="10" fillId="0" borderId="3" xfId="0" applyNumberFormat="1" applyFont="1" applyFill="1" applyBorder="1" applyAlignment="1">
      <alignment horizontal="left" vertical="center"/>
    </xf>
    <xf numFmtId="1" fontId="10" fillId="0" borderId="8" xfId="0" applyNumberFormat="1" applyFont="1" applyFill="1" applyBorder="1" applyAlignment="1">
      <alignment horizontal="left" vertical="center"/>
    </xf>
    <xf numFmtId="1" fontId="10" fillId="0" borderId="43" xfId="0" applyNumberFormat="1" applyFont="1" applyFill="1" applyBorder="1" applyAlignment="1">
      <alignment horizontal="left" vertical="center"/>
    </xf>
    <xf numFmtId="2" fontId="10" fillId="0" borderId="46" xfId="0" applyNumberFormat="1" applyFont="1" applyFill="1" applyBorder="1" applyAlignment="1">
      <alignment horizontal="left" vertical="center"/>
    </xf>
    <xf numFmtId="2" fontId="10" fillId="0" borderId="47" xfId="0" applyNumberFormat="1" applyFont="1" applyFill="1" applyBorder="1" applyAlignment="1">
      <alignment horizontal="left" vertical="center"/>
    </xf>
    <xf numFmtId="2" fontId="10" fillId="0" borderId="48" xfId="0" applyNumberFormat="1" applyFont="1" applyFill="1" applyBorder="1" applyAlignment="1">
      <alignment horizontal="left" vertical="center"/>
    </xf>
    <xf numFmtId="0" fontId="10" fillId="0" borderId="3" xfId="0" applyNumberFormat="1" applyFont="1" applyFill="1" applyBorder="1" applyAlignment="1">
      <alignment horizontal="left" vertical="center"/>
    </xf>
    <xf numFmtId="0" fontId="10" fillId="0" borderId="8" xfId="0" applyNumberFormat="1" applyFont="1" applyFill="1" applyBorder="1" applyAlignment="1">
      <alignment horizontal="left" vertical="center"/>
    </xf>
    <xf numFmtId="0" fontId="10" fillId="0" borderId="43" xfId="0" applyNumberFormat="1" applyFont="1" applyFill="1" applyBorder="1" applyAlignment="1">
      <alignment horizontal="left" vertical="center"/>
    </xf>
    <xf numFmtId="0" fontId="11" fillId="5" borderId="32" xfId="0" applyFont="1" applyFill="1" applyBorder="1" applyAlignment="1">
      <alignment horizontal="center" vertical="center" textRotation="90" wrapText="1"/>
    </xf>
    <xf numFmtId="0" fontId="11" fillId="5" borderId="33" xfId="0" applyFont="1" applyFill="1" applyBorder="1" applyAlignment="1">
      <alignment horizontal="center" vertical="center" textRotation="90" wrapText="1"/>
    </xf>
    <xf numFmtId="0" fontId="11" fillId="5" borderId="34" xfId="0" applyFont="1" applyFill="1" applyBorder="1" applyAlignment="1">
      <alignment horizontal="center" vertical="center" textRotation="90" wrapText="1"/>
    </xf>
    <xf numFmtId="49" fontId="7" fillId="4" borderId="0" xfId="0" applyNumberFormat="1" applyFont="1" applyFill="1" applyBorder="1" applyAlignment="1">
      <alignment horizontal="center"/>
    </xf>
    <xf numFmtId="49" fontId="7" fillId="0" borderId="37" xfId="0" applyNumberFormat="1" applyFont="1" applyBorder="1" applyAlignment="1">
      <alignment horizontal="center"/>
    </xf>
    <xf numFmtId="49" fontId="7" fillId="0" borderId="36" xfId="0" applyNumberFormat="1" applyFont="1" applyBorder="1" applyAlignment="1">
      <alignment horizontal="center"/>
    </xf>
    <xf numFmtId="49" fontId="7" fillId="0" borderId="21" xfId="0" applyNumberFormat="1" applyFont="1" applyBorder="1" applyAlignment="1">
      <alignment horizontal="center" vertical="center"/>
    </xf>
    <xf numFmtId="49" fontId="7" fillId="0" borderId="36" xfId="0" applyNumberFormat="1" applyFont="1" applyBorder="1" applyAlignment="1">
      <alignment horizontal="center" vertical="center"/>
    </xf>
  </cellXfs>
  <cellStyles count="1705">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87" builtinId="8" hidden="1"/>
    <cellStyle name="Lien hypertexte" xfId="89" builtinId="8" hidden="1"/>
    <cellStyle name="Lien hypertexte" xfId="91" builtinId="8" hidden="1"/>
    <cellStyle name="Lien hypertexte" xfId="93" builtinId="8" hidden="1"/>
    <cellStyle name="Lien hypertexte" xfId="95" builtinId="8" hidden="1"/>
    <cellStyle name="Lien hypertexte" xfId="97" builtinId="8" hidden="1"/>
    <cellStyle name="Lien hypertexte" xfId="99" builtinId="8" hidden="1"/>
    <cellStyle name="Lien hypertexte" xfId="101" builtinId="8" hidden="1"/>
    <cellStyle name="Lien hypertexte" xfId="103" builtinId="8" hidden="1"/>
    <cellStyle name="Lien hypertexte" xfId="105" builtinId="8" hidden="1"/>
    <cellStyle name="Lien hypertexte" xfId="107" builtinId="8" hidden="1"/>
    <cellStyle name="Lien hypertexte" xfId="109" builtinId="8" hidden="1"/>
    <cellStyle name="Lien hypertexte" xfId="111" builtinId="8" hidden="1"/>
    <cellStyle name="Lien hypertexte" xfId="113" builtinId="8" hidden="1"/>
    <cellStyle name="Lien hypertexte" xfId="115" builtinId="8" hidden="1"/>
    <cellStyle name="Lien hypertexte" xfId="117" builtinId="8" hidden="1"/>
    <cellStyle name="Lien hypertexte" xfId="119" builtinId="8" hidden="1"/>
    <cellStyle name="Lien hypertexte" xfId="121" builtinId="8" hidden="1"/>
    <cellStyle name="Lien hypertexte" xfId="123" builtinId="8" hidden="1"/>
    <cellStyle name="Lien hypertexte" xfId="125" builtinId="8" hidden="1"/>
    <cellStyle name="Lien hypertexte" xfId="127" builtinId="8" hidden="1"/>
    <cellStyle name="Lien hypertexte" xfId="129" builtinId="8" hidden="1"/>
    <cellStyle name="Lien hypertexte" xfId="131" builtinId="8" hidden="1"/>
    <cellStyle name="Lien hypertexte" xfId="133" builtinId="8" hidden="1"/>
    <cellStyle name="Lien hypertexte" xfId="135" builtinId="8" hidden="1"/>
    <cellStyle name="Lien hypertexte" xfId="137" builtinId="8" hidden="1"/>
    <cellStyle name="Lien hypertexte" xfId="139" builtinId="8" hidden="1"/>
    <cellStyle name="Lien hypertexte" xfId="141" builtinId="8" hidden="1"/>
    <cellStyle name="Lien hypertexte" xfId="143" builtinId="8" hidden="1"/>
    <cellStyle name="Lien hypertexte" xfId="145" builtinId="8" hidden="1"/>
    <cellStyle name="Lien hypertexte" xfId="147" builtinId="8" hidden="1"/>
    <cellStyle name="Lien hypertexte" xfId="149" builtinId="8" hidden="1"/>
    <cellStyle name="Lien hypertexte" xfId="151" builtinId="8" hidden="1"/>
    <cellStyle name="Lien hypertexte" xfId="153" builtinId="8" hidden="1"/>
    <cellStyle name="Lien hypertexte" xfId="155" builtinId="8" hidden="1"/>
    <cellStyle name="Lien hypertexte" xfId="157" builtinId="8" hidden="1"/>
    <cellStyle name="Lien hypertexte" xfId="159" builtinId="8" hidden="1"/>
    <cellStyle name="Lien hypertexte" xfId="161" builtinId="8" hidden="1"/>
    <cellStyle name="Lien hypertexte" xfId="163" builtinId="8" hidden="1"/>
    <cellStyle name="Lien hypertexte" xfId="165" builtinId="8" hidden="1"/>
    <cellStyle name="Lien hypertexte" xfId="167" builtinId="8" hidden="1"/>
    <cellStyle name="Lien hypertexte" xfId="169" builtinId="8" hidden="1"/>
    <cellStyle name="Lien hypertexte" xfId="171" builtinId="8" hidden="1"/>
    <cellStyle name="Lien hypertexte" xfId="173" builtinId="8" hidden="1"/>
    <cellStyle name="Lien hypertexte" xfId="175" builtinId="8" hidden="1"/>
    <cellStyle name="Lien hypertexte" xfId="177" builtinId="8" hidden="1"/>
    <cellStyle name="Lien hypertexte" xfId="179" builtinId="8" hidden="1"/>
    <cellStyle name="Lien hypertexte" xfId="181" builtinId="8" hidden="1"/>
    <cellStyle name="Lien hypertexte" xfId="183" builtinId="8" hidden="1"/>
    <cellStyle name="Lien hypertexte" xfId="185" builtinId="8" hidden="1"/>
    <cellStyle name="Lien hypertexte" xfId="187" builtinId="8" hidden="1"/>
    <cellStyle name="Lien hypertexte" xfId="189" builtinId="8" hidden="1"/>
    <cellStyle name="Lien hypertexte" xfId="191" builtinId="8" hidden="1"/>
    <cellStyle name="Lien hypertexte" xfId="193" builtinId="8" hidden="1"/>
    <cellStyle name="Lien hypertexte" xfId="195" builtinId="8" hidden="1"/>
    <cellStyle name="Lien hypertexte" xfId="197" builtinId="8" hidden="1"/>
    <cellStyle name="Lien hypertexte" xfId="199" builtinId="8" hidden="1"/>
    <cellStyle name="Lien hypertexte" xfId="201" builtinId="8" hidden="1"/>
    <cellStyle name="Lien hypertexte" xfId="203" builtinId="8" hidden="1"/>
    <cellStyle name="Lien hypertexte" xfId="205" builtinId="8" hidden="1"/>
    <cellStyle name="Lien hypertexte" xfId="207" builtinId="8" hidden="1"/>
    <cellStyle name="Lien hypertexte" xfId="209" builtinId="8" hidden="1"/>
    <cellStyle name="Lien hypertexte" xfId="211" builtinId="8" hidden="1"/>
    <cellStyle name="Lien hypertexte" xfId="213" builtinId="8" hidden="1"/>
    <cellStyle name="Lien hypertexte" xfId="215" builtinId="8" hidden="1"/>
    <cellStyle name="Lien hypertexte" xfId="217" builtinId="8" hidden="1"/>
    <cellStyle name="Lien hypertexte" xfId="219" builtinId="8" hidden="1"/>
    <cellStyle name="Lien hypertexte" xfId="221" builtinId="8" hidden="1"/>
    <cellStyle name="Lien hypertexte" xfId="223" builtinId="8" hidden="1"/>
    <cellStyle name="Lien hypertexte" xfId="225" builtinId="8" hidden="1"/>
    <cellStyle name="Lien hypertexte" xfId="227" builtinId="8" hidden="1"/>
    <cellStyle name="Lien hypertexte" xfId="229" builtinId="8" hidden="1"/>
    <cellStyle name="Lien hypertexte" xfId="231" builtinId="8" hidden="1"/>
    <cellStyle name="Lien hypertexte" xfId="233" builtinId="8" hidden="1"/>
    <cellStyle name="Lien hypertexte" xfId="235" builtinId="8" hidden="1"/>
    <cellStyle name="Lien hypertexte" xfId="237" builtinId="8" hidden="1"/>
    <cellStyle name="Lien hypertexte" xfId="239" builtinId="8" hidden="1"/>
    <cellStyle name="Lien hypertexte" xfId="241" builtinId="8" hidden="1"/>
    <cellStyle name="Lien hypertexte" xfId="243" builtinId="8" hidden="1"/>
    <cellStyle name="Lien hypertexte" xfId="245" builtinId="8" hidden="1"/>
    <cellStyle name="Lien hypertexte" xfId="247" builtinId="8" hidden="1"/>
    <cellStyle name="Lien hypertexte" xfId="249" builtinId="8" hidden="1"/>
    <cellStyle name="Lien hypertexte" xfId="251" builtinId="8" hidden="1"/>
    <cellStyle name="Lien hypertexte" xfId="253" builtinId="8" hidden="1"/>
    <cellStyle name="Lien hypertexte" xfId="255" builtinId="8" hidden="1"/>
    <cellStyle name="Lien hypertexte" xfId="257" builtinId="8" hidden="1"/>
    <cellStyle name="Lien hypertexte" xfId="259" builtinId="8" hidden="1"/>
    <cellStyle name="Lien hypertexte" xfId="261" builtinId="8" hidden="1"/>
    <cellStyle name="Lien hypertexte" xfId="263" builtinId="8" hidden="1"/>
    <cellStyle name="Lien hypertexte" xfId="265" builtinId="8" hidden="1"/>
    <cellStyle name="Lien hypertexte" xfId="267" builtinId="8" hidden="1"/>
    <cellStyle name="Lien hypertexte" xfId="269" builtinId="8" hidden="1"/>
    <cellStyle name="Lien hypertexte" xfId="271" builtinId="8" hidden="1"/>
    <cellStyle name="Lien hypertexte" xfId="273" builtinId="8" hidden="1"/>
    <cellStyle name="Lien hypertexte" xfId="275" builtinId="8" hidden="1"/>
    <cellStyle name="Lien hypertexte" xfId="277" builtinId="8" hidden="1"/>
    <cellStyle name="Lien hypertexte" xfId="279" builtinId="8" hidden="1"/>
    <cellStyle name="Lien hypertexte" xfId="281" builtinId="8" hidden="1"/>
    <cellStyle name="Lien hypertexte" xfId="283" builtinId="8" hidden="1"/>
    <cellStyle name="Lien hypertexte" xfId="285" builtinId="8" hidden="1"/>
    <cellStyle name="Lien hypertexte" xfId="287" builtinId="8" hidden="1"/>
    <cellStyle name="Lien hypertexte" xfId="289" builtinId="8" hidden="1"/>
    <cellStyle name="Lien hypertexte" xfId="291" builtinId="8" hidden="1"/>
    <cellStyle name="Lien hypertexte" xfId="293" builtinId="8" hidden="1"/>
    <cellStyle name="Lien hypertexte" xfId="295" builtinId="8" hidden="1"/>
    <cellStyle name="Lien hypertexte" xfId="297" builtinId="8" hidden="1"/>
    <cellStyle name="Lien hypertexte" xfId="299" builtinId="8" hidden="1"/>
    <cellStyle name="Lien hypertexte" xfId="301" builtinId="8" hidden="1"/>
    <cellStyle name="Lien hypertexte" xfId="303" builtinId="8" hidden="1"/>
    <cellStyle name="Lien hypertexte" xfId="305" builtinId="8" hidden="1"/>
    <cellStyle name="Lien hypertexte" xfId="307" builtinId="8" hidden="1"/>
    <cellStyle name="Lien hypertexte" xfId="309" builtinId="8" hidden="1"/>
    <cellStyle name="Lien hypertexte" xfId="311" builtinId="8" hidden="1"/>
    <cellStyle name="Lien hypertexte" xfId="313" builtinId="8" hidden="1"/>
    <cellStyle name="Lien hypertexte" xfId="315" builtinId="8" hidden="1"/>
    <cellStyle name="Lien hypertexte" xfId="317" builtinId="8" hidden="1"/>
    <cellStyle name="Lien hypertexte" xfId="319" builtinId="8" hidden="1"/>
    <cellStyle name="Lien hypertexte" xfId="321" builtinId="8" hidden="1"/>
    <cellStyle name="Lien hypertexte" xfId="323" builtinId="8" hidden="1"/>
    <cellStyle name="Lien hypertexte" xfId="325" builtinId="8" hidden="1"/>
    <cellStyle name="Lien hypertexte" xfId="327" builtinId="8" hidden="1"/>
    <cellStyle name="Lien hypertexte" xfId="329" builtinId="8" hidden="1"/>
    <cellStyle name="Lien hypertexte" xfId="331" builtinId="8" hidden="1"/>
    <cellStyle name="Lien hypertexte" xfId="333" builtinId="8" hidden="1"/>
    <cellStyle name="Lien hypertexte" xfId="335" builtinId="8" hidden="1"/>
    <cellStyle name="Lien hypertexte" xfId="337" builtinId="8" hidden="1"/>
    <cellStyle name="Lien hypertexte" xfId="339" builtinId="8" hidden="1"/>
    <cellStyle name="Lien hypertexte" xfId="341" builtinId="8" hidden="1"/>
    <cellStyle name="Lien hypertexte" xfId="343" builtinId="8" hidden="1"/>
    <cellStyle name="Lien hypertexte" xfId="345" builtinId="8" hidden="1"/>
    <cellStyle name="Lien hypertexte" xfId="347" builtinId="8" hidden="1"/>
    <cellStyle name="Lien hypertexte" xfId="349" builtinId="8" hidden="1"/>
    <cellStyle name="Lien hypertexte" xfId="351" builtinId="8" hidden="1"/>
    <cellStyle name="Lien hypertexte" xfId="353" builtinId="8" hidden="1"/>
    <cellStyle name="Lien hypertexte" xfId="355" builtinId="8" hidden="1"/>
    <cellStyle name="Lien hypertexte" xfId="357" builtinId="8" hidden="1"/>
    <cellStyle name="Lien hypertexte" xfId="359" builtinId="8" hidden="1"/>
    <cellStyle name="Lien hypertexte" xfId="361" builtinId="8" hidden="1"/>
    <cellStyle name="Lien hypertexte" xfId="363" builtinId="8" hidden="1"/>
    <cellStyle name="Lien hypertexte" xfId="365" builtinId="8" hidden="1"/>
    <cellStyle name="Lien hypertexte" xfId="367" builtinId="8" hidden="1"/>
    <cellStyle name="Lien hypertexte" xfId="369" builtinId="8" hidden="1"/>
    <cellStyle name="Lien hypertexte" xfId="371" builtinId="8" hidden="1"/>
    <cellStyle name="Lien hypertexte" xfId="373" builtinId="8" hidden="1"/>
    <cellStyle name="Lien hypertexte" xfId="375" builtinId="8" hidden="1"/>
    <cellStyle name="Lien hypertexte" xfId="377" builtinId="8" hidden="1"/>
    <cellStyle name="Lien hypertexte" xfId="379" builtinId="8" hidden="1"/>
    <cellStyle name="Lien hypertexte" xfId="381" builtinId="8" hidden="1"/>
    <cellStyle name="Lien hypertexte" xfId="383" builtinId="8" hidden="1"/>
    <cellStyle name="Lien hypertexte" xfId="385" builtinId="8" hidden="1"/>
    <cellStyle name="Lien hypertexte" xfId="387" builtinId="8" hidden="1"/>
    <cellStyle name="Lien hypertexte" xfId="389" builtinId="8" hidden="1"/>
    <cellStyle name="Lien hypertexte" xfId="391" builtinId="8" hidden="1"/>
    <cellStyle name="Lien hypertexte" xfId="393" builtinId="8" hidden="1"/>
    <cellStyle name="Lien hypertexte" xfId="395" builtinId="8" hidden="1"/>
    <cellStyle name="Lien hypertexte" xfId="397" builtinId="8" hidden="1"/>
    <cellStyle name="Lien hypertexte" xfId="399" builtinId="8" hidden="1"/>
    <cellStyle name="Lien hypertexte" xfId="401" builtinId="8" hidden="1"/>
    <cellStyle name="Lien hypertexte" xfId="403" builtinId="8" hidden="1"/>
    <cellStyle name="Lien hypertexte" xfId="405" builtinId="8" hidden="1"/>
    <cellStyle name="Lien hypertexte" xfId="407" builtinId="8" hidden="1"/>
    <cellStyle name="Lien hypertexte" xfId="409" builtinId="8" hidden="1"/>
    <cellStyle name="Lien hypertexte" xfId="411" builtinId="8" hidden="1"/>
    <cellStyle name="Lien hypertexte" xfId="413" builtinId="8" hidden="1"/>
    <cellStyle name="Lien hypertexte" xfId="415" builtinId="8" hidden="1"/>
    <cellStyle name="Lien hypertexte" xfId="417" builtinId="8" hidden="1"/>
    <cellStyle name="Lien hypertexte" xfId="419" builtinId="8" hidden="1"/>
    <cellStyle name="Lien hypertexte" xfId="421" builtinId="8" hidden="1"/>
    <cellStyle name="Lien hypertexte" xfId="423" builtinId="8" hidden="1"/>
    <cellStyle name="Lien hypertexte" xfId="425" builtinId="8" hidden="1"/>
    <cellStyle name="Lien hypertexte" xfId="427" builtinId="8" hidden="1"/>
    <cellStyle name="Lien hypertexte" xfId="429" builtinId="8" hidden="1"/>
    <cellStyle name="Lien hypertexte" xfId="431" builtinId="8" hidden="1"/>
    <cellStyle name="Lien hypertexte" xfId="433" builtinId="8" hidden="1"/>
    <cellStyle name="Lien hypertexte" xfId="435" builtinId="8" hidden="1"/>
    <cellStyle name="Lien hypertexte" xfId="437" builtinId="8" hidden="1"/>
    <cellStyle name="Lien hypertexte" xfId="439" builtinId="8" hidden="1"/>
    <cellStyle name="Lien hypertexte" xfId="441" builtinId="8" hidden="1"/>
    <cellStyle name="Lien hypertexte" xfId="443" builtinId="8" hidden="1"/>
    <cellStyle name="Lien hypertexte" xfId="445" builtinId="8" hidden="1"/>
    <cellStyle name="Lien hypertexte" xfId="447" builtinId="8" hidden="1"/>
    <cellStyle name="Lien hypertexte" xfId="449" builtinId="8" hidden="1"/>
    <cellStyle name="Lien hypertexte" xfId="451" builtinId="8" hidden="1"/>
    <cellStyle name="Lien hypertexte" xfId="453" builtinId="8" hidden="1"/>
    <cellStyle name="Lien hypertexte" xfId="455" builtinId="8" hidden="1"/>
    <cellStyle name="Lien hypertexte" xfId="457" builtinId="8" hidden="1"/>
    <cellStyle name="Lien hypertexte" xfId="459" builtinId="8" hidden="1"/>
    <cellStyle name="Lien hypertexte" xfId="461" builtinId="8" hidden="1"/>
    <cellStyle name="Lien hypertexte" xfId="463" builtinId="8" hidden="1"/>
    <cellStyle name="Lien hypertexte" xfId="465" builtinId="8" hidden="1"/>
    <cellStyle name="Lien hypertexte" xfId="467" builtinId="8" hidden="1"/>
    <cellStyle name="Lien hypertexte" xfId="469" builtinId="8" hidden="1"/>
    <cellStyle name="Lien hypertexte" xfId="471" builtinId="8" hidden="1"/>
    <cellStyle name="Lien hypertexte" xfId="473" builtinId="8" hidden="1"/>
    <cellStyle name="Lien hypertexte" xfId="475" builtinId="8" hidden="1"/>
    <cellStyle name="Lien hypertexte" xfId="477" builtinId="8" hidden="1"/>
    <cellStyle name="Lien hypertexte" xfId="479" builtinId="8" hidden="1"/>
    <cellStyle name="Lien hypertexte" xfId="481" builtinId="8" hidden="1"/>
    <cellStyle name="Lien hypertexte" xfId="483" builtinId="8" hidden="1"/>
    <cellStyle name="Lien hypertexte" xfId="485" builtinId="8" hidden="1"/>
    <cellStyle name="Lien hypertexte" xfId="487" builtinId="8" hidden="1"/>
    <cellStyle name="Lien hypertexte" xfId="489" builtinId="8" hidden="1"/>
    <cellStyle name="Lien hypertexte" xfId="491" builtinId="8" hidden="1"/>
    <cellStyle name="Lien hypertexte" xfId="493" builtinId="8" hidden="1"/>
    <cellStyle name="Lien hypertexte" xfId="495" builtinId="8" hidden="1"/>
    <cellStyle name="Lien hypertexte" xfId="497" builtinId="8" hidden="1"/>
    <cellStyle name="Lien hypertexte" xfId="499" builtinId="8" hidden="1"/>
    <cellStyle name="Lien hypertexte" xfId="501" builtinId="8" hidden="1"/>
    <cellStyle name="Lien hypertexte" xfId="503" builtinId="8" hidden="1"/>
    <cellStyle name="Lien hypertexte" xfId="505" builtinId="8" hidden="1"/>
    <cellStyle name="Lien hypertexte" xfId="507" builtinId="8" hidden="1"/>
    <cellStyle name="Lien hypertexte" xfId="509" builtinId="8" hidden="1"/>
    <cellStyle name="Lien hypertexte" xfId="511" builtinId="8" hidden="1"/>
    <cellStyle name="Lien hypertexte" xfId="513" builtinId="8" hidden="1"/>
    <cellStyle name="Lien hypertexte" xfId="515" builtinId="8" hidden="1"/>
    <cellStyle name="Lien hypertexte" xfId="517" builtinId="8" hidden="1"/>
    <cellStyle name="Lien hypertexte" xfId="519" builtinId="8" hidden="1"/>
    <cellStyle name="Lien hypertexte" xfId="521" builtinId="8" hidden="1"/>
    <cellStyle name="Lien hypertexte" xfId="523" builtinId="8" hidden="1"/>
    <cellStyle name="Lien hypertexte" xfId="525" builtinId="8" hidden="1"/>
    <cellStyle name="Lien hypertexte" xfId="527" builtinId="8" hidden="1"/>
    <cellStyle name="Lien hypertexte" xfId="529" builtinId="8" hidden="1"/>
    <cellStyle name="Lien hypertexte" xfId="531" builtinId="8" hidden="1"/>
    <cellStyle name="Lien hypertexte" xfId="533" builtinId="8" hidden="1"/>
    <cellStyle name="Lien hypertexte" xfId="535" builtinId="8" hidden="1"/>
    <cellStyle name="Lien hypertexte" xfId="537" builtinId="8" hidden="1"/>
    <cellStyle name="Lien hypertexte" xfId="539" builtinId="8" hidden="1"/>
    <cellStyle name="Lien hypertexte" xfId="541" builtinId="8" hidden="1"/>
    <cellStyle name="Lien hypertexte" xfId="543" builtinId="8" hidden="1"/>
    <cellStyle name="Lien hypertexte" xfId="545" builtinId="8" hidden="1"/>
    <cellStyle name="Lien hypertexte" xfId="547" builtinId="8" hidden="1"/>
    <cellStyle name="Lien hypertexte" xfId="549" builtinId="8" hidden="1"/>
    <cellStyle name="Lien hypertexte" xfId="551" builtinId="8" hidden="1"/>
    <cellStyle name="Lien hypertexte" xfId="553" builtinId="8" hidden="1"/>
    <cellStyle name="Lien hypertexte" xfId="555" builtinId="8" hidden="1"/>
    <cellStyle name="Lien hypertexte" xfId="557" builtinId="8" hidden="1"/>
    <cellStyle name="Lien hypertexte" xfId="559" builtinId="8" hidden="1"/>
    <cellStyle name="Lien hypertexte" xfId="561" builtinId="8" hidden="1"/>
    <cellStyle name="Lien hypertexte" xfId="563" builtinId="8" hidden="1"/>
    <cellStyle name="Lien hypertexte" xfId="565" builtinId="8" hidden="1"/>
    <cellStyle name="Lien hypertexte" xfId="567" builtinId="8" hidden="1"/>
    <cellStyle name="Lien hypertexte" xfId="569" builtinId="8" hidden="1"/>
    <cellStyle name="Lien hypertexte" xfId="571" builtinId="8" hidden="1"/>
    <cellStyle name="Lien hypertexte" xfId="573" builtinId="8" hidden="1"/>
    <cellStyle name="Lien hypertexte" xfId="575" builtinId="8" hidden="1"/>
    <cellStyle name="Lien hypertexte" xfId="577" builtinId="8" hidden="1"/>
    <cellStyle name="Lien hypertexte" xfId="579" builtinId="8" hidden="1"/>
    <cellStyle name="Lien hypertexte" xfId="581" builtinId="8" hidden="1"/>
    <cellStyle name="Lien hypertexte" xfId="583" builtinId="8" hidden="1"/>
    <cellStyle name="Lien hypertexte" xfId="585" builtinId="8" hidden="1"/>
    <cellStyle name="Lien hypertexte" xfId="587" builtinId="8" hidden="1"/>
    <cellStyle name="Lien hypertexte" xfId="589" builtinId="8" hidden="1"/>
    <cellStyle name="Lien hypertexte" xfId="591" builtinId="8" hidden="1"/>
    <cellStyle name="Lien hypertexte" xfId="593" builtinId="8" hidden="1"/>
    <cellStyle name="Lien hypertexte" xfId="595" builtinId="8" hidden="1"/>
    <cellStyle name="Lien hypertexte" xfId="597" builtinId="8" hidden="1"/>
    <cellStyle name="Lien hypertexte" xfId="599" builtinId="8" hidden="1"/>
    <cellStyle name="Lien hypertexte" xfId="601" builtinId="8" hidden="1"/>
    <cellStyle name="Lien hypertexte" xfId="603" builtinId="8" hidden="1"/>
    <cellStyle name="Lien hypertexte" xfId="605" builtinId="8" hidden="1"/>
    <cellStyle name="Lien hypertexte" xfId="607" builtinId="8" hidden="1"/>
    <cellStyle name="Lien hypertexte" xfId="609" builtinId="8" hidden="1"/>
    <cellStyle name="Lien hypertexte" xfId="611" builtinId="8" hidden="1"/>
    <cellStyle name="Lien hypertexte" xfId="613" builtinId="8" hidden="1"/>
    <cellStyle name="Lien hypertexte" xfId="615" builtinId="8" hidden="1"/>
    <cellStyle name="Lien hypertexte" xfId="617" builtinId="8" hidden="1"/>
    <cellStyle name="Lien hypertexte" xfId="619" builtinId="8" hidden="1"/>
    <cellStyle name="Lien hypertexte" xfId="621" builtinId="8" hidden="1"/>
    <cellStyle name="Lien hypertexte" xfId="623" builtinId="8" hidden="1"/>
    <cellStyle name="Lien hypertexte" xfId="625" builtinId="8" hidden="1"/>
    <cellStyle name="Lien hypertexte" xfId="627" builtinId="8" hidden="1"/>
    <cellStyle name="Lien hypertexte" xfId="629" builtinId="8" hidden="1"/>
    <cellStyle name="Lien hypertexte" xfId="631" builtinId="8" hidden="1"/>
    <cellStyle name="Lien hypertexte" xfId="633" builtinId="8" hidden="1"/>
    <cellStyle name="Lien hypertexte" xfId="635" builtinId="8" hidden="1"/>
    <cellStyle name="Lien hypertexte" xfId="637" builtinId="8" hidden="1"/>
    <cellStyle name="Lien hypertexte" xfId="639" builtinId="8" hidden="1"/>
    <cellStyle name="Lien hypertexte" xfId="641" builtinId="8" hidden="1"/>
    <cellStyle name="Lien hypertexte" xfId="643" builtinId="8" hidden="1"/>
    <cellStyle name="Lien hypertexte" xfId="645" builtinId="8" hidden="1"/>
    <cellStyle name="Lien hypertexte" xfId="647" builtinId="8" hidden="1"/>
    <cellStyle name="Lien hypertexte" xfId="649" builtinId="8" hidden="1"/>
    <cellStyle name="Lien hypertexte" xfId="651" builtinId="8" hidden="1"/>
    <cellStyle name="Lien hypertexte" xfId="653" builtinId="8" hidden="1"/>
    <cellStyle name="Lien hypertexte" xfId="655" builtinId="8" hidden="1"/>
    <cellStyle name="Lien hypertexte" xfId="657" builtinId="8" hidden="1"/>
    <cellStyle name="Lien hypertexte" xfId="659" builtinId="8" hidden="1"/>
    <cellStyle name="Lien hypertexte" xfId="661" builtinId="8" hidden="1"/>
    <cellStyle name="Lien hypertexte" xfId="663" builtinId="8" hidden="1"/>
    <cellStyle name="Lien hypertexte" xfId="665" builtinId="8" hidden="1"/>
    <cellStyle name="Lien hypertexte" xfId="667" builtinId="8" hidden="1"/>
    <cellStyle name="Lien hypertexte" xfId="669" builtinId="8" hidden="1"/>
    <cellStyle name="Lien hypertexte" xfId="671" builtinId="8" hidden="1"/>
    <cellStyle name="Lien hypertexte" xfId="673" builtinId="8" hidden="1"/>
    <cellStyle name="Lien hypertexte" xfId="675" builtinId="8" hidden="1"/>
    <cellStyle name="Lien hypertexte" xfId="677" builtinId="8" hidden="1"/>
    <cellStyle name="Lien hypertexte" xfId="679" builtinId="8" hidden="1"/>
    <cellStyle name="Lien hypertexte" xfId="681" builtinId="8" hidden="1"/>
    <cellStyle name="Lien hypertexte" xfId="683" builtinId="8" hidden="1"/>
    <cellStyle name="Lien hypertexte" xfId="685" builtinId="8" hidden="1"/>
    <cellStyle name="Lien hypertexte" xfId="687" builtinId="8" hidden="1"/>
    <cellStyle name="Lien hypertexte" xfId="689" builtinId="8" hidden="1"/>
    <cellStyle name="Lien hypertexte" xfId="691" builtinId="8" hidden="1"/>
    <cellStyle name="Lien hypertexte" xfId="693" builtinId="8" hidden="1"/>
    <cellStyle name="Lien hypertexte" xfId="695" builtinId="8" hidden="1"/>
    <cellStyle name="Lien hypertexte" xfId="697" builtinId="8" hidden="1"/>
    <cellStyle name="Lien hypertexte" xfId="699" builtinId="8" hidden="1"/>
    <cellStyle name="Lien hypertexte" xfId="701" builtinId="8" hidden="1"/>
    <cellStyle name="Lien hypertexte" xfId="703" builtinId="8" hidden="1"/>
    <cellStyle name="Lien hypertexte" xfId="705" builtinId="8" hidden="1"/>
    <cellStyle name="Lien hypertexte" xfId="707" builtinId="8" hidden="1"/>
    <cellStyle name="Lien hypertexte" xfId="709" builtinId="8" hidden="1"/>
    <cellStyle name="Lien hypertexte" xfId="711" builtinId="8" hidden="1"/>
    <cellStyle name="Lien hypertexte" xfId="713" builtinId="8" hidden="1"/>
    <cellStyle name="Lien hypertexte" xfId="715" builtinId="8" hidden="1"/>
    <cellStyle name="Lien hypertexte" xfId="717" builtinId="8" hidden="1"/>
    <cellStyle name="Lien hypertexte" xfId="719" builtinId="8" hidden="1"/>
    <cellStyle name="Lien hypertexte" xfId="721" builtinId="8" hidden="1"/>
    <cellStyle name="Lien hypertexte" xfId="723" builtinId="8" hidden="1"/>
    <cellStyle name="Lien hypertexte" xfId="725" builtinId="8" hidden="1"/>
    <cellStyle name="Lien hypertexte" xfId="727" builtinId="8" hidden="1"/>
    <cellStyle name="Lien hypertexte" xfId="729" builtinId="8" hidden="1"/>
    <cellStyle name="Lien hypertexte" xfId="731" builtinId="8" hidden="1"/>
    <cellStyle name="Lien hypertexte" xfId="733" builtinId="8" hidden="1"/>
    <cellStyle name="Lien hypertexte" xfId="735" builtinId="8" hidden="1"/>
    <cellStyle name="Lien hypertexte" xfId="737" builtinId="8" hidden="1"/>
    <cellStyle name="Lien hypertexte" xfId="739" builtinId="8" hidden="1"/>
    <cellStyle name="Lien hypertexte" xfId="741" builtinId="8" hidden="1"/>
    <cellStyle name="Lien hypertexte" xfId="743" builtinId="8" hidden="1"/>
    <cellStyle name="Lien hypertexte" xfId="745" builtinId="8" hidden="1"/>
    <cellStyle name="Lien hypertexte" xfId="747" builtinId="8" hidden="1"/>
    <cellStyle name="Lien hypertexte" xfId="749" builtinId="8" hidden="1"/>
    <cellStyle name="Lien hypertexte" xfId="751" builtinId="8" hidden="1"/>
    <cellStyle name="Lien hypertexte" xfId="753" builtinId="8" hidden="1"/>
    <cellStyle name="Lien hypertexte" xfId="755" builtinId="8" hidden="1"/>
    <cellStyle name="Lien hypertexte" xfId="757" builtinId="8" hidden="1"/>
    <cellStyle name="Lien hypertexte" xfId="759" builtinId="8" hidden="1"/>
    <cellStyle name="Lien hypertexte" xfId="761" builtinId="8" hidden="1"/>
    <cellStyle name="Lien hypertexte" xfId="763" builtinId="8" hidden="1"/>
    <cellStyle name="Lien hypertexte" xfId="765" builtinId="8" hidden="1"/>
    <cellStyle name="Lien hypertexte" xfId="767" builtinId="8" hidden="1"/>
    <cellStyle name="Lien hypertexte" xfId="769" builtinId="8" hidden="1"/>
    <cellStyle name="Lien hypertexte" xfId="771" builtinId="8" hidden="1"/>
    <cellStyle name="Lien hypertexte" xfId="773" builtinId="8" hidden="1"/>
    <cellStyle name="Lien hypertexte" xfId="775" builtinId="8" hidden="1"/>
    <cellStyle name="Lien hypertexte" xfId="777" builtinId="8" hidden="1"/>
    <cellStyle name="Lien hypertexte" xfId="779" builtinId="8" hidden="1"/>
    <cellStyle name="Lien hypertexte" xfId="781" builtinId="8" hidden="1"/>
    <cellStyle name="Lien hypertexte" xfId="783" builtinId="8" hidden="1"/>
    <cellStyle name="Lien hypertexte" xfId="785" builtinId="8" hidden="1"/>
    <cellStyle name="Lien hypertexte" xfId="787" builtinId="8" hidden="1"/>
    <cellStyle name="Lien hypertexte" xfId="789" builtinId="8" hidden="1"/>
    <cellStyle name="Lien hypertexte" xfId="791" builtinId="8" hidden="1"/>
    <cellStyle name="Lien hypertexte" xfId="793" builtinId="8" hidden="1"/>
    <cellStyle name="Lien hypertexte" xfId="795" builtinId="8" hidden="1"/>
    <cellStyle name="Lien hypertexte" xfId="797" builtinId="8" hidden="1"/>
    <cellStyle name="Lien hypertexte" xfId="799" builtinId="8" hidden="1"/>
    <cellStyle name="Lien hypertexte" xfId="801" builtinId="8" hidden="1"/>
    <cellStyle name="Lien hypertexte" xfId="803" builtinId="8" hidden="1"/>
    <cellStyle name="Lien hypertexte" xfId="805" builtinId="8" hidden="1"/>
    <cellStyle name="Lien hypertexte" xfId="807" builtinId="8" hidden="1"/>
    <cellStyle name="Lien hypertexte" xfId="809" builtinId="8" hidden="1"/>
    <cellStyle name="Lien hypertexte" xfId="811" builtinId="8" hidden="1"/>
    <cellStyle name="Lien hypertexte" xfId="813" builtinId="8" hidden="1"/>
    <cellStyle name="Lien hypertexte" xfId="815" builtinId="8" hidden="1"/>
    <cellStyle name="Lien hypertexte" xfId="817" builtinId="8" hidden="1"/>
    <cellStyle name="Lien hypertexte" xfId="819" builtinId="8" hidden="1"/>
    <cellStyle name="Lien hypertexte" xfId="821" builtinId="8" hidden="1"/>
    <cellStyle name="Lien hypertexte" xfId="823" builtinId="8" hidden="1"/>
    <cellStyle name="Lien hypertexte" xfId="825" builtinId="8" hidden="1"/>
    <cellStyle name="Lien hypertexte" xfId="827" builtinId="8" hidden="1"/>
    <cellStyle name="Lien hypertexte" xfId="829" builtinId="8" hidden="1"/>
    <cellStyle name="Lien hypertexte" xfId="831" builtinId="8" hidden="1"/>
    <cellStyle name="Lien hypertexte" xfId="833" builtinId="8" hidden="1"/>
    <cellStyle name="Lien hypertexte" xfId="835" builtinId="8" hidden="1"/>
    <cellStyle name="Lien hypertexte" xfId="837" builtinId="8" hidden="1"/>
    <cellStyle name="Lien hypertexte" xfId="839" builtinId="8" hidden="1"/>
    <cellStyle name="Lien hypertexte" xfId="841" builtinId="8" hidden="1"/>
    <cellStyle name="Lien hypertexte" xfId="843" builtinId="8" hidden="1"/>
    <cellStyle name="Lien hypertexte" xfId="845" builtinId="8" hidden="1"/>
    <cellStyle name="Lien hypertexte" xfId="847" builtinId="8" hidden="1"/>
    <cellStyle name="Lien hypertexte" xfId="849" builtinId="8" hidden="1"/>
    <cellStyle name="Lien hypertexte" xfId="851" builtinId="8" hidden="1"/>
    <cellStyle name="Lien hypertexte" xfId="853" builtinId="8" hidden="1"/>
    <cellStyle name="Lien hypertexte" xfId="855" builtinId="8" hidden="1"/>
    <cellStyle name="Lien hypertexte" xfId="857" builtinId="8" hidden="1"/>
    <cellStyle name="Lien hypertexte" xfId="859" builtinId="8" hidden="1"/>
    <cellStyle name="Lien hypertexte" xfId="861" builtinId="8" hidden="1"/>
    <cellStyle name="Lien hypertexte" xfId="863" builtinId="8" hidden="1"/>
    <cellStyle name="Lien hypertexte" xfId="865" builtinId="8" hidden="1"/>
    <cellStyle name="Lien hypertexte" xfId="867" builtinId="8" hidden="1"/>
    <cellStyle name="Lien hypertexte" xfId="869" builtinId="8" hidden="1"/>
    <cellStyle name="Lien hypertexte" xfId="871" builtinId="8" hidden="1"/>
    <cellStyle name="Lien hypertexte" xfId="873" builtinId="8" hidden="1"/>
    <cellStyle name="Lien hypertexte" xfId="875" builtinId="8" hidden="1"/>
    <cellStyle name="Lien hypertexte" xfId="877" builtinId="8" hidden="1"/>
    <cellStyle name="Lien hypertexte" xfId="879" builtinId="8" hidden="1"/>
    <cellStyle name="Lien hypertexte" xfId="881" builtinId="8" hidden="1"/>
    <cellStyle name="Lien hypertexte" xfId="883" builtinId="8" hidden="1"/>
    <cellStyle name="Lien hypertexte" xfId="885" builtinId="8" hidden="1"/>
    <cellStyle name="Lien hypertexte" xfId="887" builtinId="8" hidden="1"/>
    <cellStyle name="Lien hypertexte" xfId="889" builtinId="8" hidden="1"/>
    <cellStyle name="Lien hypertexte" xfId="891" builtinId="8" hidden="1"/>
    <cellStyle name="Lien hypertexte" xfId="893" builtinId="8" hidden="1"/>
    <cellStyle name="Lien hypertexte" xfId="895" builtinId="8" hidden="1"/>
    <cellStyle name="Lien hypertexte" xfId="897" builtinId="8" hidden="1"/>
    <cellStyle name="Lien hypertexte" xfId="899" builtinId="8" hidden="1"/>
    <cellStyle name="Lien hypertexte" xfId="901" builtinId="8" hidden="1"/>
    <cellStyle name="Lien hypertexte" xfId="903" builtinId="8" hidden="1"/>
    <cellStyle name="Lien hypertexte" xfId="905" builtinId="8" hidden="1"/>
    <cellStyle name="Lien hypertexte" xfId="907" builtinId="8" hidden="1"/>
    <cellStyle name="Lien hypertexte" xfId="909" builtinId="8" hidden="1"/>
    <cellStyle name="Lien hypertexte" xfId="911" builtinId="8" hidden="1"/>
    <cellStyle name="Lien hypertexte" xfId="913" builtinId="8" hidden="1"/>
    <cellStyle name="Lien hypertexte" xfId="915" builtinId="8" hidden="1"/>
    <cellStyle name="Lien hypertexte" xfId="917" builtinId="8" hidden="1"/>
    <cellStyle name="Lien hypertexte" xfId="919" builtinId="8" hidden="1"/>
    <cellStyle name="Lien hypertexte" xfId="921" builtinId="8" hidden="1"/>
    <cellStyle name="Lien hypertexte" xfId="923" builtinId="8" hidden="1"/>
    <cellStyle name="Lien hypertexte" xfId="925" builtinId="8" hidden="1"/>
    <cellStyle name="Lien hypertexte" xfId="927" builtinId="8" hidden="1"/>
    <cellStyle name="Lien hypertexte" xfId="929" builtinId="8" hidden="1"/>
    <cellStyle name="Lien hypertexte" xfId="931" builtinId="8" hidden="1"/>
    <cellStyle name="Lien hypertexte" xfId="933" builtinId="8" hidden="1"/>
    <cellStyle name="Lien hypertexte" xfId="935" builtinId="8" hidden="1"/>
    <cellStyle name="Lien hypertexte" xfId="937" builtinId="8" hidden="1"/>
    <cellStyle name="Lien hypertexte" xfId="939" builtinId="8" hidden="1"/>
    <cellStyle name="Lien hypertexte" xfId="941" builtinId="8" hidden="1"/>
    <cellStyle name="Lien hypertexte" xfId="943" builtinId="8" hidden="1"/>
    <cellStyle name="Lien hypertexte" xfId="945" builtinId="8" hidden="1"/>
    <cellStyle name="Lien hypertexte" xfId="947" builtinId="8" hidden="1"/>
    <cellStyle name="Lien hypertexte" xfId="949" builtinId="8" hidden="1"/>
    <cellStyle name="Lien hypertexte" xfId="951" builtinId="8" hidden="1"/>
    <cellStyle name="Lien hypertexte" xfId="953" builtinId="8" hidden="1"/>
    <cellStyle name="Lien hypertexte" xfId="955" builtinId="8" hidden="1"/>
    <cellStyle name="Lien hypertexte" xfId="957" builtinId="8" hidden="1"/>
    <cellStyle name="Lien hypertexte" xfId="959" builtinId="8" hidden="1"/>
    <cellStyle name="Lien hypertexte" xfId="961" builtinId="8" hidden="1"/>
    <cellStyle name="Lien hypertexte" xfId="963" builtinId="8" hidden="1"/>
    <cellStyle name="Lien hypertexte" xfId="965" builtinId="8" hidden="1"/>
    <cellStyle name="Lien hypertexte" xfId="967" builtinId="8" hidden="1"/>
    <cellStyle name="Lien hypertexte" xfId="969" builtinId="8" hidden="1"/>
    <cellStyle name="Lien hypertexte" xfId="971" builtinId="8" hidden="1"/>
    <cellStyle name="Lien hypertexte" xfId="973" builtinId="8" hidden="1"/>
    <cellStyle name="Lien hypertexte" xfId="975" builtinId="8" hidden="1"/>
    <cellStyle name="Lien hypertexte" xfId="977" builtinId="8" hidden="1"/>
    <cellStyle name="Lien hypertexte" xfId="979" builtinId="8" hidden="1"/>
    <cellStyle name="Lien hypertexte" xfId="981" builtinId="8" hidden="1"/>
    <cellStyle name="Lien hypertexte" xfId="983" builtinId="8" hidden="1"/>
    <cellStyle name="Lien hypertexte" xfId="985" builtinId="8" hidden="1"/>
    <cellStyle name="Lien hypertexte" xfId="987" builtinId="8" hidden="1"/>
    <cellStyle name="Lien hypertexte" xfId="989" builtinId="8" hidden="1"/>
    <cellStyle name="Lien hypertexte" xfId="991" builtinId="8" hidden="1"/>
    <cellStyle name="Lien hypertexte" xfId="993" builtinId="8" hidden="1"/>
    <cellStyle name="Lien hypertexte" xfId="995" builtinId="8" hidden="1"/>
    <cellStyle name="Lien hypertexte" xfId="997" builtinId="8" hidden="1"/>
    <cellStyle name="Lien hypertexte" xfId="999" builtinId="8" hidden="1"/>
    <cellStyle name="Lien hypertexte" xfId="1001" builtinId="8" hidden="1"/>
    <cellStyle name="Lien hypertexte" xfId="1003" builtinId="8" hidden="1"/>
    <cellStyle name="Lien hypertexte" xfId="1005" builtinId="8" hidden="1"/>
    <cellStyle name="Lien hypertexte" xfId="1007" builtinId="8" hidden="1"/>
    <cellStyle name="Lien hypertexte" xfId="1009" builtinId="8" hidden="1"/>
    <cellStyle name="Lien hypertexte" xfId="1011" builtinId="8" hidden="1"/>
    <cellStyle name="Lien hypertexte" xfId="1013" builtinId="8" hidden="1"/>
    <cellStyle name="Lien hypertexte" xfId="1015" builtinId="8" hidden="1"/>
    <cellStyle name="Lien hypertexte" xfId="1017" builtinId="8" hidden="1"/>
    <cellStyle name="Lien hypertexte" xfId="1019" builtinId="8" hidden="1"/>
    <cellStyle name="Lien hypertexte" xfId="1021" builtinId="8" hidden="1"/>
    <cellStyle name="Lien hypertexte" xfId="1023" builtinId="8" hidden="1"/>
    <cellStyle name="Lien hypertexte" xfId="1025" builtinId="8" hidden="1"/>
    <cellStyle name="Lien hypertexte" xfId="1027" builtinId="8" hidden="1"/>
    <cellStyle name="Lien hypertexte" xfId="1029" builtinId="8" hidden="1"/>
    <cellStyle name="Lien hypertexte" xfId="1031" builtinId="8" hidden="1"/>
    <cellStyle name="Lien hypertexte" xfId="1033" builtinId="8" hidden="1"/>
    <cellStyle name="Lien hypertexte" xfId="1035" builtinId="8" hidden="1"/>
    <cellStyle name="Lien hypertexte" xfId="1037" builtinId="8" hidden="1"/>
    <cellStyle name="Lien hypertexte" xfId="1039" builtinId="8" hidden="1"/>
    <cellStyle name="Lien hypertexte" xfId="1041" builtinId="8" hidden="1"/>
    <cellStyle name="Lien hypertexte" xfId="1043" builtinId="8" hidden="1"/>
    <cellStyle name="Lien hypertexte" xfId="1045" builtinId="8" hidden="1"/>
    <cellStyle name="Lien hypertexte" xfId="1047" builtinId="8" hidden="1"/>
    <cellStyle name="Lien hypertexte" xfId="1049" builtinId="8" hidden="1"/>
    <cellStyle name="Lien hypertexte" xfId="1051" builtinId="8" hidden="1"/>
    <cellStyle name="Lien hypertexte" xfId="1053" builtinId="8" hidden="1"/>
    <cellStyle name="Lien hypertexte" xfId="1055" builtinId="8" hidden="1"/>
    <cellStyle name="Lien hypertexte" xfId="1057" builtinId="8" hidden="1"/>
    <cellStyle name="Lien hypertexte" xfId="1059" builtinId="8" hidden="1"/>
    <cellStyle name="Lien hypertexte" xfId="1061" builtinId="8" hidden="1"/>
    <cellStyle name="Lien hypertexte" xfId="1063" builtinId="8" hidden="1"/>
    <cellStyle name="Lien hypertexte" xfId="1065" builtinId="8" hidden="1"/>
    <cellStyle name="Lien hypertexte" xfId="1067" builtinId="8" hidden="1"/>
    <cellStyle name="Lien hypertexte" xfId="1069" builtinId="8" hidden="1"/>
    <cellStyle name="Lien hypertexte" xfId="1071" builtinId="8" hidden="1"/>
    <cellStyle name="Lien hypertexte" xfId="1073" builtinId="8" hidden="1"/>
    <cellStyle name="Lien hypertexte" xfId="1075" builtinId="8" hidden="1"/>
    <cellStyle name="Lien hypertexte" xfId="1077" builtinId="8" hidden="1"/>
    <cellStyle name="Lien hypertexte" xfId="1079" builtinId="8" hidden="1"/>
    <cellStyle name="Lien hypertexte" xfId="1081" builtinId="8" hidden="1"/>
    <cellStyle name="Lien hypertexte" xfId="1083" builtinId="8" hidden="1"/>
    <cellStyle name="Lien hypertexte" xfId="1085" builtinId="8" hidden="1"/>
    <cellStyle name="Lien hypertexte" xfId="1087" builtinId="8" hidden="1"/>
    <cellStyle name="Lien hypertexte" xfId="1089" builtinId="8" hidden="1"/>
    <cellStyle name="Lien hypertexte" xfId="1091" builtinId="8" hidden="1"/>
    <cellStyle name="Lien hypertexte" xfId="1093" builtinId="8" hidden="1"/>
    <cellStyle name="Lien hypertexte" xfId="1095" builtinId="8" hidden="1"/>
    <cellStyle name="Lien hypertexte" xfId="1097" builtinId="8" hidden="1"/>
    <cellStyle name="Lien hypertexte" xfId="1099" builtinId="8" hidden="1"/>
    <cellStyle name="Lien hypertexte" xfId="1101" builtinId="8" hidden="1"/>
    <cellStyle name="Lien hypertexte" xfId="1103" builtinId="8" hidden="1"/>
    <cellStyle name="Lien hypertexte" xfId="1105" builtinId="8" hidden="1"/>
    <cellStyle name="Lien hypertexte" xfId="1107" builtinId="8" hidden="1"/>
    <cellStyle name="Lien hypertexte" xfId="1109" builtinId="8" hidden="1"/>
    <cellStyle name="Lien hypertexte" xfId="1111" builtinId="8" hidden="1"/>
    <cellStyle name="Lien hypertexte" xfId="1113" builtinId="8" hidden="1"/>
    <cellStyle name="Lien hypertexte" xfId="1115" builtinId="8" hidden="1"/>
    <cellStyle name="Lien hypertexte" xfId="1117" builtinId="8" hidden="1"/>
    <cellStyle name="Lien hypertexte" xfId="1119" builtinId="8" hidden="1"/>
    <cellStyle name="Lien hypertexte" xfId="1121" builtinId="8" hidden="1"/>
    <cellStyle name="Lien hypertexte" xfId="1123" builtinId="8" hidden="1"/>
    <cellStyle name="Lien hypertexte" xfId="1125" builtinId="8" hidden="1"/>
    <cellStyle name="Lien hypertexte" xfId="1127" builtinId="8" hidden="1"/>
    <cellStyle name="Lien hypertexte" xfId="1129" builtinId="8" hidden="1"/>
    <cellStyle name="Lien hypertexte" xfId="1131" builtinId="8" hidden="1"/>
    <cellStyle name="Lien hypertexte" xfId="1133" builtinId="8" hidden="1"/>
    <cellStyle name="Lien hypertexte" xfId="1135" builtinId="8" hidden="1"/>
    <cellStyle name="Lien hypertexte" xfId="1137" builtinId="8" hidden="1"/>
    <cellStyle name="Lien hypertexte" xfId="1139" builtinId="8" hidden="1"/>
    <cellStyle name="Lien hypertexte" xfId="1141" builtinId="8" hidden="1"/>
    <cellStyle name="Lien hypertexte" xfId="1143" builtinId="8" hidden="1"/>
    <cellStyle name="Lien hypertexte" xfId="1145" builtinId="8" hidden="1"/>
    <cellStyle name="Lien hypertexte" xfId="1147" builtinId="8" hidden="1"/>
    <cellStyle name="Lien hypertexte" xfId="1149" builtinId="8" hidden="1"/>
    <cellStyle name="Lien hypertexte" xfId="1151" builtinId="8" hidden="1"/>
    <cellStyle name="Lien hypertexte" xfId="1153" builtinId="8" hidden="1"/>
    <cellStyle name="Lien hypertexte" xfId="1155" builtinId="8" hidden="1"/>
    <cellStyle name="Lien hypertexte" xfId="1157" builtinId="8" hidden="1"/>
    <cellStyle name="Lien hypertexte" xfId="1159" builtinId="8" hidden="1"/>
    <cellStyle name="Lien hypertexte" xfId="1161" builtinId="8" hidden="1"/>
    <cellStyle name="Lien hypertexte" xfId="1163" builtinId="8" hidden="1"/>
    <cellStyle name="Lien hypertexte" xfId="1165" builtinId="8" hidden="1"/>
    <cellStyle name="Lien hypertexte" xfId="1167" builtinId="8" hidden="1"/>
    <cellStyle name="Lien hypertexte" xfId="1169" builtinId="8" hidden="1"/>
    <cellStyle name="Lien hypertexte" xfId="1171" builtinId="8" hidden="1"/>
    <cellStyle name="Lien hypertexte" xfId="1173" builtinId="8" hidden="1"/>
    <cellStyle name="Lien hypertexte" xfId="1175" builtinId="8" hidden="1"/>
    <cellStyle name="Lien hypertexte" xfId="1177" builtinId="8" hidden="1"/>
    <cellStyle name="Lien hypertexte" xfId="1179" builtinId="8" hidden="1"/>
    <cellStyle name="Lien hypertexte" xfId="1181" builtinId="8" hidden="1"/>
    <cellStyle name="Lien hypertexte" xfId="1183" builtinId="8" hidden="1"/>
    <cellStyle name="Lien hypertexte" xfId="1185" builtinId="8" hidden="1"/>
    <cellStyle name="Lien hypertexte" xfId="1187" builtinId="8" hidden="1"/>
    <cellStyle name="Lien hypertexte" xfId="1189" builtinId="8" hidden="1"/>
    <cellStyle name="Lien hypertexte" xfId="1191" builtinId="8" hidden="1"/>
    <cellStyle name="Lien hypertexte" xfId="1193" builtinId="8" hidden="1"/>
    <cellStyle name="Lien hypertexte" xfId="1195" builtinId="8" hidden="1"/>
    <cellStyle name="Lien hypertexte" xfId="1197" builtinId="8" hidden="1"/>
    <cellStyle name="Lien hypertexte" xfId="1199" builtinId="8" hidden="1"/>
    <cellStyle name="Lien hypertexte" xfId="1201" builtinId="8" hidden="1"/>
    <cellStyle name="Lien hypertexte" xfId="1203" builtinId="8" hidden="1"/>
    <cellStyle name="Lien hypertexte" xfId="1205" builtinId="8" hidden="1"/>
    <cellStyle name="Lien hypertexte" xfId="1207" builtinId="8" hidden="1"/>
    <cellStyle name="Lien hypertexte" xfId="1209" builtinId="8" hidden="1"/>
    <cellStyle name="Lien hypertexte" xfId="1211" builtinId="8" hidden="1"/>
    <cellStyle name="Lien hypertexte" xfId="1213" builtinId="8" hidden="1"/>
    <cellStyle name="Lien hypertexte" xfId="1215" builtinId="8" hidden="1"/>
    <cellStyle name="Lien hypertexte" xfId="1217" builtinId="8" hidden="1"/>
    <cellStyle name="Lien hypertexte" xfId="1219" builtinId="8" hidden="1"/>
    <cellStyle name="Lien hypertexte" xfId="1221" builtinId="8" hidden="1"/>
    <cellStyle name="Lien hypertexte" xfId="1223" builtinId="8" hidden="1"/>
    <cellStyle name="Lien hypertexte" xfId="1225" builtinId="8" hidden="1"/>
    <cellStyle name="Lien hypertexte" xfId="1227" builtinId="8" hidden="1"/>
    <cellStyle name="Lien hypertexte" xfId="1229" builtinId="8" hidden="1"/>
    <cellStyle name="Lien hypertexte" xfId="1231" builtinId="8" hidden="1"/>
    <cellStyle name="Lien hypertexte" xfId="1233" builtinId="8" hidden="1"/>
    <cellStyle name="Lien hypertexte" xfId="1235" builtinId="8" hidden="1"/>
    <cellStyle name="Lien hypertexte" xfId="1237" builtinId="8" hidden="1"/>
    <cellStyle name="Lien hypertexte" xfId="1239" builtinId="8" hidden="1"/>
    <cellStyle name="Lien hypertexte" xfId="1241" builtinId="8" hidden="1"/>
    <cellStyle name="Lien hypertexte" xfId="1243" builtinId="8" hidden="1"/>
    <cellStyle name="Lien hypertexte" xfId="1245" builtinId="8" hidden="1"/>
    <cellStyle name="Lien hypertexte" xfId="1247" builtinId="8" hidden="1"/>
    <cellStyle name="Lien hypertexte" xfId="1249" builtinId="8" hidden="1"/>
    <cellStyle name="Lien hypertexte" xfId="1251" builtinId="8" hidden="1"/>
    <cellStyle name="Lien hypertexte" xfId="1253" builtinId="8" hidden="1"/>
    <cellStyle name="Lien hypertexte" xfId="1255" builtinId="8" hidden="1"/>
    <cellStyle name="Lien hypertexte" xfId="1257" builtinId="8" hidden="1"/>
    <cellStyle name="Lien hypertexte" xfId="1259" builtinId="8" hidden="1"/>
    <cellStyle name="Lien hypertexte" xfId="1261" builtinId="8" hidden="1"/>
    <cellStyle name="Lien hypertexte" xfId="1263" builtinId="8" hidden="1"/>
    <cellStyle name="Lien hypertexte" xfId="1265" builtinId="8" hidden="1"/>
    <cellStyle name="Lien hypertexte" xfId="1267" builtinId="8" hidden="1"/>
    <cellStyle name="Lien hypertexte" xfId="1269" builtinId="8" hidden="1"/>
    <cellStyle name="Lien hypertexte" xfId="1271" builtinId="8" hidden="1"/>
    <cellStyle name="Lien hypertexte" xfId="1273" builtinId="8" hidden="1"/>
    <cellStyle name="Lien hypertexte" xfId="1275" builtinId="8" hidden="1"/>
    <cellStyle name="Lien hypertexte" xfId="1277" builtinId="8" hidden="1"/>
    <cellStyle name="Lien hypertexte" xfId="1279" builtinId="8" hidden="1"/>
    <cellStyle name="Lien hypertexte" xfId="1281" builtinId="8" hidden="1"/>
    <cellStyle name="Lien hypertexte" xfId="1283" builtinId="8" hidden="1"/>
    <cellStyle name="Lien hypertexte" xfId="1285" builtinId="8" hidden="1"/>
    <cellStyle name="Lien hypertexte" xfId="1287" builtinId="8" hidden="1"/>
    <cellStyle name="Lien hypertexte" xfId="1289" builtinId="8" hidden="1"/>
    <cellStyle name="Lien hypertexte" xfId="1291" builtinId="8" hidden="1"/>
    <cellStyle name="Lien hypertexte" xfId="1293" builtinId="8" hidden="1"/>
    <cellStyle name="Lien hypertexte" xfId="1295" builtinId="8" hidden="1"/>
    <cellStyle name="Lien hypertexte" xfId="1297" builtinId="8" hidden="1"/>
    <cellStyle name="Lien hypertexte" xfId="1299" builtinId="8" hidden="1"/>
    <cellStyle name="Lien hypertexte" xfId="1301" builtinId="8" hidden="1"/>
    <cellStyle name="Lien hypertexte" xfId="1303" builtinId="8" hidden="1"/>
    <cellStyle name="Lien hypertexte" xfId="1305" builtinId="8" hidden="1"/>
    <cellStyle name="Lien hypertexte" xfId="1307" builtinId="8" hidden="1"/>
    <cellStyle name="Lien hypertexte" xfId="1309" builtinId="8" hidden="1"/>
    <cellStyle name="Lien hypertexte" xfId="1311" builtinId="8" hidden="1"/>
    <cellStyle name="Lien hypertexte" xfId="1313" builtinId="8" hidden="1"/>
    <cellStyle name="Lien hypertexte" xfId="1315" builtinId="8" hidden="1"/>
    <cellStyle name="Lien hypertexte" xfId="1317" builtinId="8" hidden="1"/>
    <cellStyle name="Lien hypertexte" xfId="1319" builtinId="8" hidden="1"/>
    <cellStyle name="Lien hypertexte" xfId="1321" builtinId="8" hidden="1"/>
    <cellStyle name="Lien hypertexte" xfId="1323" builtinId="8" hidden="1"/>
    <cellStyle name="Lien hypertexte" xfId="1325" builtinId="8" hidden="1"/>
    <cellStyle name="Lien hypertexte" xfId="1327" builtinId="8" hidden="1"/>
    <cellStyle name="Lien hypertexte" xfId="1329" builtinId="8" hidden="1"/>
    <cellStyle name="Lien hypertexte" xfId="1331" builtinId="8" hidden="1"/>
    <cellStyle name="Lien hypertexte" xfId="1333" builtinId="8" hidden="1"/>
    <cellStyle name="Lien hypertexte" xfId="1335" builtinId="8" hidden="1"/>
    <cellStyle name="Lien hypertexte" xfId="1337" builtinId="8" hidden="1"/>
    <cellStyle name="Lien hypertexte" xfId="1339" builtinId="8" hidden="1"/>
    <cellStyle name="Lien hypertexte" xfId="1341" builtinId="8" hidden="1"/>
    <cellStyle name="Lien hypertexte" xfId="1343" builtinId="8" hidden="1"/>
    <cellStyle name="Lien hypertexte" xfId="1345" builtinId="8" hidden="1"/>
    <cellStyle name="Lien hypertexte" xfId="1347" builtinId="8" hidden="1"/>
    <cellStyle name="Lien hypertexte" xfId="1349" builtinId="8" hidden="1"/>
    <cellStyle name="Lien hypertexte" xfId="1351" builtinId="8" hidden="1"/>
    <cellStyle name="Lien hypertexte" xfId="1353" builtinId="8" hidden="1"/>
    <cellStyle name="Lien hypertexte" xfId="1355" builtinId="8" hidden="1"/>
    <cellStyle name="Lien hypertexte" xfId="1357" builtinId="8" hidden="1"/>
    <cellStyle name="Lien hypertexte" xfId="1359" builtinId="8" hidden="1"/>
    <cellStyle name="Lien hypertexte" xfId="1361" builtinId="8" hidden="1"/>
    <cellStyle name="Lien hypertexte" xfId="1363" builtinId="8" hidden="1"/>
    <cellStyle name="Lien hypertexte" xfId="1365" builtinId="8" hidden="1"/>
    <cellStyle name="Lien hypertexte" xfId="1367" builtinId="8" hidden="1"/>
    <cellStyle name="Lien hypertexte" xfId="1369" builtinId="8" hidden="1"/>
    <cellStyle name="Lien hypertexte" xfId="1371" builtinId="8" hidden="1"/>
    <cellStyle name="Lien hypertexte" xfId="1373" builtinId="8" hidden="1"/>
    <cellStyle name="Lien hypertexte" xfId="1375" builtinId="8" hidden="1"/>
    <cellStyle name="Lien hypertexte" xfId="1377" builtinId="8" hidden="1"/>
    <cellStyle name="Lien hypertexte" xfId="1379" builtinId="8" hidden="1"/>
    <cellStyle name="Lien hypertexte" xfId="1381" builtinId="8" hidden="1"/>
    <cellStyle name="Lien hypertexte" xfId="1383" builtinId="8" hidden="1"/>
    <cellStyle name="Lien hypertexte" xfId="1385" builtinId="8" hidden="1"/>
    <cellStyle name="Lien hypertexte" xfId="1387" builtinId="8" hidden="1"/>
    <cellStyle name="Lien hypertexte" xfId="1389" builtinId="8" hidden="1"/>
    <cellStyle name="Lien hypertexte" xfId="1391" builtinId="8" hidden="1"/>
    <cellStyle name="Lien hypertexte" xfId="1393" builtinId="8" hidden="1"/>
    <cellStyle name="Lien hypertexte" xfId="1395" builtinId="8" hidden="1"/>
    <cellStyle name="Lien hypertexte" xfId="1397" builtinId="8" hidden="1"/>
    <cellStyle name="Lien hypertexte" xfId="1399" builtinId="8" hidden="1"/>
    <cellStyle name="Lien hypertexte" xfId="1401" builtinId="8" hidden="1"/>
    <cellStyle name="Lien hypertexte" xfId="1403" builtinId="8" hidden="1"/>
    <cellStyle name="Lien hypertexte" xfId="1405" builtinId="8" hidden="1"/>
    <cellStyle name="Lien hypertexte" xfId="1407" builtinId="8" hidden="1"/>
    <cellStyle name="Lien hypertexte" xfId="1409" builtinId="8" hidden="1"/>
    <cellStyle name="Lien hypertexte" xfId="1411" builtinId="8" hidden="1"/>
    <cellStyle name="Lien hypertexte" xfId="1413" builtinId="8" hidden="1"/>
    <cellStyle name="Lien hypertexte" xfId="1415" builtinId="8" hidden="1"/>
    <cellStyle name="Lien hypertexte" xfId="1417" builtinId="8" hidden="1"/>
    <cellStyle name="Lien hypertexte" xfId="1419" builtinId="8" hidden="1"/>
    <cellStyle name="Lien hypertexte" xfId="1421" builtinId="8" hidden="1"/>
    <cellStyle name="Lien hypertexte" xfId="1423" builtinId="8" hidden="1"/>
    <cellStyle name="Lien hypertexte" xfId="1425" builtinId="8" hidden="1"/>
    <cellStyle name="Lien hypertexte" xfId="1427" builtinId="8" hidden="1"/>
    <cellStyle name="Lien hypertexte" xfId="1429" builtinId="8" hidden="1"/>
    <cellStyle name="Lien hypertexte" xfId="1431" builtinId="8" hidden="1"/>
    <cellStyle name="Lien hypertexte" xfId="1433" builtinId="8" hidden="1"/>
    <cellStyle name="Lien hypertexte" xfId="1435" builtinId="8" hidden="1"/>
    <cellStyle name="Lien hypertexte" xfId="1437" builtinId="8" hidden="1"/>
    <cellStyle name="Lien hypertexte" xfId="1439" builtinId="8" hidden="1"/>
    <cellStyle name="Lien hypertexte" xfId="1441" builtinId="8" hidden="1"/>
    <cellStyle name="Lien hypertexte" xfId="1443" builtinId="8" hidden="1"/>
    <cellStyle name="Lien hypertexte" xfId="1445" builtinId="8" hidden="1"/>
    <cellStyle name="Lien hypertexte" xfId="1447" builtinId="8" hidden="1"/>
    <cellStyle name="Lien hypertexte" xfId="1449" builtinId="8" hidden="1"/>
    <cellStyle name="Lien hypertexte" xfId="1451" builtinId="8" hidden="1"/>
    <cellStyle name="Lien hypertexte" xfId="1453" builtinId="8" hidden="1"/>
    <cellStyle name="Lien hypertexte" xfId="1455" builtinId="8" hidden="1"/>
    <cellStyle name="Lien hypertexte" xfId="1457" builtinId="8" hidden="1"/>
    <cellStyle name="Lien hypertexte" xfId="1459" builtinId="8" hidden="1"/>
    <cellStyle name="Lien hypertexte" xfId="1461" builtinId="8" hidden="1"/>
    <cellStyle name="Lien hypertexte" xfId="1463" builtinId="8" hidden="1"/>
    <cellStyle name="Lien hypertexte" xfId="1465" builtinId="8" hidden="1"/>
    <cellStyle name="Lien hypertexte" xfId="1467" builtinId="8" hidden="1"/>
    <cellStyle name="Lien hypertexte" xfId="1469" builtinId="8" hidden="1"/>
    <cellStyle name="Lien hypertexte" xfId="1471" builtinId="8" hidden="1"/>
    <cellStyle name="Lien hypertexte" xfId="1473" builtinId="8" hidden="1"/>
    <cellStyle name="Lien hypertexte" xfId="1475" builtinId="8" hidden="1"/>
    <cellStyle name="Lien hypertexte" xfId="1477" builtinId="8" hidden="1"/>
    <cellStyle name="Lien hypertexte" xfId="1479" builtinId="8" hidden="1"/>
    <cellStyle name="Lien hypertexte" xfId="1481" builtinId="8" hidden="1"/>
    <cellStyle name="Lien hypertexte" xfId="1483" builtinId="8" hidden="1"/>
    <cellStyle name="Lien hypertexte" xfId="1485" builtinId="8" hidden="1"/>
    <cellStyle name="Lien hypertexte" xfId="1487" builtinId="8" hidden="1"/>
    <cellStyle name="Lien hypertexte" xfId="1489" builtinId="8" hidden="1"/>
    <cellStyle name="Lien hypertexte" xfId="1491" builtinId="8" hidden="1"/>
    <cellStyle name="Lien hypertexte" xfId="1493" builtinId="8" hidden="1"/>
    <cellStyle name="Lien hypertexte" xfId="1495" builtinId="8" hidden="1"/>
    <cellStyle name="Lien hypertexte" xfId="1497" builtinId="8" hidden="1"/>
    <cellStyle name="Lien hypertexte" xfId="1499" builtinId="8" hidden="1"/>
    <cellStyle name="Lien hypertexte" xfId="1501" builtinId="8" hidden="1"/>
    <cellStyle name="Lien hypertexte" xfId="1503" builtinId="8" hidden="1"/>
    <cellStyle name="Lien hypertexte" xfId="1505" builtinId="8" hidden="1"/>
    <cellStyle name="Lien hypertexte" xfId="1507" builtinId="8" hidden="1"/>
    <cellStyle name="Lien hypertexte" xfId="1509" builtinId="8" hidden="1"/>
    <cellStyle name="Lien hypertexte" xfId="1511" builtinId="8" hidden="1"/>
    <cellStyle name="Lien hypertexte" xfId="1513" builtinId="8" hidden="1"/>
    <cellStyle name="Lien hypertexte" xfId="1515" builtinId="8" hidden="1"/>
    <cellStyle name="Lien hypertexte" xfId="1517" builtinId="8" hidden="1"/>
    <cellStyle name="Lien hypertexte" xfId="1519" builtinId="8" hidden="1"/>
    <cellStyle name="Lien hypertexte" xfId="1521" builtinId="8" hidden="1"/>
    <cellStyle name="Lien hypertexte" xfId="1523" builtinId="8" hidden="1"/>
    <cellStyle name="Lien hypertexte" xfId="1525" builtinId="8" hidden="1"/>
    <cellStyle name="Lien hypertexte" xfId="1527" builtinId="8" hidden="1"/>
    <cellStyle name="Lien hypertexte" xfId="1529" builtinId="8" hidden="1"/>
    <cellStyle name="Lien hypertexte" xfId="1531" builtinId="8" hidden="1"/>
    <cellStyle name="Lien hypertexte" xfId="1533" builtinId="8" hidden="1"/>
    <cellStyle name="Lien hypertexte" xfId="1535" builtinId="8" hidden="1"/>
    <cellStyle name="Lien hypertexte" xfId="1537" builtinId="8" hidden="1"/>
    <cellStyle name="Lien hypertexte" xfId="1539" builtinId="8" hidden="1"/>
    <cellStyle name="Lien hypertexte" xfId="1541" builtinId="8" hidden="1"/>
    <cellStyle name="Lien hypertexte" xfId="1543" builtinId="8" hidden="1"/>
    <cellStyle name="Lien hypertexte" xfId="1545" builtinId="8" hidden="1"/>
    <cellStyle name="Lien hypertexte" xfId="1547" builtinId="8" hidden="1"/>
    <cellStyle name="Lien hypertexte" xfId="1549" builtinId="8" hidden="1"/>
    <cellStyle name="Lien hypertexte" xfId="1551" builtinId="8" hidden="1"/>
    <cellStyle name="Lien hypertexte" xfId="1553" builtinId="8" hidden="1"/>
    <cellStyle name="Lien hypertexte" xfId="1555" builtinId="8" hidden="1"/>
    <cellStyle name="Lien hypertexte" xfId="1557" builtinId="8" hidden="1"/>
    <cellStyle name="Lien hypertexte" xfId="1559" builtinId="8" hidden="1"/>
    <cellStyle name="Lien hypertexte" xfId="1561" builtinId="8" hidden="1"/>
    <cellStyle name="Lien hypertexte" xfId="1563" builtinId="8" hidden="1"/>
    <cellStyle name="Lien hypertexte" xfId="1565" builtinId="8" hidden="1"/>
    <cellStyle name="Lien hypertexte" xfId="1567" builtinId="8" hidden="1"/>
    <cellStyle name="Lien hypertexte" xfId="1569" builtinId="8" hidden="1"/>
    <cellStyle name="Lien hypertexte" xfId="1571" builtinId="8" hidden="1"/>
    <cellStyle name="Lien hypertexte" xfId="1573" builtinId="8" hidden="1"/>
    <cellStyle name="Lien hypertexte" xfId="1575" builtinId="8" hidden="1"/>
    <cellStyle name="Lien hypertexte" xfId="1577" builtinId="8" hidden="1"/>
    <cellStyle name="Lien hypertexte" xfId="1579" builtinId="8" hidden="1"/>
    <cellStyle name="Lien hypertexte" xfId="1581" builtinId="8" hidden="1"/>
    <cellStyle name="Lien hypertexte" xfId="1583" builtinId="8" hidden="1"/>
    <cellStyle name="Lien hypertexte" xfId="1585" builtinId="8" hidden="1"/>
    <cellStyle name="Lien hypertexte" xfId="1587" builtinId="8" hidden="1"/>
    <cellStyle name="Lien hypertexte" xfId="1589" builtinId="8" hidden="1"/>
    <cellStyle name="Lien hypertexte" xfId="1591" builtinId="8" hidden="1"/>
    <cellStyle name="Lien hypertexte" xfId="1593" builtinId="8" hidden="1"/>
    <cellStyle name="Lien hypertexte" xfId="1595" builtinId="8" hidden="1"/>
    <cellStyle name="Lien hypertexte" xfId="1597" builtinId="8" hidden="1"/>
    <cellStyle name="Lien hypertexte" xfId="1599" builtinId="8" hidden="1"/>
    <cellStyle name="Lien hypertexte" xfId="1601" builtinId="8" hidden="1"/>
    <cellStyle name="Lien hypertexte" xfId="1603" builtinId="8" hidden="1"/>
    <cellStyle name="Lien hypertexte" xfId="1605" builtinId="8" hidden="1"/>
    <cellStyle name="Lien hypertexte" xfId="1607" builtinId="8" hidden="1"/>
    <cellStyle name="Lien hypertexte" xfId="1609" builtinId="8" hidden="1"/>
    <cellStyle name="Lien hypertexte" xfId="1611" builtinId="8" hidden="1"/>
    <cellStyle name="Lien hypertexte" xfId="1613" builtinId="8" hidden="1"/>
    <cellStyle name="Lien hypertexte" xfId="1615" builtinId="8" hidden="1"/>
    <cellStyle name="Lien hypertexte" xfId="1617" builtinId="8" hidden="1"/>
    <cellStyle name="Lien hypertexte" xfId="1619" builtinId="8" hidden="1"/>
    <cellStyle name="Lien hypertexte" xfId="1621" builtinId="8" hidden="1"/>
    <cellStyle name="Lien hypertexte" xfId="1623" builtinId="8" hidden="1"/>
    <cellStyle name="Lien hypertexte" xfId="1625" builtinId="8" hidden="1"/>
    <cellStyle name="Lien hypertexte" xfId="1627" builtinId="8" hidden="1"/>
    <cellStyle name="Lien hypertexte" xfId="1629" builtinId="8" hidden="1"/>
    <cellStyle name="Lien hypertexte" xfId="1631" builtinId="8" hidden="1"/>
    <cellStyle name="Lien hypertexte" xfId="1633" builtinId="8" hidden="1"/>
    <cellStyle name="Lien hypertexte" xfId="1635" builtinId="8" hidden="1"/>
    <cellStyle name="Lien hypertexte" xfId="1637" builtinId="8" hidden="1"/>
    <cellStyle name="Lien hypertexte" xfId="1639" builtinId="8" hidden="1"/>
    <cellStyle name="Lien hypertexte" xfId="1641" builtinId="8" hidden="1"/>
    <cellStyle name="Lien hypertexte" xfId="1643" builtinId="8" hidden="1"/>
    <cellStyle name="Lien hypertexte" xfId="1645" builtinId="8" hidden="1"/>
    <cellStyle name="Lien hypertexte" xfId="1647" builtinId="8" hidden="1"/>
    <cellStyle name="Lien hypertexte" xfId="1649" builtinId="8" hidden="1"/>
    <cellStyle name="Lien hypertexte" xfId="1651" builtinId="8" hidden="1"/>
    <cellStyle name="Lien hypertexte" xfId="1653" builtinId="8" hidden="1"/>
    <cellStyle name="Lien hypertexte" xfId="1655" builtinId="8" hidden="1"/>
    <cellStyle name="Lien hypertexte" xfId="1657" builtinId="8" hidden="1"/>
    <cellStyle name="Lien hypertexte" xfId="1659" builtinId="8" hidden="1"/>
    <cellStyle name="Lien hypertexte" xfId="1661" builtinId="8" hidden="1"/>
    <cellStyle name="Lien hypertexte" xfId="1663" builtinId="8" hidden="1"/>
    <cellStyle name="Lien hypertexte" xfId="1665" builtinId="8" hidden="1"/>
    <cellStyle name="Lien hypertexte" xfId="1667" builtinId="8" hidden="1"/>
    <cellStyle name="Lien hypertexte" xfId="1669" builtinId="8" hidden="1"/>
    <cellStyle name="Lien hypertexte" xfId="1671" builtinId="8" hidden="1"/>
    <cellStyle name="Lien hypertexte" xfId="1673" builtinId="8" hidden="1"/>
    <cellStyle name="Lien hypertexte" xfId="1675" builtinId="8" hidden="1"/>
    <cellStyle name="Lien hypertexte" xfId="1677" builtinId="8" hidden="1"/>
    <cellStyle name="Lien hypertexte" xfId="1679" builtinId="8" hidden="1"/>
    <cellStyle name="Lien hypertexte" xfId="1681" builtinId="8" hidden="1"/>
    <cellStyle name="Lien hypertexte" xfId="1683" builtinId="8" hidden="1"/>
    <cellStyle name="Lien hypertexte" xfId="1685" builtinId="8" hidden="1"/>
    <cellStyle name="Lien hypertexte" xfId="1687" builtinId="8" hidden="1"/>
    <cellStyle name="Lien hypertexte" xfId="1689" builtinId="8" hidden="1"/>
    <cellStyle name="Lien hypertexte" xfId="1691" builtinId="8" hidden="1"/>
    <cellStyle name="Lien hypertexte" xfId="1693" builtinId="8" hidden="1"/>
    <cellStyle name="Lien hypertexte" xfId="1695" builtinId="8" hidden="1"/>
    <cellStyle name="Lien hypertexte" xfId="1697" builtinId="8" hidden="1"/>
    <cellStyle name="Lien hypertexte" xfId="1699" builtinId="8" hidden="1"/>
    <cellStyle name="Lien hypertexte" xfId="1701" builtinId="8" hidden="1"/>
    <cellStyle name="Lien hypertexte" xfId="1703"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8" builtinId="9" hidden="1"/>
    <cellStyle name="Lien hypertexte visité" xfId="90" builtinId="9" hidden="1"/>
    <cellStyle name="Lien hypertexte visité" xfId="92" builtinId="9" hidden="1"/>
    <cellStyle name="Lien hypertexte visité" xfId="94" builtinId="9" hidden="1"/>
    <cellStyle name="Lien hypertexte visité" xfId="96" builtinId="9" hidden="1"/>
    <cellStyle name="Lien hypertexte visité" xfId="98" builtinId="9" hidden="1"/>
    <cellStyle name="Lien hypertexte visité" xfId="100" builtinId="9" hidden="1"/>
    <cellStyle name="Lien hypertexte visité" xfId="102" builtinId="9" hidden="1"/>
    <cellStyle name="Lien hypertexte visité" xfId="104" builtinId="9" hidden="1"/>
    <cellStyle name="Lien hypertexte visité" xfId="106" builtinId="9" hidden="1"/>
    <cellStyle name="Lien hypertexte visité" xfId="108" builtinId="9" hidden="1"/>
    <cellStyle name="Lien hypertexte visité" xfId="110" builtinId="9" hidden="1"/>
    <cellStyle name="Lien hypertexte visité" xfId="112" builtinId="9" hidden="1"/>
    <cellStyle name="Lien hypertexte visité" xfId="114" builtinId="9" hidden="1"/>
    <cellStyle name="Lien hypertexte visité" xfId="116" builtinId="9" hidden="1"/>
    <cellStyle name="Lien hypertexte visité" xfId="118" builtinId="9" hidden="1"/>
    <cellStyle name="Lien hypertexte visité" xfId="120" builtinId="9" hidden="1"/>
    <cellStyle name="Lien hypertexte visité" xfId="122" builtinId="9" hidden="1"/>
    <cellStyle name="Lien hypertexte visité" xfId="124" builtinId="9" hidden="1"/>
    <cellStyle name="Lien hypertexte visité" xfId="126" builtinId="9" hidden="1"/>
    <cellStyle name="Lien hypertexte visité" xfId="128" builtinId="9" hidden="1"/>
    <cellStyle name="Lien hypertexte visité" xfId="130" builtinId="9" hidden="1"/>
    <cellStyle name="Lien hypertexte visité" xfId="132" builtinId="9" hidden="1"/>
    <cellStyle name="Lien hypertexte visité" xfId="134" builtinId="9" hidden="1"/>
    <cellStyle name="Lien hypertexte visité" xfId="136" builtinId="9" hidden="1"/>
    <cellStyle name="Lien hypertexte visité" xfId="138" builtinId="9" hidden="1"/>
    <cellStyle name="Lien hypertexte visité" xfId="140" builtinId="9" hidden="1"/>
    <cellStyle name="Lien hypertexte visité" xfId="142" builtinId="9" hidden="1"/>
    <cellStyle name="Lien hypertexte visité" xfId="144" builtinId="9" hidden="1"/>
    <cellStyle name="Lien hypertexte visité" xfId="146" builtinId="9" hidden="1"/>
    <cellStyle name="Lien hypertexte visité" xfId="148" builtinId="9" hidden="1"/>
    <cellStyle name="Lien hypertexte visité" xfId="150" builtinId="9" hidden="1"/>
    <cellStyle name="Lien hypertexte visité" xfId="152" builtinId="9" hidden="1"/>
    <cellStyle name="Lien hypertexte visité" xfId="154" builtinId="9" hidden="1"/>
    <cellStyle name="Lien hypertexte visité" xfId="156" builtinId="9" hidden="1"/>
    <cellStyle name="Lien hypertexte visité" xfId="158" builtinId="9" hidden="1"/>
    <cellStyle name="Lien hypertexte visité" xfId="160" builtinId="9" hidden="1"/>
    <cellStyle name="Lien hypertexte visité" xfId="162" builtinId="9" hidden="1"/>
    <cellStyle name="Lien hypertexte visité" xfId="164" builtinId="9" hidden="1"/>
    <cellStyle name="Lien hypertexte visité" xfId="166" builtinId="9" hidden="1"/>
    <cellStyle name="Lien hypertexte visité" xfId="168" builtinId="9" hidden="1"/>
    <cellStyle name="Lien hypertexte visité" xfId="170" builtinId="9" hidden="1"/>
    <cellStyle name="Lien hypertexte visité" xfId="172" builtinId="9" hidden="1"/>
    <cellStyle name="Lien hypertexte visité" xfId="174" builtinId="9" hidden="1"/>
    <cellStyle name="Lien hypertexte visité" xfId="176" builtinId="9" hidden="1"/>
    <cellStyle name="Lien hypertexte visité" xfId="178" builtinId="9" hidden="1"/>
    <cellStyle name="Lien hypertexte visité" xfId="180" builtinId="9" hidden="1"/>
    <cellStyle name="Lien hypertexte visité" xfId="182" builtinId="9" hidden="1"/>
    <cellStyle name="Lien hypertexte visité" xfId="184" builtinId="9" hidden="1"/>
    <cellStyle name="Lien hypertexte visité" xfId="186" builtinId="9" hidden="1"/>
    <cellStyle name="Lien hypertexte visité" xfId="188" builtinId="9" hidden="1"/>
    <cellStyle name="Lien hypertexte visité" xfId="190" builtinId="9" hidden="1"/>
    <cellStyle name="Lien hypertexte visité" xfId="192" builtinId="9" hidden="1"/>
    <cellStyle name="Lien hypertexte visité" xfId="194" builtinId="9" hidden="1"/>
    <cellStyle name="Lien hypertexte visité" xfId="196" builtinId="9" hidden="1"/>
    <cellStyle name="Lien hypertexte visité" xfId="198" builtinId="9" hidden="1"/>
    <cellStyle name="Lien hypertexte visité" xfId="200" builtinId="9" hidden="1"/>
    <cellStyle name="Lien hypertexte visité" xfId="202" builtinId="9" hidden="1"/>
    <cellStyle name="Lien hypertexte visité" xfId="204" builtinId="9" hidden="1"/>
    <cellStyle name="Lien hypertexte visité" xfId="206" builtinId="9" hidden="1"/>
    <cellStyle name="Lien hypertexte visité" xfId="208" builtinId="9" hidden="1"/>
    <cellStyle name="Lien hypertexte visité" xfId="210" builtinId="9" hidden="1"/>
    <cellStyle name="Lien hypertexte visité" xfId="212" builtinId="9" hidden="1"/>
    <cellStyle name="Lien hypertexte visité" xfId="214" builtinId="9" hidden="1"/>
    <cellStyle name="Lien hypertexte visité" xfId="216" builtinId="9" hidden="1"/>
    <cellStyle name="Lien hypertexte visité" xfId="218" builtinId="9" hidden="1"/>
    <cellStyle name="Lien hypertexte visité" xfId="220" builtinId="9" hidden="1"/>
    <cellStyle name="Lien hypertexte visité" xfId="222" builtinId="9" hidden="1"/>
    <cellStyle name="Lien hypertexte visité" xfId="224" builtinId="9" hidden="1"/>
    <cellStyle name="Lien hypertexte visité" xfId="226" builtinId="9" hidden="1"/>
    <cellStyle name="Lien hypertexte visité" xfId="228" builtinId="9" hidden="1"/>
    <cellStyle name="Lien hypertexte visité" xfId="230" builtinId="9" hidden="1"/>
    <cellStyle name="Lien hypertexte visité" xfId="232" builtinId="9" hidden="1"/>
    <cellStyle name="Lien hypertexte visité" xfId="234" builtinId="9" hidden="1"/>
    <cellStyle name="Lien hypertexte visité" xfId="236" builtinId="9" hidden="1"/>
    <cellStyle name="Lien hypertexte visité" xfId="238" builtinId="9" hidden="1"/>
    <cellStyle name="Lien hypertexte visité" xfId="240" builtinId="9" hidden="1"/>
    <cellStyle name="Lien hypertexte visité" xfId="242" builtinId="9" hidden="1"/>
    <cellStyle name="Lien hypertexte visité" xfId="244" builtinId="9" hidden="1"/>
    <cellStyle name="Lien hypertexte visité" xfId="246" builtinId="9" hidden="1"/>
    <cellStyle name="Lien hypertexte visité" xfId="248" builtinId="9" hidden="1"/>
    <cellStyle name="Lien hypertexte visité" xfId="250" builtinId="9" hidden="1"/>
    <cellStyle name="Lien hypertexte visité" xfId="252" builtinId="9" hidden="1"/>
    <cellStyle name="Lien hypertexte visité" xfId="254" builtinId="9" hidden="1"/>
    <cellStyle name="Lien hypertexte visité" xfId="256" builtinId="9" hidden="1"/>
    <cellStyle name="Lien hypertexte visité" xfId="258" builtinId="9" hidden="1"/>
    <cellStyle name="Lien hypertexte visité" xfId="260" builtinId="9" hidden="1"/>
    <cellStyle name="Lien hypertexte visité" xfId="262" builtinId="9" hidden="1"/>
    <cellStyle name="Lien hypertexte visité" xfId="264" builtinId="9" hidden="1"/>
    <cellStyle name="Lien hypertexte visité" xfId="266" builtinId="9" hidden="1"/>
    <cellStyle name="Lien hypertexte visité" xfId="268" builtinId="9" hidden="1"/>
    <cellStyle name="Lien hypertexte visité" xfId="270" builtinId="9" hidden="1"/>
    <cellStyle name="Lien hypertexte visité" xfId="272" builtinId="9" hidden="1"/>
    <cellStyle name="Lien hypertexte visité" xfId="274" builtinId="9" hidden="1"/>
    <cellStyle name="Lien hypertexte visité" xfId="276" builtinId="9" hidden="1"/>
    <cellStyle name="Lien hypertexte visité" xfId="278" builtinId="9" hidden="1"/>
    <cellStyle name="Lien hypertexte visité" xfId="280" builtinId="9" hidden="1"/>
    <cellStyle name="Lien hypertexte visité" xfId="282" builtinId="9" hidden="1"/>
    <cellStyle name="Lien hypertexte visité" xfId="284" builtinId="9" hidden="1"/>
    <cellStyle name="Lien hypertexte visité" xfId="286" builtinId="9" hidden="1"/>
    <cellStyle name="Lien hypertexte visité" xfId="288" builtinId="9" hidden="1"/>
    <cellStyle name="Lien hypertexte visité" xfId="290" builtinId="9" hidden="1"/>
    <cellStyle name="Lien hypertexte visité" xfId="292" builtinId="9" hidden="1"/>
    <cellStyle name="Lien hypertexte visité" xfId="294" builtinId="9" hidden="1"/>
    <cellStyle name="Lien hypertexte visité" xfId="296" builtinId="9" hidden="1"/>
    <cellStyle name="Lien hypertexte visité" xfId="298" builtinId="9" hidden="1"/>
    <cellStyle name="Lien hypertexte visité" xfId="300" builtinId="9" hidden="1"/>
    <cellStyle name="Lien hypertexte visité" xfId="302" builtinId="9" hidden="1"/>
    <cellStyle name="Lien hypertexte visité" xfId="304" builtinId="9" hidden="1"/>
    <cellStyle name="Lien hypertexte visité" xfId="306" builtinId="9" hidden="1"/>
    <cellStyle name="Lien hypertexte visité" xfId="308" builtinId="9" hidden="1"/>
    <cellStyle name="Lien hypertexte visité" xfId="310" builtinId="9" hidden="1"/>
    <cellStyle name="Lien hypertexte visité" xfId="312" builtinId="9" hidden="1"/>
    <cellStyle name="Lien hypertexte visité" xfId="314" builtinId="9" hidden="1"/>
    <cellStyle name="Lien hypertexte visité" xfId="316" builtinId="9" hidden="1"/>
    <cellStyle name="Lien hypertexte visité" xfId="318" builtinId="9" hidden="1"/>
    <cellStyle name="Lien hypertexte visité" xfId="320" builtinId="9" hidden="1"/>
    <cellStyle name="Lien hypertexte visité" xfId="322" builtinId="9" hidden="1"/>
    <cellStyle name="Lien hypertexte visité" xfId="324" builtinId="9" hidden="1"/>
    <cellStyle name="Lien hypertexte visité" xfId="326" builtinId="9" hidden="1"/>
    <cellStyle name="Lien hypertexte visité" xfId="328" builtinId="9" hidden="1"/>
    <cellStyle name="Lien hypertexte visité" xfId="330" builtinId="9" hidden="1"/>
    <cellStyle name="Lien hypertexte visité" xfId="332" builtinId="9" hidden="1"/>
    <cellStyle name="Lien hypertexte visité" xfId="334" builtinId="9" hidden="1"/>
    <cellStyle name="Lien hypertexte visité" xfId="336" builtinId="9" hidden="1"/>
    <cellStyle name="Lien hypertexte visité" xfId="338" builtinId="9" hidden="1"/>
    <cellStyle name="Lien hypertexte visité" xfId="340" builtinId="9" hidden="1"/>
    <cellStyle name="Lien hypertexte visité" xfId="342" builtinId="9" hidden="1"/>
    <cellStyle name="Lien hypertexte visité" xfId="344" builtinId="9" hidden="1"/>
    <cellStyle name="Lien hypertexte visité" xfId="346" builtinId="9" hidden="1"/>
    <cellStyle name="Lien hypertexte visité" xfId="348" builtinId="9" hidden="1"/>
    <cellStyle name="Lien hypertexte visité" xfId="350" builtinId="9" hidden="1"/>
    <cellStyle name="Lien hypertexte visité" xfId="352" builtinId="9" hidden="1"/>
    <cellStyle name="Lien hypertexte visité" xfId="354" builtinId="9" hidden="1"/>
    <cellStyle name="Lien hypertexte visité" xfId="356" builtinId="9" hidden="1"/>
    <cellStyle name="Lien hypertexte visité" xfId="358" builtinId="9" hidden="1"/>
    <cellStyle name="Lien hypertexte visité" xfId="360" builtinId="9" hidden="1"/>
    <cellStyle name="Lien hypertexte visité" xfId="362" builtinId="9" hidden="1"/>
    <cellStyle name="Lien hypertexte visité" xfId="364" builtinId="9" hidden="1"/>
    <cellStyle name="Lien hypertexte visité" xfId="366" builtinId="9" hidden="1"/>
    <cellStyle name="Lien hypertexte visité" xfId="368" builtinId="9" hidden="1"/>
    <cellStyle name="Lien hypertexte visité" xfId="370" builtinId="9" hidden="1"/>
    <cellStyle name="Lien hypertexte visité" xfId="372" builtinId="9" hidden="1"/>
    <cellStyle name="Lien hypertexte visité" xfId="374" builtinId="9" hidden="1"/>
    <cellStyle name="Lien hypertexte visité" xfId="376" builtinId="9" hidden="1"/>
    <cellStyle name="Lien hypertexte visité" xfId="378" builtinId="9" hidden="1"/>
    <cellStyle name="Lien hypertexte visité" xfId="380" builtinId="9" hidden="1"/>
    <cellStyle name="Lien hypertexte visité" xfId="382" builtinId="9" hidden="1"/>
    <cellStyle name="Lien hypertexte visité" xfId="384" builtinId="9" hidden="1"/>
    <cellStyle name="Lien hypertexte visité" xfId="386" builtinId="9" hidden="1"/>
    <cellStyle name="Lien hypertexte visité" xfId="388" builtinId="9" hidden="1"/>
    <cellStyle name="Lien hypertexte visité" xfId="390" builtinId="9" hidden="1"/>
    <cellStyle name="Lien hypertexte visité" xfId="392" builtinId="9" hidden="1"/>
    <cellStyle name="Lien hypertexte visité" xfId="394" builtinId="9" hidden="1"/>
    <cellStyle name="Lien hypertexte visité" xfId="396" builtinId="9" hidden="1"/>
    <cellStyle name="Lien hypertexte visité" xfId="398" builtinId="9" hidden="1"/>
    <cellStyle name="Lien hypertexte visité" xfId="400" builtinId="9" hidden="1"/>
    <cellStyle name="Lien hypertexte visité" xfId="402" builtinId="9" hidden="1"/>
    <cellStyle name="Lien hypertexte visité" xfId="404" builtinId="9" hidden="1"/>
    <cellStyle name="Lien hypertexte visité" xfId="406" builtinId="9" hidden="1"/>
    <cellStyle name="Lien hypertexte visité" xfId="408" builtinId="9" hidden="1"/>
    <cellStyle name="Lien hypertexte visité" xfId="410" builtinId="9" hidden="1"/>
    <cellStyle name="Lien hypertexte visité" xfId="412" builtinId="9" hidden="1"/>
    <cellStyle name="Lien hypertexte visité" xfId="414" builtinId="9" hidden="1"/>
    <cellStyle name="Lien hypertexte visité" xfId="416" builtinId="9" hidden="1"/>
    <cellStyle name="Lien hypertexte visité" xfId="418" builtinId="9" hidden="1"/>
    <cellStyle name="Lien hypertexte visité" xfId="420" builtinId="9" hidden="1"/>
    <cellStyle name="Lien hypertexte visité" xfId="422" builtinId="9" hidden="1"/>
    <cellStyle name="Lien hypertexte visité" xfId="424" builtinId="9" hidden="1"/>
    <cellStyle name="Lien hypertexte visité" xfId="426" builtinId="9" hidden="1"/>
    <cellStyle name="Lien hypertexte visité" xfId="428" builtinId="9" hidden="1"/>
    <cellStyle name="Lien hypertexte visité" xfId="430" builtinId="9" hidden="1"/>
    <cellStyle name="Lien hypertexte visité" xfId="432" builtinId="9" hidden="1"/>
    <cellStyle name="Lien hypertexte visité" xfId="434" builtinId="9" hidden="1"/>
    <cellStyle name="Lien hypertexte visité" xfId="436" builtinId="9" hidden="1"/>
    <cellStyle name="Lien hypertexte visité" xfId="438" builtinId="9" hidden="1"/>
    <cellStyle name="Lien hypertexte visité" xfId="440" builtinId="9" hidden="1"/>
    <cellStyle name="Lien hypertexte visité" xfId="442" builtinId="9" hidden="1"/>
    <cellStyle name="Lien hypertexte visité" xfId="444" builtinId="9" hidden="1"/>
    <cellStyle name="Lien hypertexte visité" xfId="446" builtinId="9" hidden="1"/>
    <cellStyle name="Lien hypertexte visité" xfId="448" builtinId="9" hidden="1"/>
    <cellStyle name="Lien hypertexte visité" xfId="450" builtinId="9" hidden="1"/>
    <cellStyle name="Lien hypertexte visité" xfId="452" builtinId="9" hidden="1"/>
    <cellStyle name="Lien hypertexte visité" xfId="454" builtinId="9" hidden="1"/>
    <cellStyle name="Lien hypertexte visité" xfId="456" builtinId="9" hidden="1"/>
    <cellStyle name="Lien hypertexte visité" xfId="458" builtinId="9" hidden="1"/>
    <cellStyle name="Lien hypertexte visité" xfId="460" builtinId="9" hidden="1"/>
    <cellStyle name="Lien hypertexte visité" xfId="462" builtinId="9" hidden="1"/>
    <cellStyle name="Lien hypertexte visité" xfId="464" builtinId="9" hidden="1"/>
    <cellStyle name="Lien hypertexte visité" xfId="466" builtinId="9" hidden="1"/>
    <cellStyle name="Lien hypertexte visité" xfId="468" builtinId="9" hidden="1"/>
    <cellStyle name="Lien hypertexte visité" xfId="470" builtinId="9" hidden="1"/>
    <cellStyle name="Lien hypertexte visité" xfId="472" builtinId="9" hidden="1"/>
    <cellStyle name="Lien hypertexte visité" xfId="474" builtinId="9" hidden="1"/>
    <cellStyle name="Lien hypertexte visité" xfId="476" builtinId="9" hidden="1"/>
    <cellStyle name="Lien hypertexte visité" xfId="478" builtinId="9" hidden="1"/>
    <cellStyle name="Lien hypertexte visité" xfId="480" builtinId="9" hidden="1"/>
    <cellStyle name="Lien hypertexte visité" xfId="482" builtinId="9" hidden="1"/>
    <cellStyle name="Lien hypertexte visité" xfId="484" builtinId="9" hidden="1"/>
    <cellStyle name="Lien hypertexte visité" xfId="486" builtinId="9" hidden="1"/>
    <cellStyle name="Lien hypertexte visité" xfId="488" builtinId="9" hidden="1"/>
    <cellStyle name="Lien hypertexte visité" xfId="490" builtinId="9" hidden="1"/>
    <cellStyle name="Lien hypertexte visité" xfId="492" builtinId="9" hidden="1"/>
    <cellStyle name="Lien hypertexte visité" xfId="494" builtinId="9" hidden="1"/>
    <cellStyle name="Lien hypertexte visité" xfId="496" builtinId="9" hidden="1"/>
    <cellStyle name="Lien hypertexte visité" xfId="498" builtinId="9" hidden="1"/>
    <cellStyle name="Lien hypertexte visité" xfId="500" builtinId="9" hidden="1"/>
    <cellStyle name="Lien hypertexte visité" xfId="502" builtinId="9" hidden="1"/>
    <cellStyle name="Lien hypertexte visité" xfId="504" builtinId="9" hidden="1"/>
    <cellStyle name="Lien hypertexte visité" xfId="506" builtinId="9" hidden="1"/>
    <cellStyle name="Lien hypertexte visité" xfId="508" builtinId="9" hidden="1"/>
    <cellStyle name="Lien hypertexte visité" xfId="510" builtinId="9" hidden="1"/>
    <cellStyle name="Lien hypertexte visité" xfId="512" builtinId="9" hidden="1"/>
    <cellStyle name="Lien hypertexte visité" xfId="514" builtinId="9" hidden="1"/>
    <cellStyle name="Lien hypertexte visité" xfId="516" builtinId="9" hidden="1"/>
    <cellStyle name="Lien hypertexte visité" xfId="518" builtinId="9" hidden="1"/>
    <cellStyle name="Lien hypertexte visité" xfId="520" builtinId="9" hidden="1"/>
    <cellStyle name="Lien hypertexte visité" xfId="522" builtinId="9" hidden="1"/>
    <cellStyle name="Lien hypertexte visité" xfId="524" builtinId="9" hidden="1"/>
    <cellStyle name="Lien hypertexte visité" xfId="526" builtinId="9" hidden="1"/>
    <cellStyle name="Lien hypertexte visité" xfId="528" builtinId="9" hidden="1"/>
    <cellStyle name="Lien hypertexte visité" xfId="530" builtinId="9" hidden="1"/>
    <cellStyle name="Lien hypertexte visité" xfId="532" builtinId="9" hidden="1"/>
    <cellStyle name="Lien hypertexte visité" xfId="534" builtinId="9" hidden="1"/>
    <cellStyle name="Lien hypertexte visité" xfId="536" builtinId="9" hidden="1"/>
    <cellStyle name="Lien hypertexte visité" xfId="538" builtinId="9" hidden="1"/>
    <cellStyle name="Lien hypertexte visité" xfId="540" builtinId="9" hidden="1"/>
    <cellStyle name="Lien hypertexte visité" xfId="542" builtinId="9" hidden="1"/>
    <cellStyle name="Lien hypertexte visité" xfId="544" builtinId="9" hidden="1"/>
    <cellStyle name="Lien hypertexte visité" xfId="546" builtinId="9" hidden="1"/>
    <cellStyle name="Lien hypertexte visité" xfId="548" builtinId="9" hidden="1"/>
    <cellStyle name="Lien hypertexte visité" xfId="550" builtinId="9" hidden="1"/>
    <cellStyle name="Lien hypertexte visité" xfId="552" builtinId="9" hidden="1"/>
    <cellStyle name="Lien hypertexte visité" xfId="554" builtinId="9" hidden="1"/>
    <cellStyle name="Lien hypertexte visité" xfId="556" builtinId="9" hidden="1"/>
    <cellStyle name="Lien hypertexte visité" xfId="558" builtinId="9" hidden="1"/>
    <cellStyle name="Lien hypertexte visité" xfId="560" builtinId="9" hidden="1"/>
    <cellStyle name="Lien hypertexte visité" xfId="562" builtinId="9" hidden="1"/>
    <cellStyle name="Lien hypertexte visité" xfId="564" builtinId="9" hidden="1"/>
    <cellStyle name="Lien hypertexte visité" xfId="566" builtinId="9" hidden="1"/>
    <cellStyle name="Lien hypertexte visité" xfId="568" builtinId="9" hidden="1"/>
    <cellStyle name="Lien hypertexte visité" xfId="570" builtinId="9" hidden="1"/>
    <cellStyle name="Lien hypertexte visité" xfId="572" builtinId="9" hidden="1"/>
    <cellStyle name="Lien hypertexte visité" xfId="574" builtinId="9" hidden="1"/>
    <cellStyle name="Lien hypertexte visité" xfId="576" builtinId="9" hidden="1"/>
    <cellStyle name="Lien hypertexte visité" xfId="578" builtinId="9" hidden="1"/>
    <cellStyle name="Lien hypertexte visité" xfId="580" builtinId="9" hidden="1"/>
    <cellStyle name="Lien hypertexte visité" xfId="582" builtinId="9" hidden="1"/>
    <cellStyle name="Lien hypertexte visité" xfId="584" builtinId="9" hidden="1"/>
    <cellStyle name="Lien hypertexte visité" xfId="586" builtinId="9" hidden="1"/>
    <cellStyle name="Lien hypertexte visité" xfId="588" builtinId="9" hidden="1"/>
    <cellStyle name="Lien hypertexte visité" xfId="590" builtinId="9" hidden="1"/>
    <cellStyle name="Lien hypertexte visité" xfId="592" builtinId="9" hidden="1"/>
    <cellStyle name="Lien hypertexte visité" xfId="594" builtinId="9" hidden="1"/>
    <cellStyle name="Lien hypertexte visité" xfId="596" builtinId="9" hidden="1"/>
    <cellStyle name="Lien hypertexte visité" xfId="598" builtinId="9" hidden="1"/>
    <cellStyle name="Lien hypertexte visité" xfId="600" builtinId="9" hidden="1"/>
    <cellStyle name="Lien hypertexte visité" xfId="602" builtinId="9" hidden="1"/>
    <cellStyle name="Lien hypertexte visité" xfId="604" builtinId="9" hidden="1"/>
    <cellStyle name="Lien hypertexte visité" xfId="606" builtinId="9" hidden="1"/>
    <cellStyle name="Lien hypertexte visité" xfId="608" builtinId="9" hidden="1"/>
    <cellStyle name="Lien hypertexte visité" xfId="610" builtinId="9" hidden="1"/>
    <cellStyle name="Lien hypertexte visité" xfId="612" builtinId="9" hidden="1"/>
    <cellStyle name="Lien hypertexte visité" xfId="614" builtinId="9" hidden="1"/>
    <cellStyle name="Lien hypertexte visité" xfId="616" builtinId="9" hidden="1"/>
    <cellStyle name="Lien hypertexte visité" xfId="618" builtinId="9" hidden="1"/>
    <cellStyle name="Lien hypertexte visité" xfId="620" builtinId="9" hidden="1"/>
    <cellStyle name="Lien hypertexte visité" xfId="622" builtinId="9" hidden="1"/>
    <cellStyle name="Lien hypertexte visité" xfId="624" builtinId="9" hidden="1"/>
    <cellStyle name="Lien hypertexte visité" xfId="626" builtinId="9" hidden="1"/>
    <cellStyle name="Lien hypertexte visité" xfId="628" builtinId="9" hidden="1"/>
    <cellStyle name="Lien hypertexte visité" xfId="630" builtinId="9" hidden="1"/>
    <cellStyle name="Lien hypertexte visité" xfId="632" builtinId="9" hidden="1"/>
    <cellStyle name="Lien hypertexte visité" xfId="634" builtinId="9" hidden="1"/>
    <cellStyle name="Lien hypertexte visité" xfId="636" builtinId="9" hidden="1"/>
    <cellStyle name="Lien hypertexte visité" xfId="638" builtinId="9" hidden="1"/>
    <cellStyle name="Lien hypertexte visité" xfId="640" builtinId="9" hidden="1"/>
    <cellStyle name="Lien hypertexte visité" xfId="642" builtinId="9" hidden="1"/>
    <cellStyle name="Lien hypertexte visité" xfId="644" builtinId="9" hidden="1"/>
    <cellStyle name="Lien hypertexte visité" xfId="646" builtinId="9" hidden="1"/>
    <cellStyle name="Lien hypertexte visité" xfId="648" builtinId="9" hidden="1"/>
    <cellStyle name="Lien hypertexte visité" xfId="650" builtinId="9" hidden="1"/>
    <cellStyle name="Lien hypertexte visité" xfId="652" builtinId="9" hidden="1"/>
    <cellStyle name="Lien hypertexte visité" xfId="654" builtinId="9" hidden="1"/>
    <cellStyle name="Lien hypertexte visité" xfId="656" builtinId="9" hidden="1"/>
    <cellStyle name="Lien hypertexte visité" xfId="658" builtinId="9" hidden="1"/>
    <cellStyle name="Lien hypertexte visité" xfId="660" builtinId="9" hidden="1"/>
    <cellStyle name="Lien hypertexte visité" xfId="662" builtinId="9" hidden="1"/>
    <cellStyle name="Lien hypertexte visité" xfId="664" builtinId="9" hidden="1"/>
    <cellStyle name="Lien hypertexte visité" xfId="666" builtinId="9" hidden="1"/>
    <cellStyle name="Lien hypertexte visité" xfId="668" builtinId="9" hidden="1"/>
    <cellStyle name="Lien hypertexte visité" xfId="670" builtinId="9" hidden="1"/>
    <cellStyle name="Lien hypertexte visité" xfId="672" builtinId="9" hidden="1"/>
    <cellStyle name="Lien hypertexte visité" xfId="674" builtinId="9" hidden="1"/>
    <cellStyle name="Lien hypertexte visité" xfId="676" builtinId="9" hidden="1"/>
    <cellStyle name="Lien hypertexte visité" xfId="678" builtinId="9" hidden="1"/>
    <cellStyle name="Lien hypertexte visité" xfId="680" builtinId="9" hidden="1"/>
    <cellStyle name="Lien hypertexte visité" xfId="682" builtinId="9" hidden="1"/>
    <cellStyle name="Lien hypertexte visité" xfId="684" builtinId="9" hidden="1"/>
    <cellStyle name="Lien hypertexte visité" xfId="686" builtinId="9" hidden="1"/>
    <cellStyle name="Lien hypertexte visité" xfId="688" builtinId="9" hidden="1"/>
    <cellStyle name="Lien hypertexte visité" xfId="690" builtinId="9" hidden="1"/>
    <cellStyle name="Lien hypertexte visité" xfId="692" builtinId="9" hidden="1"/>
    <cellStyle name="Lien hypertexte visité" xfId="694" builtinId="9" hidden="1"/>
    <cellStyle name="Lien hypertexte visité" xfId="696" builtinId="9" hidden="1"/>
    <cellStyle name="Lien hypertexte visité" xfId="698" builtinId="9" hidden="1"/>
    <cellStyle name="Lien hypertexte visité" xfId="700" builtinId="9" hidden="1"/>
    <cellStyle name="Lien hypertexte visité" xfId="702" builtinId="9" hidden="1"/>
    <cellStyle name="Lien hypertexte visité" xfId="704" builtinId="9" hidden="1"/>
    <cellStyle name="Lien hypertexte visité" xfId="706" builtinId="9" hidden="1"/>
    <cellStyle name="Lien hypertexte visité" xfId="708" builtinId="9" hidden="1"/>
    <cellStyle name="Lien hypertexte visité" xfId="710" builtinId="9" hidden="1"/>
    <cellStyle name="Lien hypertexte visité" xfId="712" builtinId="9" hidden="1"/>
    <cellStyle name="Lien hypertexte visité" xfId="714" builtinId="9" hidden="1"/>
    <cellStyle name="Lien hypertexte visité" xfId="716" builtinId="9" hidden="1"/>
    <cellStyle name="Lien hypertexte visité" xfId="718" builtinId="9" hidden="1"/>
    <cellStyle name="Lien hypertexte visité" xfId="720" builtinId="9" hidden="1"/>
    <cellStyle name="Lien hypertexte visité" xfId="722" builtinId="9" hidden="1"/>
    <cellStyle name="Lien hypertexte visité" xfId="724" builtinId="9" hidden="1"/>
    <cellStyle name="Lien hypertexte visité" xfId="726" builtinId="9" hidden="1"/>
    <cellStyle name="Lien hypertexte visité" xfId="728" builtinId="9" hidden="1"/>
    <cellStyle name="Lien hypertexte visité" xfId="730" builtinId="9" hidden="1"/>
    <cellStyle name="Lien hypertexte visité" xfId="732" builtinId="9" hidden="1"/>
    <cellStyle name="Lien hypertexte visité" xfId="734" builtinId="9" hidden="1"/>
    <cellStyle name="Lien hypertexte visité" xfId="736" builtinId="9" hidden="1"/>
    <cellStyle name="Lien hypertexte visité" xfId="738" builtinId="9" hidden="1"/>
    <cellStyle name="Lien hypertexte visité" xfId="740" builtinId="9" hidden="1"/>
    <cellStyle name="Lien hypertexte visité" xfId="742" builtinId="9" hidden="1"/>
    <cellStyle name="Lien hypertexte visité" xfId="744" builtinId="9" hidden="1"/>
    <cellStyle name="Lien hypertexte visité" xfId="746" builtinId="9" hidden="1"/>
    <cellStyle name="Lien hypertexte visité" xfId="748" builtinId="9" hidden="1"/>
    <cellStyle name="Lien hypertexte visité" xfId="750" builtinId="9" hidden="1"/>
    <cellStyle name="Lien hypertexte visité" xfId="752" builtinId="9" hidden="1"/>
    <cellStyle name="Lien hypertexte visité" xfId="754" builtinId="9" hidden="1"/>
    <cellStyle name="Lien hypertexte visité" xfId="756" builtinId="9" hidden="1"/>
    <cellStyle name="Lien hypertexte visité" xfId="758" builtinId="9" hidden="1"/>
    <cellStyle name="Lien hypertexte visité" xfId="760" builtinId="9" hidden="1"/>
    <cellStyle name="Lien hypertexte visité" xfId="762" builtinId="9" hidden="1"/>
    <cellStyle name="Lien hypertexte visité" xfId="764" builtinId="9" hidden="1"/>
    <cellStyle name="Lien hypertexte visité" xfId="766" builtinId="9" hidden="1"/>
    <cellStyle name="Lien hypertexte visité" xfId="768" builtinId="9" hidden="1"/>
    <cellStyle name="Lien hypertexte visité" xfId="770" builtinId="9" hidden="1"/>
    <cellStyle name="Lien hypertexte visité" xfId="772" builtinId="9" hidden="1"/>
    <cellStyle name="Lien hypertexte visité" xfId="774" builtinId="9" hidden="1"/>
    <cellStyle name="Lien hypertexte visité" xfId="776" builtinId="9" hidden="1"/>
    <cellStyle name="Lien hypertexte visité" xfId="778" builtinId="9" hidden="1"/>
    <cellStyle name="Lien hypertexte visité" xfId="780" builtinId="9" hidden="1"/>
    <cellStyle name="Lien hypertexte visité" xfId="782" builtinId="9" hidden="1"/>
    <cellStyle name="Lien hypertexte visité" xfId="784" builtinId="9" hidden="1"/>
    <cellStyle name="Lien hypertexte visité" xfId="786" builtinId="9" hidden="1"/>
    <cellStyle name="Lien hypertexte visité" xfId="788" builtinId="9" hidden="1"/>
    <cellStyle name="Lien hypertexte visité" xfId="790" builtinId="9" hidden="1"/>
    <cellStyle name="Lien hypertexte visité" xfId="792" builtinId="9" hidden="1"/>
    <cellStyle name="Lien hypertexte visité" xfId="794" builtinId="9" hidden="1"/>
    <cellStyle name="Lien hypertexte visité" xfId="796" builtinId="9" hidden="1"/>
    <cellStyle name="Lien hypertexte visité" xfId="798" builtinId="9" hidden="1"/>
    <cellStyle name="Lien hypertexte visité" xfId="800" builtinId="9" hidden="1"/>
    <cellStyle name="Lien hypertexte visité" xfId="802" builtinId="9" hidden="1"/>
    <cellStyle name="Lien hypertexte visité" xfId="804" builtinId="9" hidden="1"/>
    <cellStyle name="Lien hypertexte visité" xfId="806" builtinId="9" hidden="1"/>
    <cellStyle name="Lien hypertexte visité" xfId="808" builtinId="9" hidden="1"/>
    <cellStyle name="Lien hypertexte visité" xfId="810" builtinId="9" hidden="1"/>
    <cellStyle name="Lien hypertexte visité" xfId="812" builtinId="9" hidden="1"/>
    <cellStyle name="Lien hypertexte visité" xfId="814" builtinId="9" hidden="1"/>
    <cellStyle name="Lien hypertexte visité" xfId="816" builtinId="9" hidden="1"/>
    <cellStyle name="Lien hypertexte visité" xfId="818" builtinId="9" hidden="1"/>
    <cellStyle name="Lien hypertexte visité" xfId="820" builtinId="9" hidden="1"/>
    <cellStyle name="Lien hypertexte visité" xfId="822" builtinId="9" hidden="1"/>
    <cellStyle name="Lien hypertexte visité" xfId="824" builtinId="9" hidden="1"/>
    <cellStyle name="Lien hypertexte visité" xfId="826" builtinId="9" hidden="1"/>
    <cellStyle name="Lien hypertexte visité" xfId="828" builtinId="9" hidden="1"/>
    <cellStyle name="Lien hypertexte visité" xfId="830" builtinId="9" hidden="1"/>
    <cellStyle name="Lien hypertexte visité" xfId="832" builtinId="9" hidden="1"/>
    <cellStyle name="Lien hypertexte visité" xfId="834" builtinId="9" hidden="1"/>
    <cellStyle name="Lien hypertexte visité" xfId="836" builtinId="9" hidden="1"/>
    <cellStyle name="Lien hypertexte visité" xfId="838" builtinId="9" hidden="1"/>
    <cellStyle name="Lien hypertexte visité" xfId="840" builtinId="9" hidden="1"/>
    <cellStyle name="Lien hypertexte visité" xfId="842" builtinId="9" hidden="1"/>
    <cellStyle name="Lien hypertexte visité" xfId="844" builtinId="9" hidden="1"/>
    <cellStyle name="Lien hypertexte visité" xfId="846" builtinId="9" hidden="1"/>
    <cellStyle name="Lien hypertexte visité" xfId="848" builtinId="9" hidden="1"/>
    <cellStyle name="Lien hypertexte visité" xfId="850" builtinId="9" hidden="1"/>
    <cellStyle name="Lien hypertexte visité" xfId="852" builtinId="9" hidden="1"/>
    <cellStyle name="Lien hypertexte visité" xfId="854" builtinId="9" hidden="1"/>
    <cellStyle name="Lien hypertexte visité" xfId="856" builtinId="9" hidden="1"/>
    <cellStyle name="Lien hypertexte visité" xfId="858" builtinId="9" hidden="1"/>
    <cellStyle name="Lien hypertexte visité" xfId="860" builtinId="9" hidden="1"/>
    <cellStyle name="Lien hypertexte visité" xfId="862" builtinId="9" hidden="1"/>
    <cellStyle name="Lien hypertexte visité" xfId="864" builtinId="9" hidden="1"/>
    <cellStyle name="Lien hypertexte visité" xfId="866" builtinId="9" hidden="1"/>
    <cellStyle name="Lien hypertexte visité" xfId="868" builtinId="9" hidden="1"/>
    <cellStyle name="Lien hypertexte visité" xfId="870" builtinId="9" hidden="1"/>
    <cellStyle name="Lien hypertexte visité" xfId="872" builtinId="9" hidden="1"/>
    <cellStyle name="Lien hypertexte visité" xfId="874" builtinId="9" hidden="1"/>
    <cellStyle name="Lien hypertexte visité" xfId="876" builtinId="9" hidden="1"/>
    <cellStyle name="Lien hypertexte visité" xfId="878" builtinId="9" hidden="1"/>
    <cellStyle name="Lien hypertexte visité" xfId="880" builtinId="9" hidden="1"/>
    <cellStyle name="Lien hypertexte visité" xfId="882" builtinId="9" hidden="1"/>
    <cellStyle name="Lien hypertexte visité" xfId="884" builtinId="9" hidden="1"/>
    <cellStyle name="Lien hypertexte visité" xfId="886" builtinId="9" hidden="1"/>
    <cellStyle name="Lien hypertexte visité" xfId="888" builtinId="9" hidden="1"/>
    <cellStyle name="Lien hypertexte visité" xfId="890" builtinId="9" hidden="1"/>
    <cellStyle name="Lien hypertexte visité" xfId="892" builtinId="9" hidden="1"/>
    <cellStyle name="Lien hypertexte visité" xfId="894" builtinId="9" hidden="1"/>
    <cellStyle name="Lien hypertexte visité" xfId="896" builtinId="9" hidden="1"/>
    <cellStyle name="Lien hypertexte visité" xfId="898" builtinId="9" hidden="1"/>
    <cellStyle name="Lien hypertexte visité" xfId="900" builtinId="9" hidden="1"/>
    <cellStyle name="Lien hypertexte visité" xfId="902" builtinId="9" hidden="1"/>
    <cellStyle name="Lien hypertexte visité" xfId="904" builtinId="9" hidden="1"/>
    <cellStyle name="Lien hypertexte visité" xfId="906" builtinId="9" hidden="1"/>
    <cellStyle name="Lien hypertexte visité" xfId="908" builtinId="9" hidden="1"/>
    <cellStyle name="Lien hypertexte visité" xfId="910" builtinId="9" hidden="1"/>
    <cellStyle name="Lien hypertexte visité" xfId="912" builtinId="9" hidden="1"/>
    <cellStyle name="Lien hypertexte visité" xfId="914" builtinId="9" hidden="1"/>
    <cellStyle name="Lien hypertexte visité" xfId="916" builtinId="9" hidden="1"/>
    <cellStyle name="Lien hypertexte visité" xfId="918" builtinId="9" hidden="1"/>
    <cellStyle name="Lien hypertexte visité" xfId="920" builtinId="9" hidden="1"/>
    <cellStyle name="Lien hypertexte visité" xfId="922" builtinId="9" hidden="1"/>
    <cellStyle name="Lien hypertexte visité" xfId="924" builtinId="9" hidden="1"/>
    <cellStyle name="Lien hypertexte visité" xfId="926" builtinId="9" hidden="1"/>
    <cellStyle name="Lien hypertexte visité" xfId="928" builtinId="9" hidden="1"/>
    <cellStyle name="Lien hypertexte visité" xfId="930" builtinId="9" hidden="1"/>
    <cellStyle name="Lien hypertexte visité" xfId="932" builtinId="9" hidden="1"/>
    <cellStyle name="Lien hypertexte visité" xfId="934" builtinId="9" hidden="1"/>
    <cellStyle name="Lien hypertexte visité" xfId="936" builtinId="9" hidden="1"/>
    <cellStyle name="Lien hypertexte visité" xfId="938" builtinId="9" hidden="1"/>
    <cellStyle name="Lien hypertexte visité" xfId="940" builtinId="9" hidden="1"/>
    <cellStyle name="Lien hypertexte visité" xfId="942" builtinId="9" hidden="1"/>
    <cellStyle name="Lien hypertexte visité" xfId="944" builtinId="9" hidden="1"/>
    <cellStyle name="Lien hypertexte visité" xfId="946" builtinId="9" hidden="1"/>
    <cellStyle name="Lien hypertexte visité" xfId="948" builtinId="9" hidden="1"/>
    <cellStyle name="Lien hypertexte visité" xfId="950" builtinId="9" hidden="1"/>
    <cellStyle name="Lien hypertexte visité" xfId="952" builtinId="9" hidden="1"/>
    <cellStyle name="Lien hypertexte visité" xfId="954" builtinId="9" hidden="1"/>
    <cellStyle name="Lien hypertexte visité" xfId="956" builtinId="9" hidden="1"/>
    <cellStyle name="Lien hypertexte visité" xfId="958" builtinId="9" hidden="1"/>
    <cellStyle name="Lien hypertexte visité" xfId="960" builtinId="9" hidden="1"/>
    <cellStyle name="Lien hypertexte visité" xfId="962" builtinId="9" hidden="1"/>
    <cellStyle name="Lien hypertexte visité" xfId="964" builtinId="9" hidden="1"/>
    <cellStyle name="Lien hypertexte visité" xfId="966" builtinId="9" hidden="1"/>
    <cellStyle name="Lien hypertexte visité" xfId="968" builtinId="9" hidden="1"/>
    <cellStyle name="Lien hypertexte visité" xfId="970" builtinId="9" hidden="1"/>
    <cellStyle name="Lien hypertexte visité" xfId="972" builtinId="9" hidden="1"/>
    <cellStyle name="Lien hypertexte visité" xfId="974" builtinId="9" hidden="1"/>
    <cellStyle name="Lien hypertexte visité" xfId="976" builtinId="9" hidden="1"/>
    <cellStyle name="Lien hypertexte visité" xfId="978" builtinId="9" hidden="1"/>
    <cellStyle name="Lien hypertexte visité" xfId="980" builtinId="9" hidden="1"/>
    <cellStyle name="Lien hypertexte visité" xfId="982" builtinId="9" hidden="1"/>
    <cellStyle name="Lien hypertexte visité" xfId="984" builtinId="9" hidden="1"/>
    <cellStyle name="Lien hypertexte visité" xfId="986" builtinId="9" hidden="1"/>
    <cellStyle name="Lien hypertexte visité" xfId="988" builtinId="9" hidden="1"/>
    <cellStyle name="Lien hypertexte visité" xfId="990" builtinId="9" hidden="1"/>
    <cellStyle name="Lien hypertexte visité" xfId="992" builtinId="9" hidden="1"/>
    <cellStyle name="Lien hypertexte visité" xfId="994" builtinId="9" hidden="1"/>
    <cellStyle name="Lien hypertexte visité" xfId="996" builtinId="9" hidden="1"/>
    <cellStyle name="Lien hypertexte visité" xfId="998" builtinId="9" hidden="1"/>
    <cellStyle name="Lien hypertexte visité" xfId="1000" builtinId="9" hidden="1"/>
    <cellStyle name="Lien hypertexte visité" xfId="1002" builtinId="9" hidden="1"/>
    <cellStyle name="Lien hypertexte visité" xfId="1004" builtinId="9" hidden="1"/>
    <cellStyle name="Lien hypertexte visité" xfId="1006" builtinId="9" hidden="1"/>
    <cellStyle name="Lien hypertexte visité" xfId="1008" builtinId="9" hidden="1"/>
    <cellStyle name="Lien hypertexte visité" xfId="1010" builtinId="9" hidden="1"/>
    <cellStyle name="Lien hypertexte visité" xfId="1012" builtinId="9" hidden="1"/>
    <cellStyle name="Lien hypertexte visité" xfId="1014" builtinId="9" hidden="1"/>
    <cellStyle name="Lien hypertexte visité" xfId="1016" builtinId="9" hidden="1"/>
    <cellStyle name="Lien hypertexte visité" xfId="1018" builtinId="9" hidden="1"/>
    <cellStyle name="Lien hypertexte visité" xfId="1020" builtinId="9" hidden="1"/>
    <cellStyle name="Lien hypertexte visité" xfId="1022" builtinId="9" hidden="1"/>
    <cellStyle name="Lien hypertexte visité" xfId="1024" builtinId="9" hidden="1"/>
    <cellStyle name="Lien hypertexte visité" xfId="1026" builtinId="9" hidden="1"/>
    <cellStyle name="Lien hypertexte visité" xfId="1028" builtinId="9" hidden="1"/>
    <cellStyle name="Lien hypertexte visité" xfId="1030" builtinId="9" hidden="1"/>
    <cellStyle name="Lien hypertexte visité" xfId="1032" builtinId="9" hidden="1"/>
    <cellStyle name="Lien hypertexte visité" xfId="1034" builtinId="9" hidden="1"/>
    <cellStyle name="Lien hypertexte visité" xfId="1036" builtinId="9" hidden="1"/>
    <cellStyle name="Lien hypertexte visité" xfId="1038" builtinId="9" hidden="1"/>
    <cellStyle name="Lien hypertexte visité" xfId="1040" builtinId="9" hidden="1"/>
    <cellStyle name="Lien hypertexte visité" xfId="1042" builtinId="9" hidden="1"/>
    <cellStyle name="Lien hypertexte visité" xfId="1044" builtinId="9" hidden="1"/>
    <cellStyle name="Lien hypertexte visité" xfId="1046" builtinId="9" hidden="1"/>
    <cellStyle name="Lien hypertexte visité" xfId="1048" builtinId="9" hidden="1"/>
    <cellStyle name="Lien hypertexte visité" xfId="1050" builtinId="9" hidden="1"/>
    <cellStyle name="Lien hypertexte visité" xfId="1052" builtinId="9" hidden="1"/>
    <cellStyle name="Lien hypertexte visité" xfId="1054" builtinId="9" hidden="1"/>
    <cellStyle name="Lien hypertexte visité" xfId="1056" builtinId="9" hidden="1"/>
    <cellStyle name="Lien hypertexte visité" xfId="1058" builtinId="9" hidden="1"/>
    <cellStyle name="Lien hypertexte visité" xfId="1060" builtinId="9" hidden="1"/>
    <cellStyle name="Lien hypertexte visité" xfId="1062" builtinId="9" hidden="1"/>
    <cellStyle name="Lien hypertexte visité" xfId="1064" builtinId="9" hidden="1"/>
    <cellStyle name="Lien hypertexte visité" xfId="1066" builtinId="9" hidden="1"/>
    <cellStyle name="Lien hypertexte visité" xfId="1068" builtinId="9" hidden="1"/>
    <cellStyle name="Lien hypertexte visité" xfId="1070" builtinId="9" hidden="1"/>
    <cellStyle name="Lien hypertexte visité" xfId="1072" builtinId="9" hidden="1"/>
    <cellStyle name="Lien hypertexte visité" xfId="1074" builtinId="9" hidden="1"/>
    <cellStyle name="Lien hypertexte visité" xfId="1076" builtinId="9" hidden="1"/>
    <cellStyle name="Lien hypertexte visité" xfId="1078" builtinId="9" hidden="1"/>
    <cellStyle name="Lien hypertexte visité" xfId="1080" builtinId="9" hidden="1"/>
    <cellStyle name="Lien hypertexte visité" xfId="1082" builtinId="9" hidden="1"/>
    <cellStyle name="Lien hypertexte visité" xfId="1084" builtinId="9" hidden="1"/>
    <cellStyle name="Lien hypertexte visité" xfId="1086" builtinId="9" hidden="1"/>
    <cellStyle name="Lien hypertexte visité" xfId="1088" builtinId="9" hidden="1"/>
    <cellStyle name="Lien hypertexte visité" xfId="1090" builtinId="9" hidden="1"/>
    <cellStyle name="Lien hypertexte visité" xfId="1092" builtinId="9" hidden="1"/>
    <cellStyle name="Lien hypertexte visité" xfId="1094" builtinId="9" hidden="1"/>
    <cellStyle name="Lien hypertexte visité" xfId="1096" builtinId="9" hidden="1"/>
    <cellStyle name="Lien hypertexte visité" xfId="1098" builtinId="9" hidden="1"/>
    <cellStyle name="Lien hypertexte visité" xfId="1100" builtinId="9" hidden="1"/>
    <cellStyle name="Lien hypertexte visité" xfId="1102" builtinId="9" hidden="1"/>
    <cellStyle name="Lien hypertexte visité" xfId="1104" builtinId="9" hidden="1"/>
    <cellStyle name="Lien hypertexte visité" xfId="1106" builtinId="9" hidden="1"/>
    <cellStyle name="Lien hypertexte visité" xfId="1108" builtinId="9" hidden="1"/>
    <cellStyle name="Lien hypertexte visité" xfId="1110" builtinId="9" hidden="1"/>
    <cellStyle name="Lien hypertexte visité" xfId="1112" builtinId="9" hidden="1"/>
    <cellStyle name="Lien hypertexte visité" xfId="1114" builtinId="9" hidden="1"/>
    <cellStyle name="Lien hypertexte visité" xfId="1116" builtinId="9" hidden="1"/>
    <cellStyle name="Lien hypertexte visité" xfId="1118" builtinId="9" hidden="1"/>
    <cellStyle name="Lien hypertexte visité" xfId="1120" builtinId="9" hidden="1"/>
    <cellStyle name="Lien hypertexte visité" xfId="1122" builtinId="9" hidden="1"/>
    <cellStyle name="Lien hypertexte visité" xfId="1124" builtinId="9" hidden="1"/>
    <cellStyle name="Lien hypertexte visité" xfId="1126" builtinId="9" hidden="1"/>
    <cellStyle name="Lien hypertexte visité" xfId="1128" builtinId="9" hidden="1"/>
    <cellStyle name="Lien hypertexte visité" xfId="1130" builtinId="9" hidden="1"/>
    <cellStyle name="Lien hypertexte visité" xfId="1132" builtinId="9" hidden="1"/>
    <cellStyle name="Lien hypertexte visité" xfId="1134" builtinId="9" hidden="1"/>
    <cellStyle name="Lien hypertexte visité" xfId="1136" builtinId="9" hidden="1"/>
    <cellStyle name="Lien hypertexte visité" xfId="1138" builtinId="9" hidden="1"/>
    <cellStyle name="Lien hypertexte visité" xfId="1140" builtinId="9" hidden="1"/>
    <cellStyle name="Lien hypertexte visité" xfId="1142" builtinId="9" hidden="1"/>
    <cellStyle name="Lien hypertexte visité" xfId="1144" builtinId="9" hidden="1"/>
    <cellStyle name="Lien hypertexte visité" xfId="1146" builtinId="9" hidden="1"/>
    <cellStyle name="Lien hypertexte visité" xfId="1148" builtinId="9" hidden="1"/>
    <cellStyle name="Lien hypertexte visité" xfId="1150" builtinId="9" hidden="1"/>
    <cellStyle name="Lien hypertexte visité" xfId="1152" builtinId="9" hidden="1"/>
    <cellStyle name="Lien hypertexte visité" xfId="1154" builtinId="9" hidden="1"/>
    <cellStyle name="Lien hypertexte visité" xfId="1156" builtinId="9" hidden="1"/>
    <cellStyle name="Lien hypertexte visité" xfId="1158" builtinId="9" hidden="1"/>
    <cellStyle name="Lien hypertexte visité" xfId="1160" builtinId="9" hidden="1"/>
    <cellStyle name="Lien hypertexte visité" xfId="1162" builtinId="9" hidden="1"/>
    <cellStyle name="Lien hypertexte visité" xfId="1164" builtinId="9" hidden="1"/>
    <cellStyle name="Lien hypertexte visité" xfId="1166" builtinId="9" hidden="1"/>
    <cellStyle name="Lien hypertexte visité" xfId="1168" builtinId="9" hidden="1"/>
    <cellStyle name="Lien hypertexte visité" xfId="1170" builtinId="9" hidden="1"/>
    <cellStyle name="Lien hypertexte visité" xfId="1172" builtinId="9" hidden="1"/>
    <cellStyle name="Lien hypertexte visité" xfId="1174" builtinId="9" hidden="1"/>
    <cellStyle name="Lien hypertexte visité" xfId="1176" builtinId="9" hidden="1"/>
    <cellStyle name="Lien hypertexte visité" xfId="1178" builtinId="9" hidden="1"/>
    <cellStyle name="Lien hypertexte visité" xfId="1180" builtinId="9" hidden="1"/>
    <cellStyle name="Lien hypertexte visité" xfId="1182" builtinId="9" hidden="1"/>
    <cellStyle name="Lien hypertexte visité" xfId="1184" builtinId="9" hidden="1"/>
    <cellStyle name="Lien hypertexte visité" xfId="1186" builtinId="9" hidden="1"/>
    <cellStyle name="Lien hypertexte visité" xfId="1188" builtinId="9" hidden="1"/>
    <cellStyle name="Lien hypertexte visité" xfId="1190" builtinId="9" hidden="1"/>
    <cellStyle name="Lien hypertexte visité" xfId="1192" builtinId="9" hidden="1"/>
    <cellStyle name="Lien hypertexte visité" xfId="1194" builtinId="9" hidden="1"/>
    <cellStyle name="Lien hypertexte visité" xfId="1196" builtinId="9" hidden="1"/>
    <cellStyle name="Lien hypertexte visité" xfId="1198" builtinId="9" hidden="1"/>
    <cellStyle name="Lien hypertexte visité" xfId="1200" builtinId="9" hidden="1"/>
    <cellStyle name="Lien hypertexte visité" xfId="1202" builtinId="9" hidden="1"/>
    <cellStyle name="Lien hypertexte visité" xfId="1204" builtinId="9" hidden="1"/>
    <cellStyle name="Lien hypertexte visité" xfId="1206" builtinId="9" hidden="1"/>
    <cellStyle name="Lien hypertexte visité" xfId="1208" builtinId="9" hidden="1"/>
    <cellStyle name="Lien hypertexte visité" xfId="1210" builtinId="9" hidden="1"/>
    <cellStyle name="Lien hypertexte visité" xfId="1212" builtinId="9" hidden="1"/>
    <cellStyle name="Lien hypertexte visité" xfId="1214" builtinId="9" hidden="1"/>
    <cellStyle name="Lien hypertexte visité" xfId="1216" builtinId="9" hidden="1"/>
    <cellStyle name="Lien hypertexte visité" xfId="1218" builtinId="9" hidden="1"/>
    <cellStyle name="Lien hypertexte visité" xfId="1220" builtinId="9" hidden="1"/>
    <cellStyle name="Lien hypertexte visité" xfId="1222" builtinId="9" hidden="1"/>
    <cellStyle name="Lien hypertexte visité" xfId="1224" builtinId="9" hidden="1"/>
    <cellStyle name="Lien hypertexte visité" xfId="1226" builtinId="9" hidden="1"/>
    <cellStyle name="Lien hypertexte visité" xfId="1228" builtinId="9" hidden="1"/>
    <cellStyle name="Lien hypertexte visité" xfId="1230" builtinId="9" hidden="1"/>
    <cellStyle name="Lien hypertexte visité" xfId="1232" builtinId="9" hidden="1"/>
    <cellStyle name="Lien hypertexte visité" xfId="1234" builtinId="9" hidden="1"/>
    <cellStyle name="Lien hypertexte visité" xfId="1236" builtinId="9" hidden="1"/>
    <cellStyle name="Lien hypertexte visité" xfId="1238" builtinId="9" hidden="1"/>
    <cellStyle name="Lien hypertexte visité" xfId="1240" builtinId="9" hidden="1"/>
    <cellStyle name="Lien hypertexte visité" xfId="1242" builtinId="9" hidden="1"/>
    <cellStyle name="Lien hypertexte visité" xfId="1244" builtinId="9" hidden="1"/>
    <cellStyle name="Lien hypertexte visité" xfId="1246" builtinId="9" hidden="1"/>
    <cellStyle name="Lien hypertexte visité" xfId="1248" builtinId="9" hidden="1"/>
    <cellStyle name="Lien hypertexte visité" xfId="1250" builtinId="9" hidden="1"/>
    <cellStyle name="Lien hypertexte visité" xfId="1252" builtinId="9" hidden="1"/>
    <cellStyle name="Lien hypertexte visité" xfId="1254" builtinId="9" hidden="1"/>
    <cellStyle name="Lien hypertexte visité" xfId="1256" builtinId="9" hidden="1"/>
    <cellStyle name="Lien hypertexte visité" xfId="1258" builtinId="9" hidden="1"/>
    <cellStyle name="Lien hypertexte visité" xfId="1260" builtinId="9" hidden="1"/>
    <cellStyle name="Lien hypertexte visité" xfId="1262" builtinId="9" hidden="1"/>
    <cellStyle name="Lien hypertexte visité" xfId="1264" builtinId="9" hidden="1"/>
    <cellStyle name="Lien hypertexte visité" xfId="1266" builtinId="9" hidden="1"/>
    <cellStyle name="Lien hypertexte visité" xfId="1268" builtinId="9" hidden="1"/>
    <cellStyle name="Lien hypertexte visité" xfId="1270" builtinId="9" hidden="1"/>
    <cellStyle name="Lien hypertexte visité" xfId="1272" builtinId="9" hidden="1"/>
    <cellStyle name="Lien hypertexte visité" xfId="1274" builtinId="9" hidden="1"/>
    <cellStyle name="Lien hypertexte visité" xfId="1276" builtinId="9" hidden="1"/>
    <cellStyle name="Lien hypertexte visité" xfId="1278" builtinId="9" hidden="1"/>
    <cellStyle name="Lien hypertexte visité" xfId="1280" builtinId="9" hidden="1"/>
    <cellStyle name="Lien hypertexte visité" xfId="1282" builtinId="9" hidden="1"/>
    <cellStyle name="Lien hypertexte visité" xfId="1284" builtinId="9" hidden="1"/>
    <cellStyle name="Lien hypertexte visité" xfId="1286" builtinId="9" hidden="1"/>
    <cellStyle name="Lien hypertexte visité" xfId="1288" builtinId="9" hidden="1"/>
    <cellStyle name="Lien hypertexte visité" xfId="1290" builtinId="9" hidden="1"/>
    <cellStyle name="Lien hypertexte visité" xfId="1292" builtinId="9" hidden="1"/>
    <cellStyle name="Lien hypertexte visité" xfId="1294" builtinId="9" hidden="1"/>
    <cellStyle name="Lien hypertexte visité" xfId="1296" builtinId="9" hidden="1"/>
    <cellStyle name="Lien hypertexte visité" xfId="1298" builtinId="9" hidden="1"/>
    <cellStyle name="Lien hypertexte visité" xfId="1300" builtinId="9" hidden="1"/>
    <cellStyle name="Lien hypertexte visité" xfId="1302" builtinId="9" hidden="1"/>
    <cellStyle name="Lien hypertexte visité" xfId="1304" builtinId="9" hidden="1"/>
    <cellStyle name="Lien hypertexte visité" xfId="1306" builtinId="9" hidden="1"/>
    <cellStyle name="Lien hypertexte visité" xfId="1308" builtinId="9" hidden="1"/>
    <cellStyle name="Lien hypertexte visité" xfId="1310" builtinId="9" hidden="1"/>
    <cellStyle name="Lien hypertexte visité" xfId="1312" builtinId="9" hidden="1"/>
    <cellStyle name="Lien hypertexte visité" xfId="1314" builtinId="9" hidden="1"/>
    <cellStyle name="Lien hypertexte visité" xfId="1316" builtinId="9" hidden="1"/>
    <cellStyle name="Lien hypertexte visité" xfId="1318" builtinId="9" hidden="1"/>
    <cellStyle name="Lien hypertexte visité" xfId="1320" builtinId="9" hidden="1"/>
    <cellStyle name="Lien hypertexte visité" xfId="1322" builtinId="9" hidden="1"/>
    <cellStyle name="Lien hypertexte visité" xfId="1324" builtinId="9" hidden="1"/>
    <cellStyle name="Lien hypertexte visité" xfId="1326" builtinId="9" hidden="1"/>
    <cellStyle name="Lien hypertexte visité" xfId="1328" builtinId="9" hidden="1"/>
    <cellStyle name="Lien hypertexte visité" xfId="1330" builtinId="9" hidden="1"/>
    <cellStyle name="Lien hypertexte visité" xfId="1332" builtinId="9" hidden="1"/>
    <cellStyle name="Lien hypertexte visité" xfId="1334" builtinId="9" hidden="1"/>
    <cellStyle name="Lien hypertexte visité" xfId="1336" builtinId="9" hidden="1"/>
    <cellStyle name="Lien hypertexte visité" xfId="1338" builtinId="9" hidden="1"/>
    <cellStyle name="Lien hypertexte visité" xfId="1340" builtinId="9" hidden="1"/>
    <cellStyle name="Lien hypertexte visité" xfId="1342" builtinId="9" hidden="1"/>
    <cellStyle name="Lien hypertexte visité" xfId="1344" builtinId="9" hidden="1"/>
    <cellStyle name="Lien hypertexte visité" xfId="1346" builtinId="9" hidden="1"/>
    <cellStyle name="Lien hypertexte visité" xfId="1348" builtinId="9" hidden="1"/>
    <cellStyle name="Lien hypertexte visité" xfId="1350" builtinId="9" hidden="1"/>
    <cellStyle name="Lien hypertexte visité" xfId="1352" builtinId="9" hidden="1"/>
    <cellStyle name="Lien hypertexte visité" xfId="1354" builtinId="9" hidden="1"/>
    <cellStyle name="Lien hypertexte visité" xfId="1356" builtinId="9" hidden="1"/>
    <cellStyle name="Lien hypertexte visité" xfId="1358" builtinId="9" hidden="1"/>
    <cellStyle name="Lien hypertexte visité" xfId="1360" builtinId="9" hidden="1"/>
    <cellStyle name="Lien hypertexte visité" xfId="1362" builtinId="9" hidden="1"/>
    <cellStyle name="Lien hypertexte visité" xfId="1364" builtinId="9" hidden="1"/>
    <cellStyle name="Lien hypertexte visité" xfId="1366" builtinId="9" hidden="1"/>
    <cellStyle name="Lien hypertexte visité" xfId="1368" builtinId="9" hidden="1"/>
    <cellStyle name="Lien hypertexte visité" xfId="1370" builtinId="9" hidden="1"/>
    <cellStyle name="Lien hypertexte visité" xfId="1372" builtinId="9" hidden="1"/>
    <cellStyle name="Lien hypertexte visité" xfId="1374" builtinId="9" hidden="1"/>
    <cellStyle name="Lien hypertexte visité" xfId="1376" builtinId="9" hidden="1"/>
    <cellStyle name="Lien hypertexte visité" xfId="1378" builtinId="9" hidden="1"/>
    <cellStyle name="Lien hypertexte visité" xfId="1380" builtinId="9" hidden="1"/>
    <cellStyle name="Lien hypertexte visité" xfId="1382" builtinId="9" hidden="1"/>
    <cellStyle name="Lien hypertexte visité" xfId="1384" builtinId="9" hidden="1"/>
    <cellStyle name="Lien hypertexte visité" xfId="1386" builtinId="9" hidden="1"/>
    <cellStyle name="Lien hypertexte visité" xfId="1388" builtinId="9" hidden="1"/>
    <cellStyle name="Lien hypertexte visité" xfId="1390" builtinId="9" hidden="1"/>
    <cellStyle name="Lien hypertexte visité" xfId="1392" builtinId="9" hidden="1"/>
    <cellStyle name="Lien hypertexte visité" xfId="1394" builtinId="9" hidden="1"/>
    <cellStyle name="Lien hypertexte visité" xfId="1396" builtinId="9" hidden="1"/>
    <cellStyle name="Lien hypertexte visité" xfId="1398" builtinId="9" hidden="1"/>
    <cellStyle name="Lien hypertexte visité" xfId="1400" builtinId="9" hidden="1"/>
    <cellStyle name="Lien hypertexte visité" xfId="1402" builtinId="9" hidden="1"/>
    <cellStyle name="Lien hypertexte visité" xfId="1404" builtinId="9" hidden="1"/>
    <cellStyle name="Lien hypertexte visité" xfId="1406" builtinId="9" hidden="1"/>
    <cellStyle name="Lien hypertexte visité" xfId="1408" builtinId="9" hidden="1"/>
    <cellStyle name="Lien hypertexte visité" xfId="1410" builtinId="9" hidden="1"/>
    <cellStyle name="Lien hypertexte visité" xfId="1412" builtinId="9" hidden="1"/>
    <cellStyle name="Lien hypertexte visité" xfId="1414" builtinId="9" hidden="1"/>
    <cellStyle name="Lien hypertexte visité" xfId="1416" builtinId="9" hidden="1"/>
    <cellStyle name="Lien hypertexte visité" xfId="1418" builtinId="9" hidden="1"/>
    <cellStyle name="Lien hypertexte visité" xfId="1420" builtinId="9" hidden="1"/>
    <cellStyle name="Lien hypertexte visité" xfId="1422" builtinId="9" hidden="1"/>
    <cellStyle name="Lien hypertexte visité" xfId="1424" builtinId="9" hidden="1"/>
    <cellStyle name="Lien hypertexte visité" xfId="1426" builtinId="9" hidden="1"/>
    <cellStyle name="Lien hypertexte visité" xfId="1428" builtinId="9" hidden="1"/>
    <cellStyle name="Lien hypertexte visité" xfId="1430" builtinId="9" hidden="1"/>
    <cellStyle name="Lien hypertexte visité" xfId="1432" builtinId="9" hidden="1"/>
    <cellStyle name="Lien hypertexte visité" xfId="1434" builtinId="9" hidden="1"/>
    <cellStyle name="Lien hypertexte visité" xfId="1436" builtinId="9" hidden="1"/>
    <cellStyle name="Lien hypertexte visité" xfId="1438" builtinId="9" hidden="1"/>
    <cellStyle name="Lien hypertexte visité" xfId="1440" builtinId="9" hidden="1"/>
    <cellStyle name="Lien hypertexte visité" xfId="1442" builtinId="9" hidden="1"/>
    <cellStyle name="Lien hypertexte visité" xfId="1444" builtinId="9" hidden="1"/>
    <cellStyle name="Lien hypertexte visité" xfId="1446" builtinId="9" hidden="1"/>
    <cellStyle name="Lien hypertexte visité" xfId="1448" builtinId="9" hidden="1"/>
    <cellStyle name="Lien hypertexte visité" xfId="1450" builtinId="9" hidden="1"/>
    <cellStyle name="Lien hypertexte visité" xfId="1452" builtinId="9" hidden="1"/>
    <cellStyle name="Lien hypertexte visité" xfId="1454" builtinId="9" hidden="1"/>
    <cellStyle name="Lien hypertexte visité" xfId="1456" builtinId="9" hidden="1"/>
    <cellStyle name="Lien hypertexte visité" xfId="1458" builtinId="9" hidden="1"/>
    <cellStyle name="Lien hypertexte visité" xfId="1460" builtinId="9" hidden="1"/>
    <cellStyle name="Lien hypertexte visité" xfId="1462" builtinId="9" hidden="1"/>
    <cellStyle name="Lien hypertexte visité" xfId="1464" builtinId="9" hidden="1"/>
    <cellStyle name="Lien hypertexte visité" xfId="1466" builtinId="9" hidden="1"/>
    <cellStyle name="Lien hypertexte visité" xfId="1468" builtinId="9" hidden="1"/>
    <cellStyle name="Lien hypertexte visité" xfId="1470" builtinId="9" hidden="1"/>
    <cellStyle name="Lien hypertexte visité" xfId="1472" builtinId="9" hidden="1"/>
    <cellStyle name="Lien hypertexte visité" xfId="1474" builtinId="9" hidden="1"/>
    <cellStyle name="Lien hypertexte visité" xfId="1476" builtinId="9" hidden="1"/>
    <cellStyle name="Lien hypertexte visité" xfId="1478" builtinId="9" hidden="1"/>
    <cellStyle name="Lien hypertexte visité" xfId="1480" builtinId="9" hidden="1"/>
    <cellStyle name="Lien hypertexte visité" xfId="1482" builtinId="9" hidden="1"/>
    <cellStyle name="Lien hypertexte visité" xfId="1484" builtinId="9" hidden="1"/>
    <cellStyle name="Lien hypertexte visité" xfId="1486" builtinId="9" hidden="1"/>
    <cellStyle name="Lien hypertexte visité" xfId="1488" builtinId="9" hidden="1"/>
    <cellStyle name="Lien hypertexte visité" xfId="1490" builtinId="9" hidden="1"/>
    <cellStyle name="Lien hypertexte visité" xfId="1492" builtinId="9" hidden="1"/>
    <cellStyle name="Lien hypertexte visité" xfId="1494" builtinId="9" hidden="1"/>
    <cellStyle name="Lien hypertexte visité" xfId="1496" builtinId="9" hidden="1"/>
    <cellStyle name="Lien hypertexte visité" xfId="1498" builtinId="9" hidden="1"/>
    <cellStyle name="Lien hypertexte visité" xfId="1500" builtinId="9" hidden="1"/>
    <cellStyle name="Lien hypertexte visité" xfId="1502" builtinId="9" hidden="1"/>
    <cellStyle name="Lien hypertexte visité" xfId="1504" builtinId="9" hidden="1"/>
    <cellStyle name="Lien hypertexte visité" xfId="1506" builtinId="9" hidden="1"/>
    <cellStyle name="Lien hypertexte visité" xfId="1508" builtinId="9" hidden="1"/>
    <cellStyle name="Lien hypertexte visité" xfId="1510" builtinId="9" hidden="1"/>
    <cellStyle name="Lien hypertexte visité" xfId="1512" builtinId="9" hidden="1"/>
    <cellStyle name="Lien hypertexte visité" xfId="1514" builtinId="9" hidden="1"/>
    <cellStyle name="Lien hypertexte visité" xfId="1516" builtinId="9" hidden="1"/>
    <cellStyle name="Lien hypertexte visité" xfId="1518" builtinId="9" hidden="1"/>
    <cellStyle name="Lien hypertexte visité" xfId="1520" builtinId="9" hidden="1"/>
    <cellStyle name="Lien hypertexte visité" xfId="1522" builtinId="9" hidden="1"/>
    <cellStyle name="Lien hypertexte visité" xfId="1524" builtinId="9" hidden="1"/>
    <cellStyle name="Lien hypertexte visité" xfId="1526" builtinId="9" hidden="1"/>
    <cellStyle name="Lien hypertexte visité" xfId="1528" builtinId="9" hidden="1"/>
    <cellStyle name="Lien hypertexte visité" xfId="1530" builtinId="9" hidden="1"/>
    <cellStyle name="Lien hypertexte visité" xfId="1532" builtinId="9" hidden="1"/>
    <cellStyle name="Lien hypertexte visité" xfId="1534" builtinId="9" hidden="1"/>
    <cellStyle name="Lien hypertexte visité" xfId="1536" builtinId="9" hidden="1"/>
    <cellStyle name="Lien hypertexte visité" xfId="1538" builtinId="9" hidden="1"/>
    <cellStyle name="Lien hypertexte visité" xfId="1540" builtinId="9" hidden="1"/>
    <cellStyle name="Lien hypertexte visité" xfId="1542" builtinId="9" hidden="1"/>
    <cellStyle name="Lien hypertexte visité" xfId="1544" builtinId="9" hidden="1"/>
    <cellStyle name="Lien hypertexte visité" xfId="1546" builtinId="9" hidden="1"/>
    <cellStyle name="Lien hypertexte visité" xfId="1548" builtinId="9" hidden="1"/>
    <cellStyle name="Lien hypertexte visité" xfId="1550" builtinId="9" hidden="1"/>
    <cellStyle name="Lien hypertexte visité" xfId="1552" builtinId="9" hidden="1"/>
    <cellStyle name="Lien hypertexte visité" xfId="1554" builtinId="9" hidden="1"/>
    <cellStyle name="Lien hypertexte visité" xfId="1556" builtinId="9" hidden="1"/>
    <cellStyle name="Lien hypertexte visité" xfId="1558" builtinId="9" hidden="1"/>
    <cellStyle name="Lien hypertexte visité" xfId="1560" builtinId="9" hidden="1"/>
    <cellStyle name="Lien hypertexte visité" xfId="1562" builtinId="9" hidden="1"/>
    <cellStyle name="Lien hypertexte visité" xfId="1564" builtinId="9" hidden="1"/>
    <cellStyle name="Lien hypertexte visité" xfId="1566" builtinId="9" hidden="1"/>
    <cellStyle name="Lien hypertexte visité" xfId="1568" builtinId="9" hidden="1"/>
    <cellStyle name="Lien hypertexte visité" xfId="1570" builtinId="9" hidden="1"/>
    <cellStyle name="Lien hypertexte visité" xfId="1572" builtinId="9" hidden="1"/>
    <cellStyle name="Lien hypertexte visité" xfId="1574" builtinId="9" hidden="1"/>
    <cellStyle name="Lien hypertexte visité" xfId="1576" builtinId="9" hidden="1"/>
    <cellStyle name="Lien hypertexte visité" xfId="1578" builtinId="9" hidden="1"/>
    <cellStyle name="Lien hypertexte visité" xfId="1580" builtinId="9" hidden="1"/>
    <cellStyle name="Lien hypertexte visité" xfId="1582" builtinId="9" hidden="1"/>
    <cellStyle name="Lien hypertexte visité" xfId="1584" builtinId="9" hidden="1"/>
    <cellStyle name="Lien hypertexte visité" xfId="1586" builtinId="9" hidden="1"/>
    <cellStyle name="Lien hypertexte visité" xfId="1588" builtinId="9" hidden="1"/>
    <cellStyle name="Lien hypertexte visité" xfId="1590" builtinId="9" hidden="1"/>
    <cellStyle name="Lien hypertexte visité" xfId="1592" builtinId="9" hidden="1"/>
    <cellStyle name="Lien hypertexte visité" xfId="1594" builtinId="9" hidden="1"/>
    <cellStyle name="Lien hypertexte visité" xfId="1596" builtinId="9" hidden="1"/>
    <cellStyle name="Lien hypertexte visité" xfId="1598" builtinId="9" hidden="1"/>
    <cellStyle name="Lien hypertexte visité" xfId="1600" builtinId="9" hidden="1"/>
    <cellStyle name="Lien hypertexte visité" xfId="1602" builtinId="9" hidden="1"/>
    <cellStyle name="Lien hypertexte visité" xfId="1604" builtinId="9" hidden="1"/>
    <cellStyle name="Lien hypertexte visité" xfId="1606" builtinId="9" hidden="1"/>
    <cellStyle name="Lien hypertexte visité" xfId="1608" builtinId="9" hidden="1"/>
    <cellStyle name="Lien hypertexte visité" xfId="1610" builtinId="9" hidden="1"/>
    <cellStyle name="Lien hypertexte visité" xfId="1612" builtinId="9" hidden="1"/>
    <cellStyle name="Lien hypertexte visité" xfId="1614" builtinId="9" hidden="1"/>
    <cellStyle name="Lien hypertexte visité" xfId="1616" builtinId="9" hidden="1"/>
    <cellStyle name="Lien hypertexte visité" xfId="1618" builtinId="9" hidden="1"/>
    <cellStyle name="Lien hypertexte visité" xfId="1620" builtinId="9" hidden="1"/>
    <cellStyle name="Lien hypertexte visité" xfId="1622" builtinId="9" hidden="1"/>
    <cellStyle name="Lien hypertexte visité" xfId="1624" builtinId="9" hidden="1"/>
    <cellStyle name="Lien hypertexte visité" xfId="1626" builtinId="9" hidden="1"/>
    <cellStyle name="Lien hypertexte visité" xfId="1628" builtinId="9" hidden="1"/>
    <cellStyle name="Lien hypertexte visité" xfId="1630" builtinId="9" hidden="1"/>
    <cellStyle name="Lien hypertexte visité" xfId="1632" builtinId="9" hidden="1"/>
    <cellStyle name="Lien hypertexte visité" xfId="1634" builtinId="9" hidden="1"/>
    <cellStyle name="Lien hypertexte visité" xfId="1636" builtinId="9" hidden="1"/>
    <cellStyle name="Lien hypertexte visité" xfId="1638" builtinId="9" hidden="1"/>
    <cellStyle name="Lien hypertexte visité" xfId="1640" builtinId="9" hidden="1"/>
    <cellStyle name="Lien hypertexte visité" xfId="1642" builtinId="9" hidden="1"/>
    <cellStyle name="Lien hypertexte visité" xfId="1644" builtinId="9" hidden="1"/>
    <cellStyle name="Lien hypertexte visité" xfId="1646" builtinId="9" hidden="1"/>
    <cellStyle name="Lien hypertexte visité" xfId="1648" builtinId="9" hidden="1"/>
    <cellStyle name="Lien hypertexte visité" xfId="1650" builtinId="9" hidden="1"/>
    <cellStyle name="Lien hypertexte visité" xfId="1652" builtinId="9" hidden="1"/>
    <cellStyle name="Lien hypertexte visité" xfId="1654" builtinId="9" hidden="1"/>
    <cellStyle name="Lien hypertexte visité" xfId="1656" builtinId="9" hidden="1"/>
    <cellStyle name="Lien hypertexte visité" xfId="1658" builtinId="9" hidden="1"/>
    <cellStyle name="Lien hypertexte visité" xfId="1660" builtinId="9" hidden="1"/>
    <cellStyle name="Lien hypertexte visité" xfId="1662" builtinId="9" hidden="1"/>
    <cellStyle name="Lien hypertexte visité" xfId="1664" builtinId="9" hidden="1"/>
    <cellStyle name="Lien hypertexte visité" xfId="1666" builtinId="9" hidden="1"/>
    <cellStyle name="Lien hypertexte visité" xfId="1668" builtinId="9" hidden="1"/>
    <cellStyle name="Lien hypertexte visité" xfId="1670" builtinId="9" hidden="1"/>
    <cellStyle name="Lien hypertexte visité" xfId="1672" builtinId="9" hidden="1"/>
    <cellStyle name="Lien hypertexte visité" xfId="1674" builtinId="9" hidden="1"/>
    <cellStyle name="Lien hypertexte visité" xfId="1676" builtinId="9" hidden="1"/>
    <cellStyle name="Lien hypertexte visité" xfId="1678" builtinId="9" hidden="1"/>
    <cellStyle name="Lien hypertexte visité" xfId="1680" builtinId="9" hidden="1"/>
    <cellStyle name="Lien hypertexte visité" xfId="1682" builtinId="9" hidden="1"/>
    <cellStyle name="Lien hypertexte visité" xfId="1684" builtinId="9" hidden="1"/>
    <cellStyle name="Lien hypertexte visité" xfId="1686" builtinId="9" hidden="1"/>
    <cellStyle name="Lien hypertexte visité" xfId="1688" builtinId="9" hidden="1"/>
    <cellStyle name="Lien hypertexte visité" xfId="1690" builtinId="9" hidden="1"/>
    <cellStyle name="Lien hypertexte visité" xfId="1692" builtinId="9" hidden="1"/>
    <cellStyle name="Lien hypertexte visité" xfId="1694" builtinId="9" hidden="1"/>
    <cellStyle name="Lien hypertexte visité" xfId="1696" builtinId="9" hidden="1"/>
    <cellStyle name="Lien hypertexte visité" xfId="1698" builtinId="9" hidden="1"/>
    <cellStyle name="Lien hypertexte visité" xfId="1700" builtinId="9" hidden="1"/>
    <cellStyle name="Lien hypertexte visité" xfId="1702" builtinId="9" hidden="1"/>
    <cellStyle name="Lien hypertexte visité" xfId="1704" builtinId="9" hidden="1"/>
    <cellStyle name="Normal" xfId="0" builtinId="0"/>
  </cellStyles>
  <dxfs count="585">
    <dxf>
      <font>
        <b/>
        <i val="0"/>
        <color auto="1"/>
      </font>
      <fill>
        <patternFill patternType="solid">
          <fgColor indexed="64"/>
          <bgColor rgb="FFE1FFA4"/>
        </patternFill>
      </fill>
    </dxf>
    <dxf>
      <font>
        <b/>
        <i val="0"/>
        <color auto="1"/>
      </font>
      <fill>
        <patternFill patternType="solid">
          <fgColor indexed="64"/>
          <bgColor rgb="FFFEA1A5"/>
        </patternFill>
      </fill>
    </dxf>
    <dxf>
      <font>
        <b/>
        <i val="0"/>
        <color auto="1"/>
      </font>
      <fill>
        <patternFill patternType="solid">
          <fgColor indexed="64"/>
          <bgColor rgb="FFFFE1A4"/>
        </patternFill>
      </fill>
    </dxf>
    <dxf>
      <font>
        <b/>
        <i val="0"/>
        <color auto="1"/>
      </font>
      <fill>
        <patternFill patternType="solid">
          <fgColor indexed="64"/>
          <bgColor rgb="FFFFE1A4"/>
        </patternFill>
      </fill>
    </dxf>
    <dxf>
      <font>
        <b/>
        <i val="0"/>
        <color auto="1"/>
      </font>
      <fill>
        <patternFill patternType="solid">
          <fgColor indexed="64"/>
          <bgColor rgb="FFFEA1A5"/>
        </patternFill>
      </fill>
    </dxf>
    <dxf>
      <font>
        <b/>
        <i val="0"/>
        <color auto="1"/>
      </font>
      <fill>
        <patternFill patternType="solid">
          <fgColor indexed="64"/>
          <bgColor rgb="FFE1FFA4"/>
        </patternFill>
      </fill>
    </dxf>
    <dxf>
      <font>
        <b/>
        <i val="0"/>
        <color auto="1"/>
      </font>
      <fill>
        <patternFill patternType="solid">
          <fgColor indexed="64"/>
          <bgColor rgb="FFFFE1A4"/>
        </patternFill>
      </fill>
    </dxf>
    <dxf>
      <font>
        <b/>
        <i val="0"/>
        <color auto="1"/>
      </font>
      <fill>
        <patternFill patternType="solid">
          <fgColor indexed="64"/>
          <bgColor rgb="FFE1FFA4"/>
        </patternFill>
      </fill>
    </dxf>
    <dxf>
      <font>
        <b/>
        <i val="0"/>
        <color auto="1"/>
      </font>
      <fill>
        <patternFill patternType="solid">
          <fgColor indexed="64"/>
          <bgColor rgb="FFFEA1A5"/>
        </patternFill>
      </fill>
    </dxf>
    <dxf>
      <font>
        <b/>
        <i val="0"/>
        <color auto="1"/>
      </font>
      <fill>
        <patternFill patternType="solid">
          <fgColor indexed="64"/>
          <bgColor rgb="FFFFE1A4"/>
        </patternFill>
      </fill>
    </dxf>
    <dxf>
      <font>
        <b/>
        <i val="0"/>
        <color auto="1"/>
      </font>
      <fill>
        <patternFill patternType="solid">
          <fgColor indexed="64"/>
          <bgColor rgb="FFFFE1A4"/>
        </patternFill>
      </fill>
    </dxf>
    <dxf>
      <font>
        <b/>
        <i val="0"/>
        <color auto="1"/>
      </font>
      <fill>
        <patternFill patternType="solid">
          <fgColor indexed="64"/>
          <bgColor rgb="FFFEA1A5"/>
        </patternFill>
      </fill>
    </dxf>
    <dxf>
      <font>
        <b/>
        <i val="0"/>
        <color auto="1"/>
      </font>
      <fill>
        <patternFill patternType="solid">
          <fgColor indexed="64"/>
          <bgColor rgb="FFE1FFA4"/>
        </patternFill>
      </fill>
    </dxf>
    <dxf>
      <font>
        <b/>
        <i val="0"/>
        <color auto="1"/>
      </font>
      <fill>
        <patternFill patternType="solid">
          <fgColor indexed="64"/>
          <bgColor rgb="FFFFE1A4"/>
        </patternFill>
      </fill>
    </dxf>
    <dxf>
      <font>
        <b/>
        <i val="0"/>
        <color auto="1"/>
      </font>
      <fill>
        <patternFill patternType="solid">
          <fgColor indexed="64"/>
          <bgColor rgb="FFE1FFA4"/>
        </patternFill>
      </fill>
    </dxf>
    <dxf>
      <font>
        <b/>
        <i val="0"/>
        <color auto="1"/>
      </font>
      <fill>
        <patternFill patternType="solid">
          <fgColor indexed="64"/>
          <bgColor rgb="FFFEA1A5"/>
        </patternFill>
      </fill>
    </dxf>
    <dxf>
      <font>
        <b/>
        <i val="0"/>
        <color auto="1"/>
      </font>
      <fill>
        <patternFill patternType="solid">
          <fgColor indexed="64"/>
          <bgColor rgb="FFFFE1A4"/>
        </patternFill>
      </fill>
    </dxf>
    <dxf>
      <font>
        <b/>
        <i val="0"/>
        <color auto="1"/>
      </font>
      <fill>
        <patternFill patternType="solid">
          <fgColor indexed="64"/>
          <bgColor rgb="FFFFE1A4"/>
        </patternFill>
      </fill>
    </dxf>
    <dxf>
      <font>
        <b/>
        <i val="0"/>
        <color auto="1"/>
      </font>
      <fill>
        <patternFill patternType="solid">
          <fgColor indexed="64"/>
          <bgColor rgb="FFFEA1A5"/>
        </patternFill>
      </fill>
    </dxf>
    <dxf>
      <font>
        <b/>
        <i val="0"/>
        <color auto="1"/>
      </font>
      <fill>
        <patternFill patternType="solid">
          <fgColor indexed="64"/>
          <bgColor rgb="FFE1FFA4"/>
        </patternFill>
      </fill>
    </dxf>
    <dxf>
      <font>
        <b/>
        <i val="0"/>
        <color auto="1"/>
      </font>
      <fill>
        <patternFill patternType="solid">
          <fgColor indexed="64"/>
          <bgColor rgb="FFFFE1A4"/>
        </patternFill>
      </fill>
    </dxf>
    <dxf>
      <font>
        <b/>
        <i val="0"/>
        <color auto="1"/>
      </font>
      <fill>
        <patternFill patternType="solid">
          <fgColor indexed="64"/>
          <bgColor rgb="FFE1FFA4"/>
        </patternFill>
      </fill>
    </dxf>
    <dxf>
      <font>
        <b/>
        <i val="0"/>
        <color auto="1"/>
      </font>
      <fill>
        <patternFill patternType="solid">
          <fgColor indexed="64"/>
          <bgColor rgb="FFFEA1A5"/>
        </patternFill>
      </fill>
    </dxf>
    <dxf>
      <font>
        <b/>
        <i val="0"/>
        <color auto="1"/>
      </font>
      <fill>
        <patternFill patternType="solid">
          <fgColor indexed="64"/>
          <bgColor rgb="FFFFE1A4"/>
        </patternFill>
      </fill>
    </dxf>
    <dxf>
      <font>
        <b/>
        <i val="0"/>
        <color auto="1"/>
      </font>
      <fill>
        <patternFill patternType="solid">
          <fgColor indexed="64"/>
          <bgColor rgb="FFFFE1A4"/>
        </patternFill>
      </fill>
    </dxf>
    <dxf>
      <font>
        <b/>
        <i val="0"/>
        <color auto="1"/>
      </font>
      <fill>
        <patternFill patternType="solid">
          <fgColor indexed="64"/>
          <bgColor rgb="FFFEA1A5"/>
        </patternFill>
      </fill>
    </dxf>
    <dxf>
      <font>
        <b/>
        <i val="0"/>
        <color auto="1"/>
      </font>
      <fill>
        <patternFill patternType="solid">
          <fgColor indexed="64"/>
          <bgColor rgb="FFE1FFA4"/>
        </patternFill>
      </fill>
    </dxf>
    <dxf>
      <font>
        <b/>
        <i val="0"/>
        <color auto="1"/>
      </font>
      <fill>
        <patternFill patternType="solid">
          <fgColor indexed="64"/>
          <bgColor rgb="FFFFE1A4"/>
        </patternFill>
      </fill>
    </dxf>
    <dxf>
      <font>
        <b/>
        <i val="0"/>
        <color auto="1"/>
      </font>
      <fill>
        <patternFill patternType="solid">
          <fgColor indexed="64"/>
          <bgColor rgb="FFE1FFA4"/>
        </patternFill>
      </fill>
    </dxf>
    <dxf>
      <font>
        <b/>
        <i val="0"/>
        <color auto="1"/>
      </font>
      <fill>
        <patternFill patternType="solid">
          <fgColor indexed="64"/>
          <bgColor rgb="FFFEA1A5"/>
        </patternFill>
      </fill>
    </dxf>
    <dxf>
      <font>
        <b/>
        <i val="0"/>
        <color auto="1"/>
      </font>
      <fill>
        <patternFill patternType="solid">
          <fgColor indexed="64"/>
          <bgColor rgb="FFFFE1A4"/>
        </patternFill>
      </fill>
    </dxf>
    <dxf>
      <font>
        <b/>
        <i val="0"/>
        <color auto="1"/>
      </font>
      <fill>
        <patternFill patternType="solid">
          <fgColor indexed="64"/>
          <bgColor rgb="FFFFE1A4"/>
        </patternFill>
      </fill>
    </dxf>
    <dxf>
      <font>
        <b/>
        <i val="0"/>
        <color auto="1"/>
      </font>
      <fill>
        <patternFill patternType="solid">
          <fgColor indexed="64"/>
          <bgColor rgb="FFFEA1A5"/>
        </patternFill>
      </fill>
    </dxf>
    <dxf>
      <font>
        <b/>
        <i val="0"/>
        <color auto="1"/>
      </font>
      <fill>
        <patternFill patternType="solid">
          <fgColor indexed="64"/>
          <bgColor rgb="FFE1FFA4"/>
        </patternFill>
      </fill>
    </dxf>
    <dxf>
      <font>
        <b/>
        <i val="0"/>
        <color auto="1"/>
      </font>
      <fill>
        <patternFill patternType="solid">
          <fgColor indexed="64"/>
          <bgColor rgb="FFFFE1A4"/>
        </patternFill>
      </fill>
    </dxf>
    <dxf>
      <font>
        <b/>
        <i val="0"/>
        <color auto="1"/>
      </font>
      <fill>
        <patternFill patternType="solid">
          <fgColor indexed="64"/>
          <bgColor rgb="FFE1FFA4"/>
        </patternFill>
      </fill>
    </dxf>
    <dxf>
      <font>
        <b/>
        <i val="0"/>
        <color auto="1"/>
      </font>
      <fill>
        <patternFill patternType="solid">
          <fgColor indexed="64"/>
          <bgColor rgb="FFFEA1A5"/>
        </patternFill>
      </fill>
    </dxf>
    <dxf>
      <font>
        <b/>
        <i val="0"/>
        <color auto="1"/>
      </font>
      <fill>
        <patternFill patternType="solid">
          <fgColor indexed="64"/>
          <bgColor rgb="FFFFE1A4"/>
        </patternFill>
      </fill>
    </dxf>
    <dxf>
      <font>
        <b/>
        <i val="0"/>
        <color auto="1"/>
      </font>
      <fill>
        <patternFill patternType="solid">
          <fgColor indexed="64"/>
          <bgColor rgb="FFFFE1A4"/>
        </patternFill>
      </fill>
    </dxf>
    <dxf>
      <font>
        <b/>
        <i val="0"/>
        <color auto="1"/>
      </font>
      <fill>
        <patternFill patternType="solid">
          <fgColor indexed="64"/>
          <bgColor rgb="FFFEA1A5"/>
        </patternFill>
      </fill>
    </dxf>
    <dxf>
      <font>
        <b/>
        <i val="0"/>
        <color auto="1"/>
      </font>
      <fill>
        <patternFill patternType="solid">
          <fgColor indexed="64"/>
          <bgColor rgb="FFE1FFA4"/>
        </patternFill>
      </fill>
    </dxf>
    <dxf>
      <font>
        <b/>
        <i val="0"/>
        <color auto="1"/>
      </font>
      <fill>
        <patternFill patternType="solid">
          <fgColor indexed="64"/>
          <bgColor rgb="FFFFE1A4"/>
        </patternFill>
      </fill>
    </dxf>
    <dxf>
      <font>
        <b/>
        <i val="0"/>
        <color auto="1"/>
      </font>
      <fill>
        <patternFill patternType="solid">
          <fgColor indexed="64"/>
          <bgColor rgb="FFE1FFA4"/>
        </patternFill>
      </fill>
    </dxf>
    <dxf>
      <font>
        <b/>
        <i val="0"/>
        <color auto="1"/>
      </font>
      <fill>
        <patternFill patternType="solid">
          <fgColor indexed="64"/>
          <bgColor rgb="FFFEA1A5"/>
        </patternFill>
      </fill>
    </dxf>
    <dxf>
      <font>
        <b/>
        <i val="0"/>
        <color auto="1"/>
      </font>
      <fill>
        <patternFill patternType="solid">
          <fgColor indexed="64"/>
          <bgColor rgb="FFFFE1A4"/>
        </patternFill>
      </fill>
    </dxf>
    <dxf>
      <font>
        <b/>
        <i val="0"/>
        <color auto="1"/>
      </font>
      <fill>
        <patternFill patternType="solid">
          <fgColor indexed="64"/>
          <bgColor rgb="FFFFE1A4"/>
        </patternFill>
      </fill>
    </dxf>
    <dxf>
      <font>
        <b/>
        <i val="0"/>
        <color auto="1"/>
      </font>
      <fill>
        <patternFill patternType="solid">
          <fgColor indexed="64"/>
          <bgColor rgb="FFFEA1A5"/>
        </patternFill>
      </fill>
    </dxf>
    <dxf>
      <font>
        <b/>
        <i val="0"/>
        <color auto="1"/>
      </font>
      <fill>
        <patternFill patternType="solid">
          <fgColor indexed="64"/>
          <bgColor rgb="FFE1FFA4"/>
        </patternFill>
      </fill>
    </dxf>
    <dxf>
      <font>
        <b/>
        <i val="0"/>
        <color auto="1"/>
      </font>
      <fill>
        <patternFill patternType="solid">
          <fgColor indexed="64"/>
          <bgColor rgb="FFFFE1A4"/>
        </patternFill>
      </fill>
    </dxf>
    <dxf>
      <font>
        <b/>
        <i val="0"/>
        <color auto="1"/>
      </font>
      <fill>
        <patternFill patternType="solid">
          <fgColor indexed="64"/>
          <bgColor rgb="FFE1FFA4"/>
        </patternFill>
      </fill>
    </dxf>
    <dxf>
      <font>
        <b/>
        <i val="0"/>
        <color auto="1"/>
      </font>
      <fill>
        <patternFill patternType="solid">
          <fgColor indexed="64"/>
          <bgColor rgb="FFFEA1A5"/>
        </patternFill>
      </fill>
    </dxf>
    <dxf>
      <font>
        <b/>
        <i val="0"/>
        <color auto="1"/>
      </font>
      <fill>
        <patternFill patternType="solid">
          <fgColor indexed="64"/>
          <bgColor rgb="FFFFE1A4"/>
        </patternFill>
      </fill>
    </dxf>
    <dxf>
      <font>
        <b/>
        <i val="0"/>
        <color auto="1"/>
      </font>
      <fill>
        <patternFill patternType="solid">
          <fgColor indexed="64"/>
          <bgColor rgb="FFFFE1A4"/>
        </patternFill>
      </fill>
    </dxf>
    <dxf>
      <font>
        <b/>
        <i val="0"/>
        <color auto="1"/>
      </font>
      <fill>
        <patternFill patternType="solid">
          <fgColor indexed="64"/>
          <bgColor rgb="FFFEA1A5"/>
        </patternFill>
      </fill>
    </dxf>
    <dxf>
      <font>
        <b/>
        <i val="0"/>
        <color auto="1"/>
      </font>
      <fill>
        <patternFill patternType="solid">
          <fgColor indexed="64"/>
          <bgColor rgb="FFE1FFA4"/>
        </patternFill>
      </fill>
    </dxf>
    <dxf>
      <font>
        <b/>
        <i val="0"/>
        <color auto="1"/>
      </font>
      <fill>
        <patternFill patternType="solid">
          <fgColor indexed="64"/>
          <bgColor rgb="FFFFE1A4"/>
        </patternFill>
      </fill>
    </dxf>
    <dxf>
      <font>
        <b/>
        <i val="0"/>
        <color auto="1"/>
      </font>
      <fill>
        <patternFill patternType="solid">
          <fgColor indexed="64"/>
          <bgColor rgb="FFE1FFA4"/>
        </patternFill>
      </fill>
    </dxf>
    <dxf>
      <font>
        <b/>
        <i val="0"/>
        <color auto="1"/>
      </font>
      <fill>
        <patternFill patternType="solid">
          <fgColor indexed="64"/>
          <bgColor rgb="FFFEA1A5"/>
        </patternFill>
      </fill>
    </dxf>
    <dxf>
      <font>
        <b/>
        <i val="0"/>
        <color auto="1"/>
      </font>
      <fill>
        <patternFill patternType="solid">
          <fgColor indexed="64"/>
          <bgColor rgb="FFFFE1A4"/>
        </patternFill>
      </fill>
    </dxf>
    <dxf>
      <font>
        <b/>
        <i val="0"/>
        <color auto="1"/>
      </font>
      <fill>
        <patternFill patternType="solid">
          <fgColor indexed="64"/>
          <bgColor rgb="FFFFE1A4"/>
        </patternFill>
      </fill>
    </dxf>
    <dxf>
      <font>
        <b/>
        <i val="0"/>
        <color auto="1"/>
      </font>
      <fill>
        <patternFill patternType="solid">
          <fgColor indexed="64"/>
          <bgColor rgb="FFFEA1A5"/>
        </patternFill>
      </fill>
    </dxf>
    <dxf>
      <font>
        <b/>
        <i val="0"/>
        <color auto="1"/>
      </font>
      <fill>
        <patternFill patternType="solid">
          <fgColor indexed="64"/>
          <bgColor rgb="FFE1FFA4"/>
        </patternFill>
      </fill>
    </dxf>
    <dxf>
      <font>
        <b/>
        <i val="0"/>
        <color auto="1"/>
      </font>
      <fill>
        <patternFill patternType="solid">
          <fgColor indexed="64"/>
          <bgColor rgb="FFFFE1A4"/>
        </patternFill>
      </fill>
    </dxf>
    <dxf>
      <font>
        <b/>
        <i val="0"/>
        <color rgb="FFFF0000"/>
      </font>
      <fill>
        <patternFill patternType="solid">
          <fgColor indexed="64"/>
          <bgColor theme="1"/>
        </patternFill>
      </fill>
    </dxf>
    <dxf>
      <font>
        <b/>
        <i val="0"/>
        <color auto="1"/>
      </font>
      <fill>
        <patternFill patternType="solid">
          <fgColor indexed="64"/>
          <bgColor rgb="FFE1FFA4"/>
        </patternFill>
      </fill>
    </dxf>
    <dxf>
      <font>
        <b/>
        <i val="0"/>
        <color auto="1"/>
      </font>
      <fill>
        <patternFill patternType="solid">
          <fgColor indexed="64"/>
          <bgColor rgb="FFFEA1A5"/>
        </patternFill>
      </fill>
    </dxf>
    <dxf>
      <font>
        <b/>
        <i val="0"/>
        <color auto="1"/>
      </font>
      <fill>
        <patternFill patternType="solid">
          <fgColor indexed="64"/>
          <bgColor rgb="FFFFE1A4"/>
        </patternFill>
      </fill>
    </dxf>
    <dxf>
      <font>
        <b/>
        <i val="0"/>
        <color auto="1"/>
      </font>
      <fill>
        <patternFill patternType="solid">
          <fgColor indexed="64"/>
          <bgColor rgb="FFE1FFA4"/>
        </patternFill>
      </fill>
    </dxf>
    <dxf>
      <font>
        <b/>
        <i val="0"/>
        <color auto="1"/>
      </font>
      <fill>
        <patternFill patternType="solid">
          <fgColor indexed="64"/>
          <bgColor rgb="FFFEA1A5"/>
        </patternFill>
      </fill>
    </dxf>
    <dxf>
      <font>
        <b/>
        <i val="0"/>
        <color auto="1"/>
      </font>
      <fill>
        <patternFill patternType="solid">
          <fgColor indexed="64"/>
          <bgColor rgb="FFFFE1A4"/>
        </patternFill>
      </fill>
    </dxf>
    <dxf>
      <font>
        <b/>
        <i val="0"/>
        <color auto="1"/>
      </font>
      <fill>
        <patternFill patternType="solid">
          <fgColor indexed="64"/>
          <bgColor rgb="FFFEA1A5"/>
        </patternFill>
      </fill>
    </dxf>
    <dxf>
      <font>
        <b/>
        <i val="0"/>
        <color auto="1"/>
      </font>
      <fill>
        <patternFill patternType="solid">
          <fgColor indexed="64"/>
          <bgColor rgb="FFE1FFA4"/>
        </patternFill>
      </fill>
    </dxf>
    <dxf>
      <font>
        <b/>
        <i val="0"/>
        <color auto="1"/>
      </font>
      <fill>
        <patternFill patternType="solid">
          <fgColor indexed="64"/>
          <bgColor rgb="FFFFE1A4"/>
        </patternFill>
      </fill>
    </dxf>
    <dxf>
      <font>
        <b/>
        <i val="0"/>
        <color auto="1"/>
      </font>
      <fill>
        <patternFill patternType="solid">
          <fgColor indexed="64"/>
          <bgColor rgb="FFE1FFA4"/>
        </patternFill>
      </fill>
    </dxf>
    <dxf>
      <font>
        <b/>
        <i val="0"/>
        <color auto="1"/>
      </font>
      <fill>
        <patternFill patternType="solid">
          <fgColor indexed="64"/>
          <bgColor rgb="FFFEA1A5"/>
        </patternFill>
      </fill>
    </dxf>
    <dxf>
      <font>
        <b/>
        <i val="0"/>
        <color auto="1"/>
      </font>
      <fill>
        <patternFill patternType="solid">
          <fgColor indexed="64"/>
          <bgColor rgb="FFFFE1A4"/>
        </patternFill>
      </fill>
    </dxf>
    <dxf>
      <font>
        <b/>
        <i val="0"/>
        <color auto="1"/>
      </font>
      <fill>
        <patternFill patternType="solid">
          <fgColor indexed="64"/>
          <bgColor rgb="FFFFE1A4"/>
        </patternFill>
      </fill>
    </dxf>
    <dxf>
      <font>
        <b/>
        <i val="0"/>
        <color auto="1"/>
      </font>
      <fill>
        <patternFill patternType="solid">
          <fgColor indexed="64"/>
          <bgColor rgb="FFFEA1A5"/>
        </patternFill>
      </fill>
    </dxf>
    <dxf>
      <font>
        <b/>
        <i val="0"/>
        <color auto="1"/>
      </font>
      <fill>
        <patternFill patternType="solid">
          <fgColor indexed="64"/>
          <bgColor rgb="FFE1FFA4"/>
        </patternFill>
      </fill>
    </dxf>
    <dxf>
      <font>
        <b/>
        <i val="0"/>
        <color auto="1"/>
      </font>
      <fill>
        <patternFill patternType="solid">
          <fgColor indexed="64"/>
          <bgColor rgb="FFFFE1A4"/>
        </patternFill>
      </fill>
    </dxf>
    <dxf>
      <font>
        <b/>
        <i val="0"/>
        <color auto="1"/>
      </font>
      <fill>
        <patternFill patternType="solid">
          <fgColor indexed="64"/>
          <bgColor rgb="FFE1FFA4"/>
        </patternFill>
      </fill>
    </dxf>
    <dxf>
      <font>
        <b/>
        <i val="0"/>
        <color auto="1"/>
      </font>
      <fill>
        <patternFill patternType="solid">
          <fgColor indexed="64"/>
          <bgColor rgb="FFFEA1A5"/>
        </patternFill>
      </fill>
    </dxf>
    <dxf>
      <font>
        <b/>
        <i val="0"/>
        <color auto="1"/>
      </font>
      <fill>
        <patternFill patternType="solid">
          <fgColor indexed="64"/>
          <bgColor rgb="FFFFE1A4"/>
        </patternFill>
      </fill>
    </dxf>
    <dxf>
      <font>
        <b/>
        <i val="0"/>
        <color auto="1"/>
      </font>
      <fill>
        <patternFill patternType="solid">
          <fgColor indexed="64"/>
          <bgColor rgb="FFFFE1A4"/>
        </patternFill>
      </fill>
    </dxf>
    <dxf>
      <font>
        <b/>
        <i val="0"/>
        <color auto="1"/>
      </font>
      <fill>
        <patternFill patternType="solid">
          <fgColor indexed="64"/>
          <bgColor rgb="FFFEA1A5"/>
        </patternFill>
      </fill>
    </dxf>
    <dxf>
      <font>
        <b/>
        <i val="0"/>
        <color auto="1"/>
      </font>
      <fill>
        <patternFill patternType="solid">
          <fgColor indexed="64"/>
          <bgColor rgb="FFE1FFA4"/>
        </patternFill>
      </fill>
    </dxf>
    <dxf>
      <font>
        <b/>
        <i val="0"/>
        <color auto="1"/>
      </font>
      <fill>
        <patternFill patternType="solid">
          <fgColor indexed="64"/>
          <bgColor rgb="FFFFE1A4"/>
        </patternFill>
      </fill>
    </dxf>
    <dxf>
      <font>
        <b val="0"/>
        <i val="0"/>
        <strike val="0"/>
        <condense val="0"/>
        <extend val="0"/>
        <outline val="0"/>
        <shadow val="0"/>
        <u val="none"/>
        <vertAlign val="baseline"/>
        <sz val="6"/>
        <color theme="1"/>
        <name val="Arial"/>
        <scheme val="none"/>
      </font>
      <numFmt numFmtId="2" formatCode="0.00"/>
      <fill>
        <patternFill patternType="none">
          <fgColor indexed="64"/>
          <bgColor indexed="65"/>
        </patternFill>
      </fill>
      <alignment horizontal="general" vertical="top" textRotation="0" wrapText="0" indent="0" justifyLastLine="0" shrinkToFit="0" readingOrder="0"/>
      <border diagonalUp="0" diagonalDown="0" outline="0">
        <left/>
        <right style="medium">
          <color auto="1"/>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numFmt numFmtId="13" formatCode="0%"/>
      <fill>
        <patternFill patternType="none">
          <fgColor indexed="64"/>
          <bgColor indexed="65"/>
        </patternFill>
      </fill>
    </dxf>
    <dxf>
      <font>
        <b val="0"/>
        <i val="0"/>
        <strike val="0"/>
        <condense val="0"/>
        <extend val="0"/>
        <outline val="0"/>
        <shadow val="0"/>
        <u val="none"/>
        <vertAlign val="baseline"/>
        <sz val="6"/>
        <color theme="1"/>
        <name val="Arial"/>
        <scheme val="none"/>
      </font>
      <numFmt numFmtId="13" formatCode="0%"/>
      <fill>
        <patternFill patternType="none">
          <fgColor indexed="64"/>
          <bgColor indexed="65"/>
        </patternFill>
      </fill>
    </dxf>
    <dxf>
      <font>
        <b val="0"/>
        <i val="0"/>
        <strike val="0"/>
        <condense val="0"/>
        <extend val="0"/>
        <outline val="0"/>
        <shadow val="0"/>
        <u val="none"/>
        <vertAlign val="baseline"/>
        <sz val="6"/>
        <color theme="1"/>
        <name val="Arial"/>
        <scheme val="none"/>
      </font>
      <numFmt numFmtId="13" formatCode="0%"/>
      <fill>
        <patternFill patternType="none">
          <fgColor indexed="64"/>
          <bgColor indexed="65"/>
        </patternFill>
      </fill>
    </dxf>
    <dxf>
      <font>
        <b val="0"/>
        <i val="0"/>
        <strike val="0"/>
        <condense val="0"/>
        <extend val="0"/>
        <outline val="0"/>
        <shadow val="0"/>
        <u val="none"/>
        <vertAlign val="baseline"/>
        <sz val="6"/>
        <color theme="1"/>
        <name val="Arial"/>
        <scheme val="none"/>
      </font>
      <numFmt numFmtId="13" formatCode="0%"/>
      <fill>
        <patternFill patternType="none">
          <fgColor indexed="64"/>
          <bgColor indexed="65"/>
        </patternFill>
      </fill>
    </dxf>
    <dxf>
      <font>
        <b val="0"/>
        <i val="0"/>
        <strike val="0"/>
        <condense val="0"/>
        <extend val="0"/>
        <outline val="0"/>
        <shadow val="0"/>
        <u val="none"/>
        <vertAlign val="baseline"/>
        <sz val="6"/>
        <color theme="1"/>
        <name val="Arial"/>
        <scheme val="none"/>
      </font>
      <numFmt numFmtId="13" formatCode="0%"/>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right style="medium">
          <color auto="1"/>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border diagonalUp="0" diagonalDown="0" outline="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border diagonalUp="0" diagonalDown="0" outline="0">
        <left/>
        <right style="medium">
          <color auto="1"/>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border diagonalUp="0" diagonalDown="0" outline="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right style="medium">
          <color auto="1"/>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right style="medium">
          <color auto="1"/>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right style="medium">
          <color auto="1"/>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right style="medium">
          <color auto="1"/>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right style="medium">
          <color auto="1"/>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right style="medium">
          <color auto="1"/>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right style="medium">
          <color auto="1"/>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right style="medium">
          <color auto="1"/>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right style="medium">
          <color auto="1"/>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right style="medium">
          <color auto="1"/>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outline="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border diagonalUp="0" diagonalDown="0" outline="0">
        <left style="medium">
          <color auto="1"/>
        </left>
        <right/>
        <top/>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border diagonalUp="0" diagonalDown="0">
        <left style="medium">
          <color auto="1"/>
        </left>
        <right/>
        <top/>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border diagonalUp="0" diagonalDown="0" outline="0">
        <left style="medium">
          <color auto="1"/>
        </left>
        <right/>
        <top/>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border diagonalUp="0" diagonalDown="0" outline="0">
        <left style="medium">
          <color auto="1"/>
        </left>
        <right/>
        <top/>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ont>
        <b val="0"/>
        <i val="0"/>
        <strike val="0"/>
        <condense val="0"/>
        <extend val="0"/>
        <outline val="0"/>
        <shadow val="0"/>
        <u val="none"/>
        <vertAlign val="baseline"/>
        <sz val="10"/>
        <color auto="1"/>
        <name val="Arial"/>
        <scheme val="none"/>
      </font>
      <fill>
        <patternFill patternType="none">
          <fgColor indexed="64"/>
          <bgColor indexed="65"/>
        </patternFill>
      </fill>
    </dxf>
    <dxf>
      <fill>
        <patternFill patternType="none"/>
      </fill>
    </dxf>
    <dxf>
      <fill>
        <patternFill patternType="none"/>
      </fill>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border diagonalUp="0" diagonalDown="0" outline="0">
        <left style="medium">
          <color auto="1"/>
        </left>
        <right/>
        <top/>
        <bottom/>
      </border>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bottom/>
        <vertical/>
        <horizontal/>
      </border>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border diagonalUp="0" diagonalDown="0" outline="0">
        <left style="medium">
          <color auto="1"/>
        </left>
        <right/>
        <top/>
        <bottom/>
      </border>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bottom/>
        <vertical/>
        <horizontal/>
      </border>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border diagonalUp="0" diagonalDown="0" outline="0">
        <left style="medium">
          <color auto="1"/>
        </left>
        <right/>
        <top/>
        <bottom/>
      </border>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bottom/>
        <vertical/>
        <horizontal/>
      </border>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border diagonalUp="0" diagonalDown="0" outline="0">
        <left style="medium">
          <color auto="1"/>
        </left>
        <right/>
        <top/>
        <bottom/>
      </border>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bottom/>
        <vertical/>
        <horizontal/>
      </border>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border diagonalUp="0" diagonalDown="0" outline="0">
        <left style="medium">
          <color auto="1"/>
        </left>
        <right/>
        <top/>
        <bottom/>
      </border>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bottom/>
        <vertical/>
        <horizontal/>
      </border>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border diagonalUp="0" diagonalDown="0" outline="0">
        <left style="medium">
          <color auto="1"/>
        </left>
        <right/>
        <top/>
        <bottom/>
      </border>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bottom/>
        <vertical/>
        <horizontal/>
      </border>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border diagonalUp="0" diagonalDown="0" outline="0">
        <left style="medium">
          <color auto="1"/>
        </left>
        <right/>
        <top/>
        <bottom/>
      </border>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bottom/>
        <vertical/>
        <horizontal/>
      </border>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border diagonalUp="0" diagonalDown="0" outline="0">
        <left style="medium">
          <color auto="1"/>
        </left>
        <right/>
        <top/>
        <bottom/>
      </border>
    </dxf>
    <dxf>
      <font>
        <b val="0"/>
        <i val="0"/>
        <strike val="0"/>
        <condense val="0"/>
        <extend val="0"/>
        <outline val="0"/>
        <shadow val="0"/>
        <u val="none"/>
        <vertAlign val="baseline"/>
        <sz val="10"/>
        <color auto="1"/>
        <name val="Arial"/>
        <scheme val="none"/>
      </font>
      <numFmt numFmtId="30" formatCode="@"/>
      <fill>
        <patternFill patternType="none">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bottom/>
        <vertical/>
        <horizontal/>
      </border>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theme="4" tint="0.79998168889431442"/>
          <bgColor theme="4" tint="0.79998168889431442"/>
        </patternFill>
      </fill>
      <alignment horizontal="general" vertical="center" textRotation="0" wrapText="0" indent="0" justifyLastLine="0" shrinkToFit="0" readingOrder="0"/>
    </dxf>
    <dxf>
      <fill>
        <patternFill patternType="none"/>
      </fill>
    </dxf>
    <dxf>
      <numFmt numFmtId="0" formatCode="General"/>
      <fill>
        <patternFill patternType="none"/>
      </fill>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top" textRotation="0" wrapText="1" indent="0" justifyLastLine="0" shrinkToFit="0" readingOrder="0"/>
    </dxf>
    <dxf>
      <fill>
        <patternFill patternType="none"/>
      </fill>
    </dxf>
    <dxf>
      <font>
        <b val="0"/>
        <i val="0"/>
        <strike val="0"/>
        <condense val="0"/>
        <extend val="0"/>
        <outline val="0"/>
        <shadow val="0"/>
        <u val="none"/>
        <vertAlign val="baseline"/>
        <sz val="6"/>
        <color theme="1"/>
        <name val="Arial"/>
        <scheme val="none"/>
      </font>
      <numFmt numFmtId="2" formatCode="0.00"/>
      <fill>
        <patternFill patternType="none">
          <fgColor indexed="64"/>
          <bgColor indexed="65"/>
        </patternFill>
      </fill>
      <alignment horizontal="general" vertical="top" textRotation="0" wrapText="0" indent="0" justifyLastLine="0" shrinkToFit="0" readingOrder="0"/>
      <border diagonalUp="0" diagonalDown="0">
        <left/>
        <right style="medium">
          <color auto="1"/>
        </right>
        <top/>
        <bottom/>
        <vertical/>
        <horizontal/>
      </border>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right"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13" formatCode="0%"/>
      <fill>
        <patternFill patternType="none">
          <fgColor indexed="64"/>
          <bgColor indexed="65"/>
        </patternFill>
      </fill>
      <alignment horizontal="left"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13" formatCode="0%"/>
      <fill>
        <patternFill patternType="none">
          <fgColor indexed="64"/>
          <bgColor indexed="65"/>
        </patternFill>
      </fill>
      <alignment horizontal="left"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left"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13" formatCode="0%"/>
      <fill>
        <patternFill patternType="none">
          <fgColor indexed="64"/>
          <bgColor indexed="65"/>
        </patternFill>
      </fill>
      <alignment horizontal="left"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13" formatCode="0%"/>
      <fill>
        <patternFill patternType="none">
          <fgColor indexed="64"/>
          <bgColor indexed="65"/>
        </patternFill>
      </fill>
      <alignment horizontal="left"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right"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right"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30" formatCode="@"/>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border diagonalUp="0" diagonalDown="0">
        <left style="medium">
          <color auto="1"/>
        </left>
        <right/>
        <top/>
        <bottom/>
        <vertical/>
        <horizontal/>
      </border>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border diagonalUp="0" diagonalDown="0">
        <left/>
        <right style="medium">
          <color auto="1"/>
        </right>
        <top/>
        <bottom/>
        <vertical/>
        <horizontal/>
      </border>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border diagonalUp="0" diagonalDown="0">
        <left style="medium">
          <color auto="1"/>
        </left>
        <right/>
        <top/>
        <bottom/>
        <vertical/>
        <horizontal/>
      </border>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border diagonalUp="0" diagonalDown="0">
        <left/>
        <right style="medium">
          <color auto="1"/>
        </right>
        <top/>
        <bottom/>
        <vertical/>
        <horizontal/>
      </border>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border diagonalUp="0" diagonalDown="0">
        <left style="medium">
          <color auto="1"/>
        </left>
        <right/>
        <top/>
        <bottom/>
        <vertical/>
        <horizontal/>
      </border>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19" formatCode="dd/mm/yy"/>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border diagonalUp="0" diagonalDown="0">
        <left style="medium">
          <color auto="1"/>
        </left>
        <right/>
        <top/>
        <bottom/>
        <vertical/>
        <horizontal/>
      </border>
    </dxf>
    <dxf>
      <font>
        <b val="0"/>
        <i val="0"/>
        <strike val="0"/>
        <condense val="0"/>
        <extend val="0"/>
        <outline val="0"/>
        <shadow val="0"/>
        <u val="none"/>
        <vertAlign val="baseline"/>
        <sz val="6"/>
        <color rgb="FF000000"/>
        <name val="Arial"/>
        <scheme val="none"/>
      </font>
      <numFmt numFmtId="0" formatCode="General"/>
      <fill>
        <patternFill patternType="none">
          <fgColor indexed="64"/>
          <bgColor indexed="65"/>
        </patternFill>
      </fill>
      <alignment horizontal="general" vertical="top" textRotation="0" wrapText="0" indent="0" justifyLastLine="0" shrinkToFit="0" readingOrder="0"/>
      <border diagonalUp="0" diagonalDown="0">
        <left/>
        <right style="medium">
          <color auto="1"/>
        </right>
        <top/>
        <bottom/>
        <vertical/>
        <horizontal/>
      </border>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left"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right"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border diagonalUp="0" diagonalDown="0">
        <left style="medium">
          <color auto="1"/>
        </left>
        <right/>
        <top/>
        <bottom/>
        <vertical/>
        <horizontal/>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left/>
        <right style="medium">
          <color auto="1"/>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left/>
        <right style="medium">
          <color auto="1"/>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left/>
        <right style="medium">
          <color auto="1"/>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left/>
        <right style="medium">
          <color auto="1"/>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left/>
        <right style="medium">
          <color auto="1"/>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left/>
        <right style="medium">
          <color auto="1"/>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right"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left/>
        <right style="medium">
          <color auto="1"/>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left/>
        <right style="medium">
          <color auto="1"/>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right"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left/>
        <right style="medium">
          <color auto="1"/>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right"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19" formatCode="dd/mm/yy"/>
      <fill>
        <patternFill patternType="none">
          <fgColor indexed="64"/>
          <bgColor indexed="65"/>
        </patternFill>
      </fill>
      <alignment horizontal="right"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left style="medium">
          <color auto="1"/>
        </left>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left/>
        <right style="medium">
          <color auto="1"/>
        </right>
        <top/>
        <bottom/>
      </border>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border diagonalUp="0" diagonalDown="0">
        <left style="medium">
          <color auto="1"/>
        </left>
        <right/>
        <top/>
        <bottom/>
      </border>
    </dxf>
    <dxf>
      <font>
        <b val="0"/>
        <i val="0"/>
        <strike val="0"/>
        <condense val="0"/>
        <extend val="0"/>
        <outline val="0"/>
        <shadow val="0"/>
        <u val="none"/>
        <vertAlign val="baseline"/>
        <sz val="6"/>
        <color theme="1"/>
        <name val="Arial"/>
        <scheme val="none"/>
      </font>
      <numFmt numFmtId="0" formatCode="General"/>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left"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left"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19" formatCode="dd/mm/yy"/>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numFmt numFmtId="19" formatCode="dd/mm/yy"/>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6"/>
        <color theme="1"/>
        <name val="Arial"/>
        <scheme val="none"/>
      </font>
      <fill>
        <patternFill patternType="none">
          <fgColor indexed="64"/>
          <bgColor indexed="65"/>
        </patternFill>
      </fill>
      <alignment horizontal="general" vertical="top" textRotation="0" wrapText="0" justifyLastLine="0" shrinkToFit="0"/>
    </dxf>
    <dxf>
      <font>
        <b val="0"/>
        <i val="0"/>
        <strike val="0"/>
        <condense val="0"/>
        <extend val="0"/>
        <outline val="0"/>
        <shadow val="0"/>
        <u val="none"/>
        <vertAlign val="baseline"/>
        <sz val="6"/>
        <color theme="1"/>
        <name val="Arial"/>
        <scheme val="none"/>
      </font>
      <alignment horizontal="left" vertical="top" textRotation="0" wrapText="1" indent="0" justifyLastLine="0" shrinkToFit="0" readingOrder="0"/>
    </dxf>
  </dxfs>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7" Type="http://schemas.openxmlformats.org/officeDocument/2006/relationships/calcChain" Target="calcChain.xml"/><Relationship Id="rId8"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worksheet" Target="worksheets/sheet2.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20</xdr:col>
      <xdr:colOff>25400</xdr:colOff>
      <xdr:row>0</xdr:row>
      <xdr:rowOff>31750</xdr:rowOff>
    </xdr:from>
    <xdr:to>
      <xdr:col>20</xdr:col>
      <xdr:colOff>673400</xdr:colOff>
      <xdr:row>0</xdr:row>
      <xdr:rowOff>133400</xdr:rowOff>
    </xdr:to>
    <xdr:sp macro="[0]!Z_A_C01" textlink="">
      <xdr:nvSpPr>
        <xdr:cNvPr id="3" name="Rectangle 2"/>
        <xdr:cNvSpPr/>
      </xdr:nvSpPr>
      <xdr:spPr>
        <a:xfrm>
          <a:off x="16383000" y="31750"/>
          <a:ext cx="648000" cy="101650"/>
        </a:xfrm>
        <a:prstGeom prst="rect">
          <a:avLst/>
        </a:prstGeom>
        <a:solidFill>
          <a:schemeClr val="accent3">
            <a:lumMod val="60000"/>
            <a:lumOff val="40000"/>
          </a:schemeClr>
        </a:solidFill>
        <a:ln>
          <a:solidFill>
            <a:schemeClr val="accent3">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A</a:t>
          </a:r>
        </a:p>
      </xdr:txBody>
    </xdr:sp>
    <xdr:clientData/>
  </xdr:twoCellAnchor>
  <xdr:twoCellAnchor>
    <xdr:from>
      <xdr:col>23</xdr:col>
      <xdr:colOff>28575</xdr:colOff>
      <xdr:row>0</xdr:row>
      <xdr:rowOff>28575</xdr:rowOff>
    </xdr:from>
    <xdr:to>
      <xdr:col>23</xdr:col>
      <xdr:colOff>676575</xdr:colOff>
      <xdr:row>0</xdr:row>
      <xdr:rowOff>130225</xdr:rowOff>
    </xdr:to>
    <xdr:sp macro="[0]!Z_M_C01" textlink="">
      <xdr:nvSpPr>
        <xdr:cNvPr id="5" name="Rectangle 4"/>
        <xdr:cNvSpPr/>
      </xdr:nvSpPr>
      <xdr:spPr>
        <a:xfrm>
          <a:off x="6200775" y="28575"/>
          <a:ext cx="648000" cy="101650"/>
        </a:xfrm>
        <a:prstGeom prst="rect">
          <a:avLst/>
        </a:prstGeom>
        <a:solidFill>
          <a:schemeClr val="accent2">
            <a:lumMod val="60000"/>
            <a:lumOff val="40000"/>
          </a:schemeClr>
        </a:solidFill>
        <a:ln>
          <a:solidFill>
            <a:schemeClr val="accent2">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M</a:t>
          </a:r>
        </a:p>
      </xdr:txBody>
    </xdr:sp>
    <xdr:clientData/>
  </xdr:twoCellAnchor>
  <xdr:twoCellAnchor>
    <xdr:from>
      <xdr:col>24</xdr:col>
      <xdr:colOff>29633</xdr:colOff>
      <xdr:row>0</xdr:row>
      <xdr:rowOff>25400</xdr:rowOff>
    </xdr:from>
    <xdr:to>
      <xdr:col>24</xdr:col>
      <xdr:colOff>677633</xdr:colOff>
      <xdr:row>0</xdr:row>
      <xdr:rowOff>127050</xdr:rowOff>
    </xdr:to>
    <xdr:sp macro="[0]!Z_A_C02" textlink="">
      <xdr:nvSpPr>
        <xdr:cNvPr id="7" name="Rectangle 6"/>
        <xdr:cNvSpPr/>
      </xdr:nvSpPr>
      <xdr:spPr>
        <a:xfrm>
          <a:off x="19299766" y="25400"/>
          <a:ext cx="648000" cy="101650"/>
        </a:xfrm>
        <a:prstGeom prst="rect">
          <a:avLst/>
        </a:prstGeom>
        <a:solidFill>
          <a:schemeClr val="accent3">
            <a:lumMod val="60000"/>
            <a:lumOff val="40000"/>
          </a:schemeClr>
        </a:solidFill>
        <a:ln>
          <a:solidFill>
            <a:schemeClr val="accent3">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A</a:t>
          </a:r>
        </a:p>
      </xdr:txBody>
    </xdr:sp>
    <xdr:clientData/>
  </xdr:twoCellAnchor>
  <xdr:twoCellAnchor>
    <xdr:from>
      <xdr:col>27</xdr:col>
      <xdr:colOff>25400</xdr:colOff>
      <xdr:row>0</xdr:row>
      <xdr:rowOff>29633</xdr:rowOff>
    </xdr:from>
    <xdr:to>
      <xdr:col>27</xdr:col>
      <xdr:colOff>673400</xdr:colOff>
      <xdr:row>0</xdr:row>
      <xdr:rowOff>131283</xdr:rowOff>
    </xdr:to>
    <xdr:sp macro="[0]!Z_M_C02" textlink="">
      <xdr:nvSpPr>
        <xdr:cNvPr id="8" name="Rectangle 7"/>
        <xdr:cNvSpPr/>
      </xdr:nvSpPr>
      <xdr:spPr>
        <a:xfrm>
          <a:off x="9110133" y="29633"/>
          <a:ext cx="648000" cy="101650"/>
        </a:xfrm>
        <a:prstGeom prst="rect">
          <a:avLst/>
        </a:prstGeom>
        <a:solidFill>
          <a:schemeClr val="accent2">
            <a:lumMod val="60000"/>
            <a:lumOff val="40000"/>
          </a:schemeClr>
        </a:solidFill>
        <a:ln>
          <a:solidFill>
            <a:schemeClr val="accent2">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M</a:t>
          </a:r>
        </a:p>
      </xdr:txBody>
    </xdr:sp>
    <xdr:clientData/>
  </xdr:twoCellAnchor>
  <xdr:twoCellAnchor>
    <xdr:from>
      <xdr:col>31</xdr:col>
      <xdr:colOff>25400</xdr:colOff>
      <xdr:row>0</xdr:row>
      <xdr:rowOff>25400</xdr:rowOff>
    </xdr:from>
    <xdr:to>
      <xdr:col>31</xdr:col>
      <xdr:colOff>673400</xdr:colOff>
      <xdr:row>0</xdr:row>
      <xdr:rowOff>127050</xdr:rowOff>
    </xdr:to>
    <xdr:sp macro="[0]!Z_M_C03" textlink="">
      <xdr:nvSpPr>
        <xdr:cNvPr id="9" name="Rectangle 8"/>
        <xdr:cNvSpPr/>
      </xdr:nvSpPr>
      <xdr:spPr>
        <a:xfrm>
          <a:off x="24392467" y="25400"/>
          <a:ext cx="648000" cy="101650"/>
        </a:xfrm>
        <a:prstGeom prst="rect">
          <a:avLst/>
        </a:prstGeom>
        <a:solidFill>
          <a:schemeClr val="accent2">
            <a:lumMod val="60000"/>
            <a:lumOff val="40000"/>
          </a:schemeClr>
        </a:solidFill>
        <a:ln>
          <a:solidFill>
            <a:schemeClr val="accent2">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M</a:t>
          </a:r>
        </a:p>
      </xdr:txBody>
    </xdr:sp>
    <xdr:clientData/>
  </xdr:twoCellAnchor>
  <xdr:twoCellAnchor>
    <xdr:from>
      <xdr:col>35</xdr:col>
      <xdr:colOff>33867</xdr:colOff>
      <xdr:row>0</xdr:row>
      <xdr:rowOff>21167</xdr:rowOff>
    </xdr:from>
    <xdr:to>
      <xdr:col>35</xdr:col>
      <xdr:colOff>681867</xdr:colOff>
      <xdr:row>0</xdr:row>
      <xdr:rowOff>122817</xdr:rowOff>
    </xdr:to>
    <xdr:sp macro="[0]!Z_M_C04" textlink="">
      <xdr:nvSpPr>
        <xdr:cNvPr id="10" name="Rectangle 9"/>
        <xdr:cNvSpPr/>
      </xdr:nvSpPr>
      <xdr:spPr>
        <a:xfrm>
          <a:off x="27313467" y="21167"/>
          <a:ext cx="648000" cy="101650"/>
        </a:xfrm>
        <a:prstGeom prst="rect">
          <a:avLst/>
        </a:prstGeom>
        <a:solidFill>
          <a:schemeClr val="accent2">
            <a:lumMod val="60000"/>
            <a:lumOff val="40000"/>
          </a:schemeClr>
        </a:solidFill>
        <a:ln>
          <a:solidFill>
            <a:schemeClr val="accent2">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M</a:t>
          </a:r>
        </a:p>
      </xdr:txBody>
    </xdr:sp>
    <xdr:clientData/>
  </xdr:twoCellAnchor>
  <xdr:twoCellAnchor>
    <xdr:from>
      <xdr:col>39</xdr:col>
      <xdr:colOff>25400</xdr:colOff>
      <xdr:row>0</xdr:row>
      <xdr:rowOff>29633</xdr:rowOff>
    </xdr:from>
    <xdr:to>
      <xdr:col>39</xdr:col>
      <xdr:colOff>673400</xdr:colOff>
      <xdr:row>0</xdr:row>
      <xdr:rowOff>131283</xdr:rowOff>
    </xdr:to>
    <xdr:sp macro="[0]!Z_M_C05" textlink="">
      <xdr:nvSpPr>
        <xdr:cNvPr id="11" name="Rectangle 10"/>
        <xdr:cNvSpPr/>
      </xdr:nvSpPr>
      <xdr:spPr>
        <a:xfrm>
          <a:off x="30217533" y="29633"/>
          <a:ext cx="648000" cy="101650"/>
        </a:xfrm>
        <a:prstGeom prst="rect">
          <a:avLst/>
        </a:prstGeom>
        <a:solidFill>
          <a:schemeClr val="accent2">
            <a:lumMod val="60000"/>
            <a:lumOff val="40000"/>
          </a:schemeClr>
        </a:solidFill>
        <a:ln>
          <a:solidFill>
            <a:schemeClr val="accent2">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M</a:t>
          </a:r>
        </a:p>
      </xdr:txBody>
    </xdr:sp>
    <xdr:clientData/>
  </xdr:twoCellAnchor>
  <xdr:twoCellAnchor>
    <xdr:from>
      <xdr:col>43</xdr:col>
      <xdr:colOff>25400</xdr:colOff>
      <xdr:row>0</xdr:row>
      <xdr:rowOff>25400</xdr:rowOff>
    </xdr:from>
    <xdr:to>
      <xdr:col>43</xdr:col>
      <xdr:colOff>673400</xdr:colOff>
      <xdr:row>0</xdr:row>
      <xdr:rowOff>127050</xdr:rowOff>
    </xdr:to>
    <xdr:sp macro="[0]!Z_M_C06" textlink="">
      <xdr:nvSpPr>
        <xdr:cNvPr id="12" name="Rectangle 11"/>
        <xdr:cNvSpPr/>
      </xdr:nvSpPr>
      <xdr:spPr>
        <a:xfrm>
          <a:off x="33130067" y="25400"/>
          <a:ext cx="648000" cy="101650"/>
        </a:xfrm>
        <a:prstGeom prst="rect">
          <a:avLst/>
        </a:prstGeom>
        <a:solidFill>
          <a:schemeClr val="accent2">
            <a:lumMod val="60000"/>
            <a:lumOff val="40000"/>
          </a:schemeClr>
        </a:solidFill>
        <a:ln>
          <a:solidFill>
            <a:schemeClr val="accent2">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M</a:t>
          </a:r>
        </a:p>
      </xdr:txBody>
    </xdr:sp>
    <xdr:clientData/>
  </xdr:twoCellAnchor>
  <xdr:twoCellAnchor>
    <xdr:from>
      <xdr:col>47</xdr:col>
      <xdr:colOff>25400</xdr:colOff>
      <xdr:row>0</xdr:row>
      <xdr:rowOff>21166</xdr:rowOff>
    </xdr:from>
    <xdr:to>
      <xdr:col>47</xdr:col>
      <xdr:colOff>673400</xdr:colOff>
      <xdr:row>0</xdr:row>
      <xdr:rowOff>122816</xdr:rowOff>
    </xdr:to>
    <xdr:sp macro="[0]!Z_M_C07" textlink="">
      <xdr:nvSpPr>
        <xdr:cNvPr id="13" name="Rectangle 12"/>
        <xdr:cNvSpPr/>
      </xdr:nvSpPr>
      <xdr:spPr>
        <a:xfrm>
          <a:off x="36042600" y="21166"/>
          <a:ext cx="648000" cy="101650"/>
        </a:xfrm>
        <a:prstGeom prst="rect">
          <a:avLst/>
        </a:prstGeom>
        <a:solidFill>
          <a:schemeClr val="accent2">
            <a:lumMod val="60000"/>
            <a:lumOff val="40000"/>
          </a:schemeClr>
        </a:solidFill>
        <a:ln>
          <a:solidFill>
            <a:schemeClr val="accent2">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M</a:t>
          </a:r>
        </a:p>
      </xdr:txBody>
    </xdr:sp>
    <xdr:clientData/>
  </xdr:twoCellAnchor>
  <xdr:twoCellAnchor>
    <xdr:from>
      <xdr:col>51</xdr:col>
      <xdr:colOff>25400</xdr:colOff>
      <xdr:row>0</xdr:row>
      <xdr:rowOff>21167</xdr:rowOff>
    </xdr:from>
    <xdr:to>
      <xdr:col>51</xdr:col>
      <xdr:colOff>673400</xdr:colOff>
      <xdr:row>0</xdr:row>
      <xdr:rowOff>122817</xdr:rowOff>
    </xdr:to>
    <xdr:sp macro="[0]!Z_M_C08" textlink="">
      <xdr:nvSpPr>
        <xdr:cNvPr id="14" name="Rectangle 13"/>
        <xdr:cNvSpPr/>
      </xdr:nvSpPr>
      <xdr:spPr>
        <a:xfrm>
          <a:off x="38955133" y="21167"/>
          <a:ext cx="648000" cy="101650"/>
        </a:xfrm>
        <a:prstGeom prst="rect">
          <a:avLst/>
        </a:prstGeom>
        <a:solidFill>
          <a:schemeClr val="accent2">
            <a:lumMod val="60000"/>
            <a:lumOff val="40000"/>
          </a:schemeClr>
        </a:solidFill>
        <a:ln>
          <a:solidFill>
            <a:schemeClr val="accent2">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M</a:t>
          </a:r>
        </a:p>
      </xdr:txBody>
    </xdr:sp>
    <xdr:clientData/>
  </xdr:twoCellAnchor>
  <xdr:twoCellAnchor>
    <xdr:from>
      <xdr:col>55</xdr:col>
      <xdr:colOff>29633</xdr:colOff>
      <xdr:row>0</xdr:row>
      <xdr:rowOff>25400</xdr:rowOff>
    </xdr:from>
    <xdr:to>
      <xdr:col>55</xdr:col>
      <xdr:colOff>677633</xdr:colOff>
      <xdr:row>0</xdr:row>
      <xdr:rowOff>127050</xdr:rowOff>
    </xdr:to>
    <xdr:sp macro="[0]!Z_M_C09" textlink="">
      <xdr:nvSpPr>
        <xdr:cNvPr id="15" name="Rectangle 14"/>
        <xdr:cNvSpPr/>
      </xdr:nvSpPr>
      <xdr:spPr>
        <a:xfrm>
          <a:off x="41871900" y="25400"/>
          <a:ext cx="648000" cy="101650"/>
        </a:xfrm>
        <a:prstGeom prst="rect">
          <a:avLst/>
        </a:prstGeom>
        <a:solidFill>
          <a:schemeClr val="accent2">
            <a:lumMod val="60000"/>
            <a:lumOff val="40000"/>
          </a:schemeClr>
        </a:solidFill>
        <a:ln>
          <a:solidFill>
            <a:schemeClr val="accent2">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M</a:t>
          </a:r>
        </a:p>
      </xdr:txBody>
    </xdr:sp>
    <xdr:clientData/>
  </xdr:twoCellAnchor>
  <xdr:twoCellAnchor>
    <xdr:from>
      <xdr:col>59</xdr:col>
      <xdr:colOff>25400</xdr:colOff>
      <xdr:row>0</xdr:row>
      <xdr:rowOff>29634</xdr:rowOff>
    </xdr:from>
    <xdr:to>
      <xdr:col>59</xdr:col>
      <xdr:colOff>673400</xdr:colOff>
      <xdr:row>0</xdr:row>
      <xdr:rowOff>131284</xdr:rowOff>
    </xdr:to>
    <xdr:sp macro="[0]!Z_M_C10" textlink="">
      <xdr:nvSpPr>
        <xdr:cNvPr id="16" name="Rectangle 15"/>
        <xdr:cNvSpPr/>
      </xdr:nvSpPr>
      <xdr:spPr>
        <a:xfrm>
          <a:off x="44780200" y="29634"/>
          <a:ext cx="648000" cy="101650"/>
        </a:xfrm>
        <a:prstGeom prst="rect">
          <a:avLst/>
        </a:prstGeom>
        <a:solidFill>
          <a:schemeClr val="accent2">
            <a:lumMod val="60000"/>
            <a:lumOff val="40000"/>
          </a:schemeClr>
        </a:solidFill>
        <a:ln>
          <a:solidFill>
            <a:schemeClr val="accent2">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M</a:t>
          </a:r>
        </a:p>
      </xdr:txBody>
    </xdr:sp>
    <xdr:clientData/>
  </xdr:twoCellAnchor>
  <xdr:twoCellAnchor>
    <xdr:from>
      <xdr:col>28</xdr:col>
      <xdr:colOff>25400</xdr:colOff>
      <xdr:row>0</xdr:row>
      <xdr:rowOff>29633</xdr:rowOff>
    </xdr:from>
    <xdr:to>
      <xdr:col>28</xdr:col>
      <xdr:colOff>673400</xdr:colOff>
      <xdr:row>0</xdr:row>
      <xdr:rowOff>131283</xdr:rowOff>
    </xdr:to>
    <xdr:sp macro="[0]!Z_A_C03" textlink="">
      <xdr:nvSpPr>
        <xdr:cNvPr id="19" name="Rectangle 18"/>
        <xdr:cNvSpPr/>
      </xdr:nvSpPr>
      <xdr:spPr>
        <a:xfrm>
          <a:off x="22208067" y="29633"/>
          <a:ext cx="648000" cy="101650"/>
        </a:xfrm>
        <a:prstGeom prst="rect">
          <a:avLst/>
        </a:prstGeom>
        <a:solidFill>
          <a:schemeClr val="accent3">
            <a:lumMod val="60000"/>
            <a:lumOff val="40000"/>
          </a:schemeClr>
        </a:solidFill>
        <a:ln>
          <a:solidFill>
            <a:schemeClr val="accent3">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A</a:t>
          </a:r>
        </a:p>
      </xdr:txBody>
    </xdr:sp>
    <xdr:clientData/>
  </xdr:twoCellAnchor>
  <xdr:twoCellAnchor>
    <xdr:from>
      <xdr:col>32</xdr:col>
      <xdr:colOff>29633</xdr:colOff>
      <xdr:row>0</xdr:row>
      <xdr:rowOff>25400</xdr:rowOff>
    </xdr:from>
    <xdr:to>
      <xdr:col>32</xdr:col>
      <xdr:colOff>677633</xdr:colOff>
      <xdr:row>0</xdr:row>
      <xdr:rowOff>127050</xdr:rowOff>
    </xdr:to>
    <xdr:sp macro="[0]!Z_A_C04" textlink="">
      <xdr:nvSpPr>
        <xdr:cNvPr id="20" name="Rectangle 19"/>
        <xdr:cNvSpPr/>
      </xdr:nvSpPr>
      <xdr:spPr>
        <a:xfrm>
          <a:off x="25124833" y="25400"/>
          <a:ext cx="648000" cy="101650"/>
        </a:xfrm>
        <a:prstGeom prst="rect">
          <a:avLst/>
        </a:prstGeom>
        <a:solidFill>
          <a:schemeClr val="accent3">
            <a:lumMod val="60000"/>
            <a:lumOff val="40000"/>
          </a:schemeClr>
        </a:solidFill>
        <a:ln>
          <a:solidFill>
            <a:schemeClr val="accent3">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A</a:t>
          </a:r>
        </a:p>
      </xdr:txBody>
    </xdr:sp>
    <xdr:clientData/>
  </xdr:twoCellAnchor>
  <xdr:twoCellAnchor>
    <xdr:from>
      <xdr:col>36</xdr:col>
      <xdr:colOff>29633</xdr:colOff>
      <xdr:row>0</xdr:row>
      <xdr:rowOff>29633</xdr:rowOff>
    </xdr:from>
    <xdr:to>
      <xdr:col>36</xdr:col>
      <xdr:colOff>677633</xdr:colOff>
      <xdr:row>0</xdr:row>
      <xdr:rowOff>131283</xdr:rowOff>
    </xdr:to>
    <xdr:sp macro="[0]!Z_A_C05" textlink="">
      <xdr:nvSpPr>
        <xdr:cNvPr id="21" name="Rectangle 20"/>
        <xdr:cNvSpPr/>
      </xdr:nvSpPr>
      <xdr:spPr>
        <a:xfrm>
          <a:off x="28037366" y="29633"/>
          <a:ext cx="648000" cy="101650"/>
        </a:xfrm>
        <a:prstGeom prst="rect">
          <a:avLst/>
        </a:prstGeom>
        <a:solidFill>
          <a:schemeClr val="accent3">
            <a:lumMod val="60000"/>
            <a:lumOff val="40000"/>
          </a:schemeClr>
        </a:solidFill>
        <a:ln>
          <a:solidFill>
            <a:schemeClr val="accent3">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A</a:t>
          </a:r>
        </a:p>
      </xdr:txBody>
    </xdr:sp>
    <xdr:clientData/>
  </xdr:twoCellAnchor>
  <xdr:twoCellAnchor>
    <xdr:from>
      <xdr:col>40</xdr:col>
      <xdr:colOff>29633</xdr:colOff>
      <xdr:row>0</xdr:row>
      <xdr:rowOff>33866</xdr:rowOff>
    </xdr:from>
    <xdr:to>
      <xdr:col>40</xdr:col>
      <xdr:colOff>677633</xdr:colOff>
      <xdr:row>0</xdr:row>
      <xdr:rowOff>135516</xdr:rowOff>
    </xdr:to>
    <xdr:sp macro="[0]!Z_A_C06" textlink="">
      <xdr:nvSpPr>
        <xdr:cNvPr id="22" name="Rectangle 21"/>
        <xdr:cNvSpPr/>
      </xdr:nvSpPr>
      <xdr:spPr>
        <a:xfrm>
          <a:off x="30949900" y="33866"/>
          <a:ext cx="648000" cy="101650"/>
        </a:xfrm>
        <a:prstGeom prst="rect">
          <a:avLst/>
        </a:prstGeom>
        <a:solidFill>
          <a:schemeClr val="accent3">
            <a:lumMod val="60000"/>
            <a:lumOff val="40000"/>
          </a:schemeClr>
        </a:solidFill>
        <a:ln>
          <a:solidFill>
            <a:schemeClr val="accent3">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A</a:t>
          </a:r>
        </a:p>
      </xdr:txBody>
    </xdr:sp>
    <xdr:clientData/>
  </xdr:twoCellAnchor>
  <xdr:twoCellAnchor>
    <xdr:from>
      <xdr:col>44</xdr:col>
      <xdr:colOff>29633</xdr:colOff>
      <xdr:row>0</xdr:row>
      <xdr:rowOff>29634</xdr:rowOff>
    </xdr:from>
    <xdr:to>
      <xdr:col>44</xdr:col>
      <xdr:colOff>677633</xdr:colOff>
      <xdr:row>0</xdr:row>
      <xdr:rowOff>131284</xdr:rowOff>
    </xdr:to>
    <xdr:sp macro="[0]!Z_A_C07" textlink="">
      <xdr:nvSpPr>
        <xdr:cNvPr id="23" name="Rectangle 22"/>
        <xdr:cNvSpPr/>
      </xdr:nvSpPr>
      <xdr:spPr>
        <a:xfrm>
          <a:off x="33862433" y="29634"/>
          <a:ext cx="648000" cy="101650"/>
        </a:xfrm>
        <a:prstGeom prst="rect">
          <a:avLst/>
        </a:prstGeom>
        <a:solidFill>
          <a:schemeClr val="accent3">
            <a:lumMod val="60000"/>
            <a:lumOff val="40000"/>
          </a:schemeClr>
        </a:solidFill>
        <a:ln>
          <a:solidFill>
            <a:schemeClr val="accent3">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A</a:t>
          </a:r>
        </a:p>
      </xdr:txBody>
    </xdr:sp>
    <xdr:clientData/>
  </xdr:twoCellAnchor>
  <xdr:twoCellAnchor>
    <xdr:from>
      <xdr:col>48</xdr:col>
      <xdr:colOff>25400</xdr:colOff>
      <xdr:row>0</xdr:row>
      <xdr:rowOff>25400</xdr:rowOff>
    </xdr:from>
    <xdr:to>
      <xdr:col>48</xdr:col>
      <xdr:colOff>673400</xdr:colOff>
      <xdr:row>0</xdr:row>
      <xdr:rowOff>127050</xdr:rowOff>
    </xdr:to>
    <xdr:sp macro="[0]!Z_A_C08" textlink="">
      <xdr:nvSpPr>
        <xdr:cNvPr id="24" name="Rectangle 23"/>
        <xdr:cNvSpPr/>
      </xdr:nvSpPr>
      <xdr:spPr>
        <a:xfrm>
          <a:off x="36770733" y="25400"/>
          <a:ext cx="648000" cy="101650"/>
        </a:xfrm>
        <a:prstGeom prst="rect">
          <a:avLst/>
        </a:prstGeom>
        <a:solidFill>
          <a:schemeClr val="accent3">
            <a:lumMod val="60000"/>
            <a:lumOff val="40000"/>
          </a:schemeClr>
        </a:solidFill>
        <a:ln>
          <a:solidFill>
            <a:schemeClr val="accent3">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A</a:t>
          </a:r>
        </a:p>
      </xdr:txBody>
    </xdr:sp>
    <xdr:clientData/>
  </xdr:twoCellAnchor>
  <xdr:twoCellAnchor>
    <xdr:from>
      <xdr:col>52</xdr:col>
      <xdr:colOff>21167</xdr:colOff>
      <xdr:row>0</xdr:row>
      <xdr:rowOff>29633</xdr:rowOff>
    </xdr:from>
    <xdr:to>
      <xdr:col>52</xdr:col>
      <xdr:colOff>669167</xdr:colOff>
      <xdr:row>0</xdr:row>
      <xdr:rowOff>131283</xdr:rowOff>
    </xdr:to>
    <xdr:sp macro="[0]!Z_A_C09" textlink="">
      <xdr:nvSpPr>
        <xdr:cNvPr id="25" name="Rectangle 24"/>
        <xdr:cNvSpPr/>
      </xdr:nvSpPr>
      <xdr:spPr>
        <a:xfrm>
          <a:off x="39679034" y="29633"/>
          <a:ext cx="648000" cy="101650"/>
        </a:xfrm>
        <a:prstGeom prst="rect">
          <a:avLst/>
        </a:prstGeom>
        <a:solidFill>
          <a:schemeClr val="accent3">
            <a:lumMod val="60000"/>
            <a:lumOff val="40000"/>
          </a:schemeClr>
        </a:solidFill>
        <a:ln>
          <a:solidFill>
            <a:schemeClr val="accent3">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A</a:t>
          </a:r>
        </a:p>
      </xdr:txBody>
    </xdr:sp>
    <xdr:clientData/>
  </xdr:twoCellAnchor>
  <xdr:twoCellAnchor>
    <xdr:from>
      <xdr:col>56</xdr:col>
      <xdr:colOff>29634</xdr:colOff>
      <xdr:row>0</xdr:row>
      <xdr:rowOff>29634</xdr:rowOff>
    </xdr:from>
    <xdr:to>
      <xdr:col>56</xdr:col>
      <xdr:colOff>677634</xdr:colOff>
      <xdr:row>0</xdr:row>
      <xdr:rowOff>131284</xdr:rowOff>
    </xdr:to>
    <xdr:sp macro="[0]!Z_A_C10" textlink="">
      <xdr:nvSpPr>
        <xdr:cNvPr id="26" name="Rectangle 25"/>
        <xdr:cNvSpPr/>
      </xdr:nvSpPr>
      <xdr:spPr>
        <a:xfrm>
          <a:off x="42600034" y="29634"/>
          <a:ext cx="648000" cy="101650"/>
        </a:xfrm>
        <a:prstGeom prst="rect">
          <a:avLst/>
        </a:prstGeom>
        <a:solidFill>
          <a:schemeClr val="accent3">
            <a:lumMod val="60000"/>
            <a:lumOff val="40000"/>
          </a:schemeClr>
        </a:solidFill>
        <a:ln>
          <a:solidFill>
            <a:schemeClr val="accent3">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A</a:t>
          </a:r>
        </a:p>
      </xdr:txBody>
    </xdr:sp>
    <xdr:clientData/>
  </xdr:twoCellAnchor>
  <xdr:twoCellAnchor>
    <xdr:from>
      <xdr:col>12</xdr:col>
      <xdr:colOff>31750</xdr:colOff>
      <xdr:row>0</xdr:row>
      <xdr:rowOff>31750</xdr:rowOff>
    </xdr:from>
    <xdr:to>
      <xdr:col>12</xdr:col>
      <xdr:colOff>679750</xdr:colOff>
      <xdr:row>0</xdr:row>
      <xdr:rowOff>133400</xdr:rowOff>
    </xdr:to>
    <xdr:sp macro="[0]!Z_A_FAC" textlink="">
      <xdr:nvSpPr>
        <xdr:cNvPr id="29" name="Rectangle 28"/>
        <xdr:cNvSpPr/>
      </xdr:nvSpPr>
      <xdr:spPr>
        <a:xfrm>
          <a:off x="10564283" y="31750"/>
          <a:ext cx="648000" cy="101650"/>
        </a:xfrm>
        <a:prstGeom prst="rect">
          <a:avLst/>
        </a:prstGeom>
        <a:solidFill>
          <a:schemeClr val="accent3">
            <a:lumMod val="60000"/>
            <a:lumOff val="40000"/>
          </a:schemeClr>
        </a:solidFill>
        <a:ln>
          <a:solidFill>
            <a:schemeClr val="accent3">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A</a:t>
          </a:r>
        </a:p>
      </xdr:txBody>
    </xdr:sp>
    <xdr:clientData/>
  </xdr:twoCellAnchor>
  <xdr:twoCellAnchor>
    <xdr:from>
      <xdr:col>19</xdr:col>
      <xdr:colOff>25400</xdr:colOff>
      <xdr:row>0</xdr:row>
      <xdr:rowOff>25400</xdr:rowOff>
    </xdr:from>
    <xdr:to>
      <xdr:col>19</xdr:col>
      <xdr:colOff>673400</xdr:colOff>
      <xdr:row>0</xdr:row>
      <xdr:rowOff>127050</xdr:rowOff>
    </xdr:to>
    <xdr:sp macro="[0]!Z_M_FAC" textlink="">
      <xdr:nvSpPr>
        <xdr:cNvPr id="31" name="Rectangle 30"/>
        <xdr:cNvSpPr/>
      </xdr:nvSpPr>
      <xdr:spPr>
        <a:xfrm>
          <a:off x="15654867" y="25400"/>
          <a:ext cx="648000" cy="101650"/>
        </a:xfrm>
        <a:prstGeom prst="rect">
          <a:avLst/>
        </a:prstGeom>
        <a:solidFill>
          <a:schemeClr val="accent2">
            <a:lumMod val="60000"/>
            <a:lumOff val="40000"/>
          </a:schemeClr>
        </a:solidFill>
        <a:ln>
          <a:solidFill>
            <a:schemeClr val="accent2">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M</a:t>
          </a:r>
        </a:p>
      </xdr:txBody>
    </xdr:sp>
    <xdr:clientData/>
  </xdr:twoCellAnchor>
  <xdr:twoCellAnchor>
    <xdr:from>
      <xdr:col>0</xdr:col>
      <xdr:colOff>31750</xdr:colOff>
      <xdr:row>0</xdr:row>
      <xdr:rowOff>40217</xdr:rowOff>
    </xdr:from>
    <xdr:to>
      <xdr:col>0</xdr:col>
      <xdr:colOff>679750</xdr:colOff>
      <xdr:row>0</xdr:row>
      <xdr:rowOff>141867</xdr:rowOff>
    </xdr:to>
    <xdr:sp macro="[0]!Z_A_Info" textlink="">
      <xdr:nvSpPr>
        <xdr:cNvPr id="30" name="Rectangle 29"/>
        <xdr:cNvSpPr/>
      </xdr:nvSpPr>
      <xdr:spPr>
        <a:xfrm>
          <a:off x="31750" y="40217"/>
          <a:ext cx="648000" cy="101650"/>
        </a:xfrm>
        <a:prstGeom prst="rect">
          <a:avLst/>
        </a:prstGeom>
        <a:solidFill>
          <a:schemeClr val="accent3">
            <a:lumMod val="60000"/>
            <a:lumOff val="40000"/>
          </a:schemeClr>
        </a:solidFill>
        <a:ln>
          <a:solidFill>
            <a:schemeClr val="accent3">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A</a:t>
          </a:r>
        </a:p>
      </xdr:txBody>
    </xdr:sp>
    <xdr:clientData/>
  </xdr:twoCellAnchor>
  <xdr:twoCellAnchor>
    <xdr:from>
      <xdr:col>9</xdr:col>
      <xdr:colOff>59267</xdr:colOff>
      <xdr:row>0</xdr:row>
      <xdr:rowOff>33866</xdr:rowOff>
    </xdr:from>
    <xdr:to>
      <xdr:col>9</xdr:col>
      <xdr:colOff>707267</xdr:colOff>
      <xdr:row>0</xdr:row>
      <xdr:rowOff>135516</xdr:rowOff>
    </xdr:to>
    <xdr:sp macro="[0]!Z_M_Info" textlink="">
      <xdr:nvSpPr>
        <xdr:cNvPr id="32" name="Rectangle 31"/>
        <xdr:cNvSpPr/>
      </xdr:nvSpPr>
      <xdr:spPr>
        <a:xfrm>
          <a:off x="7696200" y="33866"/>
          <a:ext cx="648000" cy="101650"/>
        </a:xfrm>
        <a:prstGeom prst="rect">
          <a:avLst/>
        </a:prstGeom>
        <a:solidFill>
          <a:schemeClr val="accent2">
            <a:lumMod val="60000"/>
            <a:lumOff val="40000"/>
          </a:schemeClr>
        </a:solidFill>
        <a:ln>
          <a:solidFill>
            <a:schemeClr val="accent2">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M</a:t>
          </a:r>
        </a:p>
      </xdr:txBody>
    </xdr:sp>
    <xdr:clientData/>
  </xdr:twoCellAnchor>
  <xdr:twoCellAnchor>
    <xdr:from>
      <xdr:col>71</xdr:col>
      <xdr:colOff>42334</xdr:colOff>
      <xdr:row>0</xdr:row>
      <xdr:rowOff>38099</xdr:rowOff>
    </xdr:from>
    <xdr:to>
      <xdr:col>71</xdr:col>
      <xdr:colOff>690334</xdr:colOff>
      <xdr:row>0</xdr:row>
      <xdr:rowOff>139749</xdr:rowOff>
    </xdr:to>
    <xdr:sp macro="[0]!Z_A_Cours" textlink="">
      <xdr:nvSpPr>
        <xdr:cNvPr id="33" name="Rectangle 32"/>
        <xdr:cNvSpPr/>
      </xdr:nvSpPr>
      <xdr:spPr>
        <a:xfrm>
          <a:off x="51350334" y="38099"/>
          <a:ext cx="648000" cy="101650"/>
        </a:xfrm>
        <a:prstGeom prst="rect">
          <a:avLst/>
        </a:prstGeom>
        <a:solidFill>
          <a:schemeClr val="accent3">
            <a:lumMod val="60000"/>
            <a:lumOff val="40000"/>
          </a:schemeClr>
        </a:solidFill>
        <a:ln>
          <a:solidFill>
            <a:schemeClr val="accent3">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A</a:t>
          </a:r>
        </a:p>
      </xdr:txBody>
    </xdr:sp>
    <xdr:clientData/>
  </xdr:twoCellAnchor>
  <xdr:twoCellAnchor>
    <xdr:from>
      <xdr:col>76</xdr:col>
      <xdr:colOff>42333</xdr:colOff>
      <xdr:row>0</xdr:row>
      <xdr:rowOff>42334</xdr:rowOff>
    </xdr:from>
    <xdr:to>
      <xdr:col>76</xdr:col>
      <xdr:colOff>690333</xdr:colOff>
      <xdr:row>0</xdr:row>
      <xdr:rowOff>143984</xdr:rowOff>
    </xdr:to>
    <xdr:sp macro="[0]!Z_A_Points" textlink="">
      <xdr:nvSpPr>
        <xdr:cNvPr id="34" name="Rectangle 33"/>
        <xdr:cNvSpPr/>
      </xdr:nvSpPr>
      <xdr:spPr>
        <a:xfrm>
          <a:off x="54991000" y="42334"/>
          <a:ext cx="648000" cy="101650"/>
        </a:xfrm>
        <a:prstGeom prst="rect">
          <a:avLst/>
        </a:prstGeom>
        <a:solidFill>
          <a:schemeClr val="accent3">
            <a:lumMod val="60000"/>
            <a:lumOff val="40000"/>
          </a:schemeClr>
        </a:solidFill>
        <a:ln>
          <a:solidFill>
            <a:schemeClr val="accent3">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A</a:t>
          </a:r>
        </a:p>
      </xdr:txBody>
    </xdr:sp>
    <xdr:clientData/>
  </xdr:twoCellAnchor>
  <xdr:twoCellAnchor>
    <xdr:from>
      <xdr:col>75</xdr:col>
      <xdr:colOff>38100</xdr:colOff>
      <xdr:row>0</xdr:row>
      <xdr:rowOff>46566</xdr:rowOff>
    </xdr:from>
    <xdr:to>
      <xdr:col>75</xdr:col>
      <xdr:colOff>686100</xdr:colOff>
      <xdr:row>0</xdr:row>
      <xdr:rowOff>148216</xdr:rowOff>
    </xdr:to>
    <xdr:sp macro="[0]!Z_M_Cours" textlink="">
      <xdr:nvSpPr>
        <xdr:cNvPr id="35" name="Rectangle 34"/>
        <xdr:cNvSpPr/>
      </xdr:nvSpPr>
      <xdr:spPr>
        <a:xfrm>
          <a:off x="54258633" y="46566"/>
          <a:ext cx="648000" cy="101650"/>
        </a:xfrm>
        <a:prstGeom prst="rect">
          <a:avLst/>
        </a:prstGeom>
        <a:solidFill>
          <a:schemeClr val="accent2">
            <a:lumMod val="60000"/>
            <a:lumOff val="40000"/>
          </a:schemeClr>
        </a:solidFill>
        <a:ln>
          <a:solidFill>
            <a:schemeClr val="accent2">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M</a:t>
          </a:r>
        </a:p>
      </xdr:txBody>
    </xdr:sp>
    <xdr:clientData/>
  </xdr:twoCellAnchor>
  <xdr:twoCellAnchor>
    <xdr:from>
      <xdr:col>94</xdr:col>
      <xdr:colOff>46567</xdr:colOff>
      <xdr:row>0</xdr:row>
      <xdr:rowOff>38099</xdr:rowOff>
    </xdr:from>
    <xdr:to>
      <xdr:col>94</xdr:col>
      <xdr:colOff>694567</xdr:colOff>
      <xdr:row>0</xdr:row>
      <xdr:rowOff>139749</xdr:rowOff>
    </xdr:to>
    <xdr:sp macro="[0]!Z_M_Points" textlink="">
      <xdr:nvSpPr>
        <xdr:cNvPr id="36" name="Rectangle 35"/>
        <xdr:cNvSpPr/>
      </xdr:nvSpPr>
      <xdr:spPr>
        <a:xfrm>
          <a:off x="65189100" y="38099"/>
          <a:ext cx="648000" cy="101650"/>
        </a:xfrm>
        <a:prstGeom prst="rect">
          <a:avLst/>
        </a:prstGeom>
        <a:solidFill>
          <a:schemeClr val="accent2">
            <a:lumMod val="60000"/>
            <a:lumOff val="40000"/>
          </a:schemeClr>
        </a:solidFill>
        <a:ln>
          <a:solidFill>
            <a:schemeClr val="accent2">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M</a:t>
          </a:r>
        </a:p>
      </xdr:txBody>
    </xdr:sp>
    <xdr:clientData/>
  </xdr:twoCellAnchor>
  <xdr:twoCellAnchor>
    <xdr:from>
      <xdr:col>64</xdr:col>
      <xdr:colOff>50800</xdr:colOff>
      <xdr:row>0</xdr:row>
      <xdr:rowOff>42333</xdr:rowOff>
    </xdr:from>
    <xdr:to>
      <xdr:col>64</xdr:col>
      <xdr:colOff>698800</xdr:colOff>
      <xdr:row>0</xdr:row>
      <xdr:rowOff>143983</xdr:rowOff>
    </xdr:to>
    <xdr:sp macro="[0]!Z_A_MàN_AC" textlink="">
      <xdr:nvSpPr>
        <xdr:cNvPr id="38" name="Rectangle 37"/>
        <xdr:cNvSpPr/>
      </xdr:nvSpPr>
      <xdr:spPr>
        <a:xfrm>
          <a:off x="18601267" y="42333"/>
          <a:ext cx="648000" cy="101650"/>
        </a:xfrm>
        <a:prstGeom prst="rect">
          <a:avLst/>
        </a:prstGeom>
        <a:solidFill>
          <a:schemeClr val="accent3">
            <a:lumMod val="60000"/>
            <a:lumOff val="40000"/>
          </a:schemeClr>
        </a:solidFill>
        <a:ln>
          <a:solidFill>
            <a:schemeClr val="accent3">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A</a:t>
          </a:r>
        </a:p>
      </xdr:txBody>
    </xdr:sp>
    <xdr:clientData/>
  </xdr:twoCellAnchor>
  <xdr:twoCellAnchor>
    <xdr:from>
      <xdr:col>70</xdr:col>
      <xdr:colOff>33866</xdr:colOff>
      <xdr:row>0</xdr:row>
      <xdr:rowOff>33866</xdr:rowOff>
    </xdr:from>
    <xdr:to>
      <xdr:col>70</xdr:col>
      <xdr:colOff>681866</xdr:colOff>
      <xdr:row>0</xdr:row>
      <xdr:rowOff>135516</xdr:rowOff>
    </xdr:to>
    <xdr:sp macro="[0]!Z_M_MàN_AC" textlink="">
      <xdr:nvSpPr>
        <xdr:cNvPr id="39" name="Rectangle 38"/>
        <xdr:cNvSpPr/>
      </xdr:nvSpPr>
      <xdr:spPr>
        <a:xfrm>
          <a:off x="15663333" y="33866"/>
          <a:ext cx="648000" cy="101650"/>
        </a:xfrm>
        <a:prstGeom prst="rect">
          <a:avLst/>
        </a:prstGeom>
        <a:solidFill>
          <a:schemeClr val="accent2">
            <a:lumMod val="60000"/>
            <a:lumOff val="40000"/>
          </a:schemeClr>
        </a:solidFill>
        <a:ln>
          <a:solidFill>
            <a:schemeClr val="accent2">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M</a:t>
          </a:r>
        </a:p>
      </xdr:txBody>
    </xdr:sp>
    <xdr:clientData/>
  </xdr:twoCellAnchor>
  <xdr:twoCellAnchor>
    <xdr:from>
      <xdr:col>60</xdr:col>
      <xdr:colOff>37800</xdr:colOff>
      <xdr:row>0</xdr:row>
      <xdr:rowOff>42333</xdr:rowOff>
    </xdr:from>
    <xdr:to>
      <xdr:col>60</xdr:col>
      <xdr:colOff>685800</xdr:colOff>
      <xdr:row>0</xdr:row>
      <xdr:rowOff>143983</xdr:rowOff>
    </xdr:to>
    <xdr:sp macro="[0]!Z_A_C11" textlink="">
      <xdr:nvSpPr>
        <xdr:cNvPr id="37" name="Rectangle 36"/>
        <xdr:cNvSpPr/>
      </xdr:nvSpPr>
      <xdr:spPr>
        <a:xfrm>
          <a:off x="15675733" y="42333"/>
          <a:ext cx="648000" cy="101650"/>
        </a:xfrm>
        <a:prstGeom prst="rect">
          <a:avLst/>
        </a:prstGeom>
        <a:solidFill>
          <a:schemeClr val="accent3">
            <a:lumMod val="60000"/>
            <a:lumOff val="40000"/>
          </a:schemeClr>
        </a:solidFill>
        <a:ln>
          <a:solidFill>
            <a:schemeClr val="accent3">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A</a:t>
          </a:r>
        </a:p>
      </xdr:txBody>
    </xdr:sp>
    <xdr:clientData/>
  </xdr:twoCellAnchor>
  <xdr:twoCellAnchor>
    <xdr:from>
      <xdr:col>63</xdr:col>
      <xdr:colOff>50800</xdr:colOff>
      <xdr:row>0</xdr:row>
      <xdr:rowOff>33866</xdr:rowOff>
    </xdr:from>
    <xdr:to>
      <xdr:col>63</xdr:col>
      <xdr:colOff>698800</xdr:colOff>
      <xdr:row>0</xdr:row>
      <xdr:rowOff>135516</xdr:rowOff>
    </xdr:to>
    <xdr:sp macro="[0]!Z_M_C11" textlink="">
      <xdr:nvSpPr>
        <xdr:cNvPr id="40" name="Rectangle 39"/>
        <xdr:cNvSpPr/>
      </xdr:nvSpPr>
      <xdr:spPr>
        <a:xfrm>
          <a:off x="17873133" y="33866"/>
          <a:ext cx="648000" cy="101650"/>
        </a:xfrm>
        <a:prstGeom prst="rect">
          <a:avLst/>
        </a:prstGeom>
        <a:solidFill>
          <a:schemeClr val="accent2">
            <a:lumMod val="60000"/>
            <a:lumOff val="40000"/>
          </a:schemeClr>
        </a:solidFill>
        <a:ln>
          <a:solidFill>
            <a:schemeClr val="accent2">
              <a:lumMod val="75000"/>
            </a:schemeClr>
          </a:solid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400">
              <a:solidFill>
                <a:schemeClr val="tx1"/>
              </a:solidFill>
              <a:latin typeface="Arial"/>
              <a:cs typeface="Arial"/>
            </a:rPr>
            <a:t>M</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12</xdr:col>
      <xdr:colOff>48683</xdr:colOff>
      <xdr:row>0</xdr:row>
      <xdr:rowOff>26457</xdr:rowOff>
    </xdr:from>
    <xdr:to>
      <xdr:col>13</xdr:col>
      <xdr:colOff>726683</xdr:colOff>
      <xdr:row>0</xdr:row>
      <xdr:rowOff>134457</xdr:rowOff>
    </xdr:to>
    <xdr:sp macro="[0]!Rapport_BC" textlink="">
      <xdr:nvSpPr>
        <xdr:cNvPr id="2" name="Rectangle 1"/>
        <xdr:cNvSpPr/>
      </xdr:nvSpPr>
      <xdr:spPr>
        <a:xfrm>
          <a:off x="3045883" y="26457"/>
          <a:ext cx="665300" cy="108000"/>
        </a:xfrm>
        <a:prstGeom prst="rect">
          <a:avLst/>
        </a:prstGeom>
        <a:solidFill>
          <a:schemeClr val="accent5">
            <a:lumMod val="60000"/>
            <a:lumOff val="40000"/>
          </a:schemeClr>
        </a:solidFill>
        <a:ln>
          <a:solidFill>
            <a:schemeClr val="accent5">
              <a:lumMod val="75000"/>
            </a:schemeClr>
          </a:solidFill>
        </a:ln>
        <a:effectLst>
          <a:outerShdw blurRad="50800" dist="38100" dir="2700000" algn="tl" rotWithShape="0">
            <a:prstClr val="black">
              <a:alpha val="40000"/>
            </a:prstClr>
          </a:outerShdw>
        </a:effectLst>
        <a:scene3d>
          <a:camera prst="orthographicFront"/>
          <a:lightRig rig="threePt" dir="t"/>
        </a:scene3d>
        <a:sp3d>
          <a:bevelT w="50800" h="50800"/>
        </a:sp3d>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1000" baseline="10000">
              <a:solidFill>
                <a:schemeClr val="accent5">
                  <a:lumMod val="50000"/>
                </a:schemeClr>
              </a:solidFill>
              <a:latin typeface="Arial"/>
              <a:cs typeface="Arial"/>
            </a:rPr>
            <a:t>Enregistrer</a:t>
          </a:r>
        </a:p>
      </xdr:txBody>
    </xdr:sp>
    <xdr:clientData/>
  </xdr:twoCellAnchor>
</xdr:wsDr>
</file>

<file path=xl/tables/table1.xml><?xml version="1.0" encoding="utf-8"?>
<table xmlns="http://schemas.openxmlformats.org/spreadsheetml/2006/main" id="2" name="DonnéesDessin" displayName="DonnéesDessin" ref="A3:DB100" totalsRowCount="1" headerRowDxfId="584" dataDxfId="583">
  <autoFilter ref="A3:DB99"/>
  <sortState ref="A4:DB99">
    <sortCondition ref="A3:A99"/>
  </sortState>
  <tableColumns count="106">
    <tableColumn id="1" name="Clé" totalsRowFunction="count" dataDxfId="582" totalsRowDxfId="192"/>
    <tableColumn id="3" name="Nom" dataDxfId="581" totalsRowDxfId="191"/>
    <tableColumn id="4" name="Prénom" dataDxfId="580" totalsRowDxfId="190"/>
    <tableColumn id="5" name="Secteur" dataDxfId="579" totalsRowDxfId="189"/>
    <tableColumn id="6" name="Arrivée" dataDxfId="578" totalsRowDxfId="188"/>
    <tableColumn id="7" name="Départ" dataDxfId="577" totalsRowDxfId="187"/>
    <tableColumn id="8" name="Référent" dataDxfId="576" totalsRowDxfId="186"/>
    <tableColumn id="9" name="Dessine" dataDxfId="575" totalsRowDxfId="185"/>
    <tableColumn id="10" name="Formation AC" dataDxfId="574" totalsRowDxfId="184"/>
    <tableColumn id="11" name="Version AC 31.12.15" dataDxfId="573" totalsRowDxfId="183"/>
    <tableColumn id="12" name="Remarques" dataDxfId="572" totalsRowDxfId="182"/>
    <tableColumn id="13" name="Total points acquis" dataDxfId="571" totalsRowDxfId="181">
      <calculatedColumnFormula>DonnéesDessin[[#This Row],[PTS]]</calculatedColumnFormula>
    </tableColumn>
    <tableColumn id="14" name="FAC-3H" dataDxfId="570" totalsRowDxfId="180"/>
    <tableColumn id="15" name="P FAC-3H" dataDxfId="569" totalsRowDxfId="179"/>
    <tableColumn id="16" name="FAC-9H 1" dataDxfId="568" totalsRowDxfId="178"/>
    <tableColumn id="17" name="P FAC-9H 1" dataDxfId="567" totalsRowDxfId="177"/>
    <tableColumn id="18" name="FAC-9H 2" dataDxfId="566" totalsRowDxfId="176"/>
    <tableColumn id="19" name="P FAC-9H 2" dataDxfId="565" totalsRowDxfId="175"/>
    <tableColumn id="20" name="FAC-9H 3" dataDxfId="564" totalsRowDxfId="174"/>
    <tableColumn id="21" name="P FAC-9H 3" dataDxfId="563" totalsRowDxfId="173"/>
    <tableColumn id="22" name="Réponse doodle 01" totalsRowFunction="count" dataDxfId="562" totalsRowDxfId="172"/>
    <tableColumn id="23" name="Date choisie cours 01" dataDxfId="561" totalsRowDxfId="171"/>
    <tableColumn id="24" name="Présence cours 01" dataDxfId="560" totalsRowDxfId="170"/>
    <tableColumn id="25" name="Info 01" dataDxfId="559" totalsRowDxfId="169"/>
    <tableColumn id="26" name="Réponse doodle 02" dataDxfId="558" totalsRowDxfId="168"/>
    <tableColumn id="27" name="Date choisie cours 02" dataDxfId="557" totalsRowDxfId="167"/>
    <tableColumn id="28" name="Présence cours 02" dataDxfId="556" totalsRowDxfId="166"/>
    <tableColumn id="29" name="Info 02" dataDxfId="555" totalsRowDxfId="165"/>
    <tableColumn id="30" name="Réponse doodle 03" dataDxfId="554" totalsRowDxfId="164"/>
    <tableColumn id="31" name="Date choisie cours 03" dataDxfId="553" totalsRowDxfId="163"/>
    <tableColumn id="32" name="Présence cours 03" dataDxfId="552" totalsRowDxfId="162"/>
    <tableColumn id="33" name="Info 03" dataDxfId="551" totalsRowDxfId="161"/>
    <tableColumn id="34" name="Réponse doodle 04" dataDxfId="550" totalsRowDxfId="160"/>
    <tableColumn id="35" name="Date choisie cours 04" dataDxfId="549" totalsRowDxfId="159"/>
    <tableColumn id="36" name="Présence cours 04" dataDxfId="548" totalsRowDxfId="158"/>
    <tableColumn id="37" name="Info 04" dataDxfId="547" totalsRowDxfId="157"/>
    <tableColumn id="38" name="Réponse doodle 05" dataDxfId="546" totalsRowDxfId="156"/>
    <tableColumn id="39" name="Date choisie cours 05" dataDxfId="545" totalsRowDxfId="155"/>
    <tableColumn id="40" name="Présence cours 05" dataDxfId="544" totalsRowDxfId="154"/>
    <tableColumn id="41" name="Info 05" dataDxfId="543" totalsRowDxfId="153"/>
    <tableColumn id="42" name="Réponse doodle 06" dataDxfId="542" totalsRowDxfId="152"/>
    <tableColumn id="43" name="Date choisie cours 06" dataDxfId="541" totalsRowDxfId="151"/>
    <tableColumn id="44" name="Présence cours 06" dataDxfId="540" totalsRowDxfId="150"/>
    <tableColumn id="45" name="Info 06" dataDxfId="539" totalsRowDxfId="149"/>
    <tableColumn id="46" name="Réponse doodle 07" dataDxfId="538" totalsRowDxfId="148"/>
    <tableColumn id="47" name="Date choisie cours 07" dataDxfId="537" totalsRowDxfId="147"/>
    <tableColumn id="48" name="Présence cours 07" dataDxfId="536" totalsRowDxfId="146"/>
    <tableColumn id="49" name="Info 07" dataDxfId="535" totalsRowDxfId="145"/>
    <tableColumn id="50" name="Réponse doodle 08" totalsRowFunction="count" dataDxfId="534" totalsRowDxfId="144"/>
    <tableColumn id="51" name="Date choisie cours 08" dataDxfId="533" totalsRowDxfId="143"/>
    <tableColumn id="52" name="Présence cours 08" dataDxfId="532" totalsRowDxfId="142"/>
    <tableColumn id="53" name="Info 08" dataDxfId="531" totalsRowDxfId="141"/>
    <tableColumn id="54" name="Réponse doodle 09" dataDxfId="530" totalsRowDxfId="140"/>
    <tableColumn id="55" name="Date choisie cours 09" dataDxfId="529" totalsRowDxfId="139"/>
    <tableColumn id="56" name="Présence cours 09" dataDxfId="528" totalsRowDxfId="138"/>
    <tableColumn id="57" name="Info 09" dataDxfId="527" totalsRowDxfId="137"/>
    <tableColumn id="58" name="Réponse doodle 10" dataDxfId="526" totalsRowDxfId="136"/>
    <tableColumn id="59" name="Date choisie cours 10" dataDxfId="525" totalsRowDxfId="135"/>
    <tableColumn id="60" name="Présence cours 10" dataDxfId="524" totalsRowDxfId="134"/>
    <tableColumn id="61" name="Info 10" dataDxfId="523" totalsRowDxfId="133"/>
    <tableColumn id="62" name="Réponse doodle 11" dataDxfId="522" totalsRowDxfId="132"/>
    <tableColumn id="63" name="Date choisie cours 11" dataDxfId="521" totalsRowDxfId="131"/>
    <tableColumn id="64" name="Présence cours 11" dataDxfId="520" totalsRowDxfId="130"/>
    <tableColumn id="65" name="Info 11" dataDxfId="519" totalsRowDxfId="129"/>
    <tableColumn id="90" name="MàN AC prévue" dataDxfId="518" totalsRowDxfId="128"/>
    <tableColumn id="95" name="Inscrit à …" dataDxfId="517" totalsRowDxfId="127"/>
    <tableColumn id="96" name="Correspondance" dataDxfId="516" totalsRowDxfId="126"/>
    <tableColumn id="94" name="Réponse doodle MàN AC" dataDxfId="515" totalsRowDxfId="125"/>
    <tableColumn id="91" name="Date MàN AC" dataDxfId="514" totalsRowDxfId="124"/>
    <tableColumn id="92" name="Heure MàN AC" totalsRowFunction="count" dataDxfId="513" totalsRowDxfId="123"/>
    <tableColumn id="93" name="Présence MàN AC" totalsRowFunction="sum" dataDxfId="512" totalsRowDxfId="122"/>
    <tableColumn id="70" name="Nombre de cours" dataDxfId="511" totalsRowDxfId="121">
      <calculatedColumnFormula>Nombrecours</calculatedColumnFormula>
    </tableColumn>
    <tableColumn id="71" name="Nombre excusé" dataDxfId="510" totalsRowDxfId="120">
      <calculatedColumnFormula>COUNTIF(DonnéesDessin[[#This Row],[Réponse doodle 01]:[Présence MàN AC]],"Excusé")</calculatedColumnFormula>
    </tableColumn>
    <tableColumn id="72" name="Nombre N-employé" dataDxfId="509" totalsRowDxfId="119">
      <calculatedColumnFormula>COUNTIF(DonnéesDessin[[#This Row],[Réponse doodle 01]:[Présence MàN AC]],"N-employé")</calculatedColumnFormula>
    </tableColumn>
    <tableColumn id="73" name="Nombre de cours possibles" dataDxfId="508" totalsRowDxfId="118">
      <calculatedColumnFormula>DonnéesDessin[[#This Row],[Nombre de cours]]-DonnéesDessin[[#This Row],[Nombre excusé]]-DonnéesDessin[[#This Row],[Nombre N-employé]]</calculatedColumnFormula>
    </tableColumn>
    <tableColumn id="74" name="Nombre de cours suivis" dataDxfId="507" totalsRowDxfId="117">
      <calculatedColumnFormula>COUNTIF(DonnéesDessin[[#This Row],[Réponse doodle 01]:[Présence MàN AC]],"Présent")</calculatedColumnFormula>
    </tableColumn>
    <tableColumn id="75" name="Inscrit" dataDxfId="506" totalsRowDxfId="116">
      <calculatedColumnFormula>COUNTIF(DonnéesDessin[[#This Row],[Réponse doodle 01]:[Présence MàN AC]],"Inscrit")</calculatedColumnFormula>
    </tableColumn>
    <tableColumn id="76" name="PTS &quot;Inscrit&quot; (3)" dataDxfId="505" totalsRowDxfId="115">
      <calculatedColumnFormula>3*DonnéesDessin[[#This Row],[Inscrit]]</calculatedColumnFormula>
    </tableColumn>
    <tableColumn id="98" name="R pas nécessaire" dataDxfId="504" totalsRowDxfId="114">
      <calculatedColumnFormula>COUNTIF(DonnéesDessin[[#This Row],[Réponse doodle 01]:[Présence MàN AC]],"R pas nécessaire")</calculatedColumnFormula>
    </tableColumn>
    <tableColumn id="97" name="Pts &quot;R pas nécessaire&quot; (3)" dataDxfId="503" totalsRowDxfId="113">
      <calculatedColumnFormula>SUM(3*DonnéesDessin[[#This Row],[R pas nécessaire]])</calculatedColumnFormula>
    </tableColumn>
    <tableColumn id="77" name="Indisponible" dataDxfId="502" totalsRowDxfId="112">
      <calculatedColumnFormula>COUNTIF(DonnéesDessin[[#This Row],[Réponse doodle 01]:[Présence MàN AC]],"Indisponible")</calculatedColumnFormula>
    </tableColumn>
    <tableColumn id="78" name="PTS &quot;Indisponible&quot; (2)" dataDxfId="501" totalsRowDxfId="111">
      <calculatedColumnFormula>2*DonnéesDessin[[#This Row],[Indisponible]]</calculatedColumnFormula>
    </tableColumn>
    <tableColumn id="79" name="Ne peut s'inscrire" dataDxfId="500" totalsRowDxfId="110">
      <calculatedColumnFormula>COUNTIF(DonnéesDessin[[#This Row],[Réponse doodle 01]:[Présence MàN AC]],"Ne peut s'inscrire")</calculatedColumnFormula>
    </tableColumn>
    <tableColumn id="80" name="PTS &quot;Ne peut s'inscrire&quot; (1)" dataDxfId="499" totalsRowDxfId="109">
      <calculatedColumnFormula>1*DonnéesDessin[[#This Row],[Ne peut s''inscrire]]</calculatedColumnFormula>
    </tableColumn>
    <tableColumn id="81" name="Sans information" dataDxfId="498" totalsRowDxfId="108">
      <calculatedColumnFormula>COUNTIF(DonnéesDessin[[#This Row],[Réponse doodle 01]:[Présence MàN AC]],"Sans information")</calculatedColumnFormula>
    </tableColumn>
    <tableColumn id="82" name="PTS &quot;Sans information&quot; (0)" dataDxfId="497" totalsRowDxfId="107">
      <calculatedColumnFormula>0*DonnéesDessin[[#This Row],[Sans information]]</calculatedColumnFormula>
    </tableColumn>
    <tableColumn id="83" name="Présent" dataDxfId="496" totalsRowDxfId="106">
      <calculatedColumnFormula>COUNTIF(DonnéesDessin[[#This Row],[Réponse doodle 01]:[Présence MàN AC]],"Présent")</calculatedColumnFormula>
    </tableColumn>
    <tableColumn id="84" name="PTS &quot;Présent&quot; (2)" dataDxfId="495" totalsRowDxfId="105">
      <calculatedColumnFormula>2*DonnéesDessin[[#This Row],[Présent]]</calculatedColumnFormula>
    </tableColumn>
    <tableColumn id="100" name="P pas nécessaire" dataDxfId="494" totalsRowDxfId="104">
      <calculatedColumnFormula>COUNTIF(DonnéesDessin[[#This Row],[Réponse doodle 01]:[Présence MàN AC]],"P pas nécessaire")</calculatedColumnFormula>
    </tableColumn>
    <tableColumn id="99" name="Pts &quot;P pas nécessaire&quot; (2)" dataDxfId="493" totalsRowDxfId="103">
      <calculatedColumnFormula>2*DonnéesDessin[[#This Row],[P pas nécessaire]]</calculatedColumnFormula>
    </tableColumn>
    <tableColumn id="85" name="Excusé" dataDxfId="492" totalsRowDxfId="102">
      <calculatedColumnFormula>COUNTIF(DonnéesDessin[[#This Row],[Réponse doodle 01]:[Présence MàN AC]],"Excusé")</calculatedColumnFormula>
    </tableColumn>
    <tableColumn id="86" name="PTS &quot;Excusé&quot; (1)" dataDxfId="491" totalsRowDxfId="101">
      <calculatedColumnFormula>1*DonnéesDessin[[#This Row],[Excusé]]</calculatedColumnFormula>
    </tableColumn>
    <tableColumn id="87" name="Pas présent" dataDxfId="490" totalsRowDxfId="100">
      <calculatedColumnFormula>COUNTIF(DonnéesDessin[[#This Row],[Réponse doodle 01]:[Présence MàN AC]],"Pas présent")</calculatedColumnFormula>
    </tableColumn>
    <tableColumn id="88" name="PTS &quot;Pas présent&quot; (0)" dataDxfId="489" totalsRowDxfId="99">
      <calculatedColumnFormula>0*DonnéesDessin[[#This Row],[Pas présent]]</calculatedColumnFormula>
    </tableColumn>
    <tableColumn id="89" name="PTS" dataDxfId="488" totalsRowDxfId="98">
      <calculatedColumnFormula>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calculatedColumnFormula>
    </tableColumn>
    <tableColumn id="69" name="Session choisie BC AC19" dataDxfId="487" totalsRowDxfId="97"/>
    <tableColumn id="2" name="Heure" dataDxfId="486" totalsRowDxfId="96"/>
    <tableColumn id="101" name="Présence BC AC19" dataDxfId="485" totalsRowDxfId="95"/>
    <tableColumn id="67" name="Utilisateur n°" dataDxfId="484" totalsRowDxfId="94"/>
    <tableColumn id="102" name="Résultat Niveau 1" dataDxfId="483" totalsRowDxfId="93"/>
    <tableColumn id="66" name="Résultat Avancé" dataDxfId="482" totalsRowDxfId="92"/>
    <tableColumn id="105" name="Total points" dataDxfId="481" totalsRowDxfId="91">
      <calculatedColumnFormula>SUBTOTAL(9,DonnéesDessin[[#This Row],[Résultat Niveau 1]:[Résultat Avancé]])</calculatedColumnFormula>
    </tableColumn>
    <tableColumn id="104" name="Heure arrivée" dataDxfId="480" totalsRowDxfId="90"/>
    <tableColumn id="68" name="Heure départ" dataDxfId="479" totalsRowDxfId="89"/>
    <tableColumn id="103" name="Durée BC AC19 (en min)" dataDxfId="478" totalsRowDxfId="88"/>
    <tableColumn id="111" name="P/M" dataDxfId="477" totalsRowDxfId="87">
      <calculatedColumnFormula>(DonnéesDessin[[#This Row],[Résultat Niveau 1]]+DonnéesDessin[[#This Row],[Résultat Avancé]])/DonnéesDessin[[#This Row],[Durée BC AC19 (en min)]]</calculatedColumnFormula>
    </tableColumn>
  </tableColumns>
  <tableStyleInfo name="TableStyleLight1" showFirstColumn="0" showLastColumn="0" showRowStripes="1" showColumnStripes="0"/>
</table>
</file>

<file path=xl/tables/table2.xml><?xml version="1.0" encoding="utf-8"?>
<table xmlns="http://schemas.openxmlformats.org/spreadsheetml/2006/main" id="10" name="DonnéesBC" displayName="DonnéesBC" ref="A3:EK59" totalsRowShown="0" headerRowDxfId="476" dataDxfId="475">
  <autoFilter ref="A3:EK59"/>
  <sortState ref="A4:EK59">
    <sortCondition ref="A3:A59"/>
  </sortState>
  <tableColumns count="141">
    <tableColumn id="1" name="Clé2" dataDxfId="474" totalsRowDxfId="473">
      <calculatedColumnFormula>DonnéesBC[[#This Row],[Prénom]]&amp;" "&amp;DonnéesBC[[#This Row],[Nom]]</calculatedColumnFormula>
    </tableColumn>
    <tableColumn id="2" name="Nom" dataDxfId="472" totalsRowDxfId="471"/>
    <tableColumn id="3" name="Prénom" dataDxfId="470" totalsRowDxfId="469"/>
    <tableColumn id="4" name="1" dataDxfId="468" totalsRowDxfId="467"/>
    <tableColumn id="5" name="2" dataDxfId="466" totalsRowDxfId="465"/>
    <tableColumn id="6" name="3" dataDxfId="464" totalsRowDxfId="463"/>
    <tableColumn id="7" name="4" dataDxfId="462" totalsRowDxfId="461"/>
    <tableColumn id="8" name="5" dataDxfId="460" totalsRowDxfId="459"/>
    <tableColumn id="9" name="6" dataDxfId="458" totalsRowDxfId="457"/>
    <tableColumn id="10" name="7" dataDxfId="456" totalsRowDxfId="455"/>
    <tableColumn id="11" name="8" dataDxfId="454" totalsRowDxfId="453"/>
    <tableColumn id="12" name="9" dataDxfId="452" totalsRowDxfId="451"/>
    <tableColumn id="13" name="10" dataDxfId="450" totalsRowDxfId="449"/>
    <tableColumn id="14" name="11" dataDxfId="448" totalsRowDxfId="447"/>
    <tableColumn id="15" name="12" dataDxfId="446" totalsRowDxfId="445"/>
    <tableColumn id="16" name="13" dataDxfId="444" totalsRowDxfId="443"/>
    <tableColumn id="17" name="14" dataDxfId="442" totalsRowDxfId="441"/>
    <tableColumn id="18" name="15" dataDxfId="440" totalsRowDxfId="439"/>
    <tableColumn id="19" name="16" dataDxfId="438" totalsRowDxfId="437"/>
    <tableColumn id="20" name="17" dataDxfId="436" totalsRowDxfId="435"/>
    <tableColumn id="21" name="18" dataDxfId="434" totalsRowDxfId="433"/>
    <tableColumn id="22" name="19" dataDxfId="432" totalsRowDxfId="431"/>
    <tableColumn id="23" name="20" dataDxfId="430" totalsRowDxfId="429"/>
    <tableColumn id="24" name="21" dataDxfId="428" totalsRowDxfId="427"/>
    <tableColumn id="25" name="22" dataDxfId="426" totalsRowDxfId="425"/>
    <tableColumn id="26" name="23" dataDxfId="424" totalsRowDxfId="423"/>
    <tableColumn id="27" name="24" dataDxfId="422" totalsRowDxfId="421"/>
    <tableColumn id="28" name="25" dataDxfId="420" totalsRowDxfId="419"/>
    <tableColumn id="29" name="26" dataDxfId="418" totalsRowDxfId="417"/>
    <tableColumn id="30" name="27" dataDxfId="416" totalsRowDxfId="415"/>
    <tableColumn id="31" name="28" dataDxfId="414" totalsRowDxfId="413"/>
    <tableColumn id="32" name="29" dataDxfId="412" totalsRowDxfId="411"/>
    <tableColumn id="33" name="30" dataDxfId="410" totalsRowDxfId="409"/>
    <tableColumn id="34" name="31" dataDxfId="408" totalsRowDxfId="407"/>
    <tableColumn id="35" name="32" dataDxfId="406" totalsRowDxfId="405"/>
    <tableColumn id="36" name="33" dataDxfId="404" totalsRowDxfId="403"/>
    <tableColumn id="37" name="34" dataDxfId="402" totalsRowDxfId="401"/>
    <tableColumn id="38" name="35" dataDxfId="400" totalsRowDxfId="399"/>
    <tableColumn id="39" name="36" dataDxfId="398" totalsRowDxfId="397"/>
    <tableColumn id="40" name="37" dataDxfId="396" totalsRowDxfId="395"/>
    <tableColumn id="41" name="38" dataDxfId="394" totalsRowDxfId="393"/>
    <tableColumn id="42" name="39" dataDxfId="392" totalsRowDxfId="391"/>
    <tableColumn id="43" name="40" dataDxfId="390" totalsRowDxfId="389"/>
    <tableColumn id="44" name="41" dataDxfId="388" totalsRowDxfId="387"/>
    <tableColumn id="45" name="42" dataDxfId="386" totalsRowDxfId="385"/>
    <tableColumn id="46" name="43" dataDxfId="384" totalsRowDxfId="383"/>
    <tableColumn id="47" name="44" dataDxfId="382" totalsRowDxfId="381"/>
    <tableColumn id="48" name="45" dataDxfId="380" totalsRowDxfId="379"/>
    <tableColumn id="49" name="46" dataDxfId="378" totalsRowDxfId="377"/>
    <tableColumn id="50" name="47" dataDxfId="376" totalsRowDxfId="375"/>
    <tableColumn id="51" name="48" dataDxfId="374" totalsRowDxfId="373"/>
    <tableColumn id="52" name="49" dataDxfId="372" totalsRowDxfId="371"/>
    <tableColumn id="53" name="50" dataDxfId="370" totalsRowDxfId="369"/>
    <tableColumn id="54" name="51" dataDxfId="368" totalsRowDxfId="367"/>
    <tableColumn id="55" name="52" dataDxfId="366" totalsRowDxfId="365"/>
    <tableColumn id="56" name="53" dataDxfId="364" totalsRowDxfId="363"/>
    <tableColumn id="57" name="54" dataDxfId="362" totalsRowDxfId="361"/>
    <tableColumn id="58" name="55" dataDxfId="360" totalsRowDxfId="359"/>
    <tableColumn id="59" name="56" dataDxfId="358" totalsRowDxfId="357"/>
    <tableColumn id="60" name="57" dataDxfId="356" totalsRowDxfId="355"/>
    <tableColumn id="61" name="58" dataDxfId="354" totalsRowDxfId="353"/>
    <tableColumn id="62" name="59" dataDxfId="352" totalsRowDxfId="351"/>
    <tableColumn id="63" name="60" dataDxfId="350" totalsRowDxfId="349"/>
    <tableColumn id="64" name="61" dataDxfId="348" totalsRowDxfId="347"/>
    <tableColumn id="65" name="62" dataDxfId="346" totalsRowDxfId="345"/>
    <tableColumn id="66" name="63" dataDxfId="344" totalsRowDxfId="343"/>
    <tableColumn id="67" name="64" dataDxfId="342" totalsRowDxfId="341"/>
    <tableColumn id="68" name="65" dataDxfId="340" totalsRowDxfId="339"/>
    <tableColumn id="69" name="66" dataDxfId="338" totalsRowDxfId="337"/>
    <tableColumn id="70" name="67" dataDxfId="336" totalsRowDxfId="335"/>
    <tableColumn id="71" name="68" dataDxfId="334" totalsRowDxfId="333"/>
    <tableColumn id="72" name="69" dataDxfId="332" totalsRowDxfId="331"/>
    <tableColumn id="73" name="70" dataDxfId="330" totalsRowDxfId="329"/>
    <tableColumn id="74" name="71" dataDxfId="328" totalsRowDxfId="327"/>
    <tableColumn id="75" name="72" dataDxfId="326" totalsRowDxfId="325"/>
    <tableColumn id="76" name="73" dataDxfId="324" totalsRowDxfId="323"/>
    <tableColumn id="77" name="74" dataDxfId="322" totalsRowDxfId="321"/>
    <tableColumn id="78" name="75" dataDxfId="320" totalsRowDxfId="319"/>
    <tableColumn id="79" name="76" dataDxfId="318" totalsRowDxfId="317"/>
    <tableColumn id="80" name="77" dataDxfId="316" totalsRowDxfId="315"/>
    <tableColumn id="81" name="78" dataDxfId="314" totalsRowDxfId="313"/>
    <tableColumn id="82" name="79" dataDxfId="312" totalsRowDxfId="311"/>
    <tableColumn id="83" name="80" dataDxfId="310" totalsRowDxfId="309"/>
    <tableColumn id="84" name="81" dataDxfId="308" totalsRowDxfId="307"/>
    <tableColumn id="85" name="82" dataDxfId="306" totalsRowDxfId="305"/>
    <tableColumn id="86" name="83" dataDxfId="304" totalsRowDxfId="303"/>
    <tableColumn id="87" name="84" dataDxfId="302" totalsRowDxfId="301"/>
    <tableColumn id="88" name="85" dataDxfId="300" totalsRowDxfId="299"/>
    <tableColumn id="89" name="86" dataDxfId="298" totalsRowDxfId="297"/>
    <tableColumn id="90" name="87" dataDxfId="296" totalsRowDxfId="295"/>
    <tableColumn id="91" name="88" dataDxfId="294" totalsRowDxfId="293"/>
    <tableColumn id="92" name="89" dataDxfId="292" totalsRowDxfId="291"/>
    <tableColumn id="93" name="90" dataDxfId="290" totalsRowDxfId="289"/>
    <tableColumn id="94" name="91" dataDxfId="288" totalsRowDxfId="287"/>
    <tableColumn id="95" name="92" dataDxfId="286" totalsRowDxfId="285"/>
    <tableColumn id="96" name="93" dataDxfId="284" totalsRowDxfId="283"/>
    <tableColumn id="97" name="94" dataDxfId="282" totalsRowDxfId="281"/>
    <tableColumn id="98" name="95" dataDxfId="280" totalsRowDxfId="279"/>
    <tableColumn id="99" name="96" dataDxfId="278" totalsRowDxfId="277"/>
    <tableColumn id="100" name="97" dataDxfId="276" totalsRowDxfId="275"/>
    <tableColumn id="101" name="98" dataDxfId="274" totalsRowDxfId="273"/>
    <tableColumn id="102" name="99" dataDxfId="272" totalsRowDxfId="271"/>
    <tableColumn id="103" name="100" dataDxfId="270" totalsRowDxfId="269"/>
    <tableColumn id="104" name="101" dataDxfId="268" totalsRowDxfId="267"/>
    <tableColumn id="105" name="A" dataDxfId="266" totalsRowDxfId="265"/>
    <tableColumn id="124" name="A2" dataDxfId="264" totalsRowDxfId="263"/>
    <tableColumn id="123" name="A3" dataDxfId="262" totalsRowDxfId="261"/>
    <tableColumn id="106" name="A4" dataDxfId="260" totalsRowDxfId="259">
      <calculatedColumnFormula>COUNTIF(DonnéesBC[[#This Row],[1]:[16]],"JUSTE")</calculatedColumnFormula>
    </tableColumn>
    <tableColumn id="107" name="B" dataDxfId="258" totalsRowDxfId="257"/>
    <tableColumn id="126" name="B2" dataDxfId="256" totalsRowDxfId="255"/>
    <tableColumn id="125" name="B3" dataDxfId="254" totalsRowDxfId="253"/>
    <tableColumn id="108" name="B4" dataDxfId="252" totalsRowDxfId="251">
      <calculatedColumnFormula>COUNTIF(DonnéesBC[[#This Row],[17]:[28]],"JUSTE")</calculatedColumnFormula>
    </tableColumn>
    <tableColumn id="109" name="C" dataDxfId="250" totalsRowDxfId="249"/>
    <tableColumn id="128" name="C2" dataDxfId="248" totalsRowDxfId="247"/>
    <tableColumn id="127" name="C3" dataDxfId="246" totalsRowDxfId="245"/>
    <tableColumn id="110" name="C4" dataDxfId="244" totalsRowDxfId="243">
      <calculatedColumnFormula>COUNTIF(DonnéesBC[[#This Row],[29]:[37]],"JUSTE")</calculatedColumnFormula>
    </tableColumn>
    <tableColumn id="111" name="D" dataDxfId="242" totalsRowDxfId="241"/>
    <tableColumn id="130" name="D2" dataDxfId="240" totalsRowDxfId="239"/>
    <tableColumn id="129" name="D3" dataDxfId="238" totalsRowDxfId="237"/>
    <tableColumn id="112" name="D4" dataDxfId="236" totalsRowDxfId="235">
      <calculatedColumnFormula>COUNTIF(DonnéesBC[[#This Row],[38]:[50]],"JUSTE")</calculatedColumnFormula>
    </tableColumn>
    <tableColumn id="113" name="E" dataDxfId="234" totalsRowDxfId="233"/>
    <tableColumn id="132" name="E2" dataDxfId="232" totalsRowDxfId="231"/>
    <tableColumn id="131" name="E3" dataDxfId="230" totalsRowDxfId="229"/>
    <tableColumn id="114" name="E4" dataDxfId="228" totalsRowDxfId="227">
      <calculatedColumnFormula>COUNTIF(DonnéesBC[[#This Row],[51]:[66]],"JUSTE")</calculatedColumnFormula>
    </tableColumn>
    <tableColumn id="115" name="F" dataDxfId="226" totalsRowDxfId="225"/>
    <tableColumn id="134" name="F2" dataDxfId="224" totalsRowDxfId="223"/>
    <tableColumn id="133" name="F3" dataDxfId="222" totalsRowDxfId="221"/>
    <tableColumn id="116" name="F4" dataDxfId="220" totalsRowDxfId="219">
      <calculatedColumnFormula>COUNTIF(DonnéesBC[[#This Row],[67]:[77]],"JUSTE")</calculatedColumnFormula>
    </tableColumn>
    <tableColumn id="117" name="G" dataDxfId="218" totalsRowDxfId="217"/>
    <tableColumn id="136" name="G2" dataDxfId="216" totalsRowDxfId="215"/>
    <tableColumn id="135" name="G3" dataDxfId="214" totalsRowDxfId="213"/>
    <tableColumn id="118" name="G4" dataDxfId="212" totalsRowDxfId="211">
      <calculatedColumnFormula>COUNTIF(DonnéesBC[[#This Row],[78]:[91]],"JUSTE")</calculatedColumnFormula>
    </tableColumn>
    <tableColumn id="119" name="H" dataDxfId="210" totalsRowDxfId="209"/>
    <tableColumn id="138" name="H2" dataDxfId="208" totalsRowDxfId="207"/>
    <tableColumn id="137" name="H3" dataDxfId="206" totalsRowDxfId="205"/>
    <tableColumn id="120" name="H4" dataDxfId="204" totalsRowDxfId="203">
      <calculatedColumnFormula>COUNTIF(DonnéesBC[[#This Row],[92]:[101]],"JUSTE")</calculatedColumnFormula>
    </tableColumn>
    <tableColumn id="141" name="I" dataDxfId="202" totalsRowDxfId="201"/>
    <tableColumn id="140" name="J" dataDxfId="200" totalsRowDxfId="199"/>
    <tableColumn id="139" name="K" dataDxfId="198" totalsRowDxfId="197"/>
    <tableColumn id="121" name="L" dataDxfId="196" totalsRowDxfId="195"/>
    <tableColumn id="122" name="M" dataDxfId="194" totalsRowDxfId="193"/>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 Id="rId2"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 Id="rId2"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dimension ref="A1:DB142"/>
  <sheetViews>
    <sheetView topLeftCell="A4" zoomScale="200" zoomScaleNormal="200" zoomScalePageLayoutView="200" workbookViewId="0">
      <pane xSplit="10" topLeftCell="K1" activePane="topRight" state="frozenSplit"/>
      <selection pane="topRight" activeCell="K24" sqref="K24"/>
    </sheetView>
  </sheetViews>
  <sheetFormatPr baseColWidth="10" defaultRowHeight="12" x14ac:dyDescent="0"/>
  <cols>
    <col min="1" max="1" width="14.1640625" style="20" customWidth="1"/>
    <col min="2" max="10" width="9.5" style="20" hidden="1" customWidth="1"/>
    <col min="11" max="11" width="19" style="46" customWidth="1"/>
    <col min="12" max="13" width="9.5" style="20" customWidth="1"/>
    <col min="14" max="20" width="9.5" style="20" hidden="1" customWidth="1"/>
    <col min="21" max="21" width="9.5" style="20" customWidth="1"/>
    <col min="22" max="24" width="9.5" style="20" hidden="1" customWidth="1"/>
    <col min="25" max="25" width="9.5" style="20" customWidth="1"/>
    <col min="26" max="28" width="9.5" style="20" hidden="1" customWidth="1"/>
    <col min="29" max="29" width="9.5" style="20" customWidth="1"/>
    <col min="30" max="32" width="9.5" style="20" hidden="1" customWidth="1"/>
    <col min="33" max="33" width="9.5" style="20" customWidth="1"/>
    <col min="34" max="36" width="9.5" style="20" hidden="1" customWidth="1"/>
    <col min="37" max="37" width="9.5" style="20" customWidth="1"/>
    <col min="38" max="40" width="9.5" style="20" hidden="1" customWidth="1"/>
    <col min="41" max="41" width="9.5" style="20" customWidth="1"/>
    <col min="42" max="44" width="9.5" style="20" hidden="1" customWidth="1"/>
    <col min="45" max="45" width="9.5" style="20" customWidth="1"/>
    <col min="46" max="48" width="9.5" style="20" hidden="1" customWidth="1"/>
    <col min="49" max="49" width="9.5" style="20" customWidth="1"/>
    <col min="50" max="52" width="9.5" style="20" hidden="1" customWidth="1"/>
    <col min="53" max="57" width="9.5" style="20" customWidth="1"/>
    <col min="58" max="60" width="9.5" style="20" hidden="1" customWidth="1"/>
    <col min="61" max="65" width="9.5" customWidth="1"/>
    <col min="66" max="71" width="9.5" hidden="1" customWidth="1"/>
    <col min="72" max="72" width="4.6640625" customWidth="1"/>
    <col min="73" max="76" width="4.6640625" hidden="1" customWidth="1"/>
    <col min="77" max="77" width="4.6640625" customWidth="1"/>
    <col min="78" max="94" width="4.6640625" hidden="1" customWidth="1"/>
    <col min="95" max="95" width="4.6640625" style="20" hidden="1" customWidth="1"/>
    <col min="96" max="97" width="9.5" style="20" customWidth="1"/>
    <col min="98" max="98" width="9.5" customWidth="1"/>
    <col min="99" max="105" width="4.6640625" customWidth="1"/>
    <col min="106" max="106" width="4.6640625" style="92" customWidth="1"/>
  </cols>
  <sheetData>
    <row r="1" spans="1:106" s="17" customFormat="1" ht="57" customHeight="1">
      <c r="A1" s="2"/>
      <c r="B1" s="2"/>
      <c r="C1" s="2"/>
      <c r="D1" s="2"/>
      <c r="E1" s="26"/>
      <c r="F1" s="26"/>
      <c r="G1" s="2"/>
      <c r="H1" s="2"/>
      <c r="I1" s="2"/>
      <c r="J1" s="2"/>
      <c r="K1" s="8"/>
      <c r="L1" s="2" t="s">
        <v>0</v>
      </c>
      <c r="M1" s="4"/>
      <c r="N1" s="5"/>
      <c r="O1" s="5"/>
      <c r="P1" s="5"/>
      <c r="Q1" s="5"/>
      <c r="R1" s="5"/>
      <c r="S1" s="5"/>
      <c r="T1" s="6"/>
      <c r="U1" s="80" t="s">
        <v>272</v>
      </c>
      <c r="V1" s="18"/>
      <c r="W1" s="2"/>
      <c r="X1" s="6"/>
      <c r="Y1" s="80" t="s">
        <v>482</v>
      </c>
      <c r="AA1" s="5"/>
      <c r="AB1" s="6"/>
      <c r="AC1" s="80" t="s">
        <v>329</v>
      </c>
      <c r="AE1" s="5"/>
      <c r="AF1" s="6"/>
      <c r="AG1" s="80" t="s">
        <v>328</v>
      </c>
      <c r="AI1" s="5"/>
      <c r="AJ1" s="6"/>
      <c r="AK1" s="4" t="s">
        <v>326</v>
      </c>
      <c r="AM1" s="5"/>
      <c r="AN1" s="6"/>
      <c r="AO1" s="4" t="s">
        <v>327</v>
      </c>
      <c r="AQ1" s="5"/>
      <c r="AR1" s="6"/>
      <c r="AS1" s="4" t="s">
        <v>406</v>
      </c>
      <c r="AU1" s="5"/>
      <c r="AV1" s="6"/>
      <c r="AW1" s="4" t="s">
        <v>411</v>
      </c>
      <c r="AY1" s="5"/>
      <c r="AZ1" s="6"/>
      <c r="BA1" s="4" t="s">
        <v>843</v>
      </c>
      <c r="BC1" s="5"/>
      <c r="BD1" s="6"/>
      <c r="BE1" s="4" t="s">
        <v>412</v>
      </c>
      <c r="BG1" s="5"/>
      <c r="BH1" s="6"/>
      <c r="BI1" s="4" t="s">
        <v>844</v>
      </c>
      <c r="BK1" s="5"/>
      <c r="BL1" s="6"/>
      <c r="BM1" s="4"/>
      <c r="BP1" s="5"/>
      <c r="BQ1" s="2"/>
      <c r="BR1" s="2"/>
      <c r="BS1" s="2"/>
      <c r="BT1" s="4"/>
      <c r="BU1" s="2"/>
      <c r="BV1" s="2"/>
      <c r="BW1" s="2"/>
      <c r="BX1" s="6"/>
      <c r="BY1" s="4"/>
      <c r="BZ1" s="5"/>
      <c r="CA1" s="43"/>
      <c r="CB1" s="43"/>
      <c r="CC1" s="5"/>
      <c r="CD1" s="5"/>
      <c r="CE1" s="5"/>
      <c r="CF1" s="5"/>
      <c r="CG1" s="5"/>
      <c r="CH1" s="5"/>
      <c r="CI1" s="5"/>
      <c r="CJ1" s="5"/>
      <c r="CK1" s="43"/>
      <c r="CL1" s="43"/>
      <c r="CM1" s="5"/>
      <c r="CN1" s="5"/>
      <c r="CO1" s="5"/>
      <c r="CP1" s="5"/>
      <c r="CQ1" s="6"/>
      <c r="CR1" s="4"/>
      <c r="CS1" s="5"/>
      <c r="CT1" s="5"/>
      <c r="CU1" s="5"/>
      <c r="CV1" s="5"/>
      <c r="CW1" s="5"/>
      <c r="CX1" s="5"/>
      <c r="CY1" s="5"/>
      <c r="CZ1" s="5"/>
      <c r="DA1" s="5"/>
      <c r="DB1" s="85"/>
    </row>
    <row r="2" spans="1:106" s="25" customFormat="1">
      <c r="A2" s="21"/>
      <c r="B2" s="21"/>
      <c r="C2" s="21"/>
      <c r="D2" s="21"/>
      <c r="E2" s="22"/>
      <c r="F2" s="22"/>
      <c r="G2" s="21"/>
      <c r="H2" s="21"/>
      <c r="I2" s="21"/>
      <c r="J2" s="21"/>
      <c r="K2" s="44" t="s">
        <v>1</v>
      </c>
      <c r="L2" s="21">
        <f>SUM(M2:BS2)</f>
        <v>45</v>
      </c>
      <c r="M2" s="23"/>
      <c r="N2" s="9"/>
      <c r="O2" s="9"/>
      <c r="P2" s="9"/>
      <c r="Q2" s="9"/>
      <c r="R2" s="9"/>
      <c r="S2" s="9"/>
      <c r="T2" s="24"/>
      <c r="U2" s="23">
        <v>3</v>
      </c>
      <c r="V2" s="21"/>
      <c r="W2" s="21">
        <v>2</v>
      </c>
      <c r="X2" s="24"/>
      <c r="Y2" s="23">
        <v>3</v>
      </c>
      <c r="Z2" s="9"/>
      <c r="AA2" s="9">
        <v>2</v>
      </c>
      <c r="AB2" s="24"/>
      <c r="AC2" s="23">
        <v>3</v>
      </c>
      <c r="AD2" s="9"/>
      <c r="AE2" s="9">
        <v>2</v>
      </c>
      <c r="AF2" s="24"/>
      <c r="AG2" s="23">
        <v>3</v>
      </c>
      <c r="AH2" s="21"/>
      <c r="AI2" s="21">
        <v>2</v>
      </c>
      <c r="AJ2" s="21"/>
      <c r="AK2" s="23">
        <v>3</v>
      </c>
      <c r="AL2" s="9"/>
      <c r="AM2" s="9">
        <v>2</v>
      </c>
      <c r="AN2" s="24"/>
      <c r="AO2" s="23">
        <v>3</v>
      </c>
      <c r="AP2" s="9"/>
      <c r="AQ2" s="9">
        <v>2</v>
      </c>
      <c r="AR2" s="24"/>
      <c r="AS2" s="23">
        <v>3</v>
      </c>
      <c r="AT2" s="21"/>
      <c r="AU2" s="21">
        <v>2</v>
      </c>
      <c r="AV2" s="21"/>
      <c r="AW2" s="23">
        <v>3</v>
      </c>
      <c r="AX2" s="9"/>
      <c r="AY2" s="9">
        <v>2</v>
      </c>
      <c r="AZ2" s="24"/>
      <c r="BA2" s="23">
        <v>0</v>
      </c>
      <c r="BB2" s="9"/>
      <c r="BC2" s="9">
        <v>0</v>
      </c>
      <c r="BD2" s="24"/>
      <c r="BE2" s="23">
        <v>0</v>
      </c>
      <c r="BF2" s="21"/>
      <c r="BG2" s="21">
        <v>0</v>
      </c>
      <c r="BH2" s="21"/>
      <c r="BI2" s="23">
        <v>0</v>
      </c>
      <c r="BJ2" s="9"/>
      <c r="BK2" s="9">
        <v>0</v>
      </c>
      <c r="BL2" s="21"/>
      <c r="BM2" s="23"/>
      <c r="BP2" s="9">
        <v>3</v>
      </c>
      <c r="BQ2" s="21"/>
      <c r="BR2" s="21"/>
      <c r="BS2" s="21">
        <v>2</v>
      </c>
      <c r="BT2" s="23">
        <v>10</v>
      </c>
      <c r="BU2" s="21"/>
      <c r="BV2" s="21"/>
      <c r="BW2" s="21"/>
      <c r="BX2" s="24"/>
      <c r="BY2" s="23"/>
      <c r="BZ2" s="9"/>
      <c r="CA2" s="9"/>
      <c r="CB2" s="9"/>
      <c r="CC2" s="9"/>
      <c r="CD2" s="9"/>
      <c r="CE2" s="9"/>
      <c r="CF2" s="9"/>
      <c r="CG2" s="9"/>
      <c r="CH2" s="9"/>
      <c r="CI2" s="9"/>
      <c r="CJ2" s="9"/>
      <c r="CK2" s="9"/>
      <c r="CL2" s="9"/>
      <c r="CM2" s="9"/>
      <c r="CN2" s="9"/>
      <c r="CO2" s="9"/>
      <c r="CP2" s="9"/>
      <c r="CQ2" s="24"/>
      <c r="CR2" s="23"/>
      <c r="CS2" s="9"/>
      <c r="CT2" s="9"/>
      <c r="CU2" s="9"/>
      <c r="CV2" s="9"/>
      <c r="CW2" s="9"/>
      <c r="CX2" s="9"/>
      <c r="CY2" s="9"/>
      <c r="CZ2" s="9"/>
      <c r="DA2" s="9"/>
      <c r="DB2" s="86"/>
    </row>
    <row r="3" spans="1:106" s="13" customFormat="1" ht="57" customHeight="1">
      <c r="A3" s="14" t="s">
        <v>2</v>
      </c>
      <c r="B3" s="14" t="s">
        <v>3</v>
      </c>
      <c r="C3" s="14" t="s">
        <v>4</v>
      </c>
      <c r="D3" s="14" t="s">
        <v>5</v>
      </c>
      <c r="E3" s="14" t="s">
        <v>6</v>
      </c>
      <c r="F3" s="14" t="s">
        <v>7</v>
      </c>
      <c r="G3" s="14" t="s">
        <v>8</v>
      </c>
      <c r="H3" s="14" t="s">
        <v>9</v>
      </c>
      <c r="I3" s="14" t="s">
        <v>247</v>
      </c>
      <c r="J3" s="14" t="s">
        <v>10</v>
      </c>
      <c r="K3" s="45" t="s">
        <v>11</v>
      </c>
      <c r="L3" s="14" t="s">
        <v>12</v>
      </c>
      <c r="M3" s="15" t="s">
        <v>13</v>
      </c>
      <c r="N3" s="10" t="s">
        <v>269</v>
      </c>
      <c r="O3" s="10" t="s">
        <v>14</v>
      </c>
      <c r="P3" s="10" t="s">
        <v>291</v>
      </c>
      <c r="Q3" s="10" t="s">
        <v>15</v>
      </c>
      <c r="R3" s="10" t="s">
        <v>270</v>
      </c>
      <c r="S3" s="10" t="s">
        <v>16</v>
      </c>
      <c r="T3" s="16" t="s">
        <v>271</v>
      </c>
      <c r="U3" s="15" t="s">
        <v>253</v>
      </c>
      <c r="V3" s="14" t="s">
        <v>17</v>
      </c>
      <c r="W3" s="14" t="s">
        <v>18</v>
      </c>
      <c r="X3" s="14" t="s">
        <v>339</v>
      </c>
      <c r="Y3" s="15" t="s">
        <v>260</v>
      </c>
      <c r="Z3" s="14" t="s">
        <v>19</v>
      </c>
      <c r="AA3" s="14" t="s">
        <v>20</v>
      </c>
      <c r="AB3" s="14" t="s">
        <v>349</v>
      </c>
      <c r="AC3" s="15" t="s">
        <v>261</v>
      </c>
      <c r="AD3" s="10" t="s">
        <v>21</v>
      </c>
      <c r="AE3" s="10" t="s">
        <v>22</v>
      </c>
      <c r="AF3" s="16" t="s">
        <v>350</v>
      </c>
      <c r="AG3" s="15" t="s">
        <v>262</v>
      </c>
      <c r="AH3" s="10" t="s">
        <v>23</v>
      </c>
      <c r="AI3" s="10" t="s">
        <v>24</v>
      </c>
      <c r="AJ3" s="16" t="s">
        <v>351</v>
      </c>
      <c r="AK3" s="15" t="s">
        <v>263</v>
      </c>
      <c r="AL3" s="10" t="s">
        <v>25</v>
      </c>
      <c r="AM3" s="10" t="s">
        <v>26</v>
      </c>
      <c r="AN3" s="16" t="s">
        <v>352</v>
      </c>
      <c r="AO3" s="15" t="s">
        <v>264</v>
      </c>
      <c r="AP3" s="10" t="s">
        <v>27</v>
      </c>
      <c r="AQ3" s="10" t="s">
        <v>28</v>
      </c>
      <c r="AR3" s="16" t="s">
        <v>399</v>
      </c>
      <c r="AS3" s="15" t="s">
        <v>265</v>
      </c>
      <c r="AT3" s="10" t="s">
        <v>29</v>
      </c>
      <c r="AU3" s="10" t="s">
        <v>30</v>
      </c>
      <c r="AV3" s="16" t="s">
        <v>403</v>
      </c>
      <c r="AW3" s="15" t="s">
        <v>266</v>
      </c>
      <c r="AX3" s="10" t="s">
        <v>31</v>
      </c>
      <c r="AY3" s="10" t="s">
        <v>32</v>
      </c>
      <c r="AZ3" s="16" t="s">
        <v>402</v>
      </c>
      <c r="BA3" s="15" t="s">
        <v>267</v>
      </c>
      <c r="BB3" s="10" t="s">
        <v>33</v>
      </c>
      <c r="BC3" s="10" t="s">
        <v>34</v>
      </c>
      <c r="BD3" s="16" t="s">
        <v>401</v>
      </c>
      <c r="BE3" s="15" t="s">
        <v>268</v>
      </c>
      <c r="BF3" s="10" t="s">
        <v>35</v>
      </c>
      <c r="BG3" s="10" t="s">
        <v>36</v>
      </c>
      <c r="BH3" s="16" t="s">
        <v>400</v>
      </c>
      <c r="BI3" s="15" t="s">
        <v>407</v>
      </c>
      <c r="BJ3" s="14" t="s">
        <v>408</v>
      </c>
      <c r="BK3" s="14" t="s">
        <v>409</v>
      </c>
      <c r="BL3" s="14" t="s">
        <v>410</v>
      </c>
      <c r="BM3" s="39" t="s">
        <v>277</v>
      </c>
      <c r="BN3" s="38" t="s">
        <v>278</v>
      </c>
      <c r="BO3" s="38" t="s">
        <v>279</v>
      </c>
      <c r="BP3" s="38" t="s">
        <v>273</v>
      </c>
      <c r="BQ3" s="38" t="s">
        <v>275</v>
      </c>
      <c r="BR3" s="38" t="s">
        <v>276</v>
      </c>
      <c r="BS3" s="38" t="s">
        <v>274</v>
      </c>
      <c r="BT3" s="15" t="s">
        <v>37</v>
      </c>
      <c r="BU3" s="14" t="s">
        <v>450</v>
      </c>
      <c r="BV3" s="14" t="s">
        <v>38</v>
      </c>
      <c r="BW3" s="14" t="s">
        <v>39</v>
      </c>
      <c r="BX3" s="16" t="s">
        <v>40</v>
      </c>
      <c r="BY3" s="49" t="s">
        <v>248</v>
      </c>
      <c r="BZ3" s="50" t="s">
        <v>299</v>
      </c>
      <c r="CA3" s="51" t="s">
        <v>293</v>
      </c>
      <c r="CB3" s="51" t="s">
        <v>300</v>
      </c>
      <c r="CC3" s="50" t="s">
        <v>255</v>
      </c>
      <c r="CD3" s="50" t="s">
        <v>301</v>
      </c>
      <c r="CE3" s="50" t="s">
        <v>254</v>
      </c>
      <c r="CF3" s="50" t="s">
        <v>302</v>
      </c>
      <c r="CG3" s="50" t="s">
        <v>256</v>
      </c>
      <c r="CH3" s="50" t="s">
        <v>303</v>
      </c>
      <c r="CI3" s="50" t="s">
        <v>257</v>
      </c>
      <c r="CJ3" s="50" t="s">
        <v>304</v>
      </c>
      <c r="CK3" s="51" t="s">
        <v>292</v>
      </c>
      <c r="CL3" s="50" t="s">
        <v>305</v>
      </c>
      <c r="CM3" s="50" t="s">
        <v>258</v>
      </c>
      <c r="CN3" s="50" t="s">
        <v>306</v>
      </c>
      <c r="CO3" s="50" t="s">
        <v>259</v>
      </c>
      <c r="CP3" s="50" t="s">
        <v>307</v>
      </c>
      <c r="CQ3" s="16" t="s">
        <v>252</v>
      </c>
      <c r="CR3" s="15" t="s">
        <v>434</v>
      </c>
      <c r="CS3" s="10" t="s">
        <v>437</v>
      </c>
      <c r="CT3" s="14" t="s">
        <v>433</v>
      </c>
      <c r="CU3" s="14" t="s">
        <v>444</v>
      </c>
      <c r="CV3" s="14" t="s">
        <v>452</v>
      </c>
      <c r="CW3" s="14" t="s">
        <v>453</v>
      </c>
      <c r="CX3" s="14" t="s">
        <v>481</v>
      </c>
      <c r="CY3" s="14" t="s">
        <v>454</v>
      </c>
      <c r="CZ3" s="14" t="s">
        <v>455</v>
      </c>
      <c r="DA3" s="14" t="s">
        <v>462</v>
      </c>
      <c r="DB3" s="87" t="s">
        <v>473</v>
      </c>
    </row>
    <row r="4" spans="1:106">
      <c r="A4" s="62" t="str">
        <f>DonnéesDessin[[#This Row],[Prénom]]&amp;" "&amp;DonnéesDessin[[#This Row],[Nom]]</f>
        <v>Angeline Ortiz</v>
      </c>
      <c r="B4" s="32" t="s">
        <v>867</v>
      </c>
      <c r="C4" s="32" t="s">
        <v>868</v>
      </c>
      <c r="D4" s="32" t="s">
        <v>63</v>
      </c>
      <c r="E4" s="36">
        <v>42614</v>
      </c>
      <c r="F4" s="36" t="s">
        <v>41</v>
      </c>
      <c r="G4" s="32" t="s">
        <v>42</v>
      </c>
      <c r="H4" s="32"/>
      <c r="I4" s="48"/>
      <c r="J4" s="48"/>
      <c r="K4" s="41" t="s">
        <v>362</v>
      </c>
      <c r="L4" s="32">
        <f>DonnéesDessin[[#This Row],[PTS]]</f>
        <v>0</v>
      </c>
      <c r="M4" s="31" t="s">
        <v>52</v>
      </c>
      <c r="N4" s="27">
        <v>0</v>
      </c>
      <c r="O4" s="27" t="s">
        <v>45</v>
      </c>
      <c r="P4" s="27">
        <v>0</v>
      </c>
      <c r="Q4" s="27" t="s">
        <v>45</v>
      </c>
      <c r="R4" s="27">
        <v>0</v>
      </c>
      <c r="S4" s="27" t="s">
        <v>45</v>
      </c>
      <c r="T4" s="33">
        <v>0</v>
      </c>
      <c r="U4" s="31" t="s">
        <v>281</v>
      </c>
      <c r="V4" s="54" t="s">
        <v>41</v>
      </c>
      <c r="W4" s="27" t="s">
        <v>41</v>
      </c>
      <c r="X4" s="27" t="s">
        <v>358</v>
      </c>
      <c r="Y4" s="31" t="s">
        <v>281</v>
      </c>
      <c r="Z4" s="54" t="s">
        <v>41</v>
      </c>
      <c r="AA4" s="27" t="s">
        <v>41</v>
      </c>
      <c r="AB4" s="33" t="s">
        <v>358</v>
      </c>
      <c r="AC4" s="31" t="s">
        <v>281</v>
      </c>
      <c r="AD4" s="56" t="s">
        <v>41</v>
      </c>
      <c r="AE4" s="48" t="s">
        <v>41</v>
      </c>
      <c r="AF4" s="33" t="s">
        <v>358</v>
      </c>
      <c r="AG4" s="31" t="s">
        <v>281</v>
      </c>
      <c r="AH4" s="56" t="s">
        <v>41</v>
      </c>
      <c r="AI4" s="48" t="s">
        <v>41</v>
      </c>
      <c r="AJ4" s="33" t="s">
        <v>358</v>
      </c>
      <c r="AK4" s="31" t="s">
        <v>281</v>
      </c>
      <c r="AL4" s="56" t="s">
        <v>41</v>
      </c>
      <c r="AM4" s="48" t="s">
        <v>41</v>
      </c>
      <c r="AN4" s="33" t="s">
        <v>358</v>
      </c>
      <c r="AO4" s="31" t="s">
        <v>281</v>
      </c>
      <c r="AP4" s="56" t="s">
        <v>41</v>
      </c>
      <c r="AQ4" s="48" t="s">
        <v>41</v>
      </c>
      <c r="AR4" s="33" t="s">
        <v>358</v>
      </c>
      <c r="AS4" s="31" t="s">
        <v>281</v>
      </c>
      <c r="AT4" s="56" t="s">
        <v>41</v>
      </c>
      <c r="AU4" s="48" t="s">
        <v>41</v>
      </c>
      <c r="AV4" s="33" t="s">
        <v>358</v>
      </c>
      <c r="AW4" s="31" t="s">
        <v>281</v>
      </c>
      <c r="AX4" s="56" t="s">
        <v>41</v>
      </c>
      <c r="AY4" s="48" t="s">
        <v>41</v>
      </c>
      <c r="AZ4" s="33" t="s">
        <v>358</v>
      </c>
      <c r="BA4" s="68" t="s">
        <v>256</v>
      </c>
      <c r="BB4" s="67" t="s">
        <v>41</v>
      </c>
      <c r="BC4" s="67" t="s">
        <v>259</v>
      </c>
      <c r="BD4" s="69" t="s">
        <v>41</v>
      </c>
      <c r="BE4" s="68" t="s">
        <v>256</v>
      </c>
      <c r="BF4" s="67" t="s">
        <v>41</v>
      </c>
      <c r="BG4" s="67" t="s">
        <v>259</v>
      </c>
      <c r="BH4" s="69" t="s">
        <v>41</v>
      </c>
      <c r="BI4" s="68" t="s">
        <v>256</v>
      </c>
      <c r="BJ4" s="67" t="s">
        <v>41</v>
      </c>
      <c r="BK4" s="67" t="s">
        <v>259</v>
      </c>
      <c r="BL4" s="69" t="s">
        <v>41</v>
      </c>
      <c r="BM4" s="31" t="s">
        <v>281</v>
      </c>
      <c r="BN4" s="32"/>
      <c r="BO4" s="32" t="s">
        <v>41</v>
      </c>
      <c r="BP4" s="32" t="s">
        <v>41</v>
      </c>
      <c r="BQ4" s="27" t="s">
        <v>41</v>
      </c>
      <c r="BR4" s="27" t="s">
        <v>41</v>
      </c>
      <c r="BS4" s="27" t="s">
        <v>41</v>
      </c>
      <c r="BT4" s="31">
        <f>Nombrecours</f>
        <v>10</v>
      </c>
      <c r="BU4" s="27">
        <f>COUNTIF(DonnéesDessin[[#This Row],[Réponse doodle 01]:[Présence MàN AC]],"Excusé")</f>
        <v>0</v>
      </c>
      <c r="BV4" s="27">
        <f>COUNTIF(DonnéesDessin[[#This Row],[Réponse doodle 01]:[Présence MàN AC]],"N-employé")</f>
        <v>9</v>
      </c>
      <c r="BW4" s="27">
        <f>DonnéesDessin[[#This Row],[Nombre de cours]]-DonnéesDessin[[#This Row],[Nombre excusé]]-DonnéesDessin[[#This Row],[Nombre N-employé]]</f>
        <v>1</v>
      </c>
      <c r="BX4" s="33">
        <f>COUNTIF(DonnéesDessin[[#This Row],[Réponse doodle 01]:[Présence MàN AC]],"Présent")</f>
        <v>0</v>
      </c>
      <c r="BY4" s="31">
        <f>COUNTIF(DonnéesDessin[[#This Row],[Réponse doodle 01]:[Présence MàN AC]],"Inscrit")</f>
        <v>0</v>
      </c>
      <c r="BZ4" s="32">
        <f>3*DonnéesDessin[[#This Row],[Inscrit]]</f>
        <v>0</v>
      </c>
      <c r="CA4" s="32">
        <f>COUNTIF(DonnéesDessin[[#This Row],[Réponse doodle 01]:[Présence MàN AC]],"R pas nécessaire")</f>
        <v>0</v>
      </c>
      <c r="CB4" s="32">
        <f>SUM(3*DonnéesDessin[[#This Row],[R pas nécessaire]])</f>
        <v>0</v>
      </c>
      <c r="CC4" s="32">
        <f>COUNTIF(DonnéesDessin[[#This Row],[Réponse doodle 01]:[Présence MàN AC]],"Indisponible")</f>
        <v>0</v>
      </c>
      <c r="CD4" s="32">
        <f>2*DonnéesDessin[[#This Row],[Indisponible]]</f>
        <v>0</v>
      </c>
      <c r="CE4" s="32">
        <f>COUNTIF(DonnéesDessin[[#This Row],[Réponse doodle 01]:[Présence MàN AC]],"Ne peut s'inscrire")</f>
        <v>0</v>
      </c>
      <c r="CF4" s="32">
        <f>1*DonnéesDessin[[#This Row],[Ne peut s''inscrire]]</f>
        <v>0</v>
      </c>
      <c r="CG4" s="32">
        <f>COUNTIF(DonnéesDessin[[#This Row],[Réponse doodle 01]:[Présence MàN AC]],"Sans information")</f>
        <v>3</v>
      </c>
      <c r="CH4" s="32">
        <f>0*DonnéesDessin[[#This Row],[Sans information]]</f>
        <v>0</v>
      </c>
      <c r="CI4" s="32">
        <f>COUNTIF(DonnéesDessin[[#This Row],[Réponse doodle 01]:[Présence MàN AC]],"Présent")</f>
        <v>0</v>
      </c>
      <c r="CJ4" s="32">
        <f>2*DonnéesDessin[[#This Row],[Présent]]</f>
        <v>0</v>
      </c>
      <c r="CK4" s="32">
        <f>COUNTIF(DonnéesDessin[[#This Row],[Réponse doodle 01]:[Présence MàN AC]],"P pas nécessaire")</f>
        <v>0</v>
      </c>
      <c r="CL4" s="32">
        <f>2*DonnéesDessin[[#This Row],[P pas nécessaire]]</f>
        <v>0</v>
      </c>
      <c r="CM4" s="32">
        <f>COUNTIF(DonnéesDessin[[#This Row],[Réponse doodle 01]:[Présence MàN AC]],"Excusé")</f>
        <v>0</v>
      </c>
      <c r="CN4" s="32">
        <f>1*DonnéesDessin[[#This Row],[Excusé]]</f>
        <v>0</v>
      </c>
      <c r="CO4" s="32">
        <f>COUNTIF(DonnéesDessin[[#This Row],[Réponse doodle 01]:[Présence MàN AC]],"Pas présent")</f>
        <v>3</v>
      </c>
      <c r="CP4" s="32">
        <f>0*DonnéesDessin[[#This Row],[Pas présent]]</f>
        <v>0</v>
      </c>
      <c r="CQ4"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0</v>
      </c>
      <c r="CR4" s="31" t="s">
        <v>281</v>
      </c>
      <c r="CS4" s="77" t="s">
        <v>41</v>
      </c>
      <c r="CT4" s="56" t="s">
        <v>41</v>
      </c>
      <c r="CU4" s="56"/>
      <c r="CV4" s="81" t="s">
        <v>41</v>
      </c>
      <c r="CW4" s="81" t="s">
        <v>41</v>
      </c>
      <c r="CX4" s="77" t="s">
        <v>41</v>
      </c>
      <c r="CY4" s="77" t="s">
        <v>41</v>
      </c>
      <c r="CZ4" s="77" t="s">
        <v>41</v>
      </c>
      <c r="DA4" s="56" t="s">
        <v>358</v>
      </c>
      <c r="DB4" s="89" t="s">
        <v>41</v>
      </c>
    </row>
    <row r="5" spans="1:106">
      <c r="A5" s="62" t="str">
        <f>DonnéesDessin[[#This Row],[Prénom]]&amp;" "&amp;DonnéesDessin[[#This Row],[Nom]]</f>
        <v>Anita Eicher</v>
      </c>
      <c r="B5" s="63" t="s">
        <v>55</v>
      </c>
      <c r="C5" s="63" t="s">
        <v>56</v>
      </c>
      <c r="D5" s="63" t="s">
        <v>57</v>
      </c>
      <c r="E5" s="64">
        <v>40603</v>
      </c>
      <c r="F5" s="64" t="s">
        <v>41</v>
      </c>
      <c r="G5" s="63" t="s">
        <v>56</v>
      </c>
      <c r="H5" s="63" t="s">
        <v>51</v>
      </c>
      <c r="I5" s="65">
        <v>2006</v>
      </c>
      <c r="J5" s="65">
        <v>16</v>
      </c>
      <c r="K5" s="66" t="s">
        <v>41</v>
      </c>
      <c r="L5" s="67">
        <f>DonnéesDessin[[#This Row],[PTS]]</f>
        <v>50</v>
      </c>
      <c r="M5" s="68" t="s">
        <v>52</v>
      </c>
      <c r="N5" s="63">
        <v>0</v>
      </c>
      <c r="O5" s="63" t="s">
        <v>45</v>
      </c>
      <c r="P5" s="63">
        <v>0</v>
      </c>
      <c r="Q5" s="63" t="s">
        <v>45</v>
      </c>
      <c r="R5" s="63">
        <v>0</v>
      </c>
      <c r="S5" s="63" t="s">
        <v>45</v>
      </c>
      <c r="T5" s="69">
        <v>0</v>
      </c>
      <c r="U5" s="68" t="s">
        <v>248</v>
      </c>
      <c r="V5" s="70">
        <v>42319</v>
      </c>
      <c r="W5" s="63" t="s">
        <v>257</v>
      </c>
      <c r="X5" s="63" t="s">
        <v>44</v>
      </c>
      <c r="Y5" s="68" t="s">
        <v>248</v>
      </c>
      <c r="Z5" s="71">
        <v>42382</v>
      </c>
      <c r="AA5" s="67" t="s">
        <v>257</v>
      </c>
      <c r="AB5" s="69" t="s">
        <v>44</v>
      </c>
      <c r="AC5" s="68" t="s">
        <v>248</v>
      </c>
      <c r="AD5" s="71">
        <v>42417</v>
      </c>
      <c r="AE5" s="67" t="s">
        <v>257</v>
      </c>
      <c r="AF5" s="69" t="s">
        <v>44</v>
      </c>
      <c r="AG5" s="68" t="s">
        <v>248</v>
      </c>
      <c r="AH5" s="72">
        <v>42438</v>
      </c>
      <c r="AI5" s="67" t="s">
        <v>257</v>
      </c>
      <c r="AJ5" s="69" t="s">
        <v>44</v>
      </c>
      <c r="AK5" s="68" t="s">
        <v>248</v>
      </c>
      <c r="AL5" s="67" t="s">
        <v>331</v>
      </c>
      <c r="AM5" s="67" t="s">
        <v>257</v>
      </c>
      <c r="AN5" s="69" t="s">
        <v>44</v>
      </c>
      <c r="AO5" s="68" t="s">
        <v>248</v>
      </c>
      <c r="AP5" s="67" t="s">
        <v>335</v>
      </c>
      <c r="AQ5" s="67" t="s">
        <v>257</v>
      </c>
      <c r="AR5" s="69" t="s">
        <v>44</v>
      </c>
      <c r="AS5" s="68" t="s">
        <v>248</v>
      </c>
      <c r="AT5" s="67" t="s">
        <v>413</v>
      </c>
      <c r="AU5" s="67" t="s">
        <v>257</v>
      </c>
      <c r="AV5" s="69" t="s">
        <v>44</v>
      </c>
      <c r="AW5" s="68" t="s">
        <v>248</v>
      </c>
      <c r="AX5" s="67" t="s">
        <v>429</v>
      </c>
      <c r="AY5" s="67" t="s">
        <v>257</v>
      </c>
      <c r="AZ5" s="69" t="s">
        <v>44</v>
      </c>
      <c r="BA5" s="68" t="s">
        <v>256</v>
      </c>
      <c r="BB5" s="67" t="s">
        <v>41</v>
      </c>
      <c r="BC5" s="67" t="s">
        <v>259</v>
      </c>
      <c r="BD5" s="69" t="s">
        <v>41</v>
      </c>
      <c r="BE5" s="68" t="s">
        <v>256</v>
      </c>
      <c r="BF5" s="67" t="s">
        <v>41</v>
      </c>
      <c r="BG5" s="67" t="s">
        <v>259</v>
      </c>
      <c r="BH5" s="69" t="s">
        <v>41</v>
      </c>
      <c r="BI5" s="68" t="s">
        <v>248</v>
      </c>
      <c r="BJ5" s="72">
        <v>42509</v>
      </c>
      <c r="BK5" s="67" t="s">
        <v>257</v>
      </c>
      <c r="BL5" s="69" t="s">
        <v>44</v>
      </c>
      <c r="BM5" s="68" t="s">
        <v>53</v>
      </c>
      <c r="BN5" s="67" t="s">
        <v>53</v>
      </c>
      <c r="BO5" s="67" t="s">
        <v>51</v>
      </c>
      <c r="BP5" s="67" t="s">
        <v>248</v>
      </c>
      <c r="BQ5" s="64">
        <v>42347</v>
      </c>
      <c r="BR5" s="63" t="s">
        <v>285</v>
      </c>
      <c r="BS5" s="63" t="s">
        <v>257</v>
      </c>
      <c r="BT5" s="68">
        <f>Nombrecours</f>
        <v>10</v>
      </c>
      <c r="BU5" s="63">
        <f>COUNTIF(DonnéesDessin[[#This Row],[Réponse doodle 01]:[Présence MàN AC]],"Excusé")</f>
        <v>0</v>
      </c>
      <c r="BV5" s="63">
        <f>COUNTIF(DonnéesDessin[[#This Row],[Réponse doodle 01]:[Présence MàN AC]],"N-employé")</f>
        <v>0</v>
      </c>
      <c r="BW5" s="63">
        <f>DonnéesDessin[[#This Row],[Nombre de cours]]-DonnéesDessin[[#This Row],[Nombre excusé]]-DonnéesDessin[[#This Row],[Nombre N-employé]]</f>
        <v>10</v>
      </c>
      <c r="BX5" s="69">
        <f>COUNTIF(DonnéesDessin[[#This Row],[Réponse doodle 01]:[Présence MàN AC]],"Présent")</f>
        <v>10</v>
      </c>
      <c r="BY5" s="68">
        <f>COUNTIF(DonnéesDessin[[#This Row],[Réponse doodle 01]:[Présence MàN AC]],"Inscrit")</f>
        <v>10</v>
      </c>
      <c r="BZ5" s="67">
        <f>3*DonnéesDessin[[#This Row],[Inscrit]]</f>
        <v>30</v>
      </c>
      <c r="CA5" s="67">
        <f>COUNTIF(DonnéesDessin[[#This Row],[Réponse doodle 01]:[Présence MàN AC]],"R pas nécessaire")</f>
        <v>0</v>
      </c>
      <c r="CB5" s="67">
        <f>SUM(3*DonnéesDessin[[#This Row],[R pas nécessaire]])</f>
        <v>0</v>
      </c>
      <c r="CC5" s="67">
        <f>COUNTIF(DonnéesDessin[[#This Row],[Réponse doodle 01]:[Présence MàN AC]],"Indisponible")</f>
        <v>0</v>
      </c>
      <c r="CD5" s="67">
        <f>2*DonnéesDessin[[#This Row],[Indisponible]]</f>
        <v>0</v>
      </c>
      <c r="CE5" s="67">
        <f>COUNTIF(DonnéesDessin[[#This Row],[Réponse doodle 01]:[Présence MàN AC]],"Ne peut s'inscrire")</f>
        <v>0</v>
      </c>
      <c r="CF5" s="67">
        <f>1*DonnéesDessin[[#This Row],[Ne peut s''inscrire]]</f>
        <v>0</v>
      </c>
      <c r="CG5" s="67">
        <f>COUNTIF(DonnéesDessin[[#This Row],[Réponse doodle 01]:[Présence MàN AC]],"Sans information")</f>
        <v>2</v>
      </c>
      <c r="CH5" s="67">
        <f>0*DonnéesDessin[[#This Row],[Sans information]]</f>
        <v>0</v>
      </c>
      <c r="CI5" s="67">
        <f>COUNTIF(DonnéesDessin[[#This Row],[Réponse doodle 01]:[Présence MàN AC]],"Présent")</f>
        <v>10</v>
      </c>
      <c r="CJ5" s="67">
        <f>2*DonnéesDessin[[#This Row],[Présent]]</f>
        <v>20</v>
      </c>
      <c r="CK5" s="67">
        <f>COUNTIF(DonnéesDessin[[#This Row],[Réponse doodle 01]:[Présence MàN AC]],"P pas nécessaire")</f>
        <v>0</v>
      </c>
      <c r="CL5" s="67">
        <f>2*DonnéesDessin[[#This Row],[P pas nécessaire]]</f>
        <v>0</v>
      </c>
      <c r="CM5" s="67">
        <f>COUNTIF(DonnéesDessin[[#This Row],[Réponse doodle 01]:[Présence MàN AC]],"Excusé")</f>
        <v>0</v>
      </c>
      <c r="CN5" s="67">
        <f>1*DonnéesDessin[[#This Row],[Excusé]]</f>
        <v>0</v>
      </c>
      <c r="CO5" s="67">
        <f>COUNTIF(DonnéesDessin[[#This Row],[Réponse doodle 01]:[Présence MàN AC]],"Pas présent")</f>
        <v>2</v>
      </c>
      <c r="CP5" s="67">
        <f>0*DonnéesDessin[[#This Row],[Pas présent]]</f>
        <v>0</v>
      </c>
      <c r="CQ5"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50</v>
      </c>
      <c r="CR5" s="78">
        <v>42572</v>
      </c>
      <c r="CS5" s="79" t="s">
        <v>441</v>
      </c>
      <c r="CT5" s="67" t="s">
        <v>257</v>
      </c>
      <c r="CU5" s="67">
        <v>1</v>
      </c>
      <c r="CV5" s="84">
        <v>94</v>
      </c>
      <c r="CW5" s="84">
        <v>90</v>
      </c>
      <c r="CX5" s="84">
        <f>SUBTOTAL(9,DonnéesDessin[[#This Row],[Résultat Niveau 1]:[Résultat Avancé]])</f>
        <v>184</v>
      </c>
      <c r="CY5" s="83" t="s">
        <v>464</v>
      </c>
      <c r="CZ5" s="83" t="s">
        <v>465</v>
      </c>
      <c r="DA5" s="67">
        <v>35</v>
      </c>
      <c r="DB5" s="88">
        <f>(DonnéesDessin[[#This Row],[Résultat Niveau 1]]+DonnéesDessin[[#This Row],[Résultat Avancé]])/DonnéesDessin[[#This Row],[Durée BC AC19 (en min)]]</f>
        <v>5.2571428571428571</v>
      </c>
    </row>
    <row r="6" spans="1:106">
      <c r="A6" s="62" t="str">
        <f>DonnéesDessin[[#This Row],[Prénom]]&amp;" "&amp;DonnéesDessin[[#This Row],[Nom]]</f>
        <v>Attila Hollo</v>
      </c>
      <c r="B6" s="63" t="s">
        <v>59</v>
      </c>
      <c r="C6" s="63" t="s">
        <v>60</v>
      </c>
      <c r="D6" s="63" t="s">
        <v>49</v>
      </c>
      <c r="E6" s="64" t="s">
        <v>41</v>
      </c>
      <c r="F6" s="64" t="s">
        <v>41</v>
      </c>
      <c r="G6" s="63" t="s">
        <v>50</v>
      </c>
      <c r="H6" s="63" t="s">
        <v>51</v>
      </c>
      <c r="I6" s="65">
        <v>2013</v>
      </c>
      <c r="J6" s="65">
        <v>16</v>
      </c>
      <c r="K6" s="66" t="s">
        <v>364</v>
      </c>
      <c r="L6" s="67">
        <f>DonnéesDessin[[#This Row],[PTS]]</f>
        <v>40</v>
      </c>
      <c r="M6" s="68" t="s">
        <v>52</v>
      </c>
      <c r="N6" s="63">
        <v>0</v>
      </c>
      <c r="O6" s="63" t="s">
        <v>45</v>
      </c>
      <c r="P6" s="63">
        <v>0</v>
      </c>
      <c r="Q6" s="63" t="s">
        <v>45</v>
      </c>
      <c r="R6" s="63">
        <v>0</v>
      </c>
      <c r="S6" s="63" t="s">
        <v>45</v>
      </c>
      <c r="T6" s="69">
        <v>0</v>
      </c>
      <c r="U6" s="68" t="s">
        <v>248</v>
      </c>
      <c r="V6" s="70">
        <v>42325</v>
      </c>
      <c r="W6" s="63" t="s">
        <v>257</v>
      </c>
      <c r="X6" s="63" t="s">
        <v>44</v>
      </c>
      <c r="Y6" s="68" t="s">
        <v>248</v>
      </c>
      <c r="Z6" s="71">
        <v>42398</v>
      </c>
      <c r="AA6" s="67" t="s">
        <v>258</v>
      </c>
      <c r="AB6" s="67" t="s">
        <v>363</v>
      </c>
      <c r="AC6" s="68" t="s">
        <v>248</v>
      </c>
      <c r="AD6" s="11" t="s">
        <v>324</v>
      </c>
      <c r="AE6" s="67" t="s">
        <v>258</v>
      </c>
      <c r="AF6" s="67" t="s">
        <v>507</v>
      </c>
      <c r="AG6" s="68" t="s">
        <v>248</v>
      </c>
      <c r="AH6" s="72">
        <v>42439</v>
      </c>
      <c r="AI6" s="67" t="s">
        <v>257</v>
      </c>
      <c r="AJ6" s="67" t="s">
        <v>44</v>
      </c>
      <c r="AK6" s="68" t="s">
        <v>248</v>
      </c>
      <c r="AL6" s="67" t="s">
        <v>331</v>
      </c>
      <c r="AM6" s="67" t="s">
        <v>259</v>
      </c>
      <c r="AN6" s="69" t="s">
        <v>343</v>
      </c>
      <c r="AO6" s="68" t="s">
        <v>248</v>
      </c>
      <c r="AP6" s="67" t="s">
        <v>336</v>
      </c>
      <c r="AQ6" s="67" t="s">
        <v>257</v>
      </c>
      <c r="AR6" s="69" t="s">
        <v>44</v>
      </c>
      <c r="AS6" s="68" t="s">
        <v>248</v>
      </c>
      <c r="AT6" s="67" t="s">
        <v>417</v>
      </c>
      <c r="AU6" s="67" t="s">
        <v>257</v>
      </c>
      <c r="AV6" s="69" t="s">
        <v>44</v>
      </c>
      <c r="AW6" s="68" t="s">
        <v>248</v>
      </c>
      <c r="AX6" s="67" t="s">
        <v>425</v>
      </c>
      <c r="AY6" s="67" t="s">
        <v>257</v>
      </c>
      <c r="AZ6" s="69" t="s">
        <v>426</v>
      </c>
      <c r="BA6" s="68" t="s">
        <v>256</v>
      </c>
      <c r="BB6" s="67" t="s">
        <v>41</v>
      </c>
      <c r="BC6" s="67" t="s">
        <v>259</v>
      </c>
      <c r="BD6" s="69" t="s">
        <v>41</v>
      </c>
      <c r="BE6" s="68" t="s">
        <v>256</v>
      </c>
      <c r="BF6" s="67" t="s">
        <v>41</v>
      </c>
      <c r="BG6" s="67" t="s">
        <v>259</v>
      </c>
      <c r="BH6" s="69" t="s">
        <v>41</v>
      </c>
      <c r="BI6" s="68" t="s">
        <v>256</v>
      </c>
      <c r="BJ6" s="67" t="s">
        <v>41</v>
      </c>
      <c r="BK6" s="67" t="s">
        <v>259</v>
      </c>
      <c r="BL6" s="69" t="s">
        <v>41</v>
      </c>
      <c r="BM6" s="68" t="s">
        <v>53</v>
      </c>
      <c r="BN6" s="67" t="s">
        <v>53</v>
      </c>
      <c r="BO6" s="67" t="s">
        <v>51</v>
      </c>
      <c r="BP6" s="67" t="s">
        <v>248</v>
      </c>
      <c r="BQ6" s="64">
        <v>42347</v>
      </c>
      <c r="BR6" s="63" t="s">
        <v>285</v>
      </c>
      <c r="BS6" s="63" t="s">
        <v>258</v>
      </c>
      <c r="BT6" s="68">
        <f>Nombrecours</f>
        <v>10</v>
      </c>
      <c r="BU6" s="63">
        <f>COUNTIF(DonnéesDessin[[#This Row],[Réponse doodle 01]:[Présence MàN AC]],"Excusé")</f>
        <v>3</v>
      </c>
      <c r="BV6" s="63">
        <f>COUNTIF(DonnéesDessin[[#This Row],[Réponse doodle 01]:[Présence MàN AC]],"N-employé")</f>
        <v>0</v>
      </c>
      <c r="BW6" s="63">
        <f>DonnéesDessin[[#This Row],[Nombre de cours]]-DonnéesDessin[[#This Row],[Nombre excusé]]-DonnéesDessin[[#This Row],[Nombre N-employé]]</f>
        <v>7</v>
      </c>
      <c r="BX6" s="69">
        <f>COUNTIF(DonnéesDessin[[#This Row],[Réponse doodle 01]:[Présence MàN AC]],"Présent")</f>
        <v>5</v>
      </c>
      <c r="BY6" s="68">
        <f>COUNTIF(DonnéesDessin[[#This Row],[Réponse doodle 01]:[Présence MàN AC]],"Inscrit")</f>
        <v>9</v>
      </c>
      <c r="BZ6" s="67">
        <f>3*DonnéesDessin[[#This Row],[Inscrit]]</f>
        <v>27</v>
      </c>
      <c r="CA6" s="67">
        <f>COUNTIF(DonnéesDessin[[#This Row],[Réponse doodle 01]:[Présence MàN AC]],"R pas nécessaire")</f>
        <v>0</v>
      </c>
      <c r="CB6" s="67">
        <f>SUM(3*DonnéesDessin[[#This Row],[R pas nécessaire]])</f>
        <v>0</v>
      </c>
      <c r="CC6" s="67">
        <f>COUNTIF(DonnéesDessin[[#This Row],[Réponse doodle 01]:[Présence MàN AC]],"Indisponible")</f>
        <v>0</v>
      </c>
      <c r="CD6" s="67">
        <f>2*DonnéesDessin[[#This Row],[Indisponible]]</f>
        <v>0</v>
      </c>
      <c r="CE6" s="67">
        <f>COUNTIF(DonnéesDessin[[#This Row],[Réponse doodle 01]:[Présence MàN AC]],"Ne peut s'inscrire")</f>
        <v>0</v>
      </c>
      <c r="CF6" s="67">
        <f>1*DonnéesDessin[[#This Row],[Ne peut s''inscrire]]</f>
        <v>0</v>
      </c>
      <c r="CG6" s="67">
        <f>COUNTIF(DonnéesDessin[[#This Row],[Réponse doodle 01]:[Présence MàN AC]],"Sans information")</f>
        <v>3</v>
      </c>
      <c r="CH6" s="67">
        <f>0*DonnéesDessin[[#This Row],[Sans information]]</f>
        <v>0</v>
      </c>
      <c r="CI6" s="67">
        <f>COUNTIF(DonnéesDessin[[#This Row],[Réponse doodle 01]:[Présence MàN AC]],"Présent")</f>
        <v>5</v>
      </c>
      <c r="CJ6" s="67">
        <f>2*DonnéesDessin[[#This Row],[Présent]]</f>
        <v>10</v>
      </c>
      <c r="CK6" s="67">
        <f>COUNTIF(DonnéesDessin[[#This Row],[Réponse doodle 01]:[Présence MàN AC]],"P pas nécessaire")</f>
        <v>0</v>
      </c>
      <c r="CL6" s="67">
        <f>2*DonnéesDessin[[#This Row],[P pas nécessaire]]</f>
        <v>0</v>
      </c>
      <c r="CM6" s="67">
        <f>COUNTIF(DonnéesDessin[[#This Row],[Réponse doodle 01]:[Présence MàN AC]],"Excusé")</f>
        <v>3</v>
      </c>
      <c r="CN6" s="67">
        <f>1*DonnéesDessin[[#This Row],[Excusé]]</f>
        <v>3</v>
      </c>
      <c r="CO6" s="67">
        <f>COUNTIF(DonnéesDessin[[#This Row],[Réponse doodle 01]:[Présence MàN AC]],"Pas présent")</f>
        <v>4</v>
      </c>
      <c r="CP6" s="67">
        <f>0*DonnéesDessin[[#This Row],[Pas présent]]</f>
        <v>0</v>
      </c>
      <c r="CQ6"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40</v>
      </c>
      <c r="CR6" s="78">
        <v>42579</v>
      </c>
      <c r="CS6" s="79" t="s">
        <v>442</v>
      </c>
      <c r="CT6" s="67" t="s">
        <v>257</v>
      </c>
      <c r="CU6" s="67">
        <v>4</v>
      </c>
      <c r="CV6" s="84">
        <v>66</v>
      </c>
      <c r="CW6" s="84">
        <v>45</v>
      </c>
      <c r="CX6" s="84">
        <f>SUBTOTAL(9,DonnéesDessin[[#This Row],[Résultat Niveau 1]:[Résultat Avancé]])</f>
        <v>111</v>
      </c>
      <c r="CY6" s="84" t="s">
        <v>442</v>
      </c>
      <c r="CZ6" s="84" t="s">
        <v>498</v>
      </c>
      <c r="DA6" s="67">
        <v>85</v>
      </c>
      <c r="DB6" s="88">
        <f>(DonnéesDessin[[#This Row],[Résultat Niveau 1]]+DonnéesDessin[[#This Row],[Résultat Avancé]])/DonnéesDessin[[#This Row],[Durée BC AC19 (en min)]]</f>
        <v>1.3058823529411765</v>
      </c>
    </row>
    <row r="7" spans="1:106">
      <c r="A7" s="62" t="str">
        <f>DonnéesDessin[[#This Row],[Prénom]]&amp;" "&amp;DonnéesDessin[[#This Row],[Nom]]</f>
        <v>Bart Daniels</v>
      </c>
      <c r="B7" s="63" t="s">
        <v>69</v>
      </c>
      <c r="C7" s="63" t="s">
        <v>70</v>
      </c>
      <c r="D7" s="63" t="s">
        <v>54</v>
      </c>
      <c r="E7" s="64" t="s">
        <v>41</v>
      </c>
      <c r="F7" s="64" t="s">
        <v>41</v>
      </c>
      <c r="G7" s="63" t="s">
        <v>95</v>
      </c>
      <c r="H7" s="63" t="s">
        <v>51</v>
      </c>
      <c r="I7" s="65">
        <v>2011</v>
      </c>
      <c r="J7" s="65">
        <v>18</v>
      </c>
      <c r="K7" s="66" t="s">
        <v>41</v>
      </c>
      <c r="L7" s="67">
        <f>DonnéesDessin[[#This Row],[PTS]]</f>
        <v>43</v>
      </c>
      <c r="M7" s="68" t="s">
        <v>52</v>
      </c>
      <c r="N7" s="63">
        <v>0</v>
      </c>
      <c r="O7" s="63" t="s">
        <v>45</v>
      </c>
      <c r="P7" s="63">
        <v>0</v>
      </c>
      <c r="Q7" s="63" t="s">
        <v>45</v>
      </c>
      <c r="R7" s="63">
        <v>0</v>
      </c>
      <c r="S7" s="63" t="s">
        <v>45</v>
      </c>
      <c r="T7" s="69">
        <v>0</v>
      </c>
      <c r="U7" s="68" t="s">
        <v>248</v>
      </c>
      <c r="V7" s="70">
        <v>42320</v>
      </c>
      <c r="W7" s="63" t="s">
        <v>257</v>
      </c>
      <c r="X7" s="63" t="s">
        <v>44</v>
      </c>
      <c r="Y7" s="68" t="s">
        <v>248</v>
      </c>
      <c r="Z7" s="71">
        <v>42382</v>
      </c>
      <c r="AA7" s="67" t="s">
        <v>257</v>
      </c>
      <c r="AB7" s="69" t="s">
        <v>44</v>
      </c>
      <c r="AC7" s="68" t="s">
        <v>248</v>
      </c>
      <c r="AD7" s="71" t="s">
        <v>323</v>
      </c>
      <c r="AE7" s="67" t="s">
        <v>259</v>
      </c>
      <c r="AF7" s="69" t="s">
        <v>343</v>
      </c>
      <c r="AG7" s="68" t="s">
        <v>256</v>
      </c>
      <c r="AH7" s="67" t="s">
        <v>41</v>
      </c>
      <c r="AI7" s="67" t="s">
        <v>259</v>
      </c>
      <c r="AJ7" s="69" t="s">
        <v>341</v>
      </c>
      <c r="AK7" s="68" t="s">
        <v>248</v>
      </c>
      <c r="AL7" s="67" t="s">
        <v>333</v>
      </c>
      <c r="AM7" s="67" t="s">
        <v>257</v>
      </c>
      <c r="AN7" s="69" t="s">
        <v>357</v>
      </c>
      <c r="AO7" s="68" t="s">
        <v>248</v>
      </c>
      <c r="AP7" s="67" t="s">
        <v>337</v>
      </c>
      <c r="AQ7" s="67" t="s">
        <v>257</v>
      </c>
      <c r="AR7" s="69" t="s">
        <v>44</v>
      </c>
      <c r="AS7" s="68" t="s">
        <v>248</v>
      </c>
      <c r="AT7" s="67" t="s">
        <v>416</v>
      </c>
      <c r="AU7" s="67" t="s">
        <v>257</v>
      </c>
      <c r="AV7" s="69" t="s">
        <v>44</v>
      </c>
      <c r="AW7" s="68" t="s">
        <v>248</v>
      </c>
      <c r="AX7" s="67" t="s">
        <v>424</v>
      </c>
      <c r="AY7" s="67" t="s">
        <v>257</v>
      </c>
      <c r="AZ7" s="69" t="s">
        <v>44</v>
      </c>
      <c r="BA7" s="68" t="s">
        <v>256</v>
      </c>
      <c r="BB7" s="67" t="s">
        <v>41</v>
      </c>
      <c r="BC7" s="67" t="s">
        <v>259</v>
      </c>
      <c r="BD7" s="69" t="s">
        <v>41</v>
      </c>
      <c r="BE7" s="68" t="s">
        <v>256</v>
      </c>
      <c r="BF7" s="67" t="s">
        <v>41</v>
      </c>
      <c r="BG7" s="67" t="s">
        <v>259</v>
      </c>
      <c r="BH7" s="69" t="s">
        <v>41</v>
      </c>
      <c r="BI7" s="68" t="s">
        <v>248</v>
      </c>
      <c r="BJ7" s="72">
        <v>42564</v>
      </c>
      <c r="BK7" s="67" t="s">
        <v>257</v>
      </c>
      <c r="BL7" s="69" t="s">
        <v>44</v>
      </c>
      <c r="BM7" s="68" t="s">
        <v>65</v>
      </c>
      <c r="BN7" s="67" t="s">
        <v>65</v>
      </c>
      <c r="BO7" s="67" t="s">
        <v>51</v>
      </c>
      <c r="BP7" s="67" t="s">
        <v>248</v>
      </c>
      <c r="BQ7" s="64">
        <v>42349</v>
      </c>
      <c r="BR7" s="63" t="s">
        <v>283</v>
      </c>
      <c r="BS7" s="63" t="s">
        <v>257</v>
      </c>
      <c r="BT7" s="68">
        <f>Nombrecours</f>
        <v>10</v>
      </c>
      <c r="BU7" s="63">
        <f>COUNTIF(DonnéesDessin[[#This Row],[Réponse doodle 01]:[Présence MàN AC]],"Excusé")</f>
        <v>0</v>
      </c>
      <c r="BV7" s="63">
        <f>COUNTIF(DonnéesDessin[[#This Row],[Réponse doodle 01]:[Présence MàN AC]],"N-employé")</f>
        <v>0</v>
      </c>
      <c r="BW7" s="63">
        <f>DonnéesDessin[[#This Row],[Nombre de cours]]-DonnéesDessin[[#This Row],[Nombre excusé]]-DonnéesDessin[[#This Row],[Nombre N-employé]]</f>
        <v>10</v>
      </c>
      <c r="BX7" s="69">
        <f>COUNTIF(DonnéesDessin[[#This Row],[Réponse doodle 01]:[Présence MàN AC]],"Présent")</f>
        <v>8</v>
      </c>
      <c r="BY7" s="68">
        <f>COUNTIF(DonnéesDessin[[#This Row],[Réponse doodle 01]:[Présence MàN AC]],"Inscrit")</f>
        <v>9</v>
      </c>
      <c r="BZ7" s="67">
        <f>3*DonnéesDessin[[#This Row],[Inscrit]]</f>
        <v>27</v>
      </c>
      <c r="CA7" s="67">
        <f>COUNTIF(DonnéesDessin[[#This Row],[Réponse doodle 01]:[Présence MàN AC]],"R pas nécessaire")</f>
        <v>0</v>
      </c>
      <c r="CB7" s="67">
        <f>SUM(3*DonnéesDessin[[#This Row],[R pas nécessaire]])</f>
        <v>0</v>
      </c>
      <c r="CC7" s="67">
        <f>COUNTIF(DonnéesDessin[[#This Row],[Réponse doodle 01]:[Présence MàN AC]],"Indisponible")</f>
        <v>0</v>
      </c>
      <c r="CD7" s="67">
        <f>2*DonnéesDessin[[#This Row],[Indisponible]]</f>
        <v>0</v>
      </c>
      <c r="CE7" s="67">
        <f>COUNTIF(DonnéesDessin[[#This Row],[Réponse doodle 01]:[Présence MàN AC]],"Ne peut s'inscrire")</f>
        <v>0</v>
      </c>
      <c r="CF7" s="67">
        <f>1*DonnéesDessin[[#This Row],[Ne peut s''inscrire]]</f>
        <v>0</v>
      </c>
      <c r="CG7" s="67">
        <f>COUNTIF(DonnéesDessin[[#This Row],[Réponse doodle 01]:[Présence MàN AC]],"Sans information")</f>
        <v>3</v>
      </c>
      <c r="CH7" s="67">
        <f>0*DonnéesDessin[[#This Row],[Sans information]]</f>
        <v>0</v>
      </c>
      <c r="CI7" s="67">
        <f>COUNTIF(DonnéesDessin[[#This Row],[Réponse doodle 01]:[Présence MàN AC]],"Présent")</f>
        <v>8</v>
      </c>
      <c r="CJ7" s="67">
        <f>2*DonnéesDessin[[#This Row],[Présent]]</f>
        <v>16</v>
      </c>
      <c r="CK7" s="67">
        <f>COUNTIF(DonnéesDessin[[#This Row],[Réponse doodle 01]:[Présence MàN AC]],"P pas nécessaire")</f>
        <v>0</v>
      </c>
      <c r="CL7" s="67">
        <f>2*DonnéesDessin[[#This Row],[P pas nécessaire]]</f>
        <v>0</v>
      </c>
      <c r="CM7" s="67">
        <f>COUNTIF(DonnéesDessin[[#This Row],[Réponse doodle 01]:[Présence MàN AC]],"Excusé")</f>
        <v>0</v>
      </c>
      <c r="CN7" s="67">
        <f>1*DonnéesDessin[[#This Row],[Excusé]]</f>
        <v>0</v>
      </c>
      <c r="CO7" s="67">
        <f>COUNTIF(DonnéesDessin[[#This Row],[Réponse doodle 01]:[Présence MàN AC]],"Pas présent")</f>
        <v>4</v>
      </c>
      <c r="CP7" s="67">
        <f>0*DonnéesDessin[[#This Row],[Pas présent]]</f>
        <v>0</v>
      </c>
      <c r="CQ7"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43</v>
      </c>
      <c r="CR7" s="78">
        <v>42600</v>
      </c>
      <c r="CS7" s="79" t="s">
        <v>442</v>
      </c>
      <c r="CT7" s="67" t="s">
        <v>257</v>
      </c>
      <c r="CU7" s="67">
        <v>3</v>
      </c>
      <c r="CV7" s="84">
        <v>68</v>
      </c>
      <c r="CW7" s="84">
        <v>69</v>
      </c>
      <c r="CX7" s="84">
        <f>SUBTOTAL(9,DonnéesDessin[[#This Row],[Résultat Niveau 1]:[Résultat Avancé]])</f>
        <v>137</v>
      </c>
      <c r="CY7" s="93" t="s">
        <v>696</v>
      </c>
      <c r="CZ7" s="93" t="s">
        <v>695</v>
      </c>
      <c r="DA7" s="67">
        <v>50</v>
      </c>
      <c r="DB7" s="88">
        <f>(DonnéesDessin[[#This Row],[Résultat Niveau 1]]+DonnéesDessin[[#This Row],[Résultat Avancé]])/DonnéesDessin[[#This Row],[Durée BC AC19 (en min)]]</f>
        <v>2.74</v>
      </c>
    </row>
    <row r="8" spans="1:106">
      <c r="A8" s="62" t="str">
        <f>DonnéesDessin[[#This Row],[Prénom]]&amp;" "&amp;DonnéesDessin[[#This Row],[Nom]]</f>
        <v>Benjamin Mareine</v>
      </c>
      <c r="B8" s="63" t="s">
        <v>71</v>
      </c>
      <c r="C8" s="63" t="s">
        <v>72</v>
      </c>
      <c r="D8" s="63" t="s">
        <v>49</v>
      </c>
      <c r="E8" s="64" t="s">
        <v>41</v>
      </c>
      <c r="F8" s="64" t="s">
        <v>41</v>
      </c>
      <c r="G8" s="63" t="s">
        <v>56</v>
      </c>
      <c r="H8" s="63" t="s">
        <v>51</v>
      </c>
      <c r="I8" s="65" t="s">
        <v>73</v>
      </c>
      <c r="J8" s="65">
        <v>16</v>
      </c>
      <c r="K8" s="66" t="s">
        <v>41</v>
      </c>
      <c r="L8" s="67">
        <f>DonnéesDessin[[#This Row],[PTS]]</f>
        <v>28</v>
      </c>
      <c r="M8" s="68" t="s">
        <v>52</v>
      </c>
      <c r="N8" s="63">
        <v>0</v>
      </c>
      <c r="O8" s="63" t="s">
        <v>45</v>
      </c>
      <c r="P8" s="63">
        <v>0</v>
      </c>
      <c r="Q8" s="63" t="s">
        <v>45</v>
      </c>
      <c r="R8" s="63">
        <v>0</v>
      </c>
      <c r="S8" s="63" t="s">
        <v>45</v>
      </c>
      <c r="T8" s="69">
        <v>0</v>
      </c>
      <c r="U8" s="68" t="s">
        <v>248</v>
      </c>
      <c r="V8" s="70">
        <v>42320</v>
      </c>
      <c r="W8" s="63" t="s">
        <v>257</v>
      </c>
      <c r="X8" s="63" t="s">
        <v>44</v>
      </c>
      <c r="Y8" s="68" t="s">
        <v>256</v>
      </c>
      <c r="Z8" s="11" t="s">
        <v>41</v>
      </c>
      <c r="AA8" s="67" t="s">
        <v>259</v>
      </c>
      <c r="AB8" s="69" t="s">
        <v>341</v>
      </c>
      <c r="AC8" s="68" t="s">
        <v>248</v>
      </c>
      <c r="AD8" s="11" t="s">
        <v>323</v>
      </c>
      <c r="AE8" s="67" t="s">
        <v>257</v>
      </c>
      <c r="AF8" s="69" t="s">
        <v>44</v>
      </c>
      <c r="AG8" s="68" t="s">
        <v>248</v>
      </c>
      <c r="AH8" s="72">
        <v>42439</v>
      </c>
      <c r="AI8" s="67" t="s">
        <v>259</v>
      </c>
      <c r="AJ8" s="69" t="s">
        <v>343</v>
      </c>
      <c r="AK8" s="68" t="s">
        <v>256</v>
      </c>
      <c r="AL8" s="67" t="s">
        <v>41</v>
      </c>
      <c r="AM8" s="67" t="s">
        <v>259</v>
      </c>
      <c r="AN8" s="69" t="s">
        <v>341</v>
      </c>
      <c r="AO8" s="68" t="s">
        <v>256</v>
      </c>
      <c r="AP8" s="67" t="s">
        <v>41</v>
      </c>
      <c r="AQ8" s="67" t="s">
        <v>259</v>
      </c>
      <c r="AR8" s="69" t="s">
        <v>341</v>
      </c>
      <c r="AS8" s="68" t="s">
        <v>248</v>
      </c>
      <c r="AT8" s="67" t="s">
        <v>416</v>
      </c>
      <c r="AU8" s="67" t="s">
        <v>257</v>
      </c>
      <c r="AV8" s="69" t="s">
        <v>44</v>
      </c>
      <c r="AW8" s="68" t="s">
        <v>248</v>
      </c>
      <c r="AX8" s="67" t="s">
        <v>425</v>
      </c>
      <c r="AY8" s="67" t="s">
        <v>257</v>
      </c>
      <c r="AZ8" s="69" t="s">
        <v>44</v>
      </c>
      <c r="BA8" s="68" t="s">
        <v>256</v>
      </c>
      <c r="BB8" s="67" t="s">
        <v>41</v>
      </c>
      <c r="BC8" s="67" t="s">
        <v>259</v>
      </c>
      <c r="BD8" s="69" t="s">
        <v>41</v>
      </c>
      <c r="BE8" s="68" t="s">
        <v>256</v>
      </c>
      <c r="BF8" s="67" t="s">
        <v>41</v>
      </c>
      <c r="BG8" s="67" t="s">
        <v>259</v>
      </c>
      <c r="BH8" s="69" t="s">
        <v>41</v>
      </c>
      <c r="BI8" s="68" t="s">
        <v>256</v>
      </c>
      <c r="BJ8" s="67" t="s">
        <v>41</v>
      </c>
      <c r="BK8" s="67" t="s">
        <v>259</v>
      </c>
      <c r="BL8" s="69" t="s">
        <v>41</v>
      </c>
      <c r="BM8" s="68" t="s">
        <v>53</v>
      </c>
      <c r="BN8" s="67" t="s">
        <v>53</v>
      </c>
      <c r="BO8" s="67" t="s">
        <v>51</v>
      </c>
      <c r="BP8" s="67" t="s">
        <v>248</v>
      </c>
      <c r="BQ8" s="64">
        <v>42347</v>
      </c>
      <c r="BR8" s="63" t="s">
        <v>286</v>
      </c>
      <c r="BS8" s="63" t="s">
        <v>257</v>
      </c>
      <c r="BT8" s="68">
        <f>Nombrecours</f>
        <v>10</v>
      </c>
      <c r="BU8" s="63">
        <f>COUNTIF(DonnéesDessin[[#This Row],[Réponse doodle 01]:[Présence MàN AC]],"Excusé")</f>
        <v>0</v>
      </c>
      <c r="BV8" s="63">
        <f>COUNTIF(DonnéesDessin[[#This Row],[Réponse doodle 01]:[Présence MàN AC]],"N-employé")</f>
        <v>0</v>
      </c>
      <c r="BW8" s="63">
        <f>DonnéesDessin[[#This Row],[Nombre de cours]]-DonnéesDessin[[#This Row],[Nombre excusé]]-DonnéesDessin[[#This Row],[Nombre N-employé]]</f>
        <v>10</v>
      </c>
      <c r="BX8" s="69">
        <f>COUNTIF(DonnéesDessin[[#This Row],[Réponse doodle 01]:[Présence MàN AC]],"Présent")</f>
        <v>5</v>
      </c>
      <c r="BY8" s="68">
        <f>COUNTIF(DonnéesDessin[[#This Row],[Réponse doodle 01]:[Présence MàN AC]],"Inscrit")</f>
        <v>6</v>
      </c>
      <c r="BZ8" s="67">
        <f>3*DonnéesDessin[[#This Row],[Inscrit]]</f>
        <v>18</v>
      </c>
      <c r="CA8" s="67">
        <f>COUNTIF(DonnéesDessin[[#This Row],[Réponse doodle 01]:[Présence MàN AC]],"R pas nécessaire")</f>
        <v>0</v>
      </c>
      <c r="CB8" s="67">
        <f>SUM(3*DonnéesDessin[[#This Row],[R pas nécessaire]])</f>
        <v>0</v>
      </c>
      <c r="CC8" s="67">
        <f>COUNTIF(DonnéesDessin[[#This Row],[Réponse doodle 01]:[Présence MàN AC]],"Indisponible")</f>
        <v>0</v>
      </c>
      <c r="CD8" s="67">
        <f>2*DonnéesDessin[[#This Row],[Indisponible]]</f>
        <v>0</v>
      </c>
      <c r="CE8" s="67">
        <f>COUNTIF(DonnéesDessin[[#This Row],[Réponse doodle 01]:[Présence MàN AC]],"Ne peut s'inscrire")</f>
        <v>0</v>
      </c>
      <c r="CF8" s="67">
        <f>1*DonnéesDessin[[#This Row],[Ne peut s''inscrire]]</f>
        <v>0</v>
      </c>
      <c r="CG8" s="67">
        <f>COUNTIF(DonnéesDessin[[#This Row],[Réponse doodle 01]:[Présence MàN AC]],"Sans information")</f>
        <v>6</v>
      </c>
      <c r="CH8" s="67">
        <f>0*DonnéesDessin[[#This Row],[Sans information]]</f>
        <v>0</v>
      </c>
      <c r="CI8" s="67">
        <f>COUNTIF(DonnéesDessin[[#This Row],[Réponse doodle 01]:[Présence MàN AC]],"Présent")</f>
        <v>5</v>
      </c>
      <c r="CJ8" s="67">
        <f>2*DonnéesDessin[[#This Row],[Présent]]</f>
        <v>10</v>
      </c>
      <c r="CK8" s="67">
        <f>COUNTIF(DonnéesDessin[[#This Row],[Réponse doodle 01]:[Présence MàN AC]],"P pas nécessaire")</f>
        <v>0</v>
      </c>
      <c r="CL8" s="67">
        <f>2*DonnéesDessin[[#This Row],[P pas nécessaire]]</f>
        <v>0</v>
      </c>
      <c r="CM8" s="67">
        <f>COUNTIF(DonnéesDessin[[#This Row],[Réponse doodle 01]:[Présence MàN AC]],"Excusé")</f>
        <v>0</v>
      </c>
      <c r="CN8" s="67">
        <f>1*DonnéesDessin[[#This Row],[Excusé]]</f>
        <v>0</v>
      </c>
      <c r="CO8" s="67">
        <f>COUNTIF(DonnéesDessin[[#This Row],[Réponse doodle 01]:[Présence MàN AC]],"Pas présent")</f>
        <v>7</v>
      </c>
      <c r="CP8" s="67">
        <f>0*DonnéesDessin[[#This Row],[Pas présent]]</f>
        <v>0</v>
      </c>
      <c r="CQ8"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28</v>
      </c>
      <c r="CR8" s="78">
        <v>42600</v>
      </c>
      <c r="CS8" s="79" t="s">
        <v>440</v>
      </c>
      <c r="CT8" s="67" t="s">
        <v>257</v>
      </c>
      <c r="CU8" s="67">
        <v>3</v>
      </c>
      <c r="CV8" s="84">
        <v>76</v>
      </c>
      <c r="CW8" s="84">
        <v>67</v>
      </c>
      <c r="CX8" s="84">
        <f>SUBTOTAL(9,DonnéesDessin[[#This Row],[Résultat Niveau 1]:[Résultat Avancé]])</f>
        <v>143</v>
      </c>
      <c r="CY8" s="84" t="s">
        <v>440</v>
      </c>
      <c r="CZ8" s="84" t="s">
        <v>459</v>
      </c>
      <c r="DA8" s="67">
        <v>90</v>
      </c>
      <c r="DB8" s="88">
        <f>(DonnéesDessin[[#This Row],[Résultat Niveau 1]]+DonnéesDessin[[#This Row],[Résultat Avancé]])/DonnéesDessin[[#This Row],[Durée BC AC19 (en min)]]</f>
        <v>1.5888888888888888</v>
      </c>
    </row>
    <row r="9" spans="1:106">
      <c r="A9" s="62" t="str">
        <f>DonnéesDessin[[#This Row],[Prénom]]&amp;" "&amp;DonnéesDessin[[#This Row],[Nom]]</f>
        <v>Benoît Curchod</v>
      </c>
      <c r="B9" s="63" t="s">
        <v>74</v>
      </c>
      <c r="C9" s="63" t="s">
        <v>75</v>
      </c>
      <c r="D9" s="63" t="s">
        <v>57</v>
      </c>
      <c r="E9" s="64" t="s">
        <v>41</v>
      </c>
      <c r="F9" s="64" t="s">
        <v>41</v>
      </c>
      <c r="G9" s="63" t="s">
        <v>75</v>
      </c>
      <c r="H9" s="63" t="s">
        <v>51</v>
      </c>
      <c r="I9" s="65">
        <v>2014</v>
      </c>
      <c r="J9" s="65">
        <v>18</v>
      </c>
      <c r="K9" s="66" t="s">
        <v>41</v>
      </c>
      <c r="L9" s="67">
        <f>DonnéesDessin[[#This Row],[PTS]]</f>
        <v>35</v>
      </c>
      <c r="M9" s="68" t="s">
        <v>52</v>
      </c>
      <c r="N9" s="63">
        <v>0</v>
      </c>
      <c r="O9" s="63" t="s">
        <v>45</v>
      </c>
      <c r="P9" s="63">
        <v>0</v>
      </c>
      <c r="Q9" s="63" t="s">
        <v>45</v>
      </c>
      <c r="R9" s="63">
        <v>0</v>
      </c>
      <c r="S9" s="63" t="s">
        <v>45</v>
      </c>
      <c r="T9" s="69">
        <v>0</v>
      </c>
      <c r="U9" s="68" t="s">
        <v>248</v>
      </c>
      <c r="V9" s="70">
        <v>42320</v>
      </c>
      <c r="W9" s="63" t="s">
        <v>257</v>
      </c>
      <c r="X9" s="63" t="s">
        <v>44</v>
      </c>
      <c r="Y9" s="68" t="s">
        <v>256</v>
      </c>
      <c r="Z9" s="11" t="s">
        <v>41</v>
      </c>
      <c r="AA9" s="67" t="s">
        <v>259</v>
      </c>
      <c r="AB9" s="69" t="s">
        <v>341</v>
      </c>
      <c r="AC9" s="68" t="s">
        <v>248</v>
      </c>
      <c r="AD9" s="11" t="s">
        <v>323</v>
      </c>
      <c r="AE9" s="67" t="s">
        <v>257</v>
      </c>
      <c r="AF9" s="69" t="s">
        <v>44</v>
      </c>
      <c r="AG9" s="68" t="s">
        <v>248</v>
      </c>
      <c r="AH9" s="72">
        <v>42431</v>
      </c>
      <c r="AI9" s="67" t="s">
        <v>257</v>
      </c>
      <c r="AJ9" s="69" t="s">
        <v>44</v>
      </c>
      <c r="AK9" s="68" t="s">
        <v>248</v>
      </c>
      <c r="AL9" s="67" t="s">
        <v>332</v>
      </c>
      <c r="AM9" s="67" t="s">
        <v>257</v>
      </c>
      <c r="AN9" s="69" t="s">
        <v>347</v>
      </c>
      <c r="AO9" s="68" t="s">
        <v>256</v>
      </c>
      <c r="AP9" s="67" t="s">
        <v>41</v>
      </c>
      <c r="AQ9" s="67" t="s">
        <v>259</v>
      </c>
      <c r="AR9" s="69" t="s">
        <v>341</v>
      </c>
      <c r="AS9" s="68" t="s">
        <v>248</v>
      </c>
      <c r="AT9" s="67" t="s">
        <v>413</v>
      </c>
      <c r="AU9" s="67" t="s">
        <v>257</v>
      </c>
      <c r="AV9" s="69" t="s">
        <v>44</v>
      </c>
      <c r="AW9" s="68" t="s">
        <v>248</v>
      </c>
      <c r="AX9" s="67" t="s">
        <v>424</v>
      </c>
      <c r="AY9" s="67" t="s">
        <v>257</v>
      </c>
      <c r="AZ9" s="69" t="s">
        <v>44</v>
      </c>
      <c r="BA9" s="68" t="s">
        <v>256</v>
      </c>
      <c r="BB9" s="67" t="s">
        <v>41</v>
      </c>
      <c r="BC9" s="67" t="s">
        <v>259</v>
      </c>
      <c r="BD9" s="69" t="s">
        <v>41</v>
      </c>
      <c r="BE9" s="68" t="s">
        <v>256</v>
      </c>
      <c r="BF9" s="67" t="s">
        <v>41</v>
      </c>
      <c r="BG9" s="67" t="s">
        <v>259</v>
      </c>
      <c r="BH9" s="69" t="s">
        <v>41</v>
      </c>
      <c r="BI9" s="68" t="s">
        <v>256</v>
      </c>
      <c r="BJ9" s="67" t="s">
        <v>41</v>
      </c>
      <c r="BK9" s="67" t="s">
        <v>259</v>
      </c>
      <c r="BL9" s="69" t="s">
        <v>41</v>
      </c>
      <c r="BM9" s="68" t="s">
        <v>65</v>
      </c>
      <c r="BN9" s="67" t="s">
        <v>65</v>
      </c>
      <c r="BO9" s="67" t="s">
        <v>51</v>
      </c>
      <c r="BP9" s="67" t="s">
        <v>248</v>
      </c>
      <c r="BQ9" s="64">
        <v>42349</v>
      </c>
      <c r="BR9" s="63" t="s">
        <v>282</v>
      </c>
      <c r="BS9" s="63" t="s">
        <v>257</v>
      </c>
      <c r="BT9" s="68">
        <f>Nombrecours</f>
        <v>10</v>
      </c>
      <c r="BU9" s="63">
        <f>COUNTIF(DonnéesDessin[[#This Row],[Réponse doodle 01]:[Présence MàN AC]],"Excusé")</f>
        <v>0</v>
      </c>
      <c r="BV9" s="63">
        <f>COUNTIF(DonnéesDessin[[#This Row],[Réponse doodle 01]:[Présence MàN AC]],"N-employé")</f>
        <v>0</v>
      </c>
      <c r="BW9" s="63">
        <f>DonnéesDessin[[#This Row],[Nombre de cours]]-DonnéesDessin[[#This Row],[Nombre excusé]]-DonnéesDessin[[#This Row],[Nombre N-employé]]</f>
        <v>10</v>
      </c>
      <c r="BX9" s="69">
        <f>COUNTIF(DonnéesDessin[[#This Row],[Réponse doodle 01]:[Présence MàN AC]],"Présent")</f>
        <v>7</v>
      </c>
      <c r="BY9" s="68">
        <f>COUNTIF(DonnéesDessin[[#This Row],[Réponse doodle 01]:[Présence MàN AC]],"Inscrit")</f>
        <v>7</v>
      </c>
      <c r="BZ9" s="67">
        <f>3*DonnéesDessin[[#This Row],[Inscrit]]</f>
        <v>21</v>
      </c>
      <c r="CA9" s="67">
        <f>COUNTIF(DonnéesDessin[[#This Row],[Réponse doodle 01]:[Présence MàN AC]],"R pas nécessaire")</f>
        <v>0</v>
      </c>
      <c r="CB9" s="67">
        <f>SUM(3*DonnéesDessin[[#This Row],[R pas nécessaire]])</f>
        <v>0</v>
      </c>
      <c r="CC9" s="67">
        <f>COUNTIF(DonnéesDessin[[#This Row],[Réponse doodle 01]:[Présence MàN AC]],"Indisponible")</f>
        <v>0</v>
      </c>
      <c r="CD9" s="67">
        <f>2*DonnéesDessin[[#This Row],[Indisponible]]</f>
        <v>0</v>
      </c>
      <c r="CE9" s="67">
        <f>COUNTIF(DonnéesDessin[[#This Row],[Réponse doodle 01]:[Présence MàN AC]],"Ne peut s'inscrire")</f>
        <v>0</v>
      </c>
      <c r="CF9" s="67">
        <f>1*DonnéesDessin[[#This Row],[Ne peut s''inscrire]]</f>
        <v>0</v>
      </c>
      <c r="CG9" s="67">
        <f>COUNTIF(DonnéesDessin[[#This Row],[Réponse doodle 01]:[Présence MàN AC]],"Sans information")</f>
        <v>5</v>
      </c>
      <c r="CH9" s="67">
        <f>0*DonnéesDessin[[#This Row],[Sans information]]</f>
        <v>0</v>
      </c>
      <c r="CI9" s="67">
        <f>COUNTIF(DonnéesDessin[[#This Row],[Réponse doodle 01]:[Présence MàN AC]],"Présent")</f>
        <v>7</v>
      </c>
      <c r="CJ9" s="67">
        <f>2*DonnéesDessin[[#This Row],[Présent]]</f>
        <v>14</v>
      </c>
      <c r="CK9" s="67">
        <f>COUNTIF(DonnéesDessin[[#This Row],[Réponse doodle 01]:[Présence MàN AC]],"P pas nécessaire")</f>
        <v>0</v>
      </c>
      <c r="CL9" s="67">
        <f>2*DonnéesDessin[[#This Row],[P pas nécessaire]]</f>
        <v>0</v>
      </c>
      <c r="CM9" s="67">
        <f>COUNTIF(DonnéesDessin[[#This Row],[Réponse doodle 01]:[Présence MàN AC]],"Excusé")</f>
        <v>0</v>
      </c>
      <c r="CN9" s="67">
        <f>1*DonnéesDessin[[#This Row],[Excusé]]</f>
        <v>0</v>
      </c>
      <c r="CO9" s="67">
        <f>COUNTIF(DonnéesDessin[[#This Row],[Réponse doodle 01]:[Présence MàN AC]],"Pas présent")</f>
        <v>5</v>
      </c>
      <c r="CP9" s="67">
        <f>0*DonnéesDessin[[#This Row],[Pas présent]]</f>
        <v>0</v>
      </c>
      <c r="CQ9"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35</v>
      </c>
      <c r="CR9" s="31" t="s">
        <v>41</v>
      </c>
      <c r="CS9" s="77" t="s">
        <v>41</v>
      </c>
      <c r="CT9" s="56" t="s">
        <v>41</v>
      </c>
      <c r="CU9" s="56"/>
      <c r="CV9" s="81" t="s">
        <v>41</v>
      </c>
      <c r="CW9" s="81" t="s">
        <v>41</v>
      </c>
      <c r="CX9" s="77" t="s">
        <v>41</v>
      </c>
      <c r="CY9" s="77" t="s">
        <v>41</v>
      </c>
      <c r="CZ9" s="77" t="s">
        <v>41</v>
      </c>
      <c r="DA9" s="56" t="s">
        <v>487</v>
      </c>
      <c r="DB9" s="89" t="s">
        <v>41</v>
      </c>
    </row>
    <row r="10" spans="1:106">
      <c r="A10" s="62" t="str">
        <f>DonnéesDessin[[#This Row],[Prénom]]&amp;" "&amp;DonnéesDessin[[#This Row],[Nom]]</f>
        <v>Brahim Shala</v>
      </c>
      <c r="B10" s="63" t="s">
        <v>77</v>
      </c>
      <c r="C10" s="63" t="s">
        <v>78</v>
      </c>
      <c r="D10" s="63" t="s">
        <v>57</v>
      </c>
      <c r="E10" s="64" t="s">
        <v>41</v>
      </c>
      <c r="F10" s="64" t="s">
        <v>41</v>
      </c>
      <c r="G10" s="63"/>
      <c r="H10" s="63" t="s">
        <v>51</v>
      </c>
      <c r="I10" s="65" t="s">
        <v>43</v>
      </c>
      <c r="J10" s="65">
        <v>17</v>
      </c>
      <c r="K10" s="66" t="s">
        <v>41</v>
      </c>
      <c r="L10" s="67">
        <f>DonnéesDessin[[#This Row],[PTS]]</f>
        <v>44</v>
      </c>
      <c r="M10" s="68" t="s">
        <v>52</v>
      </c>
      <c r="N10" s="63">
        <v>0</v>
      </c>
      <c r="O10" s="63" t="s">
        <v>45</v>
      </c>
      <c r="P10" s="63">
        <v>0</v>
      </c>
      <c r="Q10" s="63" t="s">
        <v>45</v>
      </c>
      <c r="R10" s="63">
        <v>0</v>
      </c>
      <c r="S10" s="63" t="s">
        <v>45</v>
      </c>
      <c r="T10" s="69">
        <v>0</v>
      </c>
      <c r="U10" s="68" t="s">
        <v>248</v>
      </c>
      <c r="V10" s="70">
        <v>42319</v>
      </c>
      <c r="W10" s="63" t="s">
        <v>257</v>
      </c>
      <c r="X10" s="63" t="s">
        <v>44</v>
      </c>
      <c r="Y10" s="68" t="s">
        <v>248</v>
      </c>
      <c r="Z10" s="71">
        <v>42382</v>
      </c>
      <c r="AA10" s="67" t="s">
        <v>257</v>
      </c>
      <c r="AB10" s="69" t="s">
        <v>44</v>
      </c>
      <c r="AC10" s="68" t="s">
        <v>248</v>
      </c>
      <c r="AD10" s="11" t="s">
        <v>323</v>
      </c>
      <c r="AE10" s="67" t="s">
        <v>258</v>
      </c>
      <c r="AF10" s="69" t="s">
        <v>366</v>
      </c>
      <c r="AG10" s="68" t="s">
        <v>248</v>
      </c>
      <c r="AH10" s="72">
        <v>42439</v>
      </c>
      <c r="AI10" s="67" t="s">
        <v>257</v>
      </c>
      <c r="AJ10" s="69" t="s">
        <v>44</v>
      </c>
      <c r="AK10" s="68" t="s">
        <v>248</v>
      </c>
      <c r="AL10" s="67" t="s">
        <v>332</v>
      </c>
      <c r="AM10" s="67" t="s">
        <v>257</v>
      </c>
      <c r="AN10" s="69" t="s">
        <v>44</v>
      </c>
      <c r="AO10" s="68" t="s">
        <v>248</v>
      </c>
      <c r="AP10" s="67" t="s">
        <v>336</v>
      </c>
      <c r="AQ10" s="67" t="s">
        <v>257</v>
      </c>
      <c r="AR10" s="69" t="s">
        <v>44</v>
      </c>
      <c r="AS10" s="68" t="s">
        <v>248</v>
      </c>
      <c r="AT10" s="67" t="s">
        <v>414</v>
      </c>
      <c r="AU10" s="67" t="s">
        <v>257</v>
      </c>
      <c r="AV10" s="69" t="s">
        <v>44</v>
      </c>
      <c r="AW10" s="68" t="s">
        <v>248</v>
      </c>
      <c r="AX10" s="67" t="s">
        <v>427</v>
      </c>
      <c r="AY10" s="67" t="s">
        <v>257</v>
      </c>
      <c r="AZ10" s="69" t="s">
        <v>44</v>
      </c>
      <c r="BA10" s="68" t="s">
        <v>256</v>
      </c>
      <c r="BB10" s="67" t="s">
        <v>41</v>
      </c>
      <c r="BC10" s="67" t="s">
        <v>259</v>
      </c>
      <c r="BD10" s="69" t="s">
        <v>41</v>
      </c>
      <c r="BE10" s="68" t="s">
        <v>256</v>
      </c>
      <c r="BF10" s="67" t="s">
        <v>41</v>
      </c>
      <c r="BG10" s="67" t="s">
        <v>259</v>
      </c>
      <c r="BH10" s="69" t="s">
        <v>41</v>
      </c>
      <c r="BI10" s="68" t="s">
        <v>256</v>
      </c>
      <c r="BJ10" s="67" t="s">
        <v>41</v>
      </c>
      <c r="BK10" s="67" t="s">
        <v>259</v>
      </c>
      <c r="BL10" s="69" t="s">
        <v>41</v>
      </c>
      <c r="BM10" s="68" t="s">
        <v>65</v>
      </c>
      <c r="BN10" s="67" t="s">
        <v>53</v>
      </c>
      <c r="BO10" s="67" t="s">
        <v>43</v>
      </c>
      <c r="BP10" s="67" t="s">
        <v>248</v>
      </c>
      <c r="BQ10" s="64">
        <v>42347</v>
      </c>
      <c r="BR10" s="63" t="s">
        <v>286</v>
      </c>
      <c r="BS10" s="63" t="s">
        <v>257</v>
      </c>
      <c r="BT10" s="68">
        <f>Nombrecours</f>
        <v>10</v>
      </c>
      <c r="BU10" s="63">
        <f>COUNTIF(DonnéesDessin[[#This Row],[Réponse doodle 01]:[Présence MàN AC]],"Excusé")</f>
        <v>1</v>
      </c>
      <c r="BV10" s="63">
        <f>COUNTIF(DonnéesDessin[[#This Row],[Réponse doodle 01]:[Présence MàN AC]],"N-employé")</f>
        <v>0</v>
      </c>
      <c r="BW10" s="63">
        <f>DonnéesDessin[[#This Row],[Nombre de cours]]-DonnéesDessin[[#This Row],[Nombre excusé]]-DonnéesDessin[[#This Row],[Nombre N-employé]]</f>
        <v>9</v>
      </c>
      <c r="BX10" s="69">
        <f>COUNTIF(DonnéesDessin[[#This Row],[Réponse doodle 01]:[Présence MàN AC]],"Présent")</f>
        <v>8</v>
      </c>
      <c r="BY10" s="68">
        <f>COUNTIF(DonnéesDessin[[#This Row],[Réponse doodle 01]:[Présence MàN AC]],"Inscrit")</f>
        <v>9</v>
      </c>
      <c r="BZ10" s="67">
        <f>3*DonnéesDessin[[#This Row],[Inscrit]]</f>
        <v>27</v>
      </c>
      <c r="CA10" s="67">
        <f>COUNTIF(DonnéesDessin[[#This Row],[Réponse doodle 01]:[Présence MàN AC]],"R pas nécessaire")</f>
        <v>0</v>
      </c>
      <c r="CB10" s="67">
        <f>SUM(3*DonnéesDessin[[#This Row],[R pas nécessaire]])</f>
        <v>0</v>
      </c>
      <c r="CC10" s="67">
        <f>COUNTIF(DonnéesDessin[[#This Row],[Réponse doodle 01]:[Présence MàN AC]],"Indisponible")</f>
        <v>0</v>
      </c>
      <c r="CD10" s="67">
        <f>2*DonnéesDessin[[#This Row],[Indisponible]]</f>
        <v>0</v>
      </c>
      <c r="CE10" s="67">
        <f>COUNTIF(DonnéesDessin[[#This Row],[Réponse doodle 01]:[Présence MàN AC]],"Ne peut s'inscrire")</f>
        <v>0</v>
      </c>
      <c r="CF10" s="67">
        <f>1*DonnéesDessin[[#This Row],[Ne peut s''inscrire]]</f>
        <v>0</v>
      </c>
      <c r="CG10" s="67">
        <f>COUNTIF(DonnéesDessin[[#This Row],[Réponse doodle 01]:[Présence MàN AC]],"Sans information")</f>
        <v>3</v>
      </c>
      <c r="CH10" s="67">
        <f>0*DonnéesDessin[[#This Row],[Sans information]]</f>
        <v>0</v>
      </c>
      <c r="CI10" s="67">
        <f>COUNTIF(DonnéesDessin[[#This Row],[Réponse doodle 01]:[Présence MàN AC]],"Présent")</f>
        <v>8</v>
      </c>
      <c r="CJ10" s="67">
        <f>2*DonnéesDessin[[#This Row],[Présent]]</f>
        <v>16</v>
      </c>
      <c r="CK10" s="67">
        <f>COUNTIF(DonnéesDessin[[#This Row],[Réponse doodle 01]:[Présence MàN AC]],"P pas nécessaire")</f>
        <v>0</v>
      </c>
      <c r="CL10" s="67">
        <f>2*DonnéesDessin[[#This Row],[P pas nécessaire]]</f>
        <v>0</v>
      </c>
      <c r="CM10" s="67">
        <f>COUNTIF(DonnéesDessin[[#This Row],[Réponse doodle 01]:[Présence MàN AC]],"Excusé")</f>
        <v>1</v>
      </c>
      <c r="CN10" s="67">
        <f>1*DonnéesDessin[[#This Row],[Excusé]]</f>
        <v>1</v>
      </c>
      <c r="CO10" s="67">
        <f>COUNTIF(DonnéesDessin[[#This Row],[Réponse doodle 01]:[Présence MàN AC]],"Pas présent")</f>
        <v>3</v>
      </c>
      <c r="CP10" s="67">
        <f>0*DonnéesDessin[[#This Row],[Pas présent]]</f>
        <v>0</v>
      </c>
      <c r="CQ10"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44</v>
      </c>
      <c r="CR10" s="78">
        <v>42605</v>
      </c>
      <c r="CS10" s="79" t="s">
        <v>675</v>
      </c>
      <c r="CT10" s="67" t="s">
        <v>257</v>
      </c>
      <c r="CU10" s="67">
        <v>2</v>
      </c>
      <c r="CV10" s="84">
        <v>58</v>
      </c>
      <c r="CW10" s="84">
        <v>69</v>
      </c>
      <c r="CX10" s="84">
        <f>SUBTOTAL(9,DonnéesDessin[[#This Row],[Résultat Niveau 1]:[Résultat Avancé]])</f>
        <v>127</v>
      </c>
      <c r="CY10" s="84" t="s">
        <v>675</v>
      </c>
      <c r="CZ10" s="84" t="s">
        <v>493</v>
      </c>
      <c r="DA10" s="67">
        <v>85</v>
      </c>
      <c r="DB10" s="88">
        <f>(DonnéesDessin[[#This Row],[Résultat Niveau 1]]+DonnéesDessin[[#This Row],[Résultat Avancé]])/DonnéesDessin[[#This Row],[Durée BC AC19 (en min)]]</f>
        <v>1.4941176470588236</v>
      </c>
    </row>
    <row r="11" spans="1:106">
      <c r="A11" s="62" t="str">
        <f>DonnéesDessin[[#This Row],[Prénom]]&amp;" "&amp;DonnéesDessin[[#This Row],[Nom]]</f>
        <v>Camille Larané</v>
      </c>
      <c r="B11" s="63" t="s">
        <v>80</v>
      </c>
      <c r="C11" s="63" t="s">
        <v>81</v>
      </c>
      <c r="D11" s="63" t="s">
        <v>82</v>
      </c>
      <c r="E11" s="64">
        <v>42282</v>
      </c>
      <c r="F11" s="64" t="s">
        <v>41</v>
      </c>
      <c r="G11" s="63" t="s">
        <v>95</v>
      </c>
      <c r="H11" s="63" t="s">
        <v>51</v>
      </c>
      <c r="I11" s="65" t="s">
        <v>298</v>
      </c>
      <c r="J11" s="65">
        <v>18</v>
      </c>
      <c r="K11" s="63" t="s">
        <v>344</v>
      </c>
      <c r="L11" s="67">
        <f>DonnéesDessin[[#This Row],[PTS]]</f>
        <v>33</v>
      </c>
      <c r="M11" s="68" t="s">
        <v>52</v>
      </c>
      <c r="N11" s="63">
        <v>0</v>
      </c>
      <c r="O11" s="64" t="s">
        <v>288</v>
      </c>
      <c r="P11" s="63" t="s">
        <v>257</v>
      </c>
      <c r="Q11" s="63" t="s">
        <v>289</v>
      </c>
      <c r="R11" s="63" t="s">
        <v>257</v>
      </c>
      <c r="S11" s="63" t="s">
        <v>290</v>
      </c>
      <c r="T11" s="69" t="s">
        <v>257</v>
      </c>
      <c r="U11" s="68" t="s">
        <v>248</v>
      </c>
      <c r="V11" s="70">
        <v>42320</v>
      </c>
      <c r="W11" s="63" t="s">
        <v>257</v>
      </c>
      <c r="X11" s="63" t="s">
        <v>44</v>
      </c>
      <c r="Y11" s="68" t="s">
        <v>293</v>
      </c>
      <c r="Z11" s="11" t="s">
        <v>41</v>
      </c>
      <c r="AA11" s="67" t="s">
        <v>292</v>
      </c>
      <c r="AB11" s="69" t="s">
        <v>342</v>
      </c>
      <c r="AC11" s="68" t="s">
        <v>256</v>
      </c>
      <c r="AD11" s="11" t="s">
        <v>41</v>
      </c>
      <c r="AE11" s="67" t="s">
        <v>259</v>
      </c>
      <c r="AF11" s="69" t="s">
        <v>341</v>
      </c>
      <c r="AG11" s="68" t="s">
        <v>248</v>
      </c>
      <c r="AH11" s="72">
        <v>42439</v>
      </c>
      <c r="AI11" s="67" t="s">
        <v>259</v>
      </c>
      <c r="AJ11" s="69" t="s">
        <v>343</v>
      </c>
      <c r="AK11" s="68" t="s">
        <v>248</v>
      </c>
      <c r="AL11" s="67" t="s">
        <v>332</v>
      </c>
      <c r="AM11" s="67" t="s">
        <v>257</v>
      </c>
      <c r="AN11" s="69" t="s">
        <v>44</v>
      </c>
      <c r="AO11" s="68" t="s">
        <v>248</v>
      </c>
      <c r="AP11" s="67" t="s">
        <v>338</v>
      </c>
      <c r="AQ11" s="67" t="s">
        <v>257</v>
      </c>
      <c r="AR11" s="69" t="s">
        <v>44</v>
      </c>
      <c r="AS11" s="68" t="s">
        <v>248</v>
      </c>
      <c r="AT11" s="67" t="s">
        <v>414</v>
      </c>
      <c r="AU11" s="67" t="s">
        <v>259</v>
      </c>
      <c r="AV11" s="69" t="s">
        <v>343</v>
      </c>
      <c r="AW11" s="68" t="s">
        <v>248</v>
      </c>
      <c r="AX11" s="67" t="s">
        <v>427</v>
      </c>
      <c r="AY11" s="67" t="s">
        <v>257</v>
      </c>
      <c r="AZ11" s="69" t="s">
        <v>426</v>
      </c>
      <c r="BA11" s="68" t="s">
        <v>256</v>
      </c>
      <c r="BB11" s="67" t="s">
        <v>41</v>
      </c>
      <c r="BC11" s="67" t="s">
        <v>259</v>
      </c>
      <c r="BD11" s="69" t="s">
        <v>41</v>
      </c>
      <c r="BE11" s="68" t="s">
        <v>256</v>
      </c>
      <c r="BF11" s="67" t="s">
        <v>41</v>
      </c>
      <c r="BG11" s="67" t="s">
        <v>259</v>
      </c>
      <c r="BH11" s="69" t="s">
        <v>41</v>
      </c>
      <c r="BI11" s="68" t="s">
        <v>256</v>
      </c>
      <c r="BJ11" s="67" t="s">
        <v>41</v>
      </c>
      <c r="BK11" s="67" t="s">
        <v>259</v>
      </c>
      <c r="BL11" s="69" t="s">
        <v>41</v>
      </c>
      <c r="BM11" s="68" t="s">
        <v>65</v>
      </c>
      <c r="BN11" s="67" t="s">
        <v>41</v>
      </c>
      <c r="BO11" s="67" t="s">
        <v>41</v>
      </c>
      <c r="BP11" s="67" t="s">
        <v>256</v>
      </c>
      <c r="BQ11" s="63" t="s">
        <v>41</v>
      </c>
      <c r="BR11" s="63" t="s">
        <v>41</v>
      </c>
      <c r="BS11" s="63" t="s">
        <v>257</v>
      </c>
      <c r="BT11" s="68">
        <f>Nombrecours</f>
        <v>10</v>
      </c>
      <c r="BU11" s="63">
        <f>COUNTIF(DonnéesDessin[[#This Row],[Réponse doodle 01]:[Présence MàN AC]],"Excusé")</f>
        <v>0</v>
      </c>
      <c r="BV11" s="63">
        <f>COUNTIF(DonnéesDessin[[#This Row],[Réponse doodle 01]:[Présence MàN AC]],"N-employé")</f>
        <v>0</v>
      </c>
      <c r="BW11" s="63">
        <f>DonnéesDessin[[#This Row],[Nombre de cours]]-DonnéesDessin[[#This Row],[Nombre excusé]]-DonnéesDessin[[#This Row],[Nombre N-employé]]</f>
        <v>10</v>
      </c>
      <c r="BX11" s="69">
        <f>COUNTIF(DonnéesDessin[[#This Row],[Réponse doodle 01]:[Présence MàN AC]],"Présent")</f>
        <v>5</v>
      </c>
      <c r="BY11" s="68">
        <f>COUNTIF(DonnéesDessin[[#This Row],[Réponse doodle 01]:[Présence MàN AC]],"Inscrit")</f>
        <v>6</v>
      </c>
      <c r="BZ11" s="67">
        <f>3*DonnéesDessin[[#This Row],[Inscrit]]</f>
        <v>18</v>
      </c>
      <c r="CA11" s="67">
        <f>COUNTIF(DonnéesDessin[[#This Row],[Réponse doodle 01]:[Présence MàN AC]],"R pas nécessaire")</f>
        <v>1</v>
      </c>
      <c r="CB11" s="67">
        <f>SUM(3*DonnéesDessin[[#This Row],[R pas nécessaire]])</f>
        <v>3</v>
      </c>
      <c r="CC11" s="67">
        <f>COUNTIF(DonnéesDessin[[#This Row],[Réponse doodle 01]:[Présence MàN AC]],"Indisponible")</f>
        <v>0</v>
      </c>
      <c r="CD11" s="67">
        <f>2*DonnéesDessin[[#This Row],[Indisponible]]</f>
        <v>0</v>
      </c>
      <c r="CE11" s="67">
        <f>COUNTIF(DonnéesDessin[[#This Row],[Réponse doodle 01]:[Présence MàN AC]],"Ne peut s'inscrire")</f>
        <v>0</v>
      </c>
      <c r="CF11" s="67">
        <f>1*DonnéesDessin[[#This Row],[Ne peut s''inscrire]]</f>
        <v>0</v>
      </c>
      <c r="CG11" s="67">
        <f>COUNTIF(DonnéesDessin[[#This Row],[Réponse doodle 01]:[Présence MàN AC]],"Sans information")</f>
        <v>5</v>
      </c>
      <c r="CH11" s="67">
        <f>0*DonnéesDessin[[#This Row],[Sans information]]</f>
        <v>0</v>
      </c>
      <c r="CI11" s="67">
        <f>COUNTIF(DonnéesDessin[[#This Row],[Réponse doodle 01]:[Présence MàN AC]],"Présent")</f>
        <v>5</v>
      </c>
      <c r="CJ11" s="67">
        <f>2*DonnéesDessin[[#This Row],[Présent]]</f>
        <v>10</v>
      </c>
      <c r="CK11" s="67">
        <f>COUNTIF(DonnéesDessin[[#This Row],[Réponse doodle 01]:[Présence MàN AC]],"P pas nécessaire")</f>
        <v>1</v>
      </c>
      <c r="CL11" s="67">
        <f>2*DonnéesDessin[[#This Row],[P pas nécessaire]]</f>
        <v>2</v>
      </c>
      <c r="CM11" s="67">
        <f>COUNTIF(DonnéesDessin[[#This Row],[Réponse doodle 01]:[Présence MàN AC]],"Excusé")</f>
        <v>0</v>
      </c>
      <c r="CN11" s="67">
        <f>1*DonnéesDessin[[#This Row],[Excusé]]</f>
        <v>0</v>
      </c>
      <c r="CO11" s="67">
        <f>COUNTIF(DonnéesDessin[[#This Row],[Réponse doodle 01]:[Présence MàN AC]],"Pas présent")</f>
        <v>6</v>
      </c>
      <c r="CP11" s="67">
        <f>0*DonnéesDessin[[#This Row],[Pas présent]]</f>
        <v>0</v>
      </c>
      <c r="CQ11"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33</v>
      </c>
      <c r="CR11" s="78">
        <v>42579</v>
      </c>
      <c r="CS11" s="79" t="s">
        <v>439</v>
      </c>
      <c r="CT11" s="67" t="s">
        <v>257</v>
      </c>
      <c r="CU11" s="67">
        <v>3</v>
      </c>
      <c r="CV11" s="84">
        <v>48</v>
      </c>
      <c r="CW11" s="84">
        <v>65</v>
      </c>
      <c r="CX11" s="84">
        <f>SUBTOTAL(9,DonnéesDessin[[#This Row],[Résultat Niveau 1]:[Résultat Avancé]])</f>
        <v>113</v>
      </c>
      <c r="CY11" s="84" t="s">
        <v>492</v>
      </c>
      <c r="CZ11" s="84" t="s">
        <v>493</v>
      </c>
      <c r="DA11" s="67">
        <v>50</v>
      </c>
      <c r="DB11" s="88">
        <f>(DonnéesDessin[[#This Row],[Résultat Niveau 1]]+DonnéesDessin[[#This Row],[Résultat Avancé]])/DonnéesDessin[[#This Row],[Durée BC AC19 (en min)]]</f>
        <v>2.2599999999999998</v>
      </c>
    </row>
    <row r="12" spans="1:106">
      <c r="A12" s="62" t="str">
        <f>DonnéesDessin[[#This Row],[Prénom]]&amp;" "&amp;DonnéesDessin[[#This Row],[Nom]]</f>
        <v>Carolina Azevedo</v>
      </c>
      <c r="B12" s="63" t="s">
        <v>83</v>
      </c>
      <c r="C12" s="63" t="s">
        <v>84</v>
      </c>
      <c r="D12" s="63" t="s">
        <v>54</v>
      </c>
      <c r="E12" s="64" t="s">
        <v>41</v>
      </c>
      <c r="F12" s="64" t="s">
        <v>41</v>
      </c>
      <c r="G12" s="63" t="s">
        <v>75</v>
      </c>
      <c r="H12" s="63" t="s">
        <v>51</v>
      </c>
      <c r="I12" s="65">
        <v>2011</v>
      </c>
      <c r="J12" s="65">
        <v>17</v>
      </c>
      <c r="K12" s="66" t="s">
        <v>41</v>
      </c>
      <c r="L12" s="67">
        <f>DonnéesDessin[[#This Row],[PTS]]</f>
        <v>20</v>
      </c>
      <c r="M12" s="68" t="s">
        <v>52</v>
      </c>
      <c r="N12" s="63">
        <v>0</v>
      </c>
      <c r="O12" s="63" t="s">
        <v>45</v>
      </c>
      <c r="P12" s="63">
        <v>0</v>
      </c>
      <c r="Q12" s="63" t="s">
        <v>45</v>
      </c>
      <c r="R12" s="63">
        <v>0</v>
      </c>
      <c r="S12" s="63" t="s">
        <v>45</v>
      </c>
      <c r="T12" s="69">
        <v>0</v>
      </c>
      <c r="U12" s="68" t="s">
        <v>248</v>
      </c>
      <c r="V12" s="70">
        <v>42325</v>
      </c>
      <c r="W12" s="63" t="s">
        <v>259</v>
      </c>
      <c r="X12" s="63" t="s">
        <v>343</v>
      </c>
      <c r="Y12" s="68" t="s">
        <v>256</v>
      </c>
      <c r="Z12" s="11" t="s">
        <v>41</v>
      </c>
      <c r="AA12" s="67" t="s">
        <v>259</v>
      </c>
      <c r="AB12" s="69" t="s">
        <v>341</v>
      </c>
      <c r="AC12" s="68" t="s">
        <v>254</v>
      </c>
      <c r="AD12" s="11" t="s">
        <v>41</v>
      </c>
      <c r="AE12" s="67" t="s">
        <v>258</v>
      </c>
      <c r="AF12" s="69" t="s">
        <v>354</v>
      </c>
      <c r="AG12" s="68" t="s">
        <v>254</v>
      </c>
      <c r="AH12" s="11" t="s">
        <v>41</v>
      </c>
      <c r="AI12" s="67" t="s">
        <v>258</v>
      </c>
      <c r="AJ12" s="69" t="s">
        <v>354</v>
      </c>
      <c r="AK12" s="68" t="s">
        <v>254</v>
      </c>
      <c r="AL12" s="67" t="s">
        <v>41</v>
      </c>
      <c r="AM12" s="67" t="s">
        <v>258</v>
      </c>
      <c r="AN12" s="69" t="s">
        <v>354</v>
      </c>
      <c r="AO12" s="68" t="s">
        <v>254</v>
      </c>
      <c r="AP12" s="67" t="s">
        <v>41</v>
      </c>
      <c r="AQ12" s="67" t="s">
        <v>258</v>
      </c>
      <c r="AR12" s="73" t="s">
        <v>354</v>
      </c>
      <c r="AS12" s="68" t="s">
        <v>254</v>
      </c>
      <c r="AT12" s="67" t="s">
        <v>41</v>
      </c>
      <c r="AU12" s="67" t="s">
        <v>258</v>
      </c>
      <c r="AV12" s="73" t="s">
        <v>354</v>
      </c>
      <c r="AW12" s="68" t="s">
        <v>254</v>
      </c>
      <c r="AX12" s="67" t="s">
        <v>41</v>
      </c>
      <c r="AY12" s="67" t="s">
        <v>258</v>
      </c>
      <c r="AZ12" s="69" t="s">
        <v>354</v>
      </c>
      <c r="BA12" s="68" t="s">
        <v>256</v>
      </c>
      <c r="BB12" s="67" t="s">
        <v>41</v>
      </c>
      <c r="BC12" s="67" t="s">
        <v>259</v>
      </c>
      <c r="BD12" s="69" t="s">
        <v>41</v>
      </c>
      <c r="BE12" s="68" t="s">
        <v>256</v>
      </c>
      <c r="BF12" s="67" t="s">
        <v>41</v>
      </c>
      <c r="BG12" s="67" t="s">
        <v>259</v>
      </c>
      <c r="BH12" s="69" t="s">
        <v>41</v>
      </c>
      <c r="BI12" s="68" t="s">
        <v>256</v>
      </c>
      <c r="BJ12" s="67" t="s">
        <v>41</v>
      </c>
      <c r="BK12" s="67" t="s">
        <v>259</v>
      </c>
      <c r="BL12" s="69" t="s">
        <v>41</v>
      </c>
      <c r="BM12" s="68" t="s">
        <v>65</v>
      </c>
      <c r="BN12" s="67" t="s">
        <v>65</v>
      </c>
      <c r="BO12" s="67" t="s">
        <v>51</v>
      </c>
      <c r="BP12" s="67" t="s">
        <v>248</v>
      </c>
      <c r="BQ12" s="64">
        <v>42349</v>
      </c>
      <c r="BR12" s="63" t="s">
        <v>284</v>
      </c>
      <c r="BS12" s="63" t="s">
        <v>257</v>
      </c>
      <c r="BT12" s="68">
        <f>Nombrecours</f>
        <v>10</v>
      </c>
      <c r="BU12" s="63">
        <f>COUNTIF(DonnéesDessin[[#This Row],[Réponse doodle 01]:[Présence MàN AC]],"Excusé")</f>
        <v>6</v>
      </c>
      <c r="BV12" s="63">
        <f>COUNTIF(DonnéesDessin[[#This Row],[Réponse doodle 01]:[Présence MàN AC]],"N-employé")</f>
        <v>0</v>
      </c>
      <c r="BW12" s="63">
        <f>DonnéesDessin[[#This Row],[Nombre de cours]]-DonnéesDessin[[#This Row],[Nombre excusé]]-DonnéesDessin[[#This Row],[Nombre N-employé]]</f>
        <v>4</v>
      </c>
      <c r="BX12" s="69">
        <f>COUNTIF(DonnéesDessin[[#This Row],[Réponse doodle 01]:[Présence MàN AC]],"Présent")</f>
        <v>1</v>
      </c>
      <c r="BY12" s="68">
        <f>COUNTIF(DonnéesDessin[[#This Row],[Réponse doodle 01]:[Présence MàN AC]],"Inscrit")</f>
        <v>2</v>
      </c>
      <c r="BZ12" s="67">
        <f>3*DonnéesDessin[[#This Row],[Inscrit]]</f>
        <v>6</v>
      </c>
      <c r="CA12" s="67">
        <f>COUNTIF(DonnéesDessin[[#This Row],[Réponse doodle 01]:[Présence MàN AC]],"R pas nécessaire")</f>
        <v>0</v>
      </c>
      <c r="CB12" s="67">
        <f>SUM(3*DonnéesDessin[[#This Row],[R pas nécessaire]])</f>
        <v>0</v>
      </c>
      <c r="CC12" s="67">
        <f>COUNTIF(DonnéesDessin[[#This Row],[Réponse doodle 01]:[Présence MàN AC]],"Indisponible")</f>
        <v>0</v>
      </c>
      <c r="CD12" s="67">
        <f>2*DonnéesDessin[[#This Row],[Indisponible]]</f>
        <v>0</v>
      </c>
      <c r="CE12" s="67">
        <f>COUNTIF(DonnéesDessin[[#This Row],[Réponse doodle 01]:[Présence MàN AC]],"Ne peut s'inscrire")</f>
        <v>6</v>
      </c>
      <c r="CF12" s="67">
        <f>1*DonnéesDessin[[#This Row],[Ne peut s''inscrire]]</f>
        <v>6</v>
      </c>
      <c r="CG12" s="67">
        <f>COUNTIF(DonnéesDessin[[#This Row],[Réponse doodle 01]:[Présence MàN AC]],"Sans information")</f>
        <v>4</v>
      </c>
      <c r="CH12" s="67">
        <f>0*DonnéesDessin[[#This Row],[Sans information]]</f>
        <v>0</v>
      </c>
      <c r="CI12" s="67">
        <f>COUNTIF(DonnéesDessin[[#This Row],[Réponse doodle 01]:[Présence MàN AC]],"Présent")</f>
        <v>1</v>
      </c>
      <c r="CJ12" s="67">
        <f>2*DonnéesDessin[[#This Row],[Présent]]</f>
        <v>2</v>
      </c>
      <c r="CK12" s="67">
        <f>COUNTIF(DonnéesDessin[[#This Row],[Réponse doodle 01]:[Présence MàN AC]],"P pas nécessaire")</f>
        <v>0</v>
      </c>
      <c r="CL12" s="67">
        <f>2*DonnéesDessin[[#This Row],[P pas nécessaire]]</f>
        <v>0</v>
      </c>
      <c r="CM12" s="67">
        <f>COUNTIF(DonnéesDessin[[#This Row],[Réponse doodle 01]:[Présence MàN AC]],"Excusé")</f>
        <v>6</v>
      </c>
      <c r="CN12" s="67">
        <f>1*DonnéesDessin[[#This Row],[Excusé]]</f>
        <v>6</v>
      </c>
      <c r="CO12" s="67">
        <f>COUNTIF(DonnéesDessin[[#This Row],[Réponse doodle 01]:[Présence MàN AC]],"Pas présent")</f>
        <v>5</v>
      </c>
      <c r="CP12" s="67">
        <f>0*DonnéesDessin[[#This Row],[Pas présent]]</f>
        <v>0</v>
      </c>
      <c r="CQ12"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20</v>
      </c>
      <c r="CR12" s="31" t="s">
        <v>41</v>
      </c>
      <c r="CS12" s="77" t="s">
        <v>41</v>
      </c>
      <c r="CT12" s="56" t="s">
        <v>41</v>
      </c>
      <c r="CU12" s="56"/>
      <c r="CV12" s="81" t="s">
        <v>41</v>
      </c>
      <c r="CW12" s="81" t="s">
        <v>41</v>
      </c>
      <c r="CX12" s="77" t="s">
        <v>41</v>
      </c>
      <c r="CY12" s="77" t="s">
        <v>41</v>
      </c>
      <c r="CZ12" s="77" t="s">
        <v>41</v>
      </c>
      <c r="DA12" s="56" t="s">
        <v>487</v>
      </c>
      <c r="DB12" s="89" t="s">
        <v>41</v>
      </c>
    </row>
    <row r="13" spans="1:106">
      <c r="A13" s="62" t="str">
        <f>DonnéesDessin[[#This Row],[Prénom]]&amp;" "&amp;DonnéesDessin[[#This Row],[Nom]]</f>
        <v>Catherine Plaschy-Roten</v>
      </c>
      <c r="B13" s="63" t="s">
        <v>85</v>
      </c>
      <c r="C13" s="63" t="s">
        <v>86</v>
      </c>
      <c r="D13" s="63" t="s">
        <v>57</v>
      </c>
      <c r="E13" s="64" t="s">
        <v>41</v>
      </c>
      <c r="F13" s="64" t="s">
        <v>41</v>
      </c>
      <c r="G13" s="63" t="s">
        <v>56</v>
      </c>
      <c r="H13" s="63" t="s">
        <v>51</v>
      </c>
      <c r="I13" s="65" t="s">
        <v>51</v>
      </c>
      <c r="J13" s="65">
        <v>18</v>
      </c>
      <c r="K13" s="66" t="s">
        <v>388</v>
      </c>
      <c r="L13" s="67">
        <f>DonnéesDessin[[#This Row],[PTS]]</f>
        <v>43</v>
      </c>
      <c r="M13" s="68" t="s">
        <v>52</v>
      </c>
      <c r="N13" s="63">
        <v>0</v>
      </c>
      <c r="O13" s="63" t="s">
        <v>45</v>
      </c>
      <c r="P13" s="63">
        <v>0</v>
      </c>
      <c r="Q13" s="63" t="s">
        <v>45</v>
      </c>
      <c r="R13" s="63">
        <v>0</v>
      </c>
      <c r="S13" s="63" t="s">
        <v>45</v>
      </c>
      <c r="T13" s="69">
        <v>0</v>
      </c>
      <c r="U13" s="68" t="s">
        <v>248</v>
      </c>
      <c r="V13" s="70">
        <v>42319</v>
      </c>
      <c r="W13" s="63" t="s">
        <v>257</v>
      </c>
      <c r="X13" s="63" t="s">
        <v>44</v>
      </c>
      <c r="Y13" s="68" t="s">
        <v>248</v>
      </c>
      <c r="Z13" s="71">
        <v>42382</v>
      </c>
      <c r="AA13" s="67" t="s">
        <v>257</v>
      </c>
      <c r="AB13" s="69" t="s">
        <v>44</v>
      </c>
      <c r="AC13" s="68" t="s">
        <v>248</v>
      </c>
      <c r="AD13" s="71">
        <v>42417</v>
      </c>
      <c r="AE13" s="67" t="s">
        <v>257</v>
      </c>
      <c r="AF13" s="69" t="s">
        <v>44</v>
      </c>
      <c r="AG13" s="68" t="s">
        <v>248</v>
      </c>
      <c r="AH13" s="72">
        <v>42431</v>
      </c>
      <c r="AI13" s="67" t="s">
        <v>257</v>
      </c>
      <c r="AJ13" s="69" t="s">
        <v>44</v>
      </c>
      <c r="AK13" s="68" t="s">
        <v>248</v>
      </c>
      <c r="AL13" s="67" t="s">
        <v>331</v>
      </c>
      <c r="AM13" s="67" t="s">
        <v>257</v>
      </c>
      <c r="AN13" s="69" t="s">
        <v>44</v>
      </c>
      <c r="AO13" s="68" t="s">
        <v>248</v>
      </c>
      <c r="AP13" s="67" t="s">
        <v>335</v>
      </c>
      <c r="AQ13" s="67" t="s">
        <v>257</v>
      </c>
      <c r="AR13" s="69" t="s">
        <v>44</v>
      </c>
      <c r="AS13" s="68" t="s">
        <v>248</v>
      </c>
      <c r="AT13" s="67" t="s">
        <v>416</v>
      </c>
      <c r="AU13" s="67" t="s">
        <v>257</v>
      </c>
      <c r="AV13" s="69" t="s">
        <v>44</v>
      </c>
      <c r="AW13" s="68" t="s">
        <v>248</v>
      </c>
      <c r="AX13" s="67" t="s">
        <v>430</v>
      </c>
      <c r="AY13" s="67" t="s">
        <v>257</v>
      </c>
      <c r="AZ13" s="69" t="s">
        <v>44</v>
      </c>
      <c r="BA13" s="68" t="s">
        <v>256</v>
      </c>
      <c r="BB13" s="67" t="s">
        <v>41</v>
      </c>
      <c r="BC13" s="67" t="s">
        <v>259</v>
      </c>
      <c r="BD13" s="69" t="s">
        <v>41</v>
      </c>
      <c r="BE13" s="68" t="s">
        <v>256</v>
      </c>
      <c r="BF13" s="67" t="s">
        <v>41</v>
      </c>
      <c r="BG13" s="67" t="s">
        <v>259</v>
      </c>
      <c r="BH13" s="69" t="s">
        <v>41</v>
      </c>
      <c r="BI13" s="68" t="s">
        <v>256</v>
      </c>
      <c r="BJ13" s="67" t="s">
        <v>41</v>
      </c>
      <c r="BK13" s="67" t="s">
        <v>259</v>
      </c>
      <c r="BL13" s="69" t="s">
        <v>41</v>
      </c>
      <c r="BM13" s="68" t="s">
        <v>65</v>
      </c>
      <c r="BN13" s="67" t="s">
        <v>65</v>
      </c>
      <c r="BO13" s="67" t="s">
        <v>51</v>
      </c>
      <c r="BP13" s="67" t="s">
        <v>255</v>
      </c>
      <c r="BQ13" s="64">
        <v>42349</v>
      </c>
      <c r="BR13" s="63" t="s">
        <v>41</v>
      </c>
      <c r="BS13" s="63" t="s">
        <v>258</v>
      </c>
      <c r="BT13" s="68">
        <f>Nombrecours</f>
        <v>10</v>
      </c>
      <c r="BU13" s="63">
        <f>COUNTIF(DonnéesDessin[[#This Row],[Réponse doodle 01]:[Présence MàN AC]],"Excusé")</f>
        <v>1</v>
      </c>
      <c r="BV13" s="63">
        <f>COUNTIF(DonnéesDessin[[#This Row],[Réponse doodle 01]:[Présence MàN AC]],"N-employé")</f>
        <v>0</v>
      </c>
      <c r="BW13" s="63">
        <f>DonnéesDessin[[#This Row],[Nombre de cours]]-DonnéesDessin[[#This Row],[Nombre excusé]]-DonnéesDessin[[#This Row],[Nombre N-employé]]</f>
        <v>9</v>
      </c>
      <c r="BX13" s="69">
        <f>COUNTIF(DonnéesDessin[[#This Row],[Réponse doodle 01]:[Présence MàN AC]],"Présent")</f>
        <v>8</v>
      </c>
      <c r="BY13" s="68">
        <f>COUNTIF(DonnéesDessin[[#This Row],[Réponse doodle 01]:[Présence MàN AC]],"Inscrit")</f>
        <v>8</v>
      </c>
      <c r="BZ13" s="67">
        <f>3*DonnéesDessin[[#This Row],[Inscrit]]</f>
        <v>24</v>
      </c>
      <c r="CA13" s="67">
        <f>COUNTIF(DonnéesDessin[[#This Row],[Réponse doodle 01]:[Présence MàN AC]],"R pas nécessaire")</f>
        <v>0</v>
      </c>
      <c r="CB13" s="67">
        <f>SUM(3*DonnéesDessin[[#This Row],[R pas nécessaire]])</f>
        <v>0</v>
      </c>
      <c r="CC13" s="67">
        <f>COUNTIF(DonnéesDessin[[#This Row],[Réponse doodle 01]:[Présence MàN AC]],"Indisponible")</f>
        <v>1</v>
      </c>
      <c r="CD13" s="67">
        <f>2*DonnéesDessin[[#This Row],[Indisponible]]</f>
        <v>2</v>
      </c>
      <c r="CE13" s="67">
        <f>COUNTIF(DonnéesDessin[[#This Row],[Réponse doodle 01]:[Présence MàN AC]],"Ne peut s'inscrire")</f>
        <v>0</v>
      </c>
      <c r="CF13" s="67">
        <f>1*DonnéesDessin[[#This Row],[Ne peut s''inscrire]]</f>
        <v>0</v>
      </c>
      <c r="CG13" s="67">
        <f>COUNTIF(DonnéesDessin[[#This Row],[Réponse doodle 01]:[Présence MàN AC]],"Sans information")</f>
        <v>3</v>
      </c>
      <c r="CH13" s="67">
        <f>0*DonnéesDessin[[#This Row],[Sans information]]</f>
        <v>0</v>
      </c>
      <c r="CI13" s="67">
        <f>COUNTIF(DonnéesDessin[[#This Row],[Réponse doodle 01]:[Présence MàN AC]],"Présent")</f>
        <v>8</v>
      </c>
      <c r="CJ13" s="67">
        <f>2*DonnéesDessin[[#This Row],[Présent]]</f>
        <v>16</v>
      </c>
      <c r="CK13" s="67">
        <f>COUNTIF(DonnéesDessin[[#This Row],[Réponse doodle 01]:[Présence MàN AC]],"P pas nécessaire")</f>
        <v>0</v>
      </c>
      <c r="CL13" s="67">
        <f>2*DonnéesDessin[[#This Row],[P pas nécessaire]]</f>
        <v>0</v>
      </c>
      <c r="CM13" s="67">
        <f>COUNTIF(DonnéesDessin[[#This Row],[Réponse doodle 01]:[Présence MàN AC]],"Excusé")</f>
        <v>1</v>
      </c>
      <c r="CN13" s="67">
        <f>1*DonnéesDessin[[#This Row],[Excusé]]</f>
        <v>1</v>
      </c>
      <c r="CO13" s="67">
        <f>COUNTIF(DonnéesDessin[[#This Row],[Réponse doodle 01]:[Présence MàN AC]],"Pas présent")</f>
        <v>3</v>
      </c>
      <c r="CP13" s="67">
        <f>0*DonnéesDessin[[#This Row],[Pas présent]]</f>
        <v>0</v>
      </c>
      <c r="CQ13"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43</v>
      </c>
      <c r="CR13" s="78">
        <v>42579</v>
      </c>
      <c r="CS13" s="79" t="s">
        <v>441</v>
      </c>
      <c r="CT13" s="67" t="s">
        <v>257</v>
      </c>
      <c r="CU13" s="67">
        <v>1</v>
      </c>
      <c r="CV13" s="84">
        <v>68</v>
      </c>
      <c r="CW13" s="84">
        <v>57</v>
      </c>
      <c r="CX13" s="84">
        <f>SUBTOTAL(9,DonnéesDessin[[#This Row],[Résultat Niveau 1]:[Résultat Avancé]])</f>
        <v>125</v>
      </c>
      <c r="CY13" s="84" t="s">
        <v>441</v>
      </c>
      <c r="CZ13" s="84" t="s">
        <v>286</v>
      </c>
      <c r="DA13" s="67">
        <v>60</v>
      </c>
      <c r="DB13" s="88">
        <f>(DonnéesDessin[[#This Row],[Résultat Niveau 1]]+DonnéesDessin[[#This Row],[Résultat Avancé]])/DonnéesDessin[[#This Row],[Durée BC AC19 (en min)]]</f>
        <v>2.0833333333333335</v>
      </c>
    </row>
    <row r="14" spans="1:106">
      <c r="A14" s="62" t="str">
        <f>DonnéesDessin[[#This Row],[Prénom]]&amp;" "&amp;DonnéesDessin[[#This Row],[Nom]]</f>
        <v>Charlotte Valentin</v>
      </c>
      <c r="B14" s="63" t="s">
        <v>91</v>
      </c>
      <c r="C14" s="63" t="s">
        <v>92</v>
      </c>
      <c r="D14" s="63" t="s">
        <v>93</v>
      </c>
      <c r="E14" s="64" t="s">
        <v>41</v>
      </c>
      <c r="F14" s="64" t="s">
        <v>41</v>
      </c>
      <c r="G14" s="63" t="s">
        <v>75</v>
      </c>
      <c r="H14" s="63" t="s">
        <v>51</v>
      </c>
      <c r="I14" s="65" t="s">
        <v>43</v>
      </c>
      <c r="J14" s="65">
        <v>17</v>
      </c>
      <c r="K14" s="66" t="s">
        <v>41</v>
      </c>
      <c r="L14" s="67">
        <f>DonnéesDessin[[#This Row],[PTS]]</f>
        <v>43</v>
      </c>
      <c r="M14" s="68" t="s">
        <v>52</v>
      </c>
      <c r="N14" s="63">
        <v>0</v>
      </c>
      <c r="O14" s="63" t="s">
        <v>45</v>
      </c>
      <c r="P14" s="63">
        <v>0</v>
      </c>
      <c r="Q14" s="63" t="s">
        <v>45</v>
      </c>
      <c r="R14" s="63">
        <v>0</v>
      </c>
      <c r="S14" s="63" t="s">
        <v>45</v>
      </c>
      <c r="T14" s="69">
        <v>0</v>
      </c>
      <c r="U14" s="68" t="s">
        <v>248</v>
      </c>
      <c r="V14" s="70">
        <v>42320</v>
      </c>
      <c r="W14" s="63" t="s">
        <v>258</v>
      </c>
      <c r="X14" s="63" t="s">
        <v>340</v>
      </c>
      <c r="Y14" s="68" t="s">
        <v>248</v>
      </c>
      <c r="Z14" s="71">
        <v>42398</v>
      </c>
      <c r="AA14" s="67" t="s">
        <v>259</v>
      </c>
      <c r="AB14" s="69" t="s">
        <v>343</v>
      </c>
      <c r="AC14" s="68" t="s">
        <v>248</v>
      </c>
      <c r="AD14" s="11" t="s">
        <v>323</v>
      </c>
      <c r="AE14" s="67" t="s">
        <v>257</v>
      </c>
      <c r="AF14" s="69" t="s">
        <v>44</v>
      </c>
      <c r="AG14" s="68" t="s">
        <v>248</v>
      </c>
      <c r="AH14" s="72">
        <v>42439</v>
      </c>
      <c r="AI14" s="67" t="s">
        <v>259</v>
      </c>
      <c r="AJ14" s="69" t="s">
        <v>343</v>
      </c>
      <c r="AK14" s="68" t="s">
        <v>248</v>
      </c>
      <c r="AL14" s="67" t="s">
        <v>334</v>
      </c>
      <c r="AM14" s="67" t="s">
        <v>257</v>
      </c>
      <c r="AN14" s="69" t="s">
        <v>44</v>
      </c>
      <c r="AO14" s="68" t="s">
        <v>248</v>
      </c>
      <c r="AP14" s="67" t="s">
        <v>338</v>
      </c>
      <c r="AQ14" s="67" t="s">
        <v>257</v>
      </c>
      <c r="AR14" s="69" t="s">
        <v>44</v>
      </c>
      <c r="AS14" s="68" t="s">
        <v>248</v>
      </c>
      <c r="AT14" s="67" t="s">
        <v>415</v>
      </c>
      <c r="AU14" s="67" t="s">
        <v>259</v>
      </c>
      <c r="AV14" s="69" t="s">
        <v>343</v>
      </c>
      <c r="AW14" s="68" t="s">
        <v>248</v>
      </c>
      <c r="AX14" s="67" t="s">
        <v>427</v>
      </c>
      <c r="AY14" s="67" t="s">
        <v>257</v>
      </c>
      <c r="AZ14" s="69" t="s">
        <v>44</v>
      </c>
      <c r="BA14" s="68" t="s">
        <v>256</v>
      </c>
      <c r="BB14" s="67" t="s">
        <v>41</v>
      </c>
      <c r="BC14" s="67" t="s">
        <v>259</v>
      </c>
      <c r="BD14" s="69" t="s">
        <v>41</v>
      </c>
      <c r="BE14" s="68" t="s">
        <v>256</v>
      </c>
      <c r="BF14" s="67" t="s">
        <v>41</v>
      </c>
      <c r="BG14" s="67" t="s">
        <v>259</v>
      </c>
      <c r="BH14" s="69" t="s">
        <v>41</v>
      </c>
      <c r="BI14" s="68" t="s">
        <v>248</v>
      </c>
      <c r="BJ14" s="72">
        <v>42564</v>
      </c>
      <c r="BK14" s="67" t="s">
        <v>257</v>
      </c>
      <c r="BL14" s="69" t="s">
        <v>435</v>
      </c>
      <c r="BM14" s="68" t="s">
        <v>65</v>
      </c>
      <c r="BN14" s="67" t="s">
        <v>65</v>
      </c>
      <c r="BO14" s="67" t="s">
        <v>51</v>
      </c>
      <c r="BP14" s="67" t="s">
        <v>248</v>
      </c>
      <c r="BQ14" s="64">
        <v>42349</v>
      </c>
      <c r="BR14" s="63" t="s">
        <v>284</v>
      </c>
      <c r="BS14" s="63" t="s">
        <v>257</v>
      </c>
      <c r="BT14" s="68">
        <f>Nombrecours</f>
        <v>10</v>
      </c>
      <c r="BU14" s="63">
        <f>COUNTIF(DonnéesDessin[[#This Row],[Réponse doodle 01]:[Présence MàN AC]],"Excusé")</f>
        <v>1</v>
      </c>
      <c r="BV14" s="63">
        <f>COUNTIF(DonnéesDessin[[#This Row],[Réponse doodle 01]:[Présence MàN AC]],"N-employé")</f>
        <v>0</v>
      </c>
      <c r="BW14" s="63">
        <f>DonnéesDessin[[#This Row],[Nombre de cours]]-DonnéesDessin[[#This Row],[Nombre excusé]]-DonnéesDessin[[#This Row],[Nombre N-employé]]</f>
        <v>9</v>
      </c>
      <c r="BX14" s="69">
        <f>COUNTIF(DonnéesDessin[[#This Row],[Réponse doodle 01]:[Présence MàN AC]],"Présent")</f>
        <v>6</v>
      </c>
      <c r="BY14" s="68">
        <f>COUNTIF(DonnéesDessin[[#This Row],[Réponse doodle 01]:[Présence MàN AC]],"Inscrit")</f>
        <v>10</v>
      </c>
      <c r="BZ14" s="67">
        <f>3*DonnéesDessin[[#This Row],[Inscrit]]</f>
        <v>30</v>
      </c>
      <c r="CA14" s="67">
        <f>COUNTIF(DonnéesDessin[[#This Row],[Réponse doodle 01]:[Présence MàN AC]],"R pas nécessaire")</f>
        <v>0</v>
      </c>
      <c r="CB14" s="67">
        <f>SUM(3*DonnéesDessin[[#This Row],[R pas nécessaire]])</f>
        <v>0</v>
      </c>
      <c r="CC14" s="67">
        <f>COUNTIF(DonnéesDessin[[#This Row],[Réponse doodle 01]:[Présence MàN AC]],"Indisponible")</f>
        <v>0</v>
      </c>
      <c r="CD14" s="67">
        <f>2*DonnéesDessin[[#This Row],[Indisponible]]</f>
        <v>0</v>
      </c>
      <c r="CE14" s="67">
        <f>COUNTIF(DonnéesDessin[[#This Row],[Réponse doodle 01]:[Présence MàN AC]],"Ne peut s'inscrire")</f>
        <v>0</v>
      </c>
      <c r="CF14" s="67">
        <f>1*DonnéesDessin[[#This Row],[Ne peut s''inscrire]]</f>
        <v>0</v>
      </c>
      <c r="CG14" s="67">
        <f>COUNTIF(DonnéesDessin[[#This Row],[Réponse doodle 01]:[Présence MàN AC]],"Sans information")</f>
        <v>2</v>
      </c>
      <c r="CH14" s="67">
        <f>0*DonnéesDessin[[#This Row],[Sans information]]</f>
        <v>0</v>
      </c>
      <c r="CI14" s="67">
        <f>COUNTIF(DonnéesDessin[[#This Row],[Réponse doodle 01]:[Présence MàN AC]],"Présent")</f>
        <v>6</v>
      </c>
      <c r="CJ14" s="67">
        <f>2*DonnéesDessin[[#This Row],[Présent]]</f>
        <v>12</v>
      </c>
      <c r="CK14" s="67">
        <f>COUNTIF(DonnéesDessin[[#This Row],[Réponse doodle 01]:[Présence MàN AC]],"P pas nécessaire")</f>
        <v>0</v>
      </c>
      <c r="CL14" s="67">
        <f>2*DonnéesDessin[[#This Row],[P pas nécessaire]]</f>
        <v>0</v>
      </c>
      <c r="CM14" s="67">
        <f>COUNTIF(DonnéesDessin[[#This Row],[Réponse doodle 01]:[Présence MàN AC]],"Excusé")</f>
        <v>1</v>
      </c>
      <c r="CN14" s="67">
        <f>1*DonnéesDessin[[#This Row],[Excusé]]</f>
        <v>1</v>
      </c>
      <c r="CO14" s="67">
        <f>COUNTIF(DonnéesDessin[[#This Row],[Réponse doodle 01]:[Présence MàN AC]],"Pas présent")</f>
        <v>5</v>
      </c>
      <c r="CP14" s="67">
        <f>0*DonnéesDessin[[#This Row],[Pas présent]]</f>
        <v>0</v>
      </c>
      <c r="CQ14"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43</v>
      </c>
      <c r="CR14" s="78">
        <v>42572</v>
      </c>
      <c r="CS14" s="79" t="s">
        <v>442</v>
      </c>
      <c r="CT14" s="67" t="s">
        <v>257</v>
      </c>
      <c r="CU14" s="67">
        <v>1</v>
      </c>
      <c r="CV14" s="84">
        <v>84</v>
      </c>
      <c r="CW14" s="84">
        <v>78</v>
      </c>
      <c r="CX14" s="84">
        <f>SUBTOTAL(9,DonnéesDessin[[#This Row],[Résultat Niveau 1]:[Résultat Avancé]])</f>
        <v>162</v>
      </c>
      <c r="CY14" s="83" t="s">
        <v>442</v>
      </c>
      <c r="CZ14" s="83" t="s">
        <v>467</v>
      </c>
      <c r="DA14" s="67">
        <v>70</v>
      </c>
      <c r="DB14" s="88">
        <f>(DonnéesDessin[[#This Row],[Résultat Niveau 1]]+DonnéesDessin[[#This Row],[Résultat Avancé]])/DonnéesDessin[[#This Row],[Durée BC AC19 (en min)]]</f>
        <v>2.3142857142857145</v>
      </c>
    </row>
    <row r="15" spans="1:106">
      <c r="A15" s="62" t="str">
        <f>DonnéesDessin[[#This Row],[Prénom]]&amp;" "&amp;DonnéesDessin[[#This Row],[Nom]]</f>
        <v>Chiara De Salvo</v>
      </c>
      <c r="B15" s="63" t="s">
        <v>94</v>
      </c>
      <c r="C15" s="63" t="s">
        <v>95</v>
      </c>
      <c r="D15" s="63" t="s">
        <v>49</v>
      </c>
      <c r="E15" s="64" t="s">
        <v>41</v>
      </c>
      <c r="F15" s="64" t="s">
        <v>41</v>
      </c>
      <c r="G15" s="63" t="s">
        <v>95</v>
      </c>
      <c r="H15" s="63" t="s">
        <v>51</v>
      </c>
      <c r="I15" s="65">
        <v>2014</v>
      </c>
      <c r="J15" s="65">
        <v>17</v>
      </c>
      <c r="K15" s="66" t="s">
        <v>41</v>
      </c>
      <c r="L15" s="67">
        <f>DonnéesDessin[[#This Row],[PTS]]</f>
        <v>42</v>
      </c>
      <c r="M15" s="68" t="s">
        <v>52</v>
      </c>
      <c r="N15" s="63">
        <v>0</v>
      </c>
      <c r="O15" s="63" t="s">
        <v>45</v>
      </c>
      <c r="P15" s="63">
        <v>0</v>
      </c>
      <c r="Q15" s="63" t="s">
        <v>45</v>
      </c>
      <c r="R15" s="63">
        <v>0</v>
      </c>
      <c r="S15" s="63" t="s">
        <v>45</v>
      </c>
      <c r="T15" s="69">
        <v>0</v>
      </c>
      <c r="U15" s="68" t="s">
        <v>248</v>
      </c>
      <c r="V15" s="70">
        <v>42325</v>
      </c>
      <c r="W15" s="63" t="s">
        <v>259</v>
      </c>
      <c r="X15" s="63" t="s">
        <v>343</v>
      </c>
      <c r="Y15" s="68" t="s">
        <v>248</v>
      </c>
      <c r="Z15" s="71">
        <v>42382</v>
      </c>
      <c r="AA15" s="67" t="s">
        <v>257</v>
      </c>
      <c r="AB15" s="69" t="s">
        <v>44</v>
      </c>
      <c r="AC15" s="68" t="s">
        <v>248</v>
      </c>
      <c r="AD15" s="71">
        <v>42417</v>
      </c>
      <c r="AE15" s="67" t="s">
        <v>257</v>
      </c>
      <c r="AF15" s="69" t="s">
        <v>44</v>
      </c>
      <c r="AG15" s="68" t="s">
        <v>248</v>
      </c>
      <c r="AH15" s="72">
        <v>42438</v>
      </c>
      <c r="AI15" s="67" t="s">
        <v>258</v>
      </c>
      <c r="AJ15" s="69" t="s">
        <v>389</v>
      </c>
      <c r="AK15" s="68" t="s">
        <v>248</v>
      </c>
      <c r="AL15" s="67" t="s">
        <v>334</v>
      </c>
      <c r="AM15" s="67" t="s">
        <v>257</v>
      </c>
      <c r="AN15" s="69" t="s">
        <v>44</v>
      </c>
      <c r="AO15" s="68" t="s">
        <v>248</v>
      </c>
      <c r="AP15" s="67" t="s">
        <v>335</v>
      </c>
      <c r="AQ15" s="67" t="s">
        <v>257</v>
      </c>
      <c r="AR15" s="69" t="s">
        <v>44</v>
      </c>
      <c r="AS15" s="68" t="s">
        <v>248</v>
      </c>
      <c r="AT15" s="67" t="s">
        <v>416</v>
      </c>
      <c r="AU15" s="67" t="s">
        <v>257</v>
      </c>
      <c r="AV15" s="69" t="s">
        <v>44</v>
      </c>
      <c r="AW15" s="68" t="s">
        <v>248</v>
      </c>
      <c r="AX15" s="72" t="s">
        <v>424</v>
      </c>
      <c r="AY15" s="67" t="s">
        <v>257</v>
      </c>
      <c r="AZ15" s="69" t="s">
        <v>428</v>
      </c>
      <c r="BA15" s="68" t="s">
        <v>256</v>
      </c>
      <c r="BB15" s="67" t="s">
        <v>41</v>
      </c>
      <c r="BC15" s="67" t="s">
        <v>259</v>
      </c>
      <c r="BD15" s="69" t="s">
        <v>41</v>
      </c>
      <c r="BE15" s="68" t="s">
        <v>256</v>
      </c>
      <c r="BF15" s="67" t="s">
        <v>41</v>
      </c>
      <c r="BG15" s="67" t="s">
        <v>259</v>
      </c>
      <c r="BH15" s="69" t="s">
        <v>41</v>
      </c>
      <c r="BI15" s="68" t="s">
        <v>256</v>
      </c>
      <c r="BJ15" s="67" t="s">
        <v>41</v>
      </c>
      <c r="BK15" s="67" t="s">
        <v>259</v>
      </c>
      <c r="BL15" s="69" t="s">
        <v>41</v>
      </c>
      <c r="BM15" s="68" t="s">
        <v>65</v>
      </c>
      <c r="BN15" s="67" t="s">
        <v>65</v>
      </c>
      <c r="BO15" s="67" t="s">
        <v>51</v>
      </c>
      <c r="BP15" s="67" t="s">
        <v>248</v>
      </c>
      <c r="BQ15" s="64">
        <v>42349</v>
      </c>
      <c r="BR15" s="63" t="s">
        <v>283</v>
      </c>
      <c r="BS15" s="63" t="s">
        <v>257</v>
      </c>
      <c r="BT15" s="68">
        <f>Nombrecours</f>
        <v>10</v>
      </c>
      <c r="BU15" s="63">
        <f>COUNTIF(DonnéesDessin[[#This Row],[Réponse doodle 01]:[Présence MàN AC]],"Excusé")</f>
        <v>1</v>
      </c>
      <c r="BV15" s="63">
        <f>COUNTIF(DonnéesDessin[[#This Row],[Réponse doodle 01]:[Présence MàN AC]],"N-employé")</f>
        <v>0</v>
      </c>
      <c r="BW15" s="63">
        <f>DonnéesDessin[[#This Row],[Nombre de cours]]-DonnéesDessin[[#This Row],[Nombre excusé]]-DonnéesDessin[[#This Row],[Nombre N-employé]]</f>
        <v>9</v>
      </c>
      <c r="BX15" s="69">
        <f>COUNTIF(DonnéesDessin[[#This Row],[Réponse doodle 01]:[Présence MàN AC]],"Présent")</f>
        <v>7</v>
      </c>
      <c r="BY15" s="68">
        <f>COUNTIF(DonnéesDessin[[#This Row],[Réponse doodle 01]:[Présence MàN AC]],"Inscrit")</f>
        <v>9</v>
      </c>
      <c r="BZ15" s="67">
        <f>3*DonnéesDessin[[#This Row],[Inscrit]]</f>
        <v>27</v>
      </c>
      <c r="CA15" s="67">
        <f>COUNTIF(DonnéesDessin[[#This Row],[Réponse doodle 01]:[Présence MàN AC]],"R pas nécessaire")</f>
        <v>0</v>
      </c>
      <c r="CB15" s="67">
        <f>SUM(3*DonnéesDessin[[#This Row],[R pas nécessaire]])</f>
        <v>0</v>
      </c>
      <c r="CC15" s="67">
        <f>COUNTIF(DonnéesDessin[[#This Row],[Réponse doodle 01]:[Présence MàN AC]],"Indisponible")</f>
        <v>0</v>
      </c>
      <c r="CD15" s="67">
        <f>2*DonnéesDessin[[#This Row],[Indisponible]]</f>
        <v>0</v>
      </c>
      <c r="CE15" s="67">
        <f>COUNTIF(DonnéesDessin[[#This Row],[Réponse doodle 01]:[Présence MàN AC]],"Ne peut s'inscrire")</f>
        <v>0</v>
      </c>
      <c r="CF15" s="67">
        <f>1*DonnéesDessin[[#This Row],[Ne peut s''inscrire]]</f>
        <v>0</v>
      </c>
      <c r="CG15" s="67">
        <f>COUNTIF(DonnéesDessin[[#This Row],[Réponse doodle 01]:[Présence MàN AC]],"Sans information")</f>
        <v>3</v>
      </c>
      <c r="CH15" s="67">
        <f>0*DonnéesDessin[[#This Row],[Sans information]]</f>
        <v>0</v>
      </c>
      <c r="CI15" s="67">
        <f>COUNTIF(DonnéesDessin[[#This Row],[Réponse doodle 01]:[Présence MàN AC]],"Présent")</f>
        <v>7</v>
      </c>
      <c r="CJ15" s="67">
        <f>2*DonnéesDessin[[#This Row],[Présent]]</f>
        <v>14</v>
      </c>
      <c r="CK15" s="67">
        <f>COUNTIF(DonnéesDessin[[#This Row],[Réponse doodle 01]:[Présence MàN AC]],"P pas nécessaire")</f>
        <v>0</v>
      </c>
      <c r="CL15" s="67">
        <f>2*DonnéesDessin[[#This Row],[P pas nécessaire]]</f>
        <v>0</v>
      </c>
      <c r="CM15" s="67">
        <f>COUNTIF(DonnéesDessin[[#This Row],[Réponse doodle 01]:[Présence MàN AC]],"Excusé")</f>
        <v>1</v>
      </c>
      <c r="CN15" s="67">
        <f>1*DonnéesDessin[[#This Row],[Excusé]]</f>
        <v>1</v>
      </c>
      <c r="CO15" s="67">
        <f>COUNTIF(DonnéesDessin[[#This Row],[Réponse doodle 01]:[Présence MàN AC]],"Pas présent")</f>
        <v>4</v>
      </c>
      <c r="CP15" s="67">
        <f>0*DonnéesDessin[[#This Row],[Pas présent]]</f>
        <v>0</v>
      </c>
      <c r="CQ15"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42</v>
      </c>
      <c r="CR15" s="78">
        <v>42600</v>
      </c>
      <c r="CS15" s="79" t="s">
        <v>440</v>
      </c>
      <c r="CT15" s="67" t="s">
        <v>257</v>
      </c>
      <c r="CU15" s="67">
        <v>1</v>
      </c>
      <c r="CV15" s="84">
        <v>68</v>
      </c>
      <c r="CW15" s="84">
        <v>71</v>
      </c>
      <c r="CX15" s="84">
        <f>SUBTOTAL(9,DonnéesDessin[[#This Row],[Résultat Niveau 1]:[Résultat Avancé]])</f>
        <v>139</v>
      </c>
      <c r="CY15" s="84" t="s">
        <v>440</v>
      </c>
      <c r="CZ15" s="84" t="s">
        <v>459</v>
      </c>
      <c r="DA15" s="67">
        <v>90</v>
      </c>
      <c r="DB15" s="88">
        <f>(DonnéesDessin[[#This Row],[Résultat Niveau 1]]+DonnéesDessin[[#This Row],[Résultat Avancé]])/DonnéesDessin[[#This Row],[Durée BC AC19 (en min)]]</f>
        <v>1.5444444444444445</v>
      </c>
    </row>
    <row r="16" spans="1:106">
      <c r="A16" s="62" t="str">
        <f>DonnéesDessin[[#This Row],[Prénom]]&amp;" "&amp;DonnéesDessin[[#This Row],[Nom]]</f>
        <v>Chloé Schmid-Hennard</v>
      </c>
      <c r="B16" s="63" t="s">
        <v>98</v>
      </c>
      <c r="C16" s="63" t="s">
        <v>97</v>
      </c>
      <c r="D16" s="63" t="s">
        <v>49</v>
      </c>
      <c r="E16" s="64" t="s">
        <v>41</v>
      </c>
      <c r="F16" s="64" t="s">
        <v>41</v>
      </c>
      <c r="G16" s="63" t="s">
        <v>75</v>
      </c>
      <c r="H16" s="63" t="s">
        <v>51</v>
      </c>
      <c r="I16" s="65" t="s">
        <v>51</v>
      </c>
      <c r="J16" s="65">
        <v>17</v>
      </c>
      <c r="K16" s="66" t="s">
        <v>346</v>
      </c>
      <c r="L16" s="67">
        <f>DonnéesDessin[[#This Row],[PTS]]</f>
        <v>39</v>
      </c>
      <c r="M16" s="68" t="s">
        <v>52</v>
      </c>
      <c r="N16" s="63">
        <v>0</v>
      </c>
      <c r="O16" s="63" t="s">
        <v>45</v>
      </c>
      <c r="P16" s="63">
        <v>0</v>
      </c>
      <c r="Q16" s="63" t="s">
        <v>45</v>
      </c>
      <c r="R16" s="63">
        <v>0</v>
      </c>
      <c r="S16" s="63" t="s">
        <v>45</v>
      </c>
      <c r="T16" s="69">
        <v>0</v>
      </c>
      <c r="U16" s="68" t="s">
        <v>255</v>
      </c>
      <c r="V16" s="70" t="s">
        <v>41</v>
      </c>
      <c r="W16" s="63" t="s">
        <v>258</v>
      </c>
      <c r="X16" s="63" t="s">
        <v>507</v>
      </c>
      <c r="Y16" s="68" t="s">
        <v>248</v>
      </c>
      <c r="Z16" s="71">
        <v>42390</v>
      </c>
      <c r="AA16" s="67" t="s">
        <v>257</v>
      </c>
      <c r="AB16" s="69" t="s">
        <v>44</v>
      </c>
      <c r="AC16" s="68" t="s">
        <v>248</v>
      </c>
      <c r="AD16" s="11" t="s">
        <v>324</v>
      </c>
      <c r="AE16" s="67" t="s">
        <v>257</v>
      </c>
      <c r="AF16" s="69" t="s">
        <v>44</v>
      </c>
      <c r="AG16" s="68" t="s">
        <v>248</v>
      </c>
      <c r="AH16" s="72">
        <v>42439</v>
      </c>
      <c r="AI16" s="67" t="s">
        <v>257</v>
      </c>
      <c r="AJ16" s="69" t="s">
        <v>44</v>
      </c>
      <c r="AK16" s="68" t="s">
        <v>248</v>
      </c>
      <c r="AL16" s="67" t="s">
        <v>332</v>
      </c>
      <c r="AM16" s="67" t="s">
        <v>257</v>
      </c>
      <c r="AN16" s="69" t="s">
        <v>44</v>
      </c>
      <c r="AO16" s="68" t="s">
        <v>248</v>
      </c>
      <c r="AP16" s="67" t="s">
        <v>338</v>
      </c>
      <c r="AQ16" s="67" t="s">
        <v>257</v>
      </c>
      <c r="AR16" s="69" t="s">
        <v>44</v>
      </c>
      <c r="AS16" s="68" t="s">
        <v>248</v>
      </c>
      <c r="AT16" s="67" t="s">
        <v>416</v>
      </c>
      <c r="AU16" s="67" t="s">
        <v>257</v>
      </c>
      <c r="AV16" s="69" t="s">
        <v>44</v>
      </c>
      <c r="AW16" s="68" t="s">
        <v>255</v>
      </c>
      <c r="AX16" s="67" t="s">
        <v>41</v>
      </c>
      <c r="AY16" s="67" t="s">
        <v>258</v>
      </c>
      <c r="AZ16" s="69" t="s">
        <v>423</v>
      </c>
      <c r="BA16" s="68" t="s">
        <v>256</v>
      </c>
      <c r="BB16" s="67" t="s">
        <v>41</v>
      </c>
      <c r="BC16" s="67" t="s">
        <v>259</v>
      </c>
      <c r="BD16" s="69" t="s">
        <v>41</v>
      </c>
      <c r="BE16" s="68" t="s">
        <v>256</v>
      </c>
      <c r="BF16" s="67" t="s">
        <v>41</v>
      </c>
      <c r="BG16" s="67" t="s">
        <v>259</v>
      </c>
      <c r="BH16" s="69" t="s">
        <v>41</v>
      </c>
      <c r="BI16" s="68" t="s">
        <v>256</v>
      </c>
      <c r="BJ16" s="67" t="s">
        <v>41</v>
      </c>
      <c r="BK16" s="67" t="s">
        <v>259</v>
      </c>
      <c r="BL16" s="69" t="s">
        <v>41</v>
      </c>
      <c r="BM16" s="68" t="s">
        <v>65</v>
      </c>
      <c r="BN16" s="67" t="s">
        <v>65</v>
      </c>
      <c r="BO16" s="67" t="s">
        <v>51</v>
      </c>
      <c r="BP16" s="67" t="s">
        <v>248</v>
      </c>
      <c r="BQ16" s="64">
        <v>42349</v>
      </c>
      <c r="BR16" s="63" t="s">
        <v>284</v>
      </c>
      <c r="BS16" s="63" t="s">
        <v>259</v>
      </c>
      <c r="BT16" s="68">
        <f>Nombrecours</f>
        <v>10</v>
      </c>
      <c r="BU16" s="63">
        <f>COUNTIF(DonnéesDessin[[#This Row],[Réponse doodle 01]:[Présence MàN AC]],"Excusé")</f>
        <v>2</v>
      </c>
      <c r="BV16" s="63">
        <f>COUNTIF(DonnéesDessin[[#This Row],[Réponse doodle 01]:[Présence MàN AC]],"N-employé")</f>
        <v>0</v>
      </c>
      <c r="BW16" s="63">
        <f>DonnéesDessin[[#This Row],[Nombre de cours]]-DonnéesDessin[[#This Row],[Nombre excusé]]-DonnéesDessin[[#This Row],[Nombre N-employé]]</f>
        <v>8</v>
      </c>
      <c r="BX16" s="69">
        <f>COUNTIF(DonnéesDessin[[#This Row],[Réponse doodle 01]:[Présence MàN AC]],"Présent")</f>
        <v>6</v>
      </c>
      <c r="BY16" s="68">
        <f>COUNTIF(DonnéesDessin[[#This Row],[Réponse doodle 01]:[Présence MàN AC]],"Inscrit")</f>
        <v>7</v>
      </c>
      <c r="BZ16" s="67">
        <f>3*DonnéesDessin[[#This Row],[Inscrit]]</f>
        <v>21</v>
      </c>
      <c r="CA16" s="67">
        <f>COUNTIF(DonnéesDessin[[#This Row],[Réponse doodle 01]:[Présence MàN AC]],"R pas nécessaire")</f>
        <v>0</v>
      </c>
      <c r="CB16" s="67">
        <f>SUM(3*DonnéesDessin[[#This Row],[R pas nécessaire]])</f>
        <v>0</v>
      </c>
      <c r="CC16" s="67">
        <f>COUNTIF(DonnéesDessin[[#This Row],[Réponse doodle 01]:[Présence MàN AC]],"Indisponible")</f>
        <v>2</v>
      </c>
      <c r="CD16" s="67">
        <f>2*DonnéesDessin[[#This Row],[Indisponible]]</f>
        <v>4</v>
      </c>
      <c r="CE16" s="67">
        <f>COUNTIF(DonnéesDessin[[#This Row],[Réponse doodle 01]:[Présence MàN AC]],"Ne peut s'inscrire")</f>
        <v>0</v>
      </c>
      <c r="CF16" s="67">
        <f>1*DonnéesDessin[[#This Row],[Ne peut s''inscrire]]</f>
        <v>0</v>
      </c>
      <c r="CG16" s="67">
        <f>COUNTIF(DonnéesDessin[[#This Row],[Réponse doodle 01]:[Présence MàN AC]],"Sans information")</f>
        <v>3</v>
      </c>
      <c r="CH16" s="67">
        <f>0*DonnéesDessin[[#This Row],[Sans information]]</f>
        <v>0</v>
      </c>
      <c r="CI16" s="67">
        <f>COUNTIF(DonnéesDessin[[#This Row],[Réponse doodle 01]:[Présence MàN AC]],"Présent")</f>
        <v>6</v>
      </c>
      <c r="CJ16" s="67">
        <f>2*DonnéesDessin[[#This Row],[Présent]]</f>
        <v>12</v>
      </c>
      <c r="CK16" s="67">
        <f>COUNTIF(DonnéesDessin[[#This Row],[Réponse doodle 01]:[Présence MàN AC]],"P pas nécessaire")</f>
        <v>0</v>
      </c>
      <c r="CL16" s="67">
        <f>2*DonnéesDessin[[#This Row],[P pas nécessaire]]</f>
        <v>0</v>
      </c>
      <c r="CM16" s="67">
        <f>COUNTIF(DonnéesDessin[[#This Row],[Réponse doodle 01]:[Présence MàN AC]],"Excusé")</f>
        <v>2</v>
      </c>
      <c r="CN16" s="67">
        <f>1*DonnéesDessin[[#This Row],[Excusé]]</f>
        <v>2</v>
      </c>
      <c r="CO16" s="67">
        <f>COUNTIF(DonnéesDessin[[#This Row],[Réponse doodle 01]:[Présence MàN AC]],"Pas présent")</f>
        <v>4</v>
      </c>
      <c r="CP16" s="67">
        <f>0*DonnéesDessin[[#This Row],[Pas présent]]</f>
        <v>0</v>
      </c>
      <c r="CQ16"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39</v>
      </c>
      <c r="CR16" s="78">
        <v>42600</v>
      </c>
      <c r="CS16" s="67" t="s">
        <v>441</v>
      </c>
      <c r="CT16" s="67" t="s">
        <v>257</v>
      </c>
      <c r="CU16" s="67">
        <v>1</v>
      </c>
      <c r="CV16" s="84">
        <v>72</v>
      </c>
      <c r="CW16" s="84">
        <v>71</v>
      </c>
      <c r="CX16" s="84">
        <f>SUBTOTAL(9,DonnéesDessin[[#This Row],[Résultat Niveau 1]:[Résultat Avancé]])</f>
        <v>143</v>
      </c>
      <c r="CY16" s="84" t="s">
        <v>693</v>
      </c>
      <c r="CZ16" s="84" t="s">
        <v>694</v>
      </c>
      <c r="DA16" s="67">
        <v>70</v>
      </c>
      <c r="DB16" s="88">
        <f>(DonnéesDessin[[#This Row],[Résultat Niveau 1]]+DonnéesDessin[[#This Row],[Résultat Avancé]])/DonnéesDessin[[#This Row],[Durée BC AC19 (en min)]]</f>
        <v>2.0428571428571427</v>
      </c>
    </row>
    <row r="17" spans="1:106">
      <c r="A17" s="62" t="str">
        <f>DonnéesDessin[[#This Row],[Prénom]]&amp;" "&amp;DonnéesDessin[[#This Row],[Nom]]</f>
        <v>Christine Zosso</v>
      </c>
      <c r="B17" s="63" t="s">
        <v>99</v>
      </c>
      <c r="C17" s="63" t="s">
        <v>100</v>
      </c>
      <c r="D17" s="63" t="s">
        <v>89</v>
      </c>
      <c r="E17" s="64">
        <v>42249</v>
      </c>
      <c r="F17" s="64" t="s">
        <v>41</v>
      </c>
      <c r="G17" s="63" t="s">
        <v>90</v>
      </c>
      <c r="H17" s="63" t="s">
        <v>51</v>
      </c>
      <c r="I17" s="65" t="s">
        <v>298</v>
      </c>
      <c r="J17" s="65">
        <v>16</v>
      </c>
      <c r="K17" s="66" t="s">
        <v>41</v>
      </c>
      <c r="L17" s="67">
        <f>DonnéesDessin[[#This Row],[PTS]]</f>
        <v>41</v>
      </c>
      <c r="M17" s="68" t="s">
        <v>52</v>
      </c>
      <c r="N17" s="63">
        <v>0</v>
      </c>
      <c r="O17" s="64" t="s">
        <v>288</v>
      </c>
      <c r="P17" s="63" t="s">
        <v>257</v>
      </c>
      <c r="Q17" s="63" t="s">
        <v>289</v>
      </c>
      <c r="R17" s="63" t="s">
        <v>257</v>
      </c>
      <c r="S17" s="63" t="s">
        <v>290</v>
      </c>
      <c r="T17" s="69" t="s">
        <v>257</v>
      </c>
      <c r="U17" s="68" t="s">
        <v>255</v>
      </c>
      <c r="V17" s="70" t="s">
        <v>41</v>
      </c>
      <c r="W17" s="63" t="s">
        <v>258</v>
      </c>
      <c r="X17" s="63" t="s">
        <v>507</v>
      </c>
      <c r="Y17" s="68" t="s">
        <v>248</v>
      </c>
      <c r="Z17" s="71">
        <v>42398</v>
      </c>
      <c r="AA17" s="67" t="s">
        <v>292</v>
      </c>
      <c r="AB17" s="69" t="s">
        <v>342</v>
      </c>
      <c r="AC17" s="68" t="s">
        <v>248</v>
      </c>
      <c r="AD17" s="71">
        <v>42417</v>
      </c>
      <c r="AE17" s="67" t="s">
        <v>259</v>
      </c>
      <c r="AF17" s="69" t="s">
        <v>343</v>
      </c>
      <c r="AG17" s="68" t="s">
        <v>248</v>
      </c>
      <c r="AH17" s="72">
        <v>42439</v>
      </c>
      <c r="AI17" s="67" t="s">
        <v>257</v>
      </c>
      <c r="AJ17" s="69" t="s">
        <v>44</v>
      </c>
      <c r="AK17" s="68" t="s">
        <v>248</v>
      </c>
      <c r="AL17" s="67" t="s">
        <v>334</v>
      </c>
      <c r="AM17" s="67" t="s">
        <v>257</v>
      </c>
      <c r="AN17" s="69" t="s">
        <v>44</v>
      </c>
      <c r="AO17" s="68" t="s">
        <v>248</v>
      </c>
      <c r="AP17" s="67" t="s">
        <v>336</v>
      </c>
      <c r="AQ17" s="67" t="s">
        <v>257</v>
      </c>
      <c r="AR17" s="69" t="s">
        <v>44</v>
      </c>
      <c r="AS17" s="68" t="s">
        <v>248</v>
      </c>
      <c r="AT17" s="67" t="s">
        <v>415</v>
      </c>
      <c r="AU17" s="67" t="s">
        <v>257</v>
      </c>
      <c r="AV17" s="69" t="s">
        <v>44</v>
      </c>
      <c r="AW17" s="68" t="s">
        <v>248</v>
      </c>
      <c r="AX17" s="67" t="s">
        <v>425</v>
      </c>
      <c r="AY17" s="67" t="s">
        <v>257</v>
      </c>
      <c r="AZ17" s="69" t="s">
        <v>44</v>
      </c>
      <c r="BA17" s="68" t="s">
        <v>256</v>
      </c>
      <c r="BB17" s="67" t="s">
        <v>41</v>
      </c>
      <c r="BC17" s="67" t="s">
        <v>259</v>
      </c>
      <c r="BD17" s="69" t="s">
        <v>41</v>
      </c>
      <c r="BE17" s="68" t="s">
        <v>256</v>
      </c>
      <c r="BF17" s="67" t="s">
        <v>41</v>
      </c>
      <c r="BG17" s="67" t="s">
        <v>259</v>
      </c>
      <c r="BH17" s="69" t="s">
        <v>41</v>
      </c>
      <c r="BI17" s="68" t="s">
        <v>256</v>
      </c>
      <c r="BJ17" s="67" t="s">
        <v>41</v>
      </c>
      <c r="BK17" s="67" t="s">
        <v>259</v>
      </c>
      <c r="BL17" s="69" t="s">
        <v>41</v>
      </c>
      <c r="BM17" s="68" t="s">
        <v>53</v>
      </c>
      <c r="BN17" s="67" t="s">
        <v>53</v>
      </c>
      <c r="BO17" s="67" t="s">
        <v>51</v>
      </c>
      <c r="BP17" s="67" t="s">
        <v>248</v>
      </c>
      <c r="BQ17" s="64">
        <v>42347</v>
      </c>
      <c r="BR17" s="63" t="s">
        <v>285</v>
      </c>
      <c r="BS17" s="63" t="s">
        <v>257</v>
      </c>
      <c r="BT17" s="68">
        <f>Nombrecours</f>
        <v>10</v>
      </c>
      <c r="BU17" s="63">
        <f>COUNTIF(DonnéesDessin[[#This Row],[Réponse doodle 01]:[Présence MàN AC]],"Excusé")</f>
        <v>1</v>
      </c>
      <c r="BV17" s="63">
        <f>COUNTIF(DonnéesDessin[[#This Row],[Réponse doodle 01]:[Présence MàN AC]],"N-employé")</f>
        <v>0</v>
      </c>
      <c r="BW17" s="63">
        <f>DonnéesDessin[[#This Row],[Nombre de cours]]-DonnéesDessin[[#This Row],[Nombre excusé]]-DonnéesDessin[[#This Row],[Nombre N-employé]]</f>
        <v>9</v>
      </c>
      <c r="BX17" s="69">
        <f>COUNTIF(DonnéesDessin[[#This Row],[Réponse doodle 01]:[Présence MàN AC]],"Présent")</f>
        <v>6</v>
      </c>
      <c r="BY17" s="68">
        <f>COUNTIF(DonnéesDessin[[#This Row],[Réponse doodle 01]:[Présence MàN AC]],"Inscrit")</f>
        <v>8</v>
      </c>
      <c r="BZ17" s="67">
        <f>3*DonnéesDessin[[#This Row],[Inscrit]]</f>
        <v>24</v>
      </c>
      <c r="CA17" s="67">
        <f>COUNTIF(DonnéesDessin[[#This Row],[Réponse doodle 01]:[Présence MàN AC]],"R pas nécessaire")</f>
        <v>0</v>
      </c>
      <c r="CB17" s="67">
        <f>SUM(3*DonnéesDessin[[#This Row],[R pas nécessaire]])</f>
        <v>0</v>
      </c>
      <c r="CC17" s="67">
        <f>COUNTIF(DonnéesDessin[[#This Row],[Réponse doodle 01]:[Présence MàN AC]],"Indisponible")</f>
        <v>1</v>
      </c>
      <c r="CD17" s="67">
        <f>2*DonnéesDessin[[#This Row],[Indisponible]]</f>
        <v>2</v>
      </c>
      <c r="CE17" s="67">
        <f>COUNTIF(DonnéesDessin[[#This Row],[Réponse doodle 01]:[Présence MàN AC]],"Ne peut s'inscrire")</f>
        <v>0</v>
      </c>
      <c r="CF17" s="67">
        <f>1*DonnéesDessin[[#This Row],[Ne peut s''inscrire]]</f>
        <v>0</v>
      </c>
      <c r="CG17" s="67">
        <f>COUNTIF(DonnéesDessin[[#This Row],[Réponse doodle 01]:[Présence MàN AC]],"Sans information")</f>
        <v>3</v>
      </c>
      <c r="CH17" s="67">
        <f>0*DonnéesDessin[[#This Row],[Sans information]]</f>
        <v>0</v>
      </c>
      <c r="CI17" s="67">
        <f>COUNTIF(DonnéesDessin[[#This Row],[Réponse doodle 01]:[Présence MàN AC]],"Présent")</f>
        <v>6</v>
      </c>
      <c r="CJ17" s="67">
        <f>2*DonnéesDessin[[#This Row],[Présent]]</f>
        <v>12</v>
      </c>
      <c r="CK17" s="67">
        <f>COUNTIF(DonnéesDessin[[#This Row],[Réponse doodle 01]:[Présence MàN AC]],"P pas nécessaire")</f>
        <v>1</v>
      </c>
      <c r="CL17" s="67">
        <f>2*DonnéesDessin[[#This Row],[P pas nécessaire]]</f>
        <v>2</v>
      </c>
      <c r="CM17" s="67">
        <f>COUNTIF(DonnéesDessin[[#This Row],[Réponse doodle 01]:[Présence MàN AC]],"Excusé")</f>
        <v>1</v>
      </c>
      <c r="CN17" s="67">
        <f>1*DonnéesDessin[[#This Row],[Excusé]]</f>
        <v>1</v>
      </c>
      <c r="CO17" s="67">
        <f>COUNTIF(DonnéesDessin[[#This Row],[Réponse doodle 01]:[Présence MàN AC]],"Pas présent")</f>
        <v>4</v>
      </c>
      <c r="CP17" s="67">
        <f>0*DonnéesDessin[[#This Row],[Pas présent]]</f>
        <v>0</v>
      </c>
      <c r="CQ17"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41</v>
      </c>
      <c r="CR17" s="78">
        <v>42579</v>
      </c>
      <c r="CS17" s="79" t="s">
        <v>441</v>
      </c>
      <c r="CT17" s="67" t="s">
        <v>257</v>
      </c>
      <c r="CU17" s="67">
        <v>4</v>
      </c>
      <c r="CV17" s="84">
        <v>66</v>
      </c>
      <c r="CW17" s="84">
        <v>53</v>
      </c>
      <c r="CX17" s="84">
        <f>SUBTOTAL(9,DonnéesDessin[[#This Row],[Résultat Niveau 1]:[Résultat Avancé]])</f>
        <v>119</v>
      </c>
      <c r="CY17" s="84" t="s">
        <v>441</v>
      </c>
      <c r="CZ17" s="84" t="s">
        <v>442</v>
      </c>
      <c r="DA17" s="67">
        <v>75</v>
      </c>
      <c r="DB17" s="88">
        <f>(DonnéesDessin[[#This Row],[Résultat Niveau 1]]+DonnéesDessin[[#This Row],[Résultat Avancé]])/DonnéesDessin[[#This Row],[Durée BC AC19 (en min)]]</f>
        <v>1.5866666666666667</v>
      </c>
    </row>
    <row r="18" spans="1:106">
      <c r="A18" s="62" t="str">
        <f>DonnéesDessin[[#This Row],[Prénom]]&amp;" "&amp;DonnéesDessin[[#This Row],[Nom]]</f>
        <v>Cindy Svitok</v>
      </c>
      <c r="B18" s="63" t="s">
        <v>101</v>
      </c>
      <c r="C18" s="63" t="s">
        <v>102</v>
      </c>
      <c r="D18" s="63" t="s">
        <v>89</v>
      </c>
      <c r="E18" s="64" t="s">
        <v>41</v>
      </c>
      <c r="F18" s="64" t="s">
        <v>41</v>
      </c>
      <c r="G18" s="63"/>
      <c r="H18" s="63" t="s">
        <v>51</v>
      </c>
      <c r="I18" s="65">
        <v>2015</v>
      </c>
      <c r="J18" s="65">
        <v>16</v>
      </c>
      <c r="K18" s="66" t="s">
        <v>41</v>
      </c>
      <c r="L18" s="67">
        <f>DonnéesDessin[[#This Row],[PTS]]</f>
        <v>37</v>
      </c>
      <c r="M18" s="68" t="s">
        <v>52</v>
      </c>
      <c r="N18" s="63">
        <v>0</v>
      </c>
      <c r="O18" s="63" t="s">
        <v>45</v>
      </c>
      <c r="P18" s="63">
        <v>0</v>
      </c>
      <c r="Q18" s="63" t="s">
        <v>45</v>
      </c>
      <c r="R18" s="63">
        <v>0</v>
      </c>
      <c r="S18" s="63" t="s">
        <v>45</v>
      </c>
      <c r="T18" s="69">
        <v>0</v>
      </c>
      <c r="U18" s="68" t="s">
        <v>248</v>
      </c>
      <c r="V18" s="70">
        <v>42319</v>
      </c>
      <c r="W18" s="63" t="s">
        <v>259</v>
      </c>
      <c r="X18" s="63" t="s">
        <v>343</v>
      </c>
      <c r="Y18" s="68" t="s">
        <v>248</v>
      </c>
      <c r="Z18" s="71">
        <v>42390</v>
      </c>
      <c r="AA18" s="67" t="s">
        <v>257</v>
      </c>
      <c r="AB18" s="69" t="s">
        <v>44</v>
      </c>
      <c r="AC18" s="68" t="s">
        <v>248</v>
      </c>
      <c r="AD18" s="11" t="s">
        <v>324</v>
      </c>
      <c r="AE18" s="67" t="s">
        <v>258</v>
      </c>
      <c r="AF18" s="69" t="s">
        <v>373</v>
      </c>
      <c r="AG18" s="68" t="s">
        <v>256</v>
      </c>
      <c r="AH18" s="67" t="s">
        <v>41</v>
      </c>
      <c r="AI18" s="67" t="s">
        <v>259</v>
      </c>
      <c r="AJ18" s="69" t="s">
        <v>341</v>
      </c>
      <c r="AK18" s="68" t="s">
        <v>248</v>
      </c>
      <c r="AL18" s="67" t="s">
        <v>334</v>
      </c>
      <c r="AM18" s="67" t="s">
        <v>257</v>
      </c>
      <c r="AN18" s="69" t="s">
        <v>44</v>
      </c>
      <c r="AO18" s="68" t="s">
        <v>248</v>
      </c>
      <c r="AP18" s="67" t="s">
        <v>336</v>
      </c>
      <c r="AQ18" s="67" t="s">
        <v>257</v>
      </c>
      <c r="AR18" s="69" t="s">
        <v>44</v>
      </c>
      <c r="AS18" s="68" t="s">
        <v>248</v>
      </c>
      <c r="AT18" s="67" t="s">
        <v>415</v>
      </c>
      <c r="AU18" s="67" t="s">
        <v>257</v>
      </c>
      <c r="AV18" s="69" t="s">
        <v>44</v>
      </c>
      <c r="AW18" s="68" t="s">
        <v>248</v>
      </c>
      <c r="AX18" s="67" t="s">
        <v>430</v>
      </c>
      <c r="AY18" s="67" t="s">
        <v>257</v>
      </c>
      <c r="AZ18" s="69" t="s">
        <v>44</v>
      </c>
      <c r="BA18" s="68" t="s">
        <v>256</v>
      </c>
      <c r="BB18" s="67" t="s">
        <v>41</v>
      </c>
      <c r="BC18" s="67" t="s">
        <v>259</v>
      </c>
      <c r="BD18" s="69" t="s">
        <v>41</v>
      </c>
      <c r="BE18" s="68" t="s">
        <v>256</v>
      </c>
      <c r="BF18" s="67" t="s">
        <v>41</v>
      </c>
      <c r="BG18" s="67" t="s">
        <v>259</v>
      </c>
      <c r="BH18" s="69" t="s">
        <v>41</v>
      </c>
      <c r="BI18" s="68" t="s">
        <v>256</v>
      </c>
      <c r="BJ18" s="67" t="s">
        <v>41</v>
      </c>
      <c r="BK18" s="67" t="s">
        <v>259</v>
      </c>
      <c r="BL18" s="69" t="s">
        <v>41</v>
      </c>
      <c r="BM18" s="68" t="s">
        <v>53</v>
      </c>
      <c r="BN18" s="66" t="s">
        <v>53</v>
      </c>
      <c r="BO18" s="66" t="s">
        <v>51</v>
      </c>
      <c r="BP18" s="66" t="s">
        <v>248</v>
      </c>
      <c r="BQ18" s="74">
        <v>42347</v>
      </c>
      <c r="BR18" s="66" t="s">
        <v>285</v>
      </c>
      <c r="BS18" s="66" t="s">
        <v>257</v>
      </c>
      <c r="BT18" s="68">
        <f>Nombrecours</f>
        <v>10</v>
      </c>
      <c r="BU18" s="63">
        <f>COUNTIF(DonnéesDessin[[#This Row],[Réponse doodle 01]:[Présence MàN AC]],"Excusé")</f>
        <v>1</v>
      </c>
      <c r="BV18" s="63">
        <f>COUNTIF(DonnéesDessin[[#This Row],[Réponse doodle 01]:[Présence MàN AC]],"N-employé")</f>
        <v>0</v>
      </c>
      <c r="BW18" s="63">
        <f>DonnéesDessin[[#This Row],[Nombre de cours]]-DonnéesDessin[[#This Row],[Nombre excusé]]-DonnéesDessin[[#This Row],[Nombre N-employé]]</f>
        <v>9</v>
      </c>
      <c r="BX18" s="69">
        <f>COUNTIF(DonnéesDessin[[#This Row],[Réponse doodle 01]:[Présence MàN AC]],"Présent")</f>
        <v>6</v>
      </c>
      <c r="BY18" s="68">
        <f>COUNTIF(DonnéesDessin[[#This Row],[Réponse doodle 01]:[Présence MàN AC]],"Inscrit")</f>
        <v>8</v>
      </c>
      <c r="BZ18" s="67">
        <f>3*DonnéesDessin[[#This Row],[Inscrit]]</f>
        <v>24</v>
      </c>
      <c r="CA18" s="67">
        <f>COUNTIF(DonnéesDessin[[#This Row],[Réponse doodle 01]:[Présence MàN AC]],"R pas nécessaire")</f>
        <v>0</v>
      </c>
      <c r="CB18" s="67">
        <f>SUM(3*DonnéesDessin[[#This Row],[R pas nécessaire]])</f>
        <v>0</v>
      </c>
      <c r="CC18" s="67">
        <f>COUNTIF(DonnéesDessin[[#This Row],[Réponse doodle 01]:[Présence MàN AC]],"Indisponible")</f>
        <v>0</v>
      </c>
      <c r="CD18" s="67">
        <f>2*DonnéesDessin[[#This Row],[Indisponible]]</f>
        <v>0</v>
      </c>
      <c r="CE18" s="67">
        <f>COUNTIF(DonnéesDessin[[#This Row],[Réponse doodle 01]:[Présence MàN AC]],"Ne peut s'inscrire")</f>
        <v>0</v>
      </c>
      <c r="CF18" s="67">
        <f>1*DonnéesDessin[[#This Row],[Ne peut s''inscrire]]</f>
        <v>0</v>
      </c>
      <c r="CG18" s="67">
        <f>COUNTIF(DonnéesDessin[[#This Row],[Réponse doodle 01]:[Présence MàN AC]],"Sans information")</f>
        <v>4</v>
      </c>
      <c r="CH18" s="67">
        <f>0*DonnéesDessin[[#This Row],[Sans information]]</f>
        <v>0</v>
      </c>
      <c r="CI18" s="67">
        <f>COUNTIF(DonnéesDessin[[#This Row],[Réponse doodle 01]:[Présence MàN AC]],"Présent")</f>
        <v>6</v>
      </c>
      <c r="CJ18" s="67">
        <f>2*DonnéesDessin[[#This Row],[Présent]]</f>
        <v>12</v>
      </c>
      <c r="CK18" s="67">
        <f>COUNTIF(DonnéesDessin[[#This Row],[Réponse doodle 01]:[Présence MàN AC]],"P pas nécessaire")</f>
        <v>0</v>
      </c>
      <c r="CL18" s="67">
        <f>2*DonnéesDessin[[#This Row],[P pas nécessaire]]</f>
        <v>0</v>
      </c>
      <c r="CM18" s="67">
        <f>COUNTIF(DonnéesDessin[[#This Row],[Réponse doodle 01]:[Présence MàN AC]],"Excusé")</f>
        <v>1</v>
      </c>
      <c r="CN18" s="67">
        <f>1*DonnéesDessin[[#This Row],[Excusé]]</f>
        <v>1</v>
      </c>
      <c r="CO18" s="67">
        <f>COUNTIF(DonnéesDessin[[#This Row],[Réponse doodle 01]:[Présence MàN AC]],"Pas présent")</f>
        <v>5</v>
      </c>
      <c r="CP18" s="67">
        <f>0*DonnéesDessin[[#This Row],[Pas présent]]</f>
        <v>0</v>
      </c>
      <c r="CQ18"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37</v>
      </c>
      <c r="CR18" s="78">
        <v>42579</v>
      </c>
      <c r="CS18" s="79" t="s">
        <v>442</v>
      </c>
      <c r="CT18" s="67" t="s">
        <v>257</v>
      </c>
      <c r="CU18" s="67">
        <v>3</v>
      </c>
      <c r="CV18" s="84">
        <v>64</v>
      </c>
      <c r="CW18" s="84">
        <v>49</v>
      </c>
      <c r="CX18" s="84">
        <f>SUBTOTAL(9,DonnéesDessin[[#This Row],[Résultat Niveau 1]:[Résultat Avancé]])</f>
        <v>113</v>
      </c>
      <c r="CY18" s="84" t="s">
        <v>442</v>
      </c>
      <c r="CZ18" s="84" t="s">
        <v>496</v>
      </c>
      <c r="DA18" s="67">
        <v>60</v>
      </c>
      <c r="DB18" s="88">
        <f>(DonnéesDessin[[#This Row],[Résultat Niveau 1]]+DonnéesDessin[[#This Row],[Résultat Avancé]])/DonnéesDessin[[#This Row],[Durée BC AC19 (en min)]]</f>
        <v>1.8833333333333333</v>
      </c>
    </row>
    <row r="19" spans="1:106">
      <c r="A19" s="62" t="str">
        <f>DonnéesDessin[[#This Row],[Prénom]]&amp;" "&amp;DonnéesDessin[[#This Row],[Nom]]</f>
        <v>Coralie Cuendet</v>
      </c>
      <c r="B19" s="63" t="s">
        <v>103</v>
      </c>
      <c r="C19" s="63" t="s">
        <v>64</v>
      </c>
      <c r="D19" s="63" t="s">
        <v>54</v>
      </c>
      <c r="E19" s="64" t="s">
        <v>41</v>
      </c>
      <c r="F19" s="64" t="s">
        <v>41</v>
      </c>
      <c r="G19" s="63" t="s">
        <v>95</v>
      </c>
      <c r="H19" s="63" t="s">
        <v>51</v>
      </c>
      <c r="I19" s="65">
        <v>2013</v>
      </c>
      <c r="J19" s="65">
        <v>18</v>
      </c>
      <c r="K19" s="66" t="s">
        <v>41</v>
      </c>
      <c r="L19" s="67">
        <f>DonnéesDessin[[#This Row],[PTS]]</f>
        <v>43</v>
      </c>
      <c r="M19" s="68" t="s">
        <v>52</v>
      </c>
      <c r="N19" s="63">
        <v>0</v>
      </c>
      <c r="O19" s="63" t="s">
        <v>45</v>
      </c>
      <c r="P19" s="63">
        <v>0</v>
      </c>
      <c r="Q19" s="63" t="s">
        <v>45</v>
      </c>
      <c r="R19" s="63">
        <v>0</v>
      </c>
      <c r="S19" s="63" t="s">
        <v>45</v>
      </c>
      <c r="T19" s="69">
        <v>0</v>
      </c>
      <c r="U19" s="68" t="s">
        <v>248</v>
      </c>
      <c r="V19" s="70">
        <v>42325</v>
      </c>
      <c r="W19" s="63" t="s">
        <v>257</v>
      </c>
      <c r="X19" s="63" t="s">
        <v>44</v>
      </c>
      <c r="Y19" s="68" t="s">
        <v>248</v>
      </c>
      <c r="Z19" s="71">
        <v>42398</v>
      </c>
      <c r="AA19" s="67" t="s">
        <v>257</v>
      </c>
      <c r="AB19" s="69" t="s">
        <v>44</v>
      </c>
      <c r="AC19" s="68" t="s">
        <v>248</v>
      </c>
      <c r="AD19" s="11" t="s">
        <v>324</v>
      </c>
      <c r="AE19" s="67" t="s">
        <v>259</v>
      </c>
      <c r="AF19" s="69" t="s">
        <v>343</v>
      </c>
      <c r="AG19" s="68" t="s">
        <v>248</v>
      </c>
      <c r="AH19" s="72">
        <v>42438</v>
      </c>
      <c r="AI19" s="67" t="s">
        <v>257</v>
      </c>
      <c r="AJ19" s="69" t="s">
        <v>44</v>
      </c>
      <c r="AK19" s="68" t="s">
        <v>248</v>
      </c>
      <c r="AL19" s="67" t="s">
        <v>331</v>
      </c>
      <c r="AM19" s="67" t="s">
        <v>257</v>
      </c>
      <c r="AN19" s="69" t="s">
        <v>348</v>
      </c>
      <c r="AO19" s="68" t="s">
        <v>248</v>
      </c>
      <c r="AP19" s="67" t="s">
        <v>338</v>
      </c>
      <c r="AQ19" s="67" t="s">
        <v>257</v>
      </c>
      <c r="AR19" s="69" t="s">
        <v>44</v>
      </c>
      <c r="AS19" s="68" t="s">
        <v>256</v>
      </c>
      <c r="AT19" s="67" t="s">
        <v>41</v>
      </c>
      <c r="AU19" s="67" t="s">
        <v>259</v>
      </c>
      <c r="AV19" s="69" t="s">
        <v>341</v>
      </c>
      <c r="AW19" s="68" t="s">
        <v>248</v>
      </c>
      <c r="AX19" s="67" t="s">
        <v>427</v>
      </c>
      <c r="AY19" s="67" t="s">
        <v>257</v>
      </c>
      <c r="AZ19" s="69" t="s">
        <v>44</v>
      </c>
      <c r="BA19" s="68" t="s">
        <v>256</v>
      </c>
      <c r="BB19" s="67" t="s">
        <v>41</v>
      </c>
      <c r="BC19" s="67" t="s">
        <v>259</v>
      </c>
      <c r="BD19" s="69" t="s">
        <v>41</v>
      </c>
      <c r="BE19" s="68" t="s">
        <v>256</v>
      </c>
      <c r="BF19" s="67" t="s">
        <v>41</v>
      </c>
      <c r="BG19" s="67" t="s">
        <v>259</v>
      </c>
      <c r="BH19" s="69" t="s">
        <v>41</v>
      </c>
      <c r="BI19" s="68" t="s">
        <v>248</v>
      </c>
      <c r="BJ19" s="72">
        <v>42564</v>
      </c>
      <c r="BK19" s="67" t="s">
        <v>257</v>
      </c>
      <c r="BL19" s="69" t="s">
        <v>44</v>
      </c>
      <c r="BM19" s="68" t="s">
        <v>65</v>
      </c>
      <c r="BN19" s="67" t="s">
        <v>65</v>
      </c>
      <c r="BO19" s="67" t="s">
        <v>51</v>
      </c>
      <c r="BP19" s="67" t="s">
        <v>248</v>
      </c>
      <c r="BQ19" s="64">
        <v>42349</v>
      </c>
      <c r="BR19" s="63" t="s">
        <v>284</v>
      </c>
      <c r="BS19" s="63" t="s">
        <v>257</v>
      </c>
      <c r="BT19" s="68">
        <f>Nombrecours</f>
        <v>10</v>
      </c>
      <c r="BU19" s="63">
        <f>COUNTIF(DonnéesDessin[[#This Row],[Réponse doodle 01]:[Présence MàN AC]],"Excusé")</f>
        <v>0</v>
      </c>
      <c r="BV19" s="63">
        <f>COUNTIF(DonnéesDessin[[#This Row],[Réponse doodle 01]:[Présence MàN AC]],"N-employé")</f>
        <v>0</v>
      </c>
      <c r="BW19" s="63">
        <f>DonnéesDessin[[#This Row],[Nombre de cours]]-DonnéesDessin[[#This Row],[Nombre excusé]]-DonnéesDessin[[#This Row],[Nombre N-employé]]</f>
        <v>10</v>
      </c>
      <c r="BX19" s="69">
        <f>COUNTIF(DonnéesDessin[[#This Row],[Réponse doodle 01]:[Présence MàN AC]],"Présent")</f>
        <v>8</v>
      </c>
      <c r="BY19" s="68">
        <f>COUNTIF(DonnéesDessin[[#This Row],[Réponse doodle 01]:[Présence MàN AC]],"Inscrit")</f>
        <v>9</v>
      </c>
      <c r="BZ19" s="67">
        <f>3*DonnéesDessin[[#This Row],[Inscrit]]</f>
        <v>27</v>
      </c>
      <c r="CA19" s="67">
        <f>COUNTIF(DonnéesDessin[[#This Row],[Réponse doodle 01]:[Présence MàN AC]],"R pas nécessaire")</f>
        <v>0</v>
      </c>
      <c r="CB19" s="67">
        <f>SUM(3*DonnéesDessin[[#This Row],[R pas nécessaire]])</f>
        <v>0</v>
      </c>
      <c r="CC19" s="67">
        <f>COUNTIF(DonnéesDessin[[#This Row],[Réponse doodle 01]:[Présence MàN AC]],"Indisponible")</f>
        <v>0</v>
      </c>
      <c r="CD19" s="67">
        <f>2*DonnéesDessin[[#This Row],[Indisponible]]</f>
        <v>0</v>
      </c>
      <c r="CE19" s="67">
        <f>COUNTIF(DonnéesDessin[[#This Row],[Réponse doodle 01]:[Présence MàN AC]],"Ne peut s'inscrire")</f>
        <v>0</v>
      </c>
      <c r="CF19" s="67">
        <f>1*DonnéesDessin[[#This Row],[Ne peut s''inscrire]]</f>
        <v>0</v>
      </c>
      <c r="CG19" s="67">
        <f>COUNTIF(DonnéesDessin[[#This Row],[Réponse doodle 01]:[Présence MàN AC]],"Sans information")</f>
        <v>3</v>
      </c>
      <c r="CH19" s="67">
        <f>0*DonnéesDessin[[#This Row],[Sans information]]</f>
        <v>0</v>
      </c>
      <c r="CI19" s="67">
        <f>COUNTIF(DonnéesDessin[[#This Row],[Réponse doodle 01]:[Présence MàN AC]],"Présent")</f>
        <v>8</v>
      </c>
      <c r="CJ19" s="67">
        <f>2*DonnéesDessin[[#This Row],[Présent]]</f>
        <v>16</v>
      </c>
      <c r="CK19" s="67">
        <f>COUNTIF(DonnéesDessin[[#This Row],[Réponse doodle 01]:[Présence MàN AC]],"P pas nécessaire")</f>
        <v>0</v>
      </c>
      <c r="CL19" s="67">
        <f>2*DonnéesDessin[[#This Row],[P pas nécessaire]]</f>
        <v>0</v>
      </c>
      <c r="CM19" s="67">
        <f>COUNTIF(DonnéesDessin[[#This Row],[Réponse doodle 01]:[Présence MàN AC]],"Excusé")</f>
        <v>0</v>
      </c>
      <c r="CN19" s="67">
        <f>1*DonnéesDessin[[#This Row],[Excusé]]</f>
        <v>0</v>
      </c>
      <c r="CO19" s="67">
        <f>COUNTIF(DonnéesDessin[[#This Row],[Réponse doodle 01]:[Présence MàN AC]],"Pas présent")</f>
        <v>4</v>
      </c>
      <c r="CP19" s="67">
        <f>0*DonnéesDessin[[#This Row],[Pas présent]]</f>
        <v>0</v>
      </c>
      <c r="CQ19"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43</v>
      </c>
      <c r="CR19" s="78">
        <v>42572</v>
      </c>
      <c r="CS19" s="79" t="s">
        <v>441</v>
      </c>
      <c r="CT19" s="67" t="s">
        <v>257</v>
      </c>
      <c r="CU19" s="67">
        <v>4</v>
      </c>
      <c r="CV19" s="84">
        <v>76</v>
      </c>
      <c r="CW19" s="84">
        <v>71</v>
      </c>
      <c r="CX19" s="84">
        <f>SUBTOTAL(9,DonnéesDessin[[#This Row],[Résultat Niveau 1]:[Résultat Avancé]])</f>
        <v>147</v>
      </c>
      <c r="CY19" s="83" t="s">
        <v>441</v>
      </c>
      <c r="CZ19" s="83" t="s">
        <v>442</v>
      </c>
      <c r="DA19" s="67">
        <v>75</v>
      </c>
      <c r="DB19" s="88">
        <f>(DonnéesDessin[[#This Row],[Résultat Niveau 1]]+DonnéesDessin[[#This Row],[Résultat Avancé]])/DonnéesDessin[[#This Row],[Durée BC AC19 (en min)]]</f>
        <v>1.96</v>
      </c>
    </row>
    <row r="20" spans="1:106">
      <c r="A20" s="62" t="str">
        <f>DonnéesDessin[[#This Row],[Prénom]]&amp;" "&amp;DonnéesDessin[[#This Row],[Nom]]</f>
        <v>Csilla Bajnok</v>
      </c>
      <c r="B20" s="63" t="s">
        <v>104</v>
      </c>
      <c r="C20" s="63" t="s">
        <v>105</v>
      </c>
      <c r="D20" s="63" t="s">
        <v>49</v>
      </c>
      <c r="E20" s="64">
        <v>41876</v>
      </c>
      <c r="F20" s="64" t="s">
        <v>41</v>
      </c>
      <c r="G20" s="63" t="s">
        <v>90</v>
      </c>
      <c r="H20" s="63" t="s">
        <v>51</v>
      </c>
      <c r="I20" s="65" t="s">
        <v>43</v>
      </c>
      <c r="J20" s="65">
        <v>17</v>
      </c>
      <c r="K20" s="66" t="s">
        <v>41</v>
      </c>
      <c r="L20" s="67">
        <f>DonnéesDessin[[#This Row],[PTS]]</f>
        <v>50</v>
      </c>
      <c r="M20" s="68" t="s">
        <v>52</v>
      </c>
      <c r="N20" s="63">
        <v>0</v>
      </c>
      <c r="O20" s="63" t="s">
        <v>45</v>
      </c>
      <c r="P20" s="63">
        <v>0</v>
      </c>
      <c r="Q20" s="63" t="s">
        <v>45</v>
      </c>
      <c r="R20" s="63">
        <v>0</v>
      </c>
      <c r="S20" s="63" t="s">
        <v>45</v>
      </c>
      <c r="T20" s="69">
        <v>0</v>
      </c>
      <c r="U20" s="68" t="s">
        <v>248</v>
      </c>
      <c r="V20" s="70">
        <v>42319</v>
      </c>
      <c r="W20" s="63" t="s">
        <v>257</v>
      </c>
      <c r="X20" s="63" t="s">
        <v>44</v>
      </c>
      <c r="Y20" s="68" t="s">
        <v>248</v>
      </c>
      <c r="Z20" s="71">
        <v>42390</v>
      </c>
      <c r="AA20" s="67" t="s">
        <v>257</v>
      </c>
      <c r="AB20" s="69" t="s">
        <v>44</v>
      </c>
      <c r="AC20" s="68" t="s">
        <v>248</v>
      </c>
      <c r="AD20" s="11" t="s">
        <v>323</v>
      </c>
      <c r="AE20" s="67" t="s">
        <v>257</v>
      </c>
      <c r="AF20" s="69" t="s">
        <v>44</v>
      </c>
      <c r="AG20" s="68" t="s">
        <v>248</v>
      </c>
      <c r="AH20" s="72">
        <v>42439</v>
      </c>
      <c r="AI20" s="67" t="s">
        <v>257</v>
      </c>
      <c r="AJ20" s="69" t="s">
        <v>44</v>
      </c>
      <c r="AK20" s="68" t="s">
        <v>248</v>
      </c>
      <c r="AL20" s="67" t="s">
        <v>332</v>
      </c>
      <c r="AM20" s="67" t="s">
        <v>257</v>
      </c>
      <c r="AN20" s="69" t="s">
        <v>44</v>
      </c>
      <c r="AO20" s="68" t="s">
        <v>248</v>
      </c>
      <c r="AP20" s="67" t="s">
        <v>338</v>
      </c>
      <c r="AQ20" s="67" t="s">
        <v>257</v>
      </c>
      <c r="AR20" s="69" t="s">
        <v>44</v>
      </c>
      <c r="AS20" s="68" t="s">
        <v>248</v>
      </c>
      <c r="AT20" s="67" t="s">
        <v>415</v>
      </c>
      <c r="AU20" s="67" t="s">
        <v>257</v>
      </c>
      <c r="AV20" s="69" t="s">
        <v>44</v>
      </c>
      <c r="AW20" s="68" t="s">
        <v>248</v>
      </c>
      <c r="AX20" s="67" t="s">
        <v>427</v>
      </c>
      <c r="AY20" s="67" t="s">
        <v>257</v>
      </c>
      <c r="AZ20" s="69" t="s">
        <v>44</v>
      </c>
      <c r="BA20" s="68" t="s">
        <v>256</v>
      </c>
      <c r="BB20" s="67" t="s">
        <v>41</v>
      </c>
      <c r="BC20" s="67" t="s">
        <v>259</v>
      </c>
      <c r="BD20" s="69" t="s">
        <v>41</v>
      </c>
      <c r="BE20" s="68" t="s">
        <v>256</v>
      </c>
      <c r="BF20" s="67" t="s">
        <v>41</v>
      </c>
      <c r="BG20" s="67" t="s">
        <v>259</v>
      </c>
      <c r="BH20" s="69" t="s">
        <v>41</v>
      </c>
      <c r="BI20" s="68" t="s">
        <v>248</v>
      </c>
      <c r="BJ20" s="72">
        <v>42564</v>
      </c>
      <c r="BK20" s="67" t="s">
        <v>257</v>
      </c>
      <c r="BL20" s="69" t="s">
        <v>44</v>
      </c>
      <c r="BM20" s="68" t="s">
        <v>65</v>
      </c>
      <c r="BN20" s="67" t="s">
        <v>65</v>
      </c>
      <c r="BO20" s="67" t="s">
        <v>51</v>
      </c>
      <c r="BP20" s="67" t="s">
        <v>248</v>
      </c>
      <c r="BQ20" s="64">
        <v>42349</v>
      </c>
      <c r="BR20" s="63" t="s">
        <v>283</v>
      </c>
      <c r="BS20" s="63" t="s">
        <v>257</v>
      </c>
      <c r="BT20" s="68">
        <f>Nombrecours</f>
        <v>10</v>
      </c>
      <c r="BU20" s="63">
        <f>COUNTIF(DonnéesDessin[[#This Row],[Réponse doodle 01]:[Présence MàN AC]],"Excusé")</f>
        <v>0</v>
      </c>
      <c r="BV20" s="63">
        <f>COUNTIF(DonnéesDessin[[#This Row],[Réponse doodle 01]:[Présence MàN AC]],"N-employé")</f>
        <v>0</v>
      </c>
      <c r="BW20" s="63">
        <f>DonnéesDessin[[#This Row],[Nombre de cours]]-DonnéesDessin[[#This Row],[Nombre excusé]]-DonnéesDessin[[#This Row],[Nombre N-employé]]</f>
        <v>10</v>
      </c>
      <c r="BX20" s="69">
        <f>COUNTIF(DonnéesDessin[[#This Row],[Réponse doodle 01]:[Présence MàN AC]],"Présent")</f>
        <v>10</v>
      </c>
      <c r="BY20" s="68">
        <f>COUNTIF(DonnéesDessin[[#This Row],[Réponse doodle 01]:[Présence MàN AC]],"Inscrit")</f>
        <v>10</v>
      </c>
      <c r="BZ20" s="67">
        <f>3*DonnéesDessin[[#This Row],[Inscrit]]</f>
        <v>30</v>
      </c>
      <c r="CA20" s="67">
        <f>COUNTIF(DonnéesDessin[[#This Row],[Réponse doodle 01]:[Présence MàN AC]],"R pas nécessaire")</f>
        <v>0</v>
      </c>
      <c r="CB20" s="67">
        <f>SUM(3*DonnéesDessin[[#This Row],[R pas nécessaire]])</f>
        <v>0</v>
      </c>
      <c r="CC20" s="67">
        <f>COUNTIF(DonnéesDessin[[#This Row],[Réponse doodle 01]:[Présence MàN AC]],"Indisponible")</f>
        <v>0</v>
      </c>
      <c r="CD20" s="67">
        <f>2*DonnéesDessin[[#This Row],[Indisponible]]</f>
        <v>0</v>
      </c>
      <c r="CE20" s="67">
        <f>COUNTIF(DonnéesDessin[[#This Row],[Réponse doodle 01]:[Présence MàN AC]],"Ne peut s'inscrire")</f>
        <v>0</v>
      </c>
      <c r="CF20" s="67">
        <f>1*DonnéesDessin[[#This Row],[Ne peut s''inscrire]]</f>
        <v>0</v>
      </c>
      <c r="CG20" s="67">
        <f>COUNTIF(DonnéesDessin[[#This Row],[Réponse doodle 01]:[Présence MàN AC]],"Sans information")</f>
        <v>2</v>
      </c>
      <c r="CH20" s="67">
        <f>0*DonnéesDessin[[#This Row],[Sans information]]</f>
        <v>0</v>
      </c>
      <c r="CI20" s="67">
        <f>COUNTIF(DonnéesDessin[[#This Row],[Réponse doodle 01]:[Présence MàN AC]],"Présent")</f>
        <v>10</v>
      </c>
      <c r="CJ20" s="67">
        <f>2*DonnéesDessin[[#This Row],[Présent]]</f>
        <v>20</v>
      </c>
      <c r="CK20" s="67">
        <f>COUNTIF(DonnéesDessin[[#This Row],[Réponse doodle 01]:[Présence MàN AC]],"P pas nécessaire")</f>
        <v>0</v>
      </c>
      <c r="CL20" s="67">
        <f>2*DonnéesDessin[[#This Row],[P pas nécessaire]]</f>
        <v>0</v>
      </c>
      <c r="CM20" s="67">
        <f>COUNTIF(DonnéesDessin[[#This Row],[Réponse doodle 01]:[Présence MàN AC]],"Excusé")</f>
        <v>0</v>
      </c>
      <c r="CN20" s="67">
        <f>1*DonnéesDessin[[#This Row],[Excusé]]</f>
        <v>0</v>
      </c>
      <c r="CO20" s="67">
        <f>COUNTIF(DonnéesDessin[[#This Row],[Réponse doodle 01]:[Présence MàN AC]],"Pas présent")</f>
        <v>2</v>
      </c>
      <c r="CP20" s="67">
        <f>0*DonnéesDessin[[#This Row],[Pas présent]]</f>
        <v>0</v>
      </c>
      <c r="CQ20"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50</v>
      </c>
      <c r="CR20" s="78">
        <v>42579</v>
      </c>
      <c r="CS20" s="79" t="s">
        <v>442</v>
      </c>
      <c r="CT20" s="67" t="s">
        <v>257</v>
      </c>
      <c r="CU20" s="67">
        <v>1</v>
      </c>
      <c r="CV20" s="84">
        <v>76</v>
      </c>
      <c r="CW20" s="84">
        <v>57</v>
      </c>
      <c r="CX20" s="84">
        <f>SUBTOTAL(9,DonnéesDessin[[#This Row],[Résultat Niveau 1]:[Résultat Avancé]])</f>
        <v>133</v>
      </c>
      <c r="CY20" s="84" t="s">
        <v>442</v>
      </c>
      <c r="CZ20" s="84" t="s">
        <v>443</v>
      </c>
      <c r="DA20" s="67">
        <v>75</v>
      </c>
      <c r="DB20" s="88">
        <f>(DonnéesDessin[[#This Row],[Résultat Niveau 1]]+DonnéesDessin[[#This Row],[Résultat Avancé]])/DonnéesDessin[[#This Row],[Durée BC AC19 (en min)]]</f>
        <v>1.7733333333333334</v>
      </c>
    </row>
    <row r="21" spans="1:106">
      <c r="A21" s="62" t="str">
        <f>DonnéesDessin[[#This Row],[Prénom]]&amp;" "&amp;DonnéesDessin[[#This Row],[Nom]]</f>
        <v>David Freire</v>
      </c>
      <c r="B21" s="63" t="s">
        <v>107</v>
      </c>
      <c r="C21" s="63" t="s">
        <v>106</v>
      </c>
      <c r="D21" s="63" t="s">
        <v>57</v>
      </c>
      <c r="E21" s="64" t="s">
        <v>41</v>
      </c>
      <c r="F21" s="64" t="s">
        <v>41</v>
      </c>
      <c r="G21" s="63"/>
      <c r="H21" s="63" t="s">
        <v>51</v>
      </c>
      <c r="I21" s="65" t="s">
        <v>51</v>
      </c>
      <c r="J21" s="65">
        <v>18</v>
      </c>
      <c r="K21" s="66" t="s">
        <v>41</v>
      </c>
      <c r="L21" s="67">
        <f>DonnéesDessin[[#This Row],[PTS]]</f>
        <v>49</v>
      </c>
      <c r="M21" s="68" t="s">
        <v>52</v>
      </c>
      <c r="N21" s="63">
        <v>0</v>
      </c>
      <c r="O21" s="63" t="s">
        <v>45</v>
      </c>
      <c r="P21" s="63">
        <v>0</v>
      </c>
      <c r="Q21" s="63" t="s">
        <v>45</v>
      </c>
      <c r="R21" s="63">
        <v>0</v>
      </c>
      <c r="S21" s="63" t="s">
        <v>45</v>
      </c>
      <c r="T21" s="69">
        <v>0</v>
      </c>
      <c r="U21" s="68" t="s">
        <v>248</v>
      </c>
      <c r="V21" s="70">
        <v>42319</v>
      </c>
      <c r="W21" s="63" t="s">
        <v>257</v>
      </c>
      <c r="X21" s="63" t="s">
        <v>44</v>
      </c>
      <c r="Y21" s="68" t="s">
        <v>248</v>
      </c>
      <c r="Z21" s="71">
        <v>42390</v>
      </c>
      <c r="AA21" s="67" t="s">
        <v>257</v>
      </c>
      <c r="AB21" s="69" t="s">
        <v>44</v>
      </c>
      <c r="AC21" s="68" t="s">
        <v>248</v>
      </c>
      <c r="AD21" s="11" t="s">
        <v>323</v>
      </c>
      <c r="AE21" s="67" t="s">
        <v>257</v>
      </c>
      <c r="AF21" s="69" t="s">
        <v>44</v>
      </c>
      <c r="AG21" s="68" t="s">
        <v>248</v>
      </c>
      <c r="AH21" s="72">
        <v>42439</v>
      </c>
      <c r="AI21" s="67" t="s">
        <v>257</v>
      </c>
      <c r="AJ21" s="69" t="s">
        <v>44</v>
      </c>
      <c r="AK21" s="68" t="s">
        <v>248</v>
      </c>
      <c r="AL21" s="67" t="s">
        <v>332</v>
      </c>
      <c r="AM21" s="67" t="s">
        <v>257</v>
      </c>
      <c r="AN21" s="69" t="s">
        <v>44</v>
      </c>
      <c r="AO21" s="68" t="s">
        <v>248</v>
      </c>
      <c r="AP21" s="67" t="s">
        <v>335</v>
      </c>
      <c r="AQ21" s="67" t="s">
        <v>257</v>
      </c>
      <c r="AR21" s="69" t="s">
        <v>44</v>
      </c>
      <c r="AS21" s="68" t="s">
        <v>248</v>
      </c>
      <c r="AT21" s="67" t="s">
        <v>414</v>
      </c>
      <c r="AU21" s="67" t="s">
        <v>257</v>
      </c>
      <c r="AV21" s="69" t="s">
        <v>44</v>
      </c>
      <c r="AW21" s="68" t="s">
        <v>248</v>
      </c>
      <c r="AX21" s="67" t="s">
        <v>430</v>
      </c>
      <c r="AY21" s="67" t="s">
        <v>258</v>
      </c>
      <c r="AZ21" s="69" t="s">
        <v>436</v>
      </c>
      <c r="BA21" s="68" t="s">
        <v>256</v>
      </c>
      <c r="BB21" s="67" t="s">
        <v>41</v>
      </c>
      <c r="BC21" s="67" t="s">
        <v>259</v>
      </c>
      <c r="BD21" s="69" t="s">
        <v>41</v>
      </c>
      <c r="BE21" s="68" t="s">
        <v>256</v>
      </c>
      <c r="BF21" s="67" t="s">
        <v>41</v>
      </c>
      <c r="BG21" s="67" t="s">
        <v>259</v>
      </c>
      <c r="BH21" s="69" t="s">
        <v>41</v>
      </c>
      <c r="BI21" s="68" t="s">
        <v>248</v>
      </c>
      <c r="BJ21" s="72">
        <v>42509</v>
      </c>
      <c r="BK21" s="67" t="s">
        <v>257</v>
      </c>
      <c r="BL21" s="69" t="s">
        <v>44</v>
      </c>
      <c r="BM21" s="68" t="s">
        <v>65</v>
      </c>
      <c r="BN21" s="67" t="s">
        <v>53</v>
      </c>
      <c r="BO21" s="67" t="s">
        <v>43</v>
      </c>
      <c r="BP21" s="67" t="s">
        <v>248</v>
      </c>
      <c r="BQ21" s="64">
        <v>42347</v>
      </c>
      <c r="BR21" s="63" t="s">
        <v>286</v>
      </c>
      <c r="BS21" s="63" t="s">
        <v>257</v>
      </c>
      <c r="BT21" s="68">
        <f>Nombrecours</f>
        <v>10</v>
      </c>
      <c r="BU21" s="63">
        <f>COUNTIF(DonnéesDessin[[#This Row],[Réponse doodle 01]:[Présence MàN AC]],"Excusé")</f>
        <v>1</v>
      </c>
      <c r="BV21" s="63">
        <f>COUNTIF(DonnéesDessin[[#This Row],[Réponse doodle 01]:[Présence MàN AC]],"N-employé")</f>
        <v>0</v>
      </c>
      <c r="BW21" s="63">
        <f>DonnéesDessin[[#This Row],[Nombre de cours]]-DonnéesDessin[[#This Row],[Nombre excusé]]-DonnéesDessin[[#This Row],[Nombre N-employé]]</f>
        <v>9</v>
      </c>
      <c r="BX21" s="69">
        <f>COUNTIF(DonnéesDessin[[#This Row],[Réponse doodle 01]:[Présence MàN AC]],"Présent")</f>
        <v>9</v>
      </c>
      <c r="BY21" s="68">
        <f>COUNTIF(DonnéesDessin[[#This Row],[Réponse doodle 01]:[Présence MàN AC]],"Inscrit")</f>
        <v>10</v>
      </c>
      <c r="BZ21" s="67">
        <f>3*DonnéesDessin[[#This Row],[Inscrit]]</f>
        <v>30</v>
      </c>
      <c r="CA21" s="67">
        <f>COUNTIF(DonnéesDessin[[#This Row],[Réponse doodle 01]:[Présence MàN AC]],"R pas nécessaire")</f>
        <v>0</v>
      </c>
      <c r="CB21" s="67">
        <f>SUM(3*DonnéesDessin[[#This Row],[R pas nécessaire]])</f>
        <v>0</v>
      </c>
      <c r="CC21" s="67">
        <f>COUNTIF(DonnéesDessin[[#This Row],[Réponse doodle 01]:[Présence MàN AC]],"Indisponible")</f>
        <v>0</v>
      </c>
      <c r="CD21" s="67">
        <f>2*DonnéesDessin[[#This Row],[Indisponible]]</f>
        <v>0</v>
      </c>
      <c r="CE21" s="67">
        <f>COUNTIF(DonnéesDessin[[#This Row],[Réponse doodle 01]:[Présence MàN AC]],"Ne peut s'inscrire")</f>
        <v>0</v>
      </c>
      <c r="CF21" s="67">
        <f>1*DonnéesDessin[[#This Row],[Ne peut s''inscrire]]</f>
        <v>0</v>
      </c>
      <c r="CG21" s="67">
        <f>COUNTIF(DonnéesDessin[[#This Row],[Réponse doodle 01]:[Présence MàN AC]],"Sans information")</f>
        <v>2</v>
      </c>
      <c r="CH21" s="67">
        <f>0*DonnéesDessin[[#This Row],[Sans information]]</f>
        <v>0</v>
      </c>
      <c r="CI21" s="67">
        <f>COUNTIF(DonnéesDessin[[#This Row],[Réponse doodle 01]:[Présence MàN AC]],"Présent")</f>
        <v>9</v>
      </c>
      <c r="CJ21" s="67">
        <f>2*DonnéesDessin[[#This Row],[Présent]]</f>
        <v>18</v>
      </c>
      <c r="CK21" s="67">
        <f>COUNTIF(DonnéesDessin[[#This Row],[Réponse doodle 01]:[Présence MàN AC]],"P pas nécessaire")</f>
        <v>0</v>
      </c>
      <c r="CL21" s="67">
        <f>2*DonnéesDessin[[#This Row],[P pas nécessaire]]</f>
        <v>0</v>
      </c>
      <c r="CM21" s="67">
        <f>COUNTIF(DonnéesDessin[[#This Row],[Réponse doodle 01]:[Présence MàN AC]],"Excusé")</f>
        <v>1</v>
      </c>
      <c r="CN21" s="67">
        <f>1*DonnéesDessin[[#This Row],[Excusé]]</f>
        <v>1</v>
      </c>
      <c r="CO21" s="67">
        <f>COUNTIF(DonnéesDessin[[#This Row],[Réponse doodle 01]:[Présence MàN AC]],"Pas présent")</f>
        <v>2</v>
      </c>
      <c r="CP21" s="67">
        <f>0*DonnéesDessin[[#This Row],[Pas présent]]</f>
        <v>0</v>
      </c>
      <c r="CQ21"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49</v>
      </c>
      <c r="CR21" s="78">
        <v>42572</v>
      </c>
      <c r="CS21" s="79" t="s">
        <v>439</v>
      </c>
      <c r="CT21" s="67" t="s">
        <v>257</v>
      </c>
      <c r="CU21" s="67">
        <v>3</v>
      </c>
      <c r="CV21" s="84">
        <v>78</v>
      </c>
      <c r="CW21" s="84">
        <v>69</v>
      </c>
      <c r="CX21" s="84">
        <f>SUBTOTAL(9,DonnéesDessin[[#This Row],[Résultat Niveau 1]:[Résultat Avancé]])</f>
        <v>147</v>
      </c>
      <c r="CY21" s="83" t="s">
        <v>439</v>
      </c>
      <c r="CZ21" s="83" t="s">
        <v>457</v>
      </c>
      <c r="DA21" s="67">
        <v>60</v>
      </c>
      <c r="DB21" s="88">
        <f>(DonnéesDessin[[#This Row],[Résultat Niveau 1]]+DonnéesDessin[[#This Row],[Résultat Avancé]])/DonnéesDessin[[#This Row],[Durée BC AC19 (en min)]]</f>
        <v>2.4500000000000002</v>
      </c>
    </row>
    <row r="22" spans="1:106">
      <c r="A22" s="62" t="str">
        <f>DonnéesDessin[[#This Row],[Prénom]]&amp;" "&amp;DonnéesDessin[[#This Row],[Nom]]</f>
        <v>David Minguet</v>
      </c>
      <c r="B22" s="63" t="s">
        <v>108</v>
      </c>
      <c r="C22" s="63" t="s">
        <v>106</v>
      </c>
      <c r="D22" s="63" t="s">
        <v>49</v>
      </c>
      <c r="E22" s="64">
        <v>41913</v>
      </c>
      <c r="F22" s="64" t="s">
        <v>41</v>
      </c>
      <c r="G22" s="63"/>
      <c r="H22" s="63" t="s">
        <v>51</v>
      </c>
      <c r="I22" s="65" t="s">
        <v>73</v>
      </c>
      <c r="J22" s="65">
        <v>17</v>
      </c>
      <c r="K22" s="63" t="s">
        <v>374</v>
      </c>
      <c r="L22" s="67">
        <f>DonnéesDessin[[#This Row],[PTS]]</f>
        <v>43</v>
      </c>
      <c r="M22" s="68" t="s">
        <v>52</v>
      </c>
      <c r="N22" s="63">
        <v>0</v>
      </c>
      <c r="O22" s="63" t="s">
        <v>45</v>
      </c>
      <c r="P22" s="63">
        <v>0</v>
      </c>
      <c r="Q22" s="63" t="s">
        <v>45</v>
      </c>
      <c r="R22" s="63">
        <v>0</v>
      </c>
      <c r="S22" s="63" t="s">
        <v>45</v>
      </c>
      <c r="T22" s="69">
        <v>0</v>
      </c>
      <c r="U22" s="68" t="s">
        <v>248</v>
      </c>
      <c r="V22" s="70">
        <v>42319</v>
      </c>
      <c r="W22" s="63" t="s">
        <v>257</v>
      </c>
      <c r="X22" s="63" t="s">
        <v>44</v>
      </c>
      <c r="Y22" s="68" t="s">
        <v>248</v>
      </c>
      <c r="Z22" s="71">
        <v>42398</v>
      </c>
      <c r="AA22" s="67" t="s">
        <v>257</v>
      </c>
      <c r="AB22" s="69" t="s">
        <v>44</v>
      </c>
      <c r="AC22" s="68" t="s">
        <v>248</v>
      </c>
      <c r="AD22" s="11" t="s">
        <v>324</v>
      </c>
      <c r="AE22" s="67" t="s">
        <v>257</v>
      </c>
      <c r="AF22" s="69" t="s">
        <v>44</v>
      </c>
      <c r="AG22" s="68" t="s">
        <v>256</v>
      </c>
      <c r="AH22" s="67" t="s">
        <v>41</v>
      </c>
      <c r="AI22" s="67" t="s">
        <v>259</v>
      </c>
      <c r="AJ22" s="69" t="s">
        <v>341</v>
      </c>
      <c r="AK22" s="68" t="s">
        <v>248</v>
      </c>
      <c r="AL22" s="67" t="s">
        <v>333</v>
      </c>
      <c r="AM22" s="67" t="s">
        <v>257</v>
      </c>
      <c r="AN22" s="69" t="s">
        <v>44</v>
      </c>
      <c r="AO22" s="68" t="s">
        <v>248</v>
      </c>
      <c r="AP22" s="67" t="s">
        <v>336</v>
      </c>
      <c r="AQ22" s="67" t="s">
        <v>257</v>
      </c>
      <c r="AR22" s="69" t="s">
        <v>44</v>
      </c>
      <c r="AS22" s="68" t="s">
        <v>248</v>
      </c>
      <c r="AT22" s="67" t="s">
        <v>416</v>
      </c>
      <c r="AU22" s="67" t="s">
        <v>259</v>
      </c>
      <c r="AV22" s="69" t="s">
        <v>343</v>
      </c>
      <c r="AW22" s="68" t="s">
        <v>248</v>
      </c>
      <c r="AX22" s="67" t="s">
        <v>430</v>
      </c>
      <c r="AY22" s="67" t="s">
        <v>257</v>
      </c>
      <c r="AZ22" s="69" t="s">
        <v>44</v>
      </c>
      <c r="BA22" s="68" t="s">
        <v>256</v>
      </c>
      <c r="BB22" s="67" t="s">
        <v>41</v>
      </c>
      <c r="BC22" s="67" t="s">
        <v>259</v>
      </c>
      <c r="BD22" s="69" t="s">
        <v>41</v>
      </c>
      <c r="BE22" s="68" t="s">
        <v>256</v>
      </c>
      <c r="BF22" s="67" t="s">
        <v>41</v>
      </c>
      <c r="BG22" s="67" t="s">
        <v>259</v>
      </c>
      <c r="BH22" s="69" t="s">
        <v>41</v>
      </c>
      <c r="BI22" s="68" t="s">
        <v>248</v>
      </c>
      <c r="BJ22" s="72">
        <v>42564</v>
      </c>
      <c r="BK22" s="67" t="s">
        <v>257</v>
      </c>
      <c r="BL22" s="69" t="s">
        <v>435</v>
      </c>
      <c r="BM22" s="68" t="s">
        <v>65</v>
      </c>
      <c r="BN22" s="67" t="s">
        <v>53</v>
      </c>
      <c r="BO22" s="67" t="s">
        <v>43</v>
      </c>
      <c r="BP22" s="67" t="s">
        <v>248</v>
      </c>
      <c r="BQ22" s="64">
        <v>42347</v>
      </c>
      <c r="BR22" s="63" t="s">
        <v>286</v>
      </c>
      <c r="BS22" s="63" t="s">
        <v>257</v>
      </c>
      <c r="BT22" s="68">
        <f>Nombrecours</f>
        <v>10</v>
      </c>
      <c r="BU22" s="63">
        <f>COUNTIF(DonnéesDessin[[#This Row],[Réponse doodle 01]:[Présence MàN AC]],"Excusé")</f>
        <v>0</v>
      </c>
      <c r="BV22" s="63">
        <f>COUNTIF(DonnéesDessin[[#This Row],[Réponse doodle 01]:[Présence MàN AC]],"N-employé")</f>
        <v>0</v>
      </c>
      <c r="BW22" s="63">
        <f>DonnéesDessin[[#This Row],[Nombre de cours]]-DonnéesDessin[[#This Row],[Nombre excusé]]-DonnéesDessin[[#This Row],[Nombre N-employé]]</f>
        <v>10</v>
      </c>
      <c r="BX22" s="69">
        <f>COUNTIF(DonnéesDessin[[#This Row],[Réponse doodle 01]:[Présence MàN AC]],"Présent")</f>
        <v>8</v>
      </c>
      <c r="BY22" s="68">
        <f>COUNTIF(DonnéesDessin[[#This Row],[Réponse doodle 01]:[Présence MàN AC]],"Inscrit")</f>
        <v>9</v>
      </c>
      <c r="BZ22" s="67">
        <f>3*DonnéesDessin[[#This Row],[Inscrit]]</f>
        <v>27</v>
      </c>
      <c r="CA22" s="67">
        <f>COUNTIF(DonnéesDessin[[#This Row],[Réponse doodle 01]:[Présence MàN AC]],"R pas nécessaire")</f>
        <v>0</v>
      </c>
      <c r="CB22" s="67">
        <f>SUM(3*DonnéesDessin[[#This Row],[R pas nécessaire]])</f>
        <v>0</v>
      </c>
      <c r="CC22" s="67">
        <f>COUNTIF(DonnéesDessin[[#This Row],[Réponse doodle 01]:[Présence MàN AC]],"Indisponible")</f>
        <v>0</v>
      </c>
      <c r="CD22" s="67">
        <f>2*DonnéesDessin[[#This Row],[Indisponible]]</f>
        <v>0</v>
      </c>
      <c r="CE22" s="67">
        <f>COUNTIF(DonnéesDessin[[#This Row],[Réponse doodle 01]:[Présence MàN AC]],"Ne peut s'inscrire")</f>
        <v>0</v>
      </c>
      <c r="CF22" s="67">
        <f>1*DonnéesDessin[[#This Row],[Ne peut s''inscrire]]</f>
        <v>0</v>
      </c>
      <c r="CG22" s="67">
        <f>COUNTIF(DonnéesDessin[[#This Row],[Réponse doodle 01]:[Présence MàN AC]],"Sans information")</f>
        <v>3</v>
      </c>
      <c r="CH22" s="67">
        <f>0*DonnéesDessin[[#This Row],[Sans information]]</f>
        <v>0</v>
      </c>
      <c r="CI22" s="67">
        <f>COUNTIF(DonnéesDessin[[#This Row],[Réponse doodle 01]:[Présence MàN AC]],"Présent")</f>
        <v>8</v>
      </c>
      <c r="CJ22" s="67">
        <f>2*DonnéesDessin[[#This Row],[Présent]]</f>
        <v>16</v>
      </c>
      <c r="CK22" s="67">
        <f>COUNTIF(DonnéesDessin[[#This Row],[Réponse doodle 01]:[Présence MàN AC]],"P pas nécessaire")</f>
        <v>0</v>
      </c>
      <c r="CL22" s="67">
        <f>2*DonnéesDessin[[#This Row],[P pas nécessaire]]</f>
        <v>0</v>
      </c>
      <c r="CM22" s="67">
        <f>COUNTIF(DonnéesDessin[[#This Row],[Réponse doodle 01]:[Présence MàN AC]],"Excusé")</f>
        <v>0</v>
      </c>
      <c r="CN22" s="67">
        <f>1*DonnéesDessin[[#This Row],[Excusé]]</f>
        <v>0</v>
      </c>
      <c r="CO22" s="67">
        <f>COUNTIF(DonnéesDessin[[#This Row],[Réponse doodle 01]:[Présence MàN AC]],"Pas présent")</f>
        <v>4</v>
      </c>
      <c r="CP22" s="67">
        <f>0*DonnéesDessin[[#This Row],[Pas présent]]</f>
        <v>0</v>
      </c>
      <c r="CQ22"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43</v>
      </c>
      <c r="CR22" s="78">
        <v>42579</v>
      </c>
      <c r="CS22" s="79" t="s">
        <v>440</v>
      </c>
      <c r="CT22" s="67" t="s">
        <v>257</v>
      </c>
      <c r="CU22" s="67">
        <v>3</v>
      </c>
      <c r="CV22" s="84">
        <v>68</v>
      </c>
      <c r="CW22" s="84">
        <v>71</v>
      </c>
      <c r="CX22" s="84">
        <f>SUBTOTAL(9,DonnéesDessin[[#This Row],[Résultat Niveau 1]:[Résultat Avancé]])</f>
        <v>139</v>
      </c>
      <c r="CY22" s="84" t="s">
        <v>440</v>
      </c>
      <c r="CZ22" s="84" t="s">
        <v>459</v>
      </c>
      <c r="DA22" s="67">
        <v>90</v>
      </c>
      <c r="DB22" s="88">
        <f>(DonnéesDessin[[#This Row],[Résultat Niveau 1]]+DonnéesDessin[[#This Row],[Résultat Avancé]])/DonnéesDessin[[#This Row],[Durée BC AC19 (en min)]]</f>
        <v>1.5444444444444445</v>
      </c>
    </row>
    <row r="23" spans="1:106">
      <c r="A23" s="62" t="str">
        <f>DonnéesDessin[[#This Row],[Prénom]]&amp;" "&amp;DonnéesDessin[[#This Row],[Nom]]</f>
        <v>Elvira Kossi-Odi</v>
      </c>
      <c r="B23" s="63" t="s">
        <v>109</v>
      </c>
      <c r="C23" s="63" t="s">
        <v>110</v>
      </c>
      <c r="D23" s="63" t="s">
        <v>49</v>
      </c>
      <c r="E23" s="64" t="s">
        <v>41</v>
      </c>
      <c r="F23" s="64" t="s">
        <v>41</v>
      </c>
      <c r="G23" s="63" t="s">
        <v>56</v>
      </c>
      <c r="H23" s="63" t="s">
        <v>51</v>
      </c>
      <c r="I23" s="65">
        <v>2012</v>
      </c>
      <c r="J23" s="65">
        <v>17</v>
      </c>
      <c r="K23" s="66" t="s">
        <v>41</v>
      </c>
      <c r="L23" s="67">
        <f>DonnéesDessin[[#This Row],[PTS]]</f>
        <v>45</v>
      </c>
      <c r="M23" s="68" t="s">
        <v>52</v>
      </c>
      <c r="N23" s="63">
        <v>0</v>
      </c>
      <c r="O23" s="63" t="s">
        <v>45</v>
      </c>
      <c r="P23" s="63">
        <v>0</v>
      </c>
      <c r="Q23" s="63" t="s">
        <v>45</v>
      </c>
      <c r="R23" s="63">
        <v>0</v>
      </c>
      <c r="S23" s="63" t="s">
        <v>45</v>
      </c>
      <c r="T23" s="69">
        <v>0</v>
      </c>
      <c r="U23" s="68" t="s">
        <v>248</v>
      </c>
      <c r="V23" s="70">
        <v>42325</v>
      </c>
      <c r="W23" s="63" t="s">
        <v>257</v>
      </c>
      <c r="X23" s="63" t="s">
        <v>44</v>
      </c>
      <c r="Y23" s="68" t="s">
        <v>248</v>
      </c>
      <c r="Z23" s="71">
        <v>42382</v>
      </c>
      <c r="AA23" s="67" t="s">
        <v>257</v>
      </c>
      <c r="AB23" s="69" t="s">
        <v>44</v>
      </c>
      <c r="AC23" s="68" t="s">
        <v>248</v>
      </c>
      <c r="AD23" s="11" t="s">
        <v>324</v>
      </c>
      <c r="AE23" s="67" t="s">
        <v>257</v>
      </c>
      <c r="AF23" s="69" t="s">
        <v>44</v>
      </c>
      <c r="AG23" s="68" t="s">
        <v>248</v>
      </c>
      <c r="AH23" s="72">
        <v>42439</v>
      </c>
      <c r="AI23" s="67" t="s">
        <v>257</v>
      </c>
      <c r="AJ23" s="69" t="s">
        <v>44</v>
      </c>
      <c r="AK23" s="68" t="s">
        <v>248</v>
      </c>
      <c r="AL23" s="67" t="s">
        <v>334</v>
      </c>
      <c r="AM23" s="67" t="s">
        <v>257</v>
      </c>
      <c r="AN23" s="69" t="s">
        <v>353</v>
      </c>
      <c r="AO23" s="68" t="s">
        <v>248</v>
      </c>
      <c r="AP23" s="67" t="s">
        <v>338</v>
      </c>
      <c r="AQ23" s="67" t="s">
        <v>257</v>
      </c>
      <c r="AR23" s="69" t="s">
        <v>44</v>
      </c>
      <c r="AS23" s="68" t="s">
        <v>248</v>
      </c>
      <c r="AT23" s="67" t="s">
        <v>414</v>
      </c>
      <c r="AU23" s="67" t="s">
        <v>257</v>
      </c>
      <c r="AV23" s="69" t="s">
        <v>44</v>
      </c>
      <c r="AW23" s="68" t="s">
        <v>248</v>
      </c>
      <c r="AX23" s="67" t="s">
        <v>430</v>
      </c>
      <c r="AY23" s="67" t="s">
        <v>257</v>
      </c>
      <c r="AZ23" s="69" t="s">
        <v>44</v>
      </c>
      <c r="BA23" s="68" t="s">
        <v>256</v>
      </c>
      <c r="BB23" s="67" t="s">
        <v>41</v>
      </c>
      <c r="BC23" s="67" t="s">
        <v>259</v>
      </c>
      <c r="BD23" s="69" t="s">
        <v>41</v>
      </c>
      <c r="BE23" s="68" t="s">
        <v>256</v>
      </c>
      <c r="BF23" s="67" t="s">
        <v>41</v>
      </c>
      <c r="BG23" s="67" t="s">
        <v>259</v>
      </c>
      <c r="BH23" s="69" t="s">
        <v>41</v>
      </c>
      <c r="BI23" s="68" t="s">
        <v>256</v>
      </c>
      <c r="BJ23" s="67" t="s">
        <v>41</v>
      </c>
      <c r="BK23" s="67" t="s">
        <v>259</v>
      </c>
      <c r="BL23" s="69" t="s">
        <v>41</v>
      </c>
      <c r="BM23" s="68" t="s">
        <v>65</v>
      </c>
      <c r="BN23" s="67" t="s">
        <v>65</v>
      </c>
      <c r="BO23" s="67" t="s">
        <v>51</v>
      </c>
      <c r="BP23" s="67" t="s">
        <v>248</v>
      </c>
      <c r="BQ23" s="64">
        <v>42349</v>
      </c>
      <c r="BR23" s="63" t="s">
        <v>282</v>
      </c>
      <c r="BS23" s="63" t="s">
        <v>257</v>
      </c>
      <c r="BT23" s="68">
        <f>Nombrecours</f>
        <v>10</v>
      </c>
      <c r="BU23" s="63">
        <f>COUNTIF(DonnéesDessin[[#This Row],[Réponse doodle 01]:[Présence MàN AC]],"Excusé")</f>
        <v>0</v>
      </c>
      <c r="BV23" s="63">
        <f>COUNTIF(DonnéesDessin[[#This Row],[Réponse doodle 01]:[Présence MàN AC]],"N-employé")</f>
        <v>0</v>
      </c>
      <c r="BW23" s="63">
        <f>DonnéesDessin[[#This Row],[Nombre de cours]]-DonnéesDessin[[#This Row],[Nombre excusé]]-DonnéesDessin[[#This Row],[Nombre N-employé]]</f>
        <v>10</v>
      </c>
      <c r="BX23" s="69">
        <f>COUNTIF(DonnéesDessin[[#This Row],[Réponse doodle 01]:[Présence MàN AC]],"Présent")</f>
        <v>9</v>
      </c>
      <c r="BY23" s="68">
        <f>COUNTIF(DonnéesDessin[[#This Row],[Réponse doodle 01]:[Présence MàN AC]],"Inscrit")</f>
        <v>9</v>
      </c>
      <c r="BZ23" s="67">
        <f>3*DonnéesDessin[[#This Row],[Inscrit]]</f>
        <v>27</v>
      </c>
      <c r="CA23" s="67">
        <f>COUNTIF(DonnéesDessin[[#This Row],[Réponse doodle 01]:[Présence MàN AC]],"R pas nécessaire")</f>
        <v>0</v>
      </c>
      <c r="CB23" s="67">
        <f>SUM(3*DonnéesDessin[[#This Row],[R pas nécessaire]])</f>
        <v>0</v>
      </c>
      <c r="CC23" s="67">
        <f>COUNTIF(DonnéesDessin[[#This Row],[Réponse doodle 01]:[Présence MàN AC]],"Indisponible")</f>
        <v>0</v>
      </c>
      <c r="CD23" s="67">
        <f>2*DonnéesDessin[[#This Row],[Indisponible]]</f>
        <v>0</v>
      </c>
      <c r="CE23" s="67">
        <f>COUNTIF(DonnéesDessin[[#This Row],[Réponse doodle 01]:[Présence MàN AC]],"Ne peut s'inscrire")</f>
        <v>0</v>
      </c>
      <c r="CF23" s="67">
        <f>1*DonnéesDessin[[#This Row],[Ne peut s''inscrire]]</f>
        <v>0</v>
      </c>
      <c r="CG23" s="67">
        <f>COUNTIF(DonnéesDessin[[#This Row],[Réponse doodle 01]:[Présence MàN AC]],"Sans information")</f>
        <v>3</v>
      </c>
      <c r="CH23" s="67">
        <f>0*DonnéesDessin[[#This Row],[Sans information]]</f>
        <v>0</v>
      </c>
      <c r="CI23" s="67">
        <f>COUNTIF(DonnéesDessin[[#This Row],[Réponse doodle 01]:[Présence MàN AC]],"Présent")</f>
        <v>9</v>
      </c>
      <c r="CJ23" s="67">
        <f>2*DonnéesDessin[[#This Row],[Présent]]</f>
        <v>18</v>
      </c>
      <c r="CK23" s="67">
        <f>COUNTIF(DonnéesDessin[[#This Row],[Réponse doodle 01]:[Présence MàN AC]],"P pas nécessaire")</f>
        <v>0</v>
      </c>
      <c r="CL23" s="67">
        <f>2*DonnéesDessin[[#This Row],[P pas nécessaire]]</f>
        <v>0</v>
      </c>
      <c r="CM23" s="67">
        <f>COUNTIF(DonnéesDessin[[#This Row],[Réponse doodle 01]:[Présence MàN AC]],"Excusé")</f>
        <v>0</v>
      </c>
      <c r="CN23" s="67">
        <f>1*DonnéesDessin[[#This Row],[Excusé]]</f>
        <v>0</v>
      </c>
      <c r="CO23" s="67">
        <f>COUNTIF(DonnéesDessin[[#This Row],[Réponse doodle 01]:[Présence MàN AC]],"Pas présent")</f>
        <v>3</v>
      </c>
      <c r="CP23" s="67">
        <f>0*DonnéesDessin[[#This Row],[Pas présent]]</f>
        <v>0</v>
      </c>
      <c r="CQ23"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45</v>
      </c>
      <c r="CR23" s="78">
        <v>42572</v>
      </c>
      <c r="CS23" s="79" t="s">
        <v>443</v>
      </c>
      <c r="CT23" s="67" t="s">
        <v>257</v>
      </c>
      <c r="CU23" s="67">
        <v>3</v>
      </c>
      <c r="CV23" s="84">
        <v>64</v>
      </c>
      <c r="CW23" s="84">
        <v>67</v>
      </c>
      <c r="CX23" s="84">
        <f>SUBTOTAL(9,DonnéesDessin[[#This Row],[Résultat Niveau 1]:[Résultat Avancé]])</f>
        <v>131</v>
      </c>
      <c r="CY23" s="83" t="s">
        <v>443</v>
      </c>
      <c r="CZ23" s="83" t="s">
        <v>469</v>
      </c>
      <c r="DA23" s="67">
        <v>65</v>
      </c>
      <c r="DB23" s="88">
        <f>(DonnéesDessin[[#This Row],[Résultat Niveau 1]]+DonnéesDessin[[#This Row],[Résultat Avancé]])/DonnéesDessin[[#This Row],[Durée BC AC19 (en min)]]</f>
        <v>2.0153846153846153</v>
      </c>
    </row>
    <row r="24" spans="1:106">
      <c r="A24" s="62" t="str">
        <f>DonnéesDessin[[#This Row],[Prénom]]&amp;" "&amp;DonnéesDessin[[#This Row],[Nom]]</f>
        <v>Fabrice Roulin</v>
      </c>
      <c r="B24" s="63" t="s">
        <v>111</v>
      </c>
      <c r="C24" s="63" t="s">
        <v>90</v>
      </c>
      <c r="D24" s="63" t="s">
        <v>57</v>
      </c>
      <c r="E24" s="64">
        <v>41883</v>
      </c>
      <c r="F24" s="64" t="s">
        <v>41</v>
      </c>
      <c r="G24" s="63" t="s">
        <v>90</v>
      </c>
      <c r="H24" s="63" t="s">
        <v>51</v>
      </c>
      <c r="I24" s="65" t="s">
        <v>73</v>
      </c>
      <c r="J24" s="65">
        <v>17</v>
      </c>
      <c r="K24" s="66" t="s">
        <v>41</v>
      </c>
      <c r="L24" s="67">
        <f>DonnéesDessin[[#This Row],[PTS]]</f>
        <v>43</v>
      </c>
      <c r="M24" s="68" t="s">
        <v>52</v>
      </c>
      <c r="N24" s="63">
        <v>0</v>
      </c>
      <c r="O24" s="63" t="s">
        <v>45</v>
      </c>
      <c r="P24" s="63">
        <v>0</v>
      </c>
      <c r="Q24" s="63" t="s">
        <v>45</v>
      </c>
      <c r="R24" s="63">
        <v>0</v>
      </c>
      <c r="S24" s="63" t="s">
        <v>45</v>
      </c>
      <c r="T24" s="69">
        <v>0</v>
      </c>
      <c r="U24" s="68" t="s">
        <v>248</v>
      </c>
      <c r="V24" s="70">
        <v>42319</v>
      </c>
      <c r="W24" s="63" t="s">
        <v>257</v>
      </c>
      <c r="X24" s="63" t="s">
        <v>44</v>
      </c>
      <c r="Y24" s="68" t="s">
        <v>248</v>
      </c>
      <c r="Z24" s="71">
        <v>42390</v>
      </c>
      <c r="AA24" s="67" t="s">
        <v>257</v>
      </c>
      <c r="AB24" s="69" t="s">
        <v>44</v>
      </c>
      <c r="AC24" s="68" t="s">
        <v>248</v>
      </c>
      <c r="AD24" s="11" t="s">
        <v>323</v>
      </c>
      <c r="AE24" s="67" t="s">
        <v>259</v>
      </c>
      <c r="AF24" s="69" t="s">
        <v>343</v>
      </c>
      <c r="AG24" s="68" t="s">
        <v>248</v>
      </c>
      <c r="AH24" s="72">
        <v>42439</v>
      </c>
      <c r="AI24" s="67" t="s">
        <v>257</v>
      </c>
      <c r="AJ24" s="69" t="s">
        <v>44</v>
      </c>
      <c r="AK24" s="68" t="s">
        <v>248</v>
      </c>
      <c r="AL24" s="67" t="s">
        <v>332</v>
      </c>
      <c r="AM24" s="67" t="s">
        <v>257</v>
      </c>
      <c r="AN24" s="69" t="s">
        <v>44</v>
      </c>
      <c r="AO24" s="68" t="s">
        <v>248</v>
      </c>
      <c r="AP24" s="67" t="s">
        <v>338</v>
      </c>
      <c r="AQ24" s="67" t="s">
        <v>257</v>
      </c>
      <c r="AR24" s="69" t="s">
        <v>44</v>
      </c>
      <c r="AS24" s="68" t="s">
        <v>248</v>
      </c>
      <c r="AT24" s="67" t="s">
        <v>416</v>
      </c>
      <c r="AU24" s="67" t="s">
        <v>257</v>
      </c>
      <c r="AV24" s="69" t="s">
        <v>44</v>
      </c>
      <c r="AW24" s="68" t="s">
        <v>248</v>
      </c>
      <c r="AX24" s="67" t="s">
        <v>424</v>
      </c>
      <c r="AY24" s="67" t="s">
        <v>257</v>
      </c>
      <c r="AZ24" s="69" t="s">
        <v>44</v>
      </c>
      <c r="BA24" s="68" t="s">
        <v>256</v>
      </c>
      <c r="BB24" s="67" t="s">
        <v>41</v>
      </c>
      <c r="BC24" s="67" t="s">
        <v>259</v>
      </c>
      <c r="BD24" s="69" t="s">
        <v>41</v>
      </c>
      <c r="BE24" s="68" t="s">
        <v>256</v>
      </c>
      <c r="BF24" s="67" t="s">
        <v>41</v>
      </c>
      <c r="BG24" s="67" t="s">
        <v>259</v>
      </c>
      <c r="BH24" s="69" t="s">
        <v>41</v>
      </c>
      <c r="BI24" s="68" t="s">
        <v>256</v>
      </c>
      <c r="BJ24" s="67" t="s">
        <v>41</v>
      </c>
      <c r="BK24" s="67" t="s">
        <v>259</v>
      </c>
      <c r="BL24" s="69" t="s">
        <v>41</v>
      </c>
      <c r="BM24" s="68" t="s">
        <v>65</v>
      </c>
      <c r="BN24" s="67" t="s">
        <v>65</v>
      </c>
      <c r="BO24" s="67" t="s">
        <v>51</v>
      </c>
      <c r="BP24" s="67" t="s">
        <v>248</v>
      </c>
      <c r="BQ24" s="64">
        <v>42349</v>
      </c>
      <c r="BR24" s="63" t="s">
        <v>283</v>
      </c>
      <c r="BS24" s="63" t="s">
        <v>257</v>
      </c>
      <c r="BT24" s="68">
        <f>Nombrecours</f>
        <v>10</v>
      </c>
      <c r="BU24" s="63">
        <f>COUNTIF(DonnéesDessin[[#This Row],[Réponse doodle 01]:[Présence MàN AC]],"Excusé")</f>
        <v>0</v>
      </c>
      <c r="BV24" s="63">
        <f>COUNTIF(DonnéesDessin[[#This Row],[Réponse doodle 01]:[Présence MàN AC]],"N-employé")</f>
        <v>0</v>
      </c>
      <c r="BW24" s="63">
        <f>DonnéesDessin[[#This Row],[Nombre de cours]]-DonnéesDessin[[#This Row],[Nombre excusé]]-DonnéesDessin[[#This Row],[Nombre N-employé]]</f>
        <v>10</v>
      </c>
      <c r="BX24" s="69">
        <f>COUNTIF(DonnéesDessin[[#This Row],[Réponse doodle 01]:[Présence MàN AC]],"Présent")</f>
        <v>8</v>
      </c>
      <c r="BY24" s="68">
        <f>COUNTIF(DonnéesDessin[[#This Row],[Réponse doodle 01]:[Présence MàN AC]],"Inscrit")</f>
        <v>9</v>
      </c>
      <c r="BZ24" s="67">
        <f>3*DonnéesDessin[[#This Row],[Inscrit]]</f>
        <v>27</v>
      </c>
      <c r="CA24" s="67">
        <f>COUNTIF(DonnéesDessin[[#This Row],[Réponse doodle 01]:[Présence MàN AC]],"R pas nécessaire")</f>
        <v>0</v>
      </c>
      <c r="CB24" s="67">
        <f>SUM(3*DonnéesDessin[[#This Row],[R pas nécessaire]])</f>
        <v>0</v>
      </c>
      <c r="CC24" s="67">
        <f>COUNTIF(DonnéesDessin[[#This Row],[Réponse doodle 01]:[Présence MàN AC]],"Indisponible")</f>
        <v>0</v>
      </c>
      <c r="CD24" s="67">
        <f>2*DonnéesDessin[[#This Row],[Indisponible]]</f>
        <v>0</v>
      </c>
      <c r="CE24" s="67">
        <f>COUNTIF(DonnéesDessin[[#This Row],[Réponse doodle 01]:[Présence MàN AC]],"Ne peut s'inscrire")</f>
        <v>0</v>
      </c>
      <c r="CF24" s="67">
        <f>1*DonnéesDessin[[#This Row],[Ne peut s''inscrire]]</f>
        <v>0</v>
      </c>
      <c r="CG24" s="67">
        <f>COUNTIF(DonnéesDessin[[#This Row],[Réponse doodle 01]:[Présence MàN AC]],"Sans information")</f>
        <v>3</v>
      </c>
      <c r="CH24" s="67">
        <f>0*DonnéesDessin[[#This Row],[Sans information]]</f>
        <v>0</v>
      </c>
      <c r="CI24" s="67">
        <f>COUNTIF(DonnéesDessin[[#This Row],[Réponse doodle 01]:[Présence MàN AC]],"Présent")</f>
        <v>8</v>
      </c>
      <c r="CJ24" s="67">
        <f>2*DonnéesDessin[[#This Row],[Présent]]</f>
        <v>16</v>
      </c>
      <c r="CK24" s="67">
        <f>COUNTIF(DonnéesDessin[[#This Row],[Réponse doodle 01]:[Présence MàN AC]],"P pas nécessaire")</f>
        <v>0</v>
      </c>
      <c r="CL24" s="67">
        <f>2*DonnéesDessin[[#This Row],[P pas nécessaire]]</f>
        <v>0</v>
      </c>
      <c r="CM24" s="67">
        <f>COUNTIF(DonnéesDessin[[#This Row],[Réponse doodle 01]:[Présence MàN AC]],"Excusé")</f>
        <v>0</v>
      </c>
      <c r="CN24" s="67">
        <f>1*DonnéesDessin[[#This Row],[Excusé]]</f>
        <v>0</v>
      </c>
      <c r="CO24" s="67">
        <f>COUNTIF(DonnéesDessin[[#This Row],[Réponse doodle 01]:[Présence MàN AC]],"Pas présent")</f>
        <v>4</v>
      </c>
      <c r="CP24" s="67">
        <f>0*DonnéesDessin[[#This Row],[Pas présent]]</f>
        <v>0</v>
      </c>
      <c r="CQ24"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43</v>
      </c>
      <c r="CR24" s="78">
        <v>42579</v>
      </c>
      <c r="CS24" s="79" t="s">
        <v>438</v>
      </c>
      <c r="CT24" s="67" t="s">
        <v>257</v>
      </c>
      <c r="CU24" s="67">
        <v>1</v>
      </c>
      <c r="CV24" s="84">
        <v>86</v>
      </c>
      <c r="CW24" s="84">
        <v>84</v>
      </c>
      <c r="CX24" s="84">
        <f>SUBTOTAL(9,DonnéesDessin[[#This Row],[Résultat Niveau 1]:[Résultat Avancé]])</f>
        <v>170</v>
      </c>
      <c r="CY24" s="84" t="s">
        <v>438</v>
      </c>
      <c r="CZ24" s="84" t="s">
        <v>488</v>
      </c>
      <c r="DA24" s="67">
        <v>40</v>
      </c>
      <c r="DB24" s="88">
        <f>(DonnéesDessin[[#This Row],[Résultat Niveau 1]]+DonnéesDessin[[#This Row],[Résultat Avancé]])/DonnéesDessin[[#This Row],[Durée BC AC19 (en min)]]</f>
        <v>4.25</v>
      </c>
    </row>
    <row r="25" spans="1:106">
      <c r="A25" s="62" t="str">
        <f>DonnéesDessin[[#This Row],[Prénom]]&amp;" "&amp;DonnéesDessin[[#This Row],[Nom]]</f>
        <v>Florian Papp</v>
      </c>
      <c r="B25" s="63" t="s">
        <v>112</v>
      </c>
      <c r="C25" s="63" t="s">
        <v>113</v>
      </c>
      <c r="D25" s="63" t="s">
        <v>63</v>
      </c>
      <c r="E25" s="64">
        <v>42221</v>
      </c>
      <c r="F25" s="64" t="s">
        <v>41</v>
      </c>
      <c r="G25" s="63" t="s">
        <v>90</v>
      </c>
      <c r="H25" s="63" t="s">
        <v>51</v>
      </c>
      <c r="I25" s="65" t="s">
        <v>43</v>
      </c>
      <c r="J25" s="65">
        <v>18</v>
      </c>
      <c r="K25" s="66" t="s">
        <v>346</v>
      </c>
      <c r="L25" s="67">
        <f>DonnéesDessin[[#This Row],[PTS]]</f>
        <v>18</v>
      </c>
      <c r="M25" s="68" t="s">
        <v>52</v>
      </c>
      <c r="N25" s="63">
        <v>0</v>
      </c>
      <c r="O25" s="63" t="s">
        <v>45</v>
      </c>
      <c r="P25" s="63">
        <v>0</v>
      </c>
      <c r="Q25" s="63" t="s">
        <v>45</v>
      </c>
      <c r="R25" s="63">
        <v>0</v>
      </c>
      <c r="S25" s="63" t="s">
        <v>45</v>
      </c>
      <c r="T25" s="69">
        <v>0</v>
      </c>
      <c r="U25" s="68" t="s">
        <v>248</v>
      </c>
      <c r="V25" s="70">
        <v>42320</v>
      </c>
      <c r="W25" s="63" t="s">
        <v>257</v>
      </c>
      <c r="X25" s="63" t="s">
        <v>44</v>
      </c>
      <c r="Y25" s="68" t="s">
        <v>248</v>
      </c>
      <c r="Z25" s="71">
        <v>42390</v>
      </c>
      <c r="AA25" s="67" t="s">
        <v>257</v>
      </c>
      <c r="AB25" s="69" t="s">
        <v>44</v>
      </c>
      <c r="AC25" s="68" t="s">
        <v>256</v>
      </c>
      <c r="AD25" s="11" t="s">
        <v>41</v>
      </c>
      <c r="AE25" s="67" t="s">
        <v>259</v>
      </c>
      <c r="AF25" s="69" t="s">
        <v>341</v>
      </c>
      <c r="AG25" s="68" t="s">
        <v>256</v>
      </c>
      <c r="AH25" s="67" t="s">
        <v>41</v>
      </c>
      <c r="AI25" s="67" t="s">
        <v>259</v>
      </c>
      <c r="AJ25" s="69" t="s">
        <v>341</v>
      </c>
      <c r="AK25" s="68" t="s">
        <v>256</v>
      </c>
      <c r="AL25" s="67" t="s">
        <v>41</v>
      </c>
      <c r="AM25" s="67" t="s">
        <v>259</v>
      </c>
      <c r="AN25" s="69" t="s">
        <v>341</v>
      </c>
      <c r="AO25" s="68" t="s">
        <v>248</v>
      </c>
      <c r="AP25" s="67" t="s">
        <v>336</v>
      </c>
      <c r="AQ25" s="67" t="s">
        <v>257</v>
      </c>
      <c r="AR25" s="69" t="s">
        <v>44</v>
      </c>
      <c r="AS25" s="68" t="s">
        <v>256</v>
      </c>
      <c r="AT25" s="67" t="s">
        <v>41</v>
      </c>
      <c r="AU25" s="67" t="s">
        <v>259</v>
      </c>
      <c r="AV25" s="69" t="s">
        <v>341</v>
      </c>
      <c r="AW25" s="68" t="s">
        <v>256</v>
      </c>
      <c r="AX25" s="67" t="s">
        <v>41</v>
      </c>
      <c r="AY25" s="67" t="s">
        <v>259</v>
      </c>
      <c r="AZ25" s="69" t="s">
        <v>431</v>
      </c>
      <c r="BA25" s="68" t="s">
        <v>256</v>
      </c>
      <c r="BB25" s="67" t="s">
        <v>41</v>
      </c>
      <c r="BC25" s="67" t="s">
        <v>259</v>
      </c>
      <c r="BD25" s="69" t="s">
        <v>41</v>
      </c>
      <c r="BE25" s="68" t="s">
        <v>256</v>
      </c>
      <c r="BF25" s="67" t="s">
        <v>41</v>
      </c>
      <c r="BG25" s="67" t="s">
        <v>259</v>
      </c>
      <c r="BH25" s="69" t="s">
        <v>41</v>
      </c>
      <c r="BI25" s="68" t="s">
        <v>256</v>
      </c>
      <c r="BJ25" s="67" t="s">
        <v>41</v>
      </c>
      <c r="BK25" s="67" t="s">
        <v>259</v>
      </c>
      <c r="BL25" s="69" t="s">
        <v>41</v>
      </c>
      <c r="BM25" s="68" t="s">
        <v>65</v>
      </c>
      <c r="BN25" s="67" t="s">
        <v>65</v>
      </c>
      <c r="BO25" s="67" t="s">
        <v>51</v>
      </c>
      <c r="BP25" s="67" t="s">
        <v>248</v>
      </c>
      <c r="BQ25" s="64">
        <v>42349</v>
      </c>
      <c r="BR25" s="63" t="s">
        <v>284</v>
      </c>
      <c r="BS25" s="63" t="s">
        <v>259</v>
      </c>
      <c r="BT25" s="68">
        <f>Nombrecours</f>
        <v>10</v>
      </c>
      <c r="BU25" s="63">
        <f>COUNTIF(DonnéesDessin[[#This Row],[Réponse doodle 01]:[Présence MàN AC]],"Excusé")</f>
        <v>0</v>
      </c>
      <c r="BV25" s="63">
        <f>COUNTIF(DonnéesDessin[[#This Row],[Réponse doodle 01]:[Présence MàN AC]],"N-employé")</f>
        <v>0</v>
      </c>
      <c r="BW25" s="63">
        <f>DonnéesDessin[[#This Row],[Nombre de cours]]-DonnéesDessin[[#This Row],[Nombre excusé]]-DonnéesDessin[[#This Row],[Nombre N-employé]]</f>
        <v>10</v>
      </c>
      <c r="BX25" s="69">
        <f>COUNTIF(DonnéesDessin[[#This Row],[Réponse doodle 01]:[Présence MàN AC]],"Présent")</f>
        <v>3</v>
      </c>
      <c r="BY25" s="68">
        <f>COUNTIF(DonnéesDessin[[#This Row],[Réponse doodle 01]:[Présence MàN AC]],"Inscrit")</f>
        <v>4</v>
      </c>
      <c r="BZ25" s="67">
        <f>3*DonnéesDessin[[#This Row],[Inscrit]]</f>
        <v>12</v>
      </c>
      <c r="CA25" s="67">
        <f>COUNTIF(DonnéesDessin[[#This Row],[Réponse doodle 01]:[Présence MàN AC]],"R pas nécessaire")</f>
        <v>0</v>
      </c>
      <c r="CB25" s="67">
        <f>SUM(3*DonnéesDessin[[#This Row],[R pas nécessaire]])</f>
        <v>0</v>
      </c>
      <c r="CC25" s="67">
        <f>COUNTIF(DonnéesDessin[[#This Row],[Réponse doodle 01]:[Présence MàN AC]],"Indisponible")</f>
        <v>0</v>
      </c>
      <c r="CD25" s="67">
        <f>2*DonnéesDessin[[#This Row],[Indisponible]]</f>
        <v>0</v>
      </c>
      <c r="CE25" s="67">
        <f>COUNTIF(DonnéesDessin[[#This Row],[Réponse doodle 01]:[Présence MàN AC]],"Ne peut s'inscrire")</f>
        <v>0</v>
      </c>
      <c r="CF25" s="67">
        <f>1*DonnéesDessin[[#This Row],[Ne peut s''inscrire]]</f>
        <v>0</v>
      </c>
      <c r="CG25" s="67">
        <f>COUNTIF(DonnéesDessin[[#This Row],[Réponse doodle 01]:[Présence MàN AC]],"Sans information")</f>
        <v>8</v>
      </c>
      <c r="CH25" s="67">
        <f>0*DonnéesDessin[[#This Row],[Sans information]]</f>
        <v>0</v>
      </c>
      <c r="CI25" s="67">
        <f>COUNTIF(DonnéesDessin[[#This Row],[Réponse doodle 01]:[Présence MàN AC]],"Présent")</f>
        <v>3</v>
      </c>
      <c r="CJ25" s="67">
        <f>2*DonnéesDessin[[#This Row],[Présent]]</f>
        <v>6</v>
      </c>
      <c r="CK25" s="67">
        <f>COUNTIF(DonnéesDessin[[#This Row],[Réponse doodle 01]:[Présence MàN AC]],"P pas nécessaire")</f>
        <v>0</v>
      </c>
      <c r="CL25" s="67">
        <f>2*DonnéesDessin[[#This Row],[P pas nécessaire]]</f>
        <v>0</v>
      </c>
      <c r="CM25" s="67">
        <f>COUNTIF(DonnéesDessin[[#This Row],[Réponse doodle 01]:[Présence MàN AC]],"Excusé")</f>
        <v>0</v>
      </c>
      <c r="CN25" s="67">
        <f>1*DonnéesDessin[[#This Row],[Excusé]]</f>
        <v>0</v>
      </c>
      <c r="CO25" s="67">
        <f>COUNTIF(DonnéesDessin[[#This Row],[Réponse doodle 01]:[Présence MàN AC]],"Pas présent")</f>
        <v>9</v>
      </c>
      <c r="CP25" s="67">
        <f>0*DonnéesDessin[[#This Row],[Pas présent]]</f>
        <v>0</v>
      </c>
      <c r="CQ25"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18</v>
      </c>
      <c r="CR25" s="78">
        <v>42600</v>
      </c>
      <c r="CS25" s="67" t="s">
        <v>442</v>
      </c>
      <c r="CT25" s="67" t="s">
        <v>257</v>
      </c>
      <c r="CU25" s="67">
        <v>2</v>
      </c>
      <c r="CV25" s="84">
        <v>80</v>
      </c>
      <c r="CW25" s="84">
        <v>76</v>
      </c>
      <c r="CX25" s="84">
        <f>SUBTOTAL(9,DonnéesDessin[[#This Row],[Résultat Niveau 1]:[Résultat Avancé]])</f>
        <v>156</v>
      </c>
      <c r="CY25" s="84" t="s">
        <v>442</v>
      </c>
      <c r="CZ25" s="84" t="s">
        <v>497</v>
      </c>
      <c r="DA25" s="67">
        <v>65</v>
      </c>
      <c r="DB25" s="88">
        <f>(DonnéesDessin[[#This Row],[Résultat Niveau 1]]+DonnéesDessin[[#This Row],[Résultat Avancé]])/DonnéesDessin[[#This Row],[Durée BC AC19 (en min)]]</f>
        <v>2.4</v>
      </c>
    </row>
    <row r="26" spans="1:106">
      <c r="A26" s="62" t="str">
        <f>DonnéesDessin[[#This Row],[Prénom]]&amp;" "&amp;DonnéesDessin[[#This Row],[Nom]]</f>
        <v>Gilles Genoux</v>
      </c>
      <c r="B26" s="63" t="s">
        <v>114</v>
      </c>
      <c r="C26" s="63" t="s">
        <v>115</v>
      </c>
      <c r="D26" s="63" t="s">
        <v>49</v>
      </c>
      <c r="E26" s="64" t="s">
        <v>41</v>
      </c>
      <c r="F26" s="64" t="s">
        <v>41</v>
      </c>
      <c r="G26" s="63"/>
      <c r="H26" s="63" t="s">
        <v>51</v>
      </c>
      <c r="I26" s="65" t="s">
        <v>43</v>
      </c>
      <c r="J26" s="65">
        <v>17</v>
      </c>
      <c r="K26" s="66" t="s">
        <v>391</v>
      </c>
      <c r="L26" s="67">
        <f>DonnéesDessin[[#This Row],[PTS]]</f>
        <v>41</v>
      </c>
      <c r="M26" s="68" t="s">
        <v>52</v>
      </c>
      <c r="N26" s="63">
        <v>0</v>
      </c>
      <c r="O26" s="63" t="s">
        <v>45</v>
      </c>
      <c r="P26" s="63">
        <v>0</v>
      </c>
      <c r="Q26" s="63" t="s">
        <v>45</v>
      </c>
      <c r="R26" s="63">
        <v>0</v>
      </c>
      <c r="S26" s="63" t="s">
        <v>45</v>
      </c>
      <c r="T26" s="69">
        <v>0</v>
      </c>
      <c r="U26" s="68" t="s">
        <v>248</v>
      </c>
      <c r="V26" s="70">
        <v>42325</v>
      </c>
      <c r="W26" s="63" t="s">
        <v>258</v>
      </c>
      <c r="X26" s="63" t="s">
        <v>390</v>
      </c>
      <c r="Y26" s="68" t="s">
        <v>248</v>
      </c>
      <c r="Z26" s="71">
        <v>42382</v>
      </c>
      <c r="AA26" s="67" t="s">
        <v>257</v>
      </c>
      <c r="AB26" s="69" t="s">
        <v>44</v>
      </c>
      <c r="AC26" s="68" t="s">
        <v>248</v>
      </c>
      <c r="AD26" s="71">
        <v>42417</v>
      </c>
      <c r="AE26" s="67" t="s">
        <v>257</v>
      </c>
      <c r="AF26" s="69" t="s">
        <v>44</v>
      </c>
      <c r="AG26" s="68" t="s">
        <v>248</v>
      </c>
      <c r="AH26" s="72">
        <v>42439</v>
      </c>
      <c r="AI26" s="67" t="s">
        <v>257</v>
      </c>
      <c r="AJ26" s="69" t="s">
        <v>44</v>
      </c>
      <c r="AK26" s="68" t="s">
        <v>248</v>
      </c>
      <c r="AL26" s="67" t="s">
        <v>334</v>
      </c>
      <c r="AM26" s="67" t="s">
        <v>257</v>
      </c>
      <c r="AN26" s="69" t="s">
        <v>381</v>
      </c>
      <c r="AO26" s="68" t="s">
        <v>248</v>
      </c>
      <c r="AP26" s="67" t="s">
        <v>335</v>
      </c>
      <c r="AQ26" s="67" t="s">
        <v>257</v>
      </c>
      <c r="AR26" s="69" t="s">
        <v>44</v>
      </c>
      <c r="AS26" s="68" t="s">
        <v>248</v>
      </c>
      <c r="AT26" s="67" t="s">
        <v>416</v>
      </c>
      <c r="AU26" s="67" t="s">
        <v>259</v>
      </c>
      <c r="AV26" s="69" t="s">
        <v>343</v>
      </c>
      <c r="AW26" s="68" t="s">
        <v>248</v>
      </c>
      <c r="AX26" s="67" t="s">
        <v>430</v>
      </c>
      <c r="AY26" s="67" t="s">
        <v>257</v>
      </c>
      <c r="AZ26" s="69" t="s">
        <v>44</v>
      </c>
      <c r="BA26" s="68" t="s">
        <v>256</v>
      </c>
      <c r="BB26" s="67" t="s">
        <v>41</v>
      </c>
      <c r="BC26" s="67" t="s">
        <v>259</v>
      </c>
      <c r="BD26" s="69" t="s">
        <v>41</v>
      </c>
      <c r="BE26" s="68" t="s">
        <v>256</v>
      </c>
      <c r="BF26" s="67" t="s">
        <v>41</v>
      </c>
      <c r="BG26" s="67" t="s">
        <v>259</v>
      </c>
      <c r="BH26" s="69" t="s">
        <v>41</v>
      </c>
      <c r="BI26" s="68" t="s">
        <v>256</v>
      </c>
      <c r="BJ26" s="67" t="s">
        <v>41</v>
      </c>
      <c r="BK26" s="67" t="s">
        <v>259</v>
      </c>
      <c r="BL26" s="69" t="s">
        <v>41</v>
      </c>
      <c r="BM26" s="68" t="s">
        <v>65</v>
      </c>
      <c r="BN26" s="67" t="s">
        <v>65</v>
      </c>
      <c r="BO26" s="67" t="s">
        <v>51</v>
      </c>
      <c r="BP26" s="67" t="s">
        <v>248</v>
      </c>
      <c r="BQ26" s="64">
        <v>42349</v>
      </c>
      <c r="BR26" s="63" t="s">
        <v>283</v>
      </c>
      <c r="BS26" s="63" t="s">
        <v>258</v>
      </c>
      <c r="BT26" s="68">
        <f>Nombrecours</f>
        <v>10</v>
      </c>
      <c r="BU26" s="63">
        <f>COUNTIF(DonnéesDessin[[#This Row],[Réponse doodle 01]:[Présence MàN AC]],"Excusé")</f>
        <v>2</v>
      </c>
      <c r="BV26" s="63">
        <f>COUNTIF(DonnéesDessin[[#This Row],[Réponse doodle 01]:[Présence MàN AC]],"N-employé")</f>
        <v>0</v>
      </c>
      <c r="BW26" s="63">
        <f>DonnéesDessin[[#This Row],[Nombre de cours]]-DonnéesDessin[[#This Row],[Nombre excusé]]-DonnéesDessin[[#This Row],[Nombre N-employé]]</f>
        <v>8</v>
      </c>
      <c r="BX26" s="69">
        <f>COUNTIF(DonnéesDessin[[#This Row],[Réponse doodle 01]:[Présence MàN AC]],"Présent")</f>
        <v>6</v>
      </c>
      <c r="BY26" s="68">
        <f>COUNTIF(DonnéesDessin[[#This Row],[Réponse doodle 01]:[Présence MàN AC]],"Inscrit")</f>
        <v>9</v>
      </c>
      <c r="BZ26" s="67">
        <f>3*DonnéesDessin[[#This Row],[Inscrit]]</f>
        <v>27</v>
      </c>
      <c r="CA26" s="67">
        <f>COUNTIF(DonnéesDessin[[#This Row],[Réponse doodle 01]:[Présence MàN AC]],"R pas nécessaire")</f>
        <v>0</v>
      </c>
      <c r="CB26" s="67">
        <f>SUM(3*DonnéesDessin[[#This Row],[R pas nécessaire]])</f>
        <v>0</v>
      </c>
      <c r="CC26" s="67">
        <f>COUNTIF(DonnéesDessin[[#This Row],[Réponse doodle 01]:[Présence MàN AC]],"Indisponible")</f>
        <v>0</v>
      </c>
      <c r="CD26" s="67">
        <f>2*DonnéesDessin[[#This Row],[Indisponible]]</f>
        <v>0</v>
      </c>
      <c r="CE26" s="67">
        <f>COUNTIF(DonnéesDessin[[#This Row],[Réponse doodle 01]:[Présence MàN AC]],"Ne peut s'inscrire")</f>
        <v>0</v>
      </c>
      <c r="CF26" s="67">
        <f>1*DonnéesDessin[[#This Row],[Ne peut s''inscrire]]</f>
        <v>0</v>
      </c>
      <c r="CG26" s="67">
        <f>COUNTIF(DonnéesDessin[[#This Row],[Réponse doodle 01]:[Présence MàN AC]],"Sans information")</f>
        <v>3</v>
      </c>
      <c r="CH26" s="67">
        <f>0*DonnéesDessin[[#This Row],[Sans information]]</f>
        <v>0</v>
      </c>
      <c r="CI26" s="67">
        <f>COUNTIF(DonnéesDessin[[#This Row],[Réponse doodle 01]:[Présence MàN AC]],"Présent")</f>
        <v>6</v>
      </c>
      <c r="CJ26" s="67">
        <f>2*DonnéesDessin[[#This Row],[Présent]]</f>
        <v>12</v>
      </c>
      <c r="CK26" s="67">
        <f>COUNTIF(DonnéesDessin[[#This Row],[Réponse doodle 01]:[Présence MàN AC]],"P pas nécessaire")</f>
        <v>0</v>
      </c>
      <c r="CL26" s="67">
        <f>2*DonnéesDessin[[#This Row],[P pas nécessaire]]</f>
        <v>0</v>
      </c>
      <c r="CM26" s="67">
        <f>COUNTIF(DonnéesDessin[[#This Row],[Réponse doodle 01]:[Présence MàN AC]],"Excusé")</f>
        <v>2</v>
      </c>
      <c r="CN26" s="67">
        <f>1*DonnéesDessin[[#This Row],[Excusé]]</f>
        <v>2</v>
      </c>
      <c r="CO26" s="67">
        <f>COUNTIF(DonnéesDessin[[#This Row],[Réponse doodle 01]:[Présence MàN AC]],"Pas présent")</f>
        <v>4</v>
      </c>
      <c r="CP26" s="67">
        <f>0*DonnéesDessin[[#This Row],[Pas présent]]</f>
        <v>0</v>
      </c>
      <c r="CQ26"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41</v>
      </c>
      <c r="CR26" s="78">
        <v>42579</v>
      </c>
      <c r="CS26" s="79" t="s">
        <v>440</v>
      </c>
      <c r="CT26" s="67" t="s">
        <v>257</v>
      </c>
      <c r="CU26" s="67">
        <v>4</v>
      </c>
      <c r="CV26" s="84">
        <v>80</v>
      </c>
      <c r="CW26" s="84">
        <v>73</v>
      </c>
      <c r="CX26" s="84">
        <f>SUBTOTAL(9,DonnéesDessin[[#This Row],[Résultat Niveau 1]:[Résultat Avancé]])</f>
        <v>153</v>
      </c>
      <c r="CY26" s="84" t="s">
        <v>440</v>
      </c>
      <c r="CZ26" s="84" t="s">
        <v>494</v>
      </c>
      <c r="DA26" s="67">
        <v>65</v>
      </c>
      <c r="DB26" s="88">
        <f>(DonnéesDessin[[#This Row],[Résultat Niveau 1]]+DonnéesDessin[[#This Row],[Résultat Avancé]])/DonnéesDessin[[#This Row],[Durée BC AC19 (en min)]]</f>
        <v>2.3538461538461539</v>
      </c>
    </row>
    <row r="27" spans="1:106">
      <c r="A27" s="62" t="str">
        <f>DonnéesDessin[[#This Row],[Prénom]]&amp;" "&amp;DonnéesDessin[[#This Row],[Nom]]</f>
        <v>Gregory Goumaz</v>
      </c>
      <c r="B27" s="63" t="s">
        <v>116</v>
      </c>
      <c r="C27" s="63" t="s">
        <v>117</v>
      </c>
      <c r="D27" s="63" t="s">
        <v>57</v>
      </c>
      <c r="E27" s="64" t="s">
        <v>41</v>
      </c>
      <c r="F27" s="64" t="s">
        <v>41</v>
      </c>
      <c r="G27" s="63" t="s">
        <v>50</v>
      </c>
      <c r="H27" s="63" t="s">
        <v>51</v>
      </c>
      <c r="I27" s="65">
        <v>2014</v>
      </c>
      <c r="J27" s="65">
        <v>16</v>
      </c>
      <c r="K27" s="66" t="s">
        <v>41</v>
      </c>
      <c r="L27" s="67">
        <f>DonnéesDessin[[#This Row],[PTS]]</f>
        <v>49</v>
      </c>
      <c r="M27" s="68" t="s">
        <v>52</v>
      </c>
      <c r="N27" s="63">
        <v>0</v>
      </c>
      <c r="O27" s="63" t="s">
        <v>45</v>
      </c>
      <c r="P27" s="63">
        <v>0</v>
      </c>
      <c r="Q27" s="63" t="s">
        <v>45</v>
      </c>
      <c r="R27" s="63">
        <v>0</v>
      </c>
      <c r="S27" s="63" t="s">
        <v>45</v>
      </c>
      <c r="T27" s="69">
        <v>0</v>
      </c>
      <c r="U27" s="68" t="s">
        <v>248</v>
      </c>
      <c r="V27" s="70">
        <v>42319</v>
      </c>
      <c r="W27" s="63" t="s">
        <v>257</v>
      </c>
      <c r="X27" s="63" t="s">
        <v>44</v>
      </c>
      <c r="Y27" s="68" t="s">
        <v>248</v>
      </c>
      <c r="Z27" s="71">
        <v>42398</v>
      </c>
      <c r="AA27" s="67" t="s">
        <v>257</v>
      </c>
      <c r="AB27" s="69" t="s">
        <v>44</v>
      </c>
      <c r="AC27" s="68" t="s">
        <v>248</v>
      </c>
      <c r="AD27" s="11" t="s">
        <v>323</v>
      </c>
      <c r="AE27" s="67" t="s">
        <v>258</v>
      </c>
      <c r="AF27" s="69" t="s">
        <v>376</v>
      </c>
      <c r="AG27" s="68" t="s">
        <v>248</v>
      </c>
      <c r="AH27" s="72">
        <v>42439</v>
      </c>
      <c r="AI27" s="67" t="s">
        <v>257</v>
      </c>
      <c r="AJ27" s="69" t="s">
        <v>44</v>
      </c>
      <c r="AK27" s="68" t="s">
        <v>248</v>
      </c>
      <c r="AL27" s="67" t="s">
        <v>332</v>
      </c>
      <c r="AM27" s="67" t="s">
        <v>257</v>
      </c>
      <c r="AN27" s="69" t="s">
        <v>44</v>
      </c>
      <c r="AO27" s="68" t="s">
        <v>248</v>
      </c>
      <c r="AP27" s="67" t="s">
        <v>336</v>
      </c>
      <c r="AQ27" s="67" t="s">
        <v>257</v>
      </c>
      <c r="AR27" s="69" t="s">
        <v>44</v>
      </c>
      <c r="AS27" s="68" t="s">
        <v>248</v>
      </c>
      <c r="AT27" s="67" t="s">
        <v>415</v>
      </c>
      <c r="AU27" s="67" t="s">
        <v>257</v>
      </c>
      <c r="AV27" s="69" t="s">
        <v>44</v>
      </c>
      <c r="AW27" s="68" t="s">
        <v>248</v>
      </c>
      <c r="AX27" s="67" t="s">
        <v>424</v>
      </c>
      <c r="AY27" s="67" t="s">
        <v>257</v>
      </c>
      <c r="AZ27" s="69" t="s">
        <v>44</v>
      </c>
      <c r="BA27" s="68" t="s">
        <v>256</v>
      </c>
      <c r="BB27" s="67" t="s">
        <v>41</v>
      </c>
      <c r="BC27" s="67" t="s">
        <v>259</v>
      </c>
      <c r="BD27" s="69" t="s">
        <v>41</v>
      </c>
      <c r="BE27" s="68" t="s">
        <v>256</v>
      </c>
      <c r="BF27" s="67" t="s">
        <v>41</v>
      </c>
      <c r="BG27" s="67" t="s">
        <v>259</v>
      </c>
      <c r="BH27" s="69" t="s">
        <v>41</v>
      </c>
      <c r="BI27" s="68" t="s">
        <v>248</v>
      </c>
      <c r="BJ27" s="72">
        <v>42564</v>
      </c>
      <c r="BK27" s="67" t="s">
        <v>257</v>
      </c>
      <c r="BL27" s="69" t="s">
        <v>44</v>
      </c>
      <c r="BM27" s="68" t="s">
        <v>53</v>
      </c>
      <c r="BN27" s="67" t="s">
        <v>53</v>
      </c>
      <c r="BO27" s="67" t="s">
        <v>51</v>
      </c>
      <c r="BP27" s="67" t="s">
        <v>248</v>
      </c>
      <c r="BQ27" s="64">
        <v>42347</v>
      </c>
      <c r="BR27" s="63" t="s">
        <v>286</v>
      </c>
      <c r="BS27" s="63" t="s">
        <v>257</v>
      </c>
      <c r="BT27" s="68">
        <f>Nombrecours</f>
        <v>10</v>
      </c>
      <c r="BU27" s="63">
        <f>COUNTIF(DonnéesDessin[[#This Row],[Réponse doodle 01]:[Présence MàN AC]],"Excusé")</f>
        <v>1</v>
      </c>
      <c r="BV27" s="63">
        <f>COUNTIF(DonnéesDessin[[#This Row],[Réponse doodle 01]:[Présence MàN AC]],"N-employé")</f>
        <v>0</v>
      </c>
      <c r="BW27" s="63">
        <f>DonnéesDessin[[#This Row],[Nombre de cours]]-DonnéesDessin[[#This Row],[Nombre excusé]]-DonnéesDessin[[#This Row],[Nombre N-employé]]</f>
        <v>9</v>
      </c>
      <c r="BX27" s="69">
        <f>COUNTIF(DonnéesDessin[[#This Row],[Réponse doodle 01]:[Présence MàN AC]],"Présent")</f>
        <v>9</v>
      </c>
      <c r="BY27" s="68">
        <f>COUNTIF(DonnéesDessin[[#This Row],[Réponse doodle 01]:[Présence MàN AC]],"Inscrit")</f>
        <v>10</v>
      </c>
      <c r="BZ27" s="67">
        <f>3*DonnéesDessin[[#This Row],[Inscrit]]</f>
        <v>30</v>
      </c>
      <c r="CA27" s="67">
        <f>COUNTIF(DonnéesDessin[[#This Row],[Réponse doodle 01]:[Présence MàN AC]],"R pas nécessaire")</f>
        <v>0</v>
      </c>
      <c r="CB27" s="67">
        <f>SUM(3*DonnéesDessin[[#This Row],[R pas nécessaire]])</f>
        <v>0</v>
      </c>
      <c r="CC27" s="67">
        <f>COUNTIF(DonnéesDessin[[#This Row],[Réponse doodle 01]:[Présence MàN AC]],"Indisponible")</f>
        <v>0</v>
      </c>
      <c r="CD27" s="67">
        <f>2*DonnéesDessin[[#This Row],[Indisponible]]</f>
        <v>0</v>
      </c>
      <c r="CE27" s="67">
        <f>COUNTIF(DonnéesDessin[[#This Row],[Réponse doodle 01]:[Présence MàN AC]],"Ne peut s'inscrire")</f>
        <v>0</v>
      </c>
      <c r="CF27" s="67">
        <f>1*DonnéesDessin[[#This Row],[Ne peut s''inscrire]]</f>
        <v>0</v>
      </c>
      <c r="CG27" s="67">
        <f>COUNTIF(DonnéesDessin[[#This Row],[Réponse doodle 01]:[Présence MàN AC]],"Sans information")</f>
        <v>2</v>
      </c>
      <c r="CH27" s="67">
        <f>0*DonnéesDessin[[#This Row],[Sans information]]</f>
        <v>0</v>
      </c>
      <c r="CI27" s="67">
        <f>COUNTIF(DonnéesDessin[[#This Row],[Réponse doodle 01]:[Présence MàN AC]],"Présent")</f>
        <v>9</v>
      </c>
      <c r="CJ27" s="67">
        <f>2*DonnéesDessin[[#This Row],[Présent]]</f>
        <v>18</v>
      </c>
      <c r="CK27" s="67">
        <f>COUNTIF(DonnéesDessin[[#This Row],[Réponse doodle 01]:[Présence MàN AC]],"P pas nécessaire")</f>
        <v>0</v>
      </c>
      <c r="CL27" s="67">
        <f>2*DonnéesDessin[[#This Row],[P pas nécessaire]]</f>
        <v>0</v>
      </c>
      <c r="CM27" s="67">
        <f>COUNTIF(DonnéesDessin[[#This Row],[Réponse doodle 01]:[Présence MàN AC]],"Excusé")</f>
        <v>1</v>
      </c>
      <c r="CN27" s="67">
        <f>1*DonnéesDessin[[#This Row],[Excusé]]</f>
        <v>1</v>
      </c>
      <c r="CO27" s="67">
        <f>COUNTIF(DonnéesDessin[[#This Row],[Réponse doodle 01]:[Présence MàN AC]],"Pas présent")</f>
        <v>2</v>
      </c>
      <c r="CP27" s="67">
        <f>0*DonnéesDessin[[#This Row],[Pas présent]]</f>
        <v>0</v>
      </c>
      <c r="CQ27"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49</v>
      </c>
      <c r="CR27" s="78">
        <v>42572</v>
      </c>
      <c r="CS27" s="79" t="s">
        <v>439</v>
      </c>
      <c r="CT27" s="67" t="s">
        <v>257</v>
      </c>
      <c r="CU27" s="67">
        <v>2</v>
      </c>
      <c r="CV27" s="84">
        <v>62</v>
      </c>
      <c r="CW27" s="84">
        <v>57</v>
      </c>
      <c r="CX27" s="84">
        <f>SUBTOTAL(9,DonnéesDessin[[#This Row],[Résultat Niveau 1]:[Résultat Avancé]])</f>
        <v>119</v>
      </c>
      <c r="CY27" s="83" t="s">
        <v>439</v>
      </c>
      <c r="CZ27" s="83" t="s">
        <v>458</v>
      </c>
      <c r="DA27" s="67">
        <v>55</v>
      </c>
      <c r="DB27" s="88">
        <f>(DonnéesDessin[[#This Row],[Résultat Niveau 1]]+DonnéesDessin[[#This Row],[Résultat Avancé]])/DonnéesDessin[[#This Row],[Durée BC AC19 (en min)]]</f>
        <v>2.1636363636363636</v>
      </c>
    </row>
    <row r="28" spans="1:106">
      <c r="A28" s="62" t="str">
        <f>DonnéesDessin[[#This Row],[Prénom]]&amp;" "&amp;DonnéesDessin[[#This Row],[Nom]]</f>
        <v>Hector Herrera</v>
      </c>
      <c r="B28" s="63" t="s">
        <v>118</v>
      </c>
      <c r="C28" s="63" t="s">
        <v>119</v>
      </c>
      <c r="D28" s="63" t="s">
        <v>54</v>
      </c>
      <c r="E28" s="64" t="s">
        <v>41</v>
      </c>
      <c r="F28" s="64" t="s">
        <v>41</v>
      </c>
      <c r="G28" s="63" t="s">
        <v>75</v>
      </c>
      <c r="H28" s="63" t="s">
        <v>51</v>
      </c>
      <c r="I28" s="65" t="s">
        <v>43</v>
      </c>
      <c r="J28" s="65">
        <v>18</v>
      </c>
      <c r="K28" s="63" t="s">
        <v>374</v>
      </c>
      <c r="L28" s="67">
        <f>DonnéesDessin[[#This Row],[PTS]]</f>
        <v>42</v>
      </c>
      <c r="M28" s="68" t="s">
        <v>52</v>
      </c>
      <c r="N28" s="63">
        <v>0</v>
      </c>
      <c r="O28" s="63" t="s">
        <v>45</v>
      </c>
      <c r="P28" s="63">
        <v>0</v>
      </c>
      <c r="Q28" s="63" t="s">
        <v>45</v>
      </c>
      <c r="R28" s="63">
        <v>0</v>
      </c>
      <c r="S28" s="63" t="s">
        <v>45</v>
      </c>
      <c r="T28" s="69">
        <v>0</v>
      </c>
      <c r="U28" s="68" t="s">
        <v>248</v>
      </c>
      <c r="V28" s="70">
        <v>42320</v>
      </c>
      <c r="W28" s="63" t="s">
        <v>257</v>
      </c>
      <c r="X28" s="63" t="s">
        <v>44</v>
      </c>
      <c r="Y28" s="68" t="s">
        <v>248</v>
      </c>
      <c r="Z28" s="71">
        <v>42382</v>
      </c>
      <c r="AA28" s="67" t="s">
        <v>257</v>
      </c>
      <c r="AB28" s="69" t="s">
        <v>44</v>
      </c>
      <c r="AC28" s="68" t="s">
        <v>248</v>
      </c>
      <c r="AD28" s="71">
        <v>42417</v>
      </c>
      <c r="AE28" s="67" t="s">
        <v>257</v>
      </c>
      <c r="AF28" s="69" t="s">
        <v>44</v>
      </c>
      <c r="AG28" s="68" t="s">
        <v>248</v>
      </c>
      <c r="AH28" s="72">
        <v>42439</v>
      </c>
      <c r="AI28" s="67" t="s">
        <v>257</v>
      </c>
      <c r="AJ28" s="69" t="s">
        <v>44</v>
      </c>
      <c r="AK28" s="68" t="s">
        <v>248</v>
      </c>
      <c r="AL28" s="67" t="s">
        <v>331</v>
      </c>
      <c r="AM28" s="67" t="s">
        <v>257</v>
      </c>
      <c r="AN28" s="69" t="s">
        <v>392</v>
      </c>
      <c r="AO28" s="68" t="s">
        <v>248</v>
      </c>
      <c r="AP28" s="67" t="s">
        <v>335</v>
      </c>
      <c r="AQ28" s="67" t="s">
        <v>257</v>
      </c>
      <c r="AR28" s="69" t="s">
        <v>44</v>
      </c>
      <c r="AS28" s="68" t="s">
        <v>256</v>
      </c>
      <c r="AT28" s="67" t="s">
        <v>41</v>
      </c>
      <c r="AU28" s="67" t="s">
        <v>259</v>
      </c>
      <c r="AV28" s="69" t="s">
        <v>341</v>
      </c>
      <c r="AW28" s="68" t="s">
        <v>248</v>
      </c>
      <c r="AX28" s="67" t="s">
        <v>430</v>
      </c>
      <c r="AY28" s="67" t="s">
        <v>257</v>
      </c>
      <c r="AZ28" s="69" t="s">
        <v>44</v>
      </c>
      <c r="BA28" s="68" t="s">
        <v>256</v>
      </c>
      <c r="BB28" s="67" t="s">
        <v>41</v>
      </c>
      <c r="BC28" s="67" t="s">
        <v>259</v>
      </c>
      <c r="BD28" s="69" t="s">
        <v>41</v>
      </c>
      <c r="BE28" s="68" t="s">
        <v>256</v>
      </c>
      <c r="BF28" s="67" t="s">
        <v>41</v>
      </c>
      <c r="BG28" s="67" t="s">
        <v>259</v>
      </c>
      <c r="BH28" s="69" t="s">
        <v>41</v>
      </c>
      <c r="BI28" s="68" t="s">
        <v>256</v>
      </c>
      <c r="BJ28" s="67" t="s">
        <v>41</v>
      </c>
      <c r="BK28" s="67" t="s">
        <v>257</v>
      </c>
      <c r="BL28" s="69" t="s">
        <v>447</v>
      </c>
      <c r="BM28" s="68" t="s">
        <v>65</v>
      </c>
      <c r="BN28" s="67" t="s">
        <v>53</v>
      </c>
      <c r="BO28" s="67" t="s">
        <v>43</v>
      </c>
      <c r="BP28" s="67" t="s">
        <v>248</v>
      </c>
      <c r="BQ28" s="64">
        <v>42347</v>
      </c>
      <c r="BR28" s="63" t="s">
        <v>286</v>
      </c>
      <c r="BS28" s="63" t="s">
        <v>257</v>
      </c>
      <c r="BT28" s="68">
        <f>Nombrecours</f>
        <v>10</v>
      </c>
      <c r="BU28" s="63">
        <f>COUNTIF(DonnéesDessin[[#This Row],[Réponse doodle 01]:[Présence MàN AC]],"Excusé")</f>
        <v>0</v>
      </c>
      <c r="BV28" s="63">
        <f>COUNTIF(DonnéesDessin[[#This Row],[Réponse doodle 01]:[Présence MàN AC]],"N-employé")</f>
        <v>0</v>
      </c>
      <c r="BW28" s="63">
        <f>DonnéesDessin[[#This Row],[Nombre de cours]]-DonnéesDessin[[#This Row],[Nombre excusé]]-DonnéesDessin[[#This Row],[Nombre N-employé]]</f>
        <v>10</v>
      </c>
      <c r="BX28" s="69">
        <f>COUNTIF(DonnéesDessin[[#This Row],[Réponse doodle 01]:[Présence MàN AC]],"Présent")</f>
        <v>9</v>
      </c>
      <c r="BY28" s="68">
        <f>COUNTIF(DonnéesDessin[[#This Row],[Réponse doodle 01]:[Présence MàN AC]],"Inscrit")</f>
        <v>8</v>
      </c>
      <c r="BZ28" s="67">
        <f>3*DonnéesDessin[[#This Row],[Inscrit]]</f>
        <v>24</v>
      </c>
      <c r="CA28" s="67">
        <f>COUNTIF(DonnéesDessin[[#This Row],[Réponse doodle 01]:[Présence MàN AC]],"R pas nécessaire")</f>
        <v>0</v>
      </c>
      <c r="CB28" s="67">
        <f>SUM(3*DonnéesDessin[[#This Row],[R pas nécessaire]])</f>
        <v>0</v>
      </c>
      <c r="CC28" s="67">
        <f>COUNTIF(DonnéesDessin[[#This Row],[Réponse doodle 01]:[Présence MàN AC]],"Indisponible")</f>
        <v>0</v>
      </c>
      <c r="CD28" s="67">
        <f>2*DonnéesDessin[[#This Row],[Indisponible]]</f>
        <v>0</v>
      </c>
      <c r="CE28" s="67">
        <f>COUNTIF(DonnéesDessin[[#This Row],[Réponse doodle 01]:[Présence MàN AC]],"Ne peut s'inscrire")</f>
        <v>0</v>
      </c>
      <c r="CF28" s="67">
        <f>1*DonnéesDessin[[#This Row],[Ne peut s''inscrire]]</f>
        <v>0</v>
      </c>
      <c r="CG28" s="67">
        <f>COUNTIF(DonnéesDessin[[#This Row],[Réponse doodle 01]:[Présence MàN AC]],"Sans information")</f>
        <v>4</v>
      </c>
      <c r="CH28" s="67">
        <f>0*DonnéesDessin[[#This Row],[Sans information]]</f>
        <v>0</v>
      </c>
      <c r="CI28" s="67">
        <f>COUNTIF(DonnéesDessin[[#This Row],[Réponse doodle 01]:[Présence MàN AC]],"Présent")</f>
        <v>9</v>
      </c>
      <c r="CJ28" s="67">
        <f>2*DonnéesDessin[[#This Row],[Présent]]</f>
        <v>18</v>
      </c>
      <c r="CK28" s="67">
        <f>COUNTIF(DonnéesDessin[[#This Row],[Réponse doodle 01]:[Présence MàN AC]],"P pas nécessaire")</f>
        <v>0</v>
      </c>
      <c r="CL28" s="67">
        <f>2*DonnéesDessin[[#This Row],[P pas nécessaire]]</f>
        <v>0</v>
      </c>
      <c r="CM28" s="67">
        <f>COUNTIF(DonnéesDessin[[#This Row],[Réponse doodle 01]:[Présence MàN AC]],"Excusé")</f>
        <v>0</v>
      </c>
      <c r="CN28" s="67">
        <f>1*DonnéesDessin[[#This Row],[Excusé]]</f>
        <v>0</v>
      </c>
      <c r="CO28" s="67">
        <f>COUNTIF(DonnéesDessin[[#This Row],[Réponse doodle 01]:[Présence MàN AC]],"Pas présent")</f>
        <v>3</v>
      </c>
      <c r="CP28" s="67">
        <f>0*DonnéesDessin[[#This Row],[Pas présent]]</f>
        <v>0</v>
      </c>
      <c r="CQ28"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42</v>
      </c>
      <c r="CR28" s="78">
        <v>42579</v>
      </c>
      <c r="CS28" s="79" t="s">
        <v>443</v>
      </c>
      <c r="CT28" s="67" t="s">
        <v>257</v>
      </c>
      <c r="CU28" s="67">
        <v>4</v>
      </c>
      <c r="CV28" s="84">
        <v>70</v>
      </c>
      <c r="CW28" s="84">
        <v>86</v>
      </c>
      <c r="CX28" s="84">
        <f>SUBTOTAL(9,DonnéesDessin[[#This Row],[Résultat Niveau 1]:[Résultat Avancé]])</f>
        <v>156</v>
      </c>
      <c r="CY28" s="84" t="s">
        <v>499</v>
      </c>
      <c r="CZ28" s="84" t="s">
        <v>500</v>
      </c>
      <c r="DA28" s="67">
        <v>70</v>
      </c>
      <c r="DB28" s="88">
        <f>(DonnéesDessin[[#This Row],[Résultat Niveau 1]]+DonnéesDessin[[#This Row],[Résultat Avancé]])/DonnéesDessin[[#This Row],[Durée BC AC19 (en min)]]</f>
        <v>2.2285714285714286</v>
      </c>
    </row>
    <row r="29" spans="1:106">
      <c r="A29" s="62" t="str">
        <f>DonnéesDessin[[#This Row],[Prénom]]&amp;" "&amp;DonnéesDessin[[#This Row],[Nom]]</f>
        <v>Ines Ferreira</v>
      </c>
      <c r="B29" s="67" t="s">
        <v>311</v>
      </c>
      <c r="C29" s="67" t="s">
        <v>312</v>
      </c>
      <c r="D29" s="67" t="s">
        <v>49</v>
      </c>
      <c r="E29" s="72">
        <v>42401</v>
      </c>
      <c r="F29" s="72" t="s">
        <v>41</v>
      </c>
      <c r="G29" s="67"/>
      <c r="H29" s="67" t="s">
        <v>51</v>
      </c>
      <c r="I29" s="12" t="s">
        <v>318</v>
      </c>
      <c r="J29" s="12" t="s">
        <v>42</v>
      </c>
      <c r="K29" s="66" t="s">
        <v>377</v>
      </c>
      <c r="L29" s="67">
        <f>DonnéesDessin[[#This Row],[PTS]]</f>
        <v>35</v>
      </c>
      <c r="M29" s="68" t="s">
        <v>52</v>
      </c>
      <c r="N29" s="63">
        <v>0</v>
      </c>
      <c r="O29" s="63" t="s">
        <v>308</v>
      </c>
      <c r="P29" s="63" t="s">
        <v>257</v>
      </c>
      <c r="Q29" s="63" t="s">
        <v>309</v>
      </c>
      <c r="R29" s="63">
        <v>0</v>
      </c>
      <c r="S29" s="63" t="s">
        <v>310</v>
      </c>
      <c r="T29" s="69">
        <v>0</v>
      </c>
      <c r="U29" s="68" t="s">
        <v>281</v>
      </c>
      <c r="V29" s="75" t="s">
        <v>41</v>
      </c>
      <c r="W29" s="63" t="s">
        <v>41</v>
      </c>
      <c r="X29" s="63" t="s">
        <v>358</v>
      </c>
      <c r="Y29" s="68" t="s">
        <v>281</v>
      </c>
      <c r="Z29" s="75" t="s">
        <v>41</v>
      </c>
      <c r="AA29" s="63" t="s">
        <v>41</v>
      </c>
      <c r="AB29" s="69" t="s">
        <v>358</v>
      </c>
      <c r="AC29" s="68" t="s">
        <v>248</v>
      </c>
      <c r="AD29" s="11" t="s">
        <v>323</v>
      </c>
      <c r="AE29" s="67" t="s">
        <v>257</v>
      </c>
      <c r="AF29" s="69" t="s">
        <v>44</v>
      </c>
      <c r="AG29" s="68" t="s">
        <v>248</v>
      </c>
      <c r="AH29" s="72">
        <v>42438</v>
      </c>
      <c r="AI29" s="67" t="s">
        <v>257</v>
      </c>
      <c r="AJ29" s="69" t="s">
        <v>44</v>
      </c>
      <c r="AK29" s="68" t="s">
        <v>248</v>
      </c>
      <c r="AL29" s="67" t="s">
        <v>332</v>
      </c>
      <c r="AM29" s="67" t="s">
        <v>257</v>
      </c>
      <c r="AN29" s="69" t="s">
        <v>44</v>
      </c>
      <c r="AO29" s="68" t="s">
        <v>248</v>
      </c>
      <c r="AP29" s="67" t="s">
        <v>336</v>
      </c>
      <c r="AQ29" s="67" t="s">
        <v>257</v>
      </c>
      <c r="AR29" s="69" t="s">
        <v>44</v>
      </c>
      <c r="AS29" s="68" t="s">
        <v>248</v>
      </c>
      <c r="AT29" s="67" t="s">
        <v>414</v>
      </c>
      <c r="AU29" s="67" t="s">
        <v>257</v>
      </c>
      <c r="AV29" s="69" t="s">
        <v>44</v>
      </c>
      <c r="AW29" s="68" t="s">
        <v>248</v>
      </c>
      <c r="AX29" s="67" t="s">
        <v>425</v>
      </c>
      <c r="AY29" s="67" t="s">
        <v>257</v>
      </c>
      <c r="AZ29" s="69" t="s">
        <v>432</v>
      </c>
      <c r="BA29" s="68" t="s">
        <v>256</v>
      </c>
      <c r="BB29" s="67" t="s">
        <v>41</v>
      </c>
      <c r="BC29" s="67" t="s">
        <v>259</v>
      </c>
      <c r="BD29" s="69" t="s">
        <v>41</v>
      </c>
      <c r="BE29" s="68" t="s">
        <v>256</v>
      </c>
      <c r="BF29" s="67" t="s">
        <v>41</v>
      </c>
      <c r="BG29" s="67" t="s">
        <v>259</v>
      </c>
      <c r="BH29" s="69" t="s">
        <v>41</v>
      </c>
      <c r="BI29" s="68" t="s">
        <v>248</v>
      </c>
      <c r="BJ29" s="72">
        <v>42509</v>
      </c>
      <c r="BK29" s="67" t="s">
        <v>257</v>
      </c>
      <c r="BL29" s="69" t="s">
        <v>44</v>
      </c>
      <c r="BM29" s="68" t="s">
        <v>281</v>
      </c>
      <c r="BN29" s="67"/>
      <c r="BO29" s="67" t="s">
        <v>41</v>
      </c>
      <c r="BP29" s="67" t="s">
        <v>41</v>
      </c>
      <c r="BQ29" s="67" t="s">
        <v>41</v>
      </c>
      <c r="BR29" s="67" t="s">
        <v>41</v>
      </c>
      <c r="BS29" s="67" t="s">
        <v>41</v>
      </c>
      <c r="BT29" s="68">
        <f>Nombrecours</f>
        <v>10</v>
      </c>
      <c r="BU29" s="63">
        <f>COUNTIF(DonnéesDessin[[#This Row],[Réponse doodle 01]:[Présence MàN AC]],"Excusé")</f>
        <v>0</v>
      </c>
      <c r="BV29" s="63">
        <f>COUNTIF(DonnéesDessin[[#This Row],[Réponse doodle 01]:[Présence MàN AC]],"N-employé")</f>
        <v>3</v>
      </c>
      <c r="BW29" s="63">
        <f>DonnéesDessin[[#This Row],[Nombre de cours]]-DonnéesDessin[[#This Row],[Nombre excusé]]-DonnéesDessin[[#This Row],[Nombre N-employé]]</f>
        <v>7</v>
      </c>
      <c r="BX29" s="69">
        <f>COUNTIF(DonnéesDessin[[#This Row],[Réponse doodle 01]:[Présence MàN AC]],"Présent")</f>
        <v>7</v>
      </c>
      <c r="BY29" s="68">
        <f>COUNTIF(DonnéesDessin[[#This Row],[Réponse doodle 01]:[Présence MàN AC]],"Inscrit")</f>
        <v>7</v>
      </c>
      <c r="BZ29" s="67">
        <f>3*DonnéesDessin[[#This Row],[Inscrit]]</f>
        <v>21</v>
      </c>
      <c r="CA29" s="67">
        <f>COUNTIF(DonnéesDessin[[#This Row],[Réponse doodle 01]:[Présence MàN AC]],"R pas nécessaire")</f>
        <v>0</v>
      </c>
      <c r="CB29" s="67">
        <f>SUM(3*DonnéesDessin[[#This Row],[R pas nécessaire]])</f>
        <v>0</v>
      </c>
      <c r="CC29" s="67">
        <f>COUNTIF(DonnéesDessin[[#This Row],[Réponse doodle 01]:[Présence MàN AC]],"Indisponible")</f>
        <v>0</v>
      </c>
      <c r="CD29" s="67">
        <f>2*DonnéesDessin[[#This Row],[Indisponible]]</f>
        <v>0</v>
      </c>
      <c r="CE29" s="67">
        <f>COUNTIF(DonnéesDessin[[#This Row],[Réponse doodle 01]:[Présence MàN AC]],"Ne peut s'inscrire")</f>
        <v>0</v>
      </c>
      <c r="CF29" s="67">
        <f>1*DonnéesDessin[[#This Row],[Ne peut s''inscrire]]</f>
        <v>0</v>
      </c>
      <c r="CG29" s="67">
        <f>COUNTIF(DonnéesDessin[[#This Row],[Réponse doodle 01]:[Présence MàN AC]],"Sans information")</f>
        <v>2</v>
      </c>
      <c r="CH29" s="67">
        <f>0*DonnéesDessin[[#This Row],[Sans information]]</f>
        <v>0</v>
      </c>
      <c r="CI29" s="67">
        <f>COUNTIF(DonnéesDessin[[#This Row],[Réponse doodle 01]:[Présence MàN AC]],"Présent")</f>
        <v>7</v>
      </c>
      <c r="CJ29" s="67">
        <f>2*DonnéesDessin[[#This Row],[Présent]]</f>
        <v>14</v>
      </c>
      <c r="CK29" s="67">
        <f>COUNTIF(DonnéesDessin[[#This Row],[Réponse doodle 01]:[Présence MàN AC]],"P pas nécessaire")</f>
        <v>0</v>
      </c>
      <c r="CL29" s="67">
        <f>2*DonnéesDessin[[#This Row],[P pas nécessaire]]</f>
        <v>0</v>
      </c>
      <c r="CM29" s="67">
        <f>COUNTIF(DonnéesDessin[[#This Row],[Réponse doodle 01]:[Présence MàN AC]],"Excusé")</f>
        <v>0</v>
      </c>
      <c r="CN29" s="67">
        <f>1*DonnéesDessin[[#This Row],[Excusé]]</f>
        <v>0</v>
      </c>
      <c r="CO29" s="67">
        <f>COUNTIF(DonnéesDessin[[#This Row],[Réponse doodle 01]:[Présence MàN AC]],"Pas présent")</f>
        <v>2</v>
      </c>
      <c r="CP29" s="67">
        <f>0*DonnéesDessin[[#This Row],[Pas présent]]</f>
        <v>0</v>
      </c>
      <c r="CQ29"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35</v>
      </c>
      <c r="CR29" s="78">
        <v>42572</v>
      </c>
      <c r="CS29" s="79" t="s">
        <v>440</v>
      </c>
      <c r="CT29" s="67" t="s">
        <v>257</v>
      </c>
      <c r="CU29" s="67">
        <v>2</v>
      </c>
      <c r="CV29" s="84">
        <v>42</v>
      </c>
      <c r="CW29" s="84">
        <v>29</v>
      </c>
      <c r="CX29" s="84">
        <f>SUBTOTAL(9,DonnéesDessin[[#This Row],[Résultat Niveau 1]:[Résultat Avancé]])</f>
        <v>71</v>
      </c>
      <c r="CY29" s="83" t="s">
        <v>440</v>
      </c>
      <c r="CZ29" s="83" t="s">
        <v>460</v>
      </c>
      <c r="DA29" s="67">
        <v>95</v>
      </c>
      <c r="DB29" s="88">
        <f>(DonnéesDessin[[#This Row],[Résultat Niveau 1]]+DonnéesDessin[[#This Row],[Résultat Avancé]])/DonnéesDessin[[#This Row],[Durée BC AC19 (en min)]]</f>
        <v>0.74736842105263157</v>
      </c>
    </row>
    <row r="30" spans="1:106">
      <c r="A30" s="62" t="str">
        <f>DonnéesDessin[[#This Row],[Prénom]]&amp;" "&amp;DonnéesDessin[[#This Row],[Nom]]</f>
        <v>Isabelle Ferrero</v>
      </c>
      <c r="B30" s="63" t="s">
        <v>120</v>
      </c>
      <c r="C30" s="63" t="s">
        <v>121</v>
      </c>
      <c r="D30" s="63" t="s">
        <v>57</v>
      </c>
      <c r="E30" s="64" t="s">
        <v>41</v>
      </c>
      <c r="F30" s="64" t="s">
        <v>41</v>
      </c>
      <c r="G30" s="63" t="s">
        <v>56</v>
      </c>
      <c r="H30" s="63" t="s">
        <v>51</v>
      </c>
      <c r="I30" s="65">
        <v>2011</v>
      </c>
      <c r="J30" s="65">
        <v>18</v>
      </c>
      <c r="K30" s="66" t="s">
        <v>41</v>
      </c>
      <c r="L30" s="67">
        <f>DonnéesDessin[[#This Row],[PTS]]</f>
        <v>45</v>
      </c>
      <c r="M30" s="68" t="s">
        <v>52</v>
      </c>
      <c r="N30" s="63">
        <v>0</v>
      </c>
      <c r="O30" s="63" t="s">
        <v>45</v>
      </c>
      <c r="P30" s="63">
        <v>0</v>
      </c>
      <c r="Q30" s="63" t="s">
        <v>45</v>
      </c>
      <c r="R30" s="63">
        <v>0</v>
      </c>
      <c r="S30" s="63" t="s">
        <v>45</v>
      </c>
      <c r="T30" s="69">
        <v>0</v>
      </c>
      <c r="U30" s="68" t="s">
        <v>248</v>
      </c>
      <c r="V30" s="70">
        <v>42320</v>
      </c>
      <c r="W30" s="63" t="s">
        <v>257</v>
      </c>
      <c r="X30" s="63" t="s">
        <v>44</v>
      </c>
      <c r="Y30" s="68" t="s">
        <v>248</v>
      </c>
      <c r="Z30" s="71">
        <v>42398</v>
      </c>
      <c r="AA30" s="67" t="s">
        <v>257</v>
      </c>
      <c r="AB30" s="69" t="s">
        <v>44</v>
      </c>
      <c r="AC30" s="68" t="s">
        <v>248</v>
      </c>
      <c r="AD30" s="11" t="s">
        <v>324</v>
      </c>
      <c r="AE30" s="67" t="s">
        <v>257</v>
      </c>
      <c r="AF30" s="69" t="s">
        <v>44</v>
      </c>
      <c r="AG30" s="68" t="s">
        <v>248</v>
      </c>
      <c r="AH30" s="72">
        <v>42438</v>
      </c>
      <c r="AI30" s="67" t="s">
        <v>257</v>
      </c>
      <c r="AJ30" s="69" t="s">
        <v>44</v>
      </c>
      <c r="AK30" s="68" t="s">
        <v>248</v>
      </c>
      <c r="AL30" s="67" t="s">
        <v>333</v>
      </c>
      <c r="AM30" s="67" t="s">
        <v>257</v>
      </c>
      <c r="AN30" s="69" t="s">
        <v>44</v>
      </c>
      <c r="AO30" s="68" t="s">
        <v>248</v>
      </c>
      <c r="AP30" s="67" t="s">
        <v>335</v>
      </c>
      <c r="AQ30" s="67" t="s">
        <v>257</v>
      </c>
      <c r="AR30" s="69" t="s">
        <v>44</v>
      </c>
      <c r="AS30" s="68" t="s">
        <v>248</v>
      </c>
      <c r="AT30" s="67" t="s">
        <v>416</v>
      </c>
      <c r="AU30" s="67" t="s">
        <v>257</v>
      </c>
      <c r="AV30" s="69" t="s">
        <v>44</v>
      </c>
      <c r="AW30" s="68" t="s">
        <v>248</v>
      </c>
      <c r="AX30" s="67" t="s">
        <v>430</v>
      </c>
      <c r="AY30" s="67" t="s">
        <v>257</v>
      </c>
      <c r="AZ30" s="69" t="s">
        <v>44</v>
      </c>
      <c r="BA30" s="68" t="s">
        <v>256</v>
      </c>
      <c r="BB30" s="67" t="s">
        <v>41</v>
      </c>
      <c r="BC30" s="67" t="s">
        <v>259</v>
      </c>
      <c r="BD30" s="69" t="s">
        <v>41</v>
      </c>
      <c r="BE30" s="68" t="s">
        <v>256</v>
      </c>
      <c r="BF30" s="67" t="s">
        <v>41</v>
      </c>
      <c r="BG30" s="67" t="s">
        <v>259</v>
      </c>
      <c r="BH30" s="69" t="s">
        <v>41</v>
      </c>
      <c r="BI30" s="68" t="s">
        <v>256</v>
      </c>
      <c r="BJ30" s="67" t="s">
        <v>41</v>
      </c>
      <c r="BK30" s="67" t="s">
        <v>259</v>
      </c>
      <c r="BL30" s="69" t="s">
        <v>41</v>
      </c>
      <c r="BM30" s="68" t="s">
        <v>65</v>
      </c>
      <c r="BN30" s="67" t="s">
        <v>65</v>
      </c>
      <c r="BO30" s="67" t="s">
        <v>51</v>
      </c>
      <c r="BP30" s="67" t="s">
        <v>248</v>
      </c>
      <c r="BQ30" s="64">
        <v>42349</v>
      </c>
      <c r="BR30" s="63" t="s">
        <v>282</v>
      </c>
      <c r="BS30" s="63" t="s">
        <v>257</v>
      </c>
      <c r="BT30" s="68">
        <f>Nombrecours</f>
        <v>10</v>
      </c>
      <c r="BU30" s="63">
        <f>COUNTIF(DonnéesDessin[[#This Row],[Réponse doodle 01]:[Présence MàN AC]],"Excusé")</f>
        <v>0</v>
      </c>
      <c r="BV30" s="63">
        <f>COUNTIF(DonnéesDessin[[#This Row],[Réponse doodle 01]:[Présence MàN AC]],"N-employé")</f>
        <v>0</v>
      </c>
      <c r="BW30" s="63">
        <f>DonnéesDessin[[#This Row],[Nombre de cours]]-DonnéesDessin[[#This Row],[Nombre excusé]]-DonnéesDessin[[#This Row],[Nombre N-employé]]</f>
        <v>10</v>
      </c>
      <c r="BX30" s="69">
        <f>COUNTIF(DonnéesDessin[[#This Row],[Réponse doodle 01]:[Présence MàN AC]],"Présent")</f>
        <v>9</v>
      </c>
      <c r="BY30" s="68">
        <f>COUNTIF(DonnéesDessin[[#This Row],[Réponse doodle 01]:[Présence MàN AC]],"Inscrit")</f>
        <v>9</v>
      </c>
      <c r="BZ30" s="67">
        <f>3*DonnéesDessin[[#This Row],[Inscrit]]</f>
        <v>27</v>
      </c>
      <c r="CA30" s="67">
        <f>COUNTIF(DonnéesDessin[[#This Row],[Réponse doodle 01]:[Présence MàN AC]],"R pas nécessaire")</f>
        <v>0</v>
      </c>
      <c r="CB30" s="67">
        <f>SUM(3*DonnéesDessin[[#This Row],[R pas nécessaire]])</f>
        <v>0</v>
      </c>
      <c r="CC30" s="67">
        <f>COUNTIF(DonnéesDessin[[#This Row],[Réponse doodle 01]:[Présence MàN AC]],"Indisponible")</f>
        <v>0</v>
      </c>
      <c r="CD30" s="67">
        <f>2*DonnéesDessin[[#This Row],[Indisponible]]</f>
        <v>0</v>
      </c>
      <c r="CE30" s="67">
        <f>COUNTIF(DonnéesDessin[[#This Row],[Réponse doodle 01]:[Présence MàN AC]],"Ne peut s'inscrire")</f>
        <v>0</v>
      </c>
      <c r="CF30" s="67">
        <f>1*DonnéesDessin[[#This Row],[Ne peut s''inscrire]]</f>
        <v>0</v>
      </c>
      <c r="CG30" s="67">
        <f>COUNTIF(DonnéesDessin[[#This Row],[Réponse doodle 01]:[Présence MàN AC]],"Sans information")</f>
        <v>3</v>
      </c>
      <c r="CH30" s="67">
        <f>0*DonnéesDessin[[#This Row],[Sans information]]</f>
        <v>0</v>
      </c>
      <c r="CI30" s="67">
        <f>COUNTIF(DonnéesDessin[[#This Row],[Réponse doodle 01]:[Présence MàN AC]],"Présent")</f>
        <v>9</v>
      </c>
      <c r="CJ30" s="67">
        <f>2*DonnéesDessin[[#This Row],[Présent]]</f>
        <v>18</v>
      </c>
      <c r="CK30" s="67">
        <f>COUNTIF(DonnéesDessin[[#This Row],[Réponse doodle 01]:[Présence MàN AC]],"P pas nécessaire")</f>
        <v>0</v>
      </c>
      <c r="CL30" s="67">
        <f>2*DonnéesDessin[[#This Row],[P pas nécessaire]]</f>
        <v>0</v>
      </c>
      <c r="CM30" s="67">
        <f>COUNTIF(DonnéesDessin[[#This Row],[Réponse doodle 01]:[Présence MàN AC]],"Excusé")</f>
        <v>0</v>
      </c>
      <c r="CN30" s="67">
        <f>1*DonnéesDessin[[#This Row],[Excusé]]</f>
        <v>0</v>
      </c>
      <c r="CO30" s="67">
        <f>COUNTIF(DonnéesDessin[[#This Row],[Réponse doodle 01]:[Présence MàN AC]],"Pas présent")</f>
        <v>3</v>
      </c>
      <c r="CP30" s="67">
        <f>0*DonnéesDessin[[#This Row],[Pas présent]]</f>
        <v>0</v>
      </c>
      <c r="CQ30"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45</v>
      </c>
      <c r="CR30" s="78">
        <v>42572</v>
      </c>
      <c r="CS30" s="79" t="s">
        <v>443</v>
      </c>
      <c r="CT30" s="67" t="s">
        <v>257</v>
      </c>
      <c r="CU30" s="67">
        <v>4</v>
      </c>
      <c r="CV30" s="84">
        <v>66</v>
      </c>
      <c r="CW30" s="84">
        <v>65</v>
      </c>
      <c r="CX30" s="84">
        <f>SUBTOTAL(9,DonnéesDessin[[#This Row],[Résultat Niveau 1]:[Résultat Avancé]])</f>
        <v>131</v>
      </c>
      <c r="CY30" s="83" t="s">
        <v>443</v>
      </c>
      <c r="CZ30" s="83" t="s">
        <v>470</v>
      </c>
      <c r="DA30" s="67">
        <v>80</v>
      </c>
      <c r="DB30" s="88">
        <f>(DonnéesDessin[[#This Row],[Résultat Niveau 1]]+DonnéesDessin[[#This Row],[Résultat Avancé]])/DonnéesDessin[[#This Row],[Durée BC AC19 (en min)]]</f>
        <v>1.6375</v>
      </c>
    </row>
    <row r="31" spans="1:106">
      <c r="A31" s="62" t="str">
        <f>DonnéesDessin[[#This Row],[Prénom]]&amp;" "&amp;DonnéesDessin[[#This Row],[Nom]]</f>
        <v>Isabelle Neukomm</v>
      </c>
      <c r="B31" s="63" t="s">
        <v>122</v>
      </c>
      <c r="C31" s="63" t="s">
        <v>121</v>
      </c>
      <c r="D31" s="63" t="s">
        <v>57</v>
      </c>
      <c r="E31" s="64" t="s">
        <v>41</v>
      </c>
      <c r="F31" s="64" t="s">
        <v>41</v>
      </c>
      <c r="G31" s="63"/>
      <c r="H31" s="63" t="s">
        <v>51</v>
      </c>
      <c r="I31" s="65" t="s">
        <v>51</v>
      </c>
      <c r="J31" s="65">
        <v>18</v>
      </c>
      <c r="K31" s="66" t="s">
        <v>388</v>
      </c>
      <c r="L31" s="67">
        <f>DonnéesDessin[[#This Row],[PTS]]</f>
        <v>44</v>
      </c>
      <c r="M31" s="68" t="s">
        <v>52</v>
      </c>
      <c r="N31" s="63">
        <v>0</v>
      </c>
      <c r="O31" s="63" t="s">
        <v>45</v>
      </c>
      <c r="P31" s="63">
        <v>0</v>
      </c>
      <c r="Q31" s="63" t="s">
        <v>45</v>
      </c>
      <c r="R31" s="63">
        <v>0</v>
      </c>
      <c r="S31" s="63" t="s">
        <v>45</v>
      </c>
      <c r="T31" s="69">
        <v>0</v>
      </c>
      <c r="U31" s="68" t="s">
        <v>248</v>
      </c>
      <c r="V31" s="70">
        <v>42319</v>
      </c>
      <c r="W31" s="63" t="s">
        <v>257</v>
      </c>
      <c r="X31" s="63" t="s">
        <v>44</v>
      </c>
      <c r="Y31" s="68" t="s">
        <v>248</v>
      </c>
      <c r="Z31" s="71">
        <v>42382</v>
      </c>
      <c r="AA31" s="67" t="s">
        <v>257</v>
      </c>
      <c r="AB31" s="69" t="s">
        <v>44</v>
      </c>
      <c r="AC31" s="68" t="s">
        <v>248</v>
      </c>
      <c r="AD31" s="71">
        <v>42417</v>
      </c>
      <c r="AE31" s="67" t="s">
        <v>257</v>
      </c>
      <c r="AF31" s="69" t="s">
        <v>44</v>
      </c>
      <c r="AG31" s="68" t="s">
        <v>248</v>
      </c>
      <c r="AH31" s="72">
        <v>42438</v>
      </c>
      <c r="AI31" s="67" t="s">
        <v>258</v>
      </c>
      <c r="AJ31" s="69" t="s">
        <v>393</v>
      </c>
      <c r="AK31" s="68" t="s">
        <v>248</v>
      </c>
      <c r="AL31" s="67" t="s">
        <v>334</v>
      </c>
      <c r="AM31" s="67" t="s">
        <v>257</v>
      </c>
      <c r="AN31" s="69" t="s">
        <v>44</v>
      </c>
      <c r="AO31" s="68" t="s">
        <v>248</v>
      </c>
      <c r="AP31" s="67" t="s">
        <v>335</v>
      </c>
      <c r="AQ31" s="67" t="s">
        <v>257</v>
      </c>
      <c r="AR31" s="69" t="s">
        <v>44</v>
      </c>
      <c r="AS31" s="68" t="s">
        <v>248</v>
      </c>
      <c r="AT31" s="67" t="s">
        <v>414</v>
      </c>
      <c r="AU31" s="67" t="s">
        <v>257</v>
      </c>
      <c r="AV31" s="69" t="s">
        <v>418</v>
      </c>
      <c r="AW31" s="68" t="s">
        <v>248</v>
      </c>
      <c r="AX31" s="67" t="s">
        <v>425</v>
      </c>
      <c r="AY31" s="67" t="s">
        <v>257</v>
      </c>
      <c r="AZ31" s="69" t="s">
        <v>44</v>
      </c>
      <c r="BA31" s="68" t="s">
        <v>256</v>
      </c>
      <c r="BB31" s="67" t="s">
        <v>41</v>
      </c>
      <c r="BC31" s="67" t="s">
        <v>259</v>
      </c>
      <c r="BD31" s="69" t="s">
        <v>41</v>
      </c>
      <c r="BE31" s="68" t="s">
        <v>256</v>
      </c>
      <c r="BF31" s="67" t="s">
        <v>41</v>
      </c>
      <c r="BG31" s="67" t="s">
        <v>259</v>
      </c>
      <c r="BH31" s="69" t="s">
        <v>41</v>
      </c>
      <c r="BI31" s="68" t="s">
        <v>256</v>
      </c>
      <c r="BJ31" s="67" t="s">
        <v>41</v>
      </c>
      <c r="BK31" s="67" t="s">
        <v>259</v>
      </c>
      <c r="BL31" s="69" t="s">
        <v>41</v>
      </c>
      <c r="BM31" s="68" t="s">
        <v>65</v>
      </c>
      <c r="BN31" s="67" t="s">
        <v>53</v>
      </c>
      <c r="BO31" s="67" t="s">
        <v>43</v>
      </c>
      <c r="BP31" s="67" t="s">
        <v>248</v>
      </c>
      <c r="BQ31" s="64">
        <v>42347</v>
      </c>
      <c r="BR31" s="63" t="s">
        <v>285</v>
      </c>
      <c r="BS31" s="63" t="s">
        <v>257</v>
      </c>
      <c r="BT31" s="68">
        <f>Nombrecours</f>
        <v>10</v>
      </c>
      <c r="BU31" s="63">
        <f>COUNTIF(DonnéesDessin[[#This Row],[Réponse doodle 01]:[Présence MàN AC]],"Excusé")</f>
        <v>1</v>
      </c>
      <c r="BV31" s="63">
        <f>COUNTIF(DonnéesDessin[[#This Row],[Réponse doodle 01]:[Présence MàN AC]],"N-employé")</f>
        <v>0</v>
      </c>
      <c r="BW31" s="63">
        <f>DonnéesDessin[[#This Row],[Nombre de cours]]-DonnéesDessin[[#This Row],[Nombre excusé]]-DonnéesDessin[[#This Row],[Nombre N-employé]]</f>
        <v>9</v>
      </c>
      <c r="BX31" s="69">
        <f>COUNTIF(DonnéesDessin[[#This Row],[Réponse doodle 01]:[Présence MàN AC]],"Présent")</f>
        <v>8</v>
      </c>
      <c r="BY31" s="68">
        <f>COUNTIF(DonnéesDessin[[#This Row],[Réponse doodle 01]:[Présence MàN AC]],"Inscrit")</f>
        <v>9</v>
      </c>
      <c r="BZ31" s="67">
        <f>3*DonnéesDessin[[#This Row],[Inscrit]]</f>
        <v>27</v>
      </c>
      <c r="CA31" s="67">
        <f>COUNTIF(DonnéesDessin[[#This Row],[Réponse doodle 01]:[Présence MàN AC]],"R pas nécessaire")</f>
        <v>0</v>
      </c>
      <c r="CB31" s="67">
        <f>SUM(3*DonnéesDessin[[#This Row],[R pas nécessaire]])</f>
        <v>0</v>
      </c>
      <c r="CC31" s="67">
        <f>COUNTIF(DonnéesDessin[[#This Row],[Réponse doodle 01]:[Présence MàN AC]],"Indisponible")</f>
        <v>0</v>
      </c>
      <c r="CD31" s="67">
        <f>2*DonnéesDessin[[#This Row],[Indisponible]]</f>
        <v>0</v>
      </c>
      <c r="CE31" s="67">
        <f>COUNTIF(DonnéesDessin[[#This Row],[Réponse doodle 01]:[Présence MàN AC]],"Ne peut s'inscrire")</f>
        <v>0</v>
      </c>
      <c r="CF31" s="67">
        <f>1*DonnéesDessin[[#This Row],[Ne peut s''inscrire]]</f>
        <v>0</v>
      </c>
      <c r="CG31" s="67">
        <f>COUNTIF(DonnéesDessin[[#This Row],[Réponse doodle 01]:[Présence MàN AC]],"Sans information")</f>
        <v>3</v>
      </c>
      <c r="CH31" s="67">
        <f>0*DonnéesDessin[[#This Row],[Sans information]]</f>
        <v>0</v>
      </c>
      <c r="CI31" s="67">
        <f>COUNTIF(DonnéesDessin[[#This Row],[Réponse doodle 01]:[Présence MàN AC]],"Présent")</f>
        <v>8</v>
      </c>
      <c r="CJ31" s="67">
        <f>2*DonnéesDessin[[#This Row],[Présent]]</f>
        <v>16</v>
      </c>
      <c r="CK31" s="67">
        <f>COUNTIF(DonnéesDessin[[#This Row],[Réponse doodle 01]:[Présence MàN AC]],"P pas nécessaire")</f>
        <v>0</v>
      </c>
      <c r="CL31" s="67">
        <f>2*DonnéesDessin[[#This Row],[P pas nécessaire]]</f>
        <v>0</v>
      </c>
      <c r="CM31" s="67">
        <f>COUNTIF(DonnéesDessin[[#This Row],[Réponse doodle 01]:[Présence MàN AC]],"Excusé")</f>
        <v>1</v>
      </c>
      <c r="CN31" s="67">
        <f>1*DonnéesDessin[[#This Row],[Excusé]]</f>
        <v>1</v>
      </c>
      <c r="CO31" s="67">
        <f>COUNTIF(DonnéesDessin[[#This Row],[Réponse doodle 01]:[Présence MàN AC]],"Pas présent")</f>
        <v>3</v>
      </c>
      <c r="CP31" s="67">
        <f>0*DonnéesDessin[[#This Row],[Pas présent]]</f>
        <v>0</v>
      </c>
      <c r="CQ31"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44</v>
      </c>
      <c r="CR31" s="78">
        <v>42598</v>
      </c>
      <c r="CS31" s="67" t="s">
        <v>282</v>
      </c>
      <c r="CT31" s="67" t="s">
        <v>257</v>
      </c>
      <c r="CU31" s="67">
        <v>4</v>
      </c>
      <c r="CV31" s="84">
        <v>86</v>
      </c>
      <c r="CW31" s="84">
        <v>69</v>
      </c>
      <c r="CX31" s="84">
        <f>SUBTOTAL(9,DonnéesDessin[[#This Row],[Résultat Niveau 1]:[Résultat Avancé]])</f>
        <v>155</v>
      </c>
      <c r="CY31" s="84" t="s">
        <v>504</v>
      </c>
      <c r="CZ31" s="84" t="s">
        <v>284</v>
      </c>
      <c r="DA31" s="67">
        <v>55</v>
      </c>
      <c r="DB31" s="88">
        <f>(DonnéesDessin[[#This Row],[Résultat Niveau 1]]+DonnéesDessin[[#This Row],[Résultat Avancé]])/DonnéesDessin[[#This Row],[Durée BC AC19 (en min)]]</f>
        <v>2.8181818181818183</v>
      </c>
    </row>
    <row r="32" spans="1:106">
      <c r="A32" s="62" t="str">
        <f>DonnéesDessin[[#This Row],[Prénom]]&amp;" "&amp;DonnéesDessin[[#This Row],[Nom]]</f>
        <v>Jaime Perez-Fiz</v>
      </c>
      <c r="B32" s="63" t="s">
        <v>123</v>
      </c>
      <c r="C32" s="63" t="s">
        <v>124</v>
      </c>
      <c r="D32" s="63" t="s">
        <v>49</v>
      </c>
      <c r="E32" s="64" t="s">
        <v>41</v>
      </c>
      <c r="F32" s="64" t="s">
        <v>41</v>
      </c>
      <c r="G32" s="63" t="s">
        <v>50</v>
      </c>
      <c r="H32" s="63" t="s">
        <v>51</v>
      </c>
      <c r="I32" s="65" t="s">
        <v>43</v>
      </c>
      <c r="J32" s="65">
        <v>18</v>
      </c>
      <c r="K32" s="66" t="s">
        <v>41</v>
      </c>
      <c r="L32" s="67">
        <f>DonnéesDessin[[#This Row],[PTS]]</f>
        <v>30</v>
      </c>
      <c r="M32" s="68" t="s">
        <v>52</v>
      </c>
      <c r="N32" s="63">
        <v>0</v>
      </c>
      <c r="O32" s="63" t="s">
        <v>45</v>
      </c>
      <c r="P32" s="63">
        <v>0</v>
      </c>
      <c r="Q32" s="63" t="s">
        <v>45</v>
      </c>
      <c r="R32" s="63">
        <v>0</v>
      </c>
      <c r="S32" s="63" t="s">
        <v>45</v>
      </c>
      <c r="T32" s="69">
        <v>0</v>
      </c>
      <c r="U32" s="68" t="s">
        <v>248</v>
      </c>
      <c r="V32" s="70">
        <v>42319</v>
      </c>
      <c r="W32" s="63" t="s">
        <v>257</v>
      </c>
      <c r="X32" s="63" t="s">
        <v>44</v>
      </c>
      <c r="Y32" s="68" t="s">
        <v>248</v>
      </c>
      <c r="Z32" s="71">
        <v>42398</v>
      </c>
      <c r="AA32" s="67" t="s">
        <v>257</v>
      </c>
      <c r="AB32" s="69" t="s">
        <v>44</v>
      </c>
      <c r="AC32" s="68" t="s">
        <v>248</v>
      </c>
      <c r="AD32" s="71">
        <v>42417</v>
      </c>
      <c r="AE32" s="67" t="s">
        <v>259</v>
      </c>
      <c r="AF32" s="69" t="s">
        <v>343</v>
      </c>
      <c r="AG32" s="68" t="s">
        <v>248</v>
      </c>
      <c r="AH32" s="72">
        <v>42439</v>
      </c>
      <c r="AI32" s="67" t="s">
        <v>258</v>
      </c>
      <c r="AJ32" s="69" t="s">
        <v>375</v>
      </c>
      <c r="AK32" s="68" t="s">
        <v>256</v>
      </c>
      <c r="AL32" s="67" t="s">
        <v>41</v>
      </c>
      <c r="AM32" s="67" t="s">
        <v>259</v>
      </c>
      <c r="AN32" s="69" t="s">
        <v>341</v>
      </c>
      <c r="AO32" s="68" t="s">
        <v>256</v>
      </c>
      <c r="AP32" s="67" t="s">
        <v>41</v>
      </c>
      <c r="AQ32" s="67" t="s">
        <v>259</v>
      </c>
      <c r="AR32" s="69" t="s">
        <v>341</v>
      </c>
      <c r="AS32" s="68" t="s">
        <v>248</v>
      </c>
      <c r="AT32" s="67" t="s">
        <v>413</v>
      </c>
      <c r="AU32" s="67" t="s">
        <v>259</v>
      </c>
      <c r="AV32" s="69" t="s">
        <v>343</v>
      </c>
      <c r="AW32" s="68" t="s">
        <v>248</v>
      </c>
      <c r="AX32" s="67" t="s">
        <v>430</v>
      </c>
      <c r="AY32" s="67" t="s">
        <v>257</v>
      </c>
      <c r="AZ32" s="69" t="s">
        <v>44</v>
      </c>
      <c r="BA32" s="68" t="s">
        <v>256</v>
      </c>
      <c r="BB32" s="67" t="s">
        <v>41</v>
      </c>
      <c r="BC32" s="67" t="s">
        <v>259</v>
      </c>
      <c r="BD32" s="69" t="s">
        <v>41</v>
      </c>
      <c r="BE32" s="68" t="s">
        <v>256</v>
      </c>
      <c r="BF32" s="67" t="s">
        <v>41</v>
      </c>
      <c r="BG32" s="67" t="s">
        <v>259</v>
      </c>
      <c r="BH32" s="69" t="s">
        <v>41</v>
      </c>
      <c r="BI32" s="68" t="s">
        <v>256</v>
      </c>
      <c r="BJ32" s="67" t="s">
        <v>41</v>
      </c>
      <c r="BK32" s="67" t="s">
        <v>259</v>
      </c>
      <c r="BL32" s="69" t="s">
        <v>41</v>
      </c>
      <c r="BM32" s="68" t="s">
        <v>65</v>
      </c>
      <c r="BN32" s="67" t="s">
        <v>65</v>
      </c>
      <c r="BO32" s="67" t="s">
        <v>51</v>
      </c>
      <c r="BP32" s="67" t="s">
        <v>248</v>
      </c>
      <c r="BQ32" s="64">
        <v>42349</v>
      </c>
      <c r="BR32" s="63" t="s">
        <v>282</v>
      </c>
      <c r="BS32" s="63" t="s">
        <v>257</v>
      </c>
      <c r="BT32" s="68">
        <f>Nombrecours</f>
        <v>10</v>
      </c>
      <c r="BU32" s="63">
        <f>COUNTIF(DonnéesDessin[[#This Row],[Réponse doodle 01]:[Présence MàN AC]],"Excusé")</f>
        <v>1</v>
      </c>
      <c r="BV32" s="63">
        <f>COUNTIF(DonnéesDessin[[#This Row],[Réponse doodle 01]:[Présence MàN AC]],"N-employé")</f>
        <v>0</v>
      </c>
      <c r="BW32" s="63">
        <f>DonnéesDessin[[#This Row],[Nombre de cours]]-DonnéesDessin[[#This Row],[Nombre excusé]]-DonnéesDessin[[#This Row],[Nombre N-employé]]</f>
        <v>9</v>
      </c>
      <c r="BX32" s="69">
        <f>COUNTIF(DonnéesDessin[[#This Row],[Réponse doodle 01]:[Présence MàN AC]],"Présent")</f>
        <v>4</v>
      </c>
      <c r="BY32" s="68">
        <f>COUNTIF(DonnéesDessin[[#This Row],[Réponse doodle 01]:[Présence MàN AC]],"Inscrit")</f>
        <v>7</v>
      </c>
      <c r="BZ32" s="67">
        <f>3*DonnéesDessin[[#This Row],[Inscrit]]</f>
        <v>21</v>
      </c>
      <c r="CA32" s="67">
        <f>COUNTIF(DonnéesDessin[[#This Row],[Réponse doodle 01]:[Présence MàN AC]],"R pas nécessaire")</f>
        <v>0</v>
      </c>
      <c r="CB32" s="67">
        <f>SUM(3*DonnéesDessin[[#This Row],[R pas nécessaire]])</f>
        <v>0</v>
      </c>
      <c r="CC32" s="67">
        <f>COUNTIF(DonnéesDessin[[#This Row],[Réponse doodle 01]:[Présence MàN AC]],"Indisponible")</f>
        <v>0</v>
      </c>
      <c r="CD32" s="67">
        <f>2*DonnéesDessin[[#This Row],[Indisponible]]</f>
        <v>0</v>
      </c>
      <c r="CE32" s="67">
        <f>COUNTIF(DonnéesDessin[[#This Row],[Réponse doodle 01]:[Présence MàN AC]],"Ne peut s'inscrire")</f>
        <v>0</v>
      </c>
      <c r="CF32" s="67">
        <f>1*DonnéesDessin[[#This Row],[Ne peut s''inscrire]]</f>
        <v>0</v>
      </c>
      <c r="CG32" s="67">
        <f>COUNTIF(DonnéesDessin[[#This Row],[Réponse doodle 01]:[Présence MàN AC]],"Sans information")</f>
        <v>5</v>
      </c>
      <c r="CH32" s="67">
        <f>0*DonnéesDessin[[#This Row],[Sans information]]</f>
        <v>0</v>
      </c>
      <c r="CI32" s="67">
        <f>COUNTIF(DonnéesDessin[[#This Row],[Réponse doodle 01]:[Présence MàN AC]],"Présent")</f>
        <v>4</v>
      </c>
      <c r="CJ32" s="67">
        <f>2*DonnéesDessin[[#This Row],[Présent]]</f>
        <v>8</v>
      </c>
      <c r="CK32" s="67">
        <f>COUNTIF(DonnéesDessin[[#This Row],[Réponse doodle 01]:[Présence MàN AC]],"P pas nécessaire")</f>
        <v>0</v>
      </c>
      <c r="CL32" s="67">
        <f>2*DonnéesDessin[[#This Row],[P pas nécessaire]]</f>
        <v>0</v>
      </c>
      <c r="CM32" s="67">
        <f>COUNTIF(DonnéesDessin[[#This Row],[Réponse doodle 01]:[Présence MàN AC]],"Excusé")</f>
        <v>1</v>
      </c>
      <c r="CN32" s="67">
        <f>1*DonnéesDessin[[#This Row],[Excusé]]</f>
        <v>1</v>
      </c>
      <c r="CO32" s="67">
        <f>COUNTIF(DonnéesDessin[[#This Row],[Réponse doodle 01]:[Présence MàN AC]],"Pas présent")</f>
        <v>7</v>
      </c>
      <c r="CP32" s="67">
        <f>0*DonnéesDessin[[#This Row],[Pas présent]]</f>
        <v>0</v>
      </c>
      <c r="CQ32"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30</v>
      </c>
      <c r="CR32" s="78">
        <v>42600</v>
      </c>
      <c r="CS32" s="79" t="s">
        <v>439</v>
      </c>
      <c r="CT32" s="67" t="s">
        <v>257</v>
      </c>
      <c r="CU32" s="67">
        <v>4</v>
      </c>
      <c r="CV32" s="84">
        <v>74</v>
      </c>
      <c r="CW32" s="84">
        <v>67</v>
      </c>
      <c r="CX32" s="84">
        <f>SUBTOTAL(9,DonnéesDessin[[#This Row],[Résultat Niveau 1]:[Résultat Avancé]])</f>
        <v>141</v>
      </c>
      <c r="CY32" s="84" t="s">
        <v>696</v>
      </c>
      <c r="CZ32" s="84" t="s">
        <v>499</v>
      </c>
      <c r="DA32" s="67">
        <v>85</v>
      </c>
      <c r="DB32" s="88">
        <f>(DonnéesDessin[[#This Row],[Résultat Niveau 1]]+DonnéesDessin[[#This Row],[Résultat Avancé]])/DonnéesDessin[[#This Row],[Durée BC AC19 (en min)]]</f>
        <v>1.6588235294117648</v>
      </c>
    </row>
    <row r="33" spans="1:106">
      <c r="A33" s="62" t="str">
        <f>DonnéesDessin[[#This Row],[Prénom]]&amp;" "&amp;DonnéesDessin[[#This Row],[Nom]]</f>
        <v>Joana Eira Velha</v>
      </c>
      <c r="B33" s="63" t="s">
        <v>325</v>
      </c>
      <c r="C33" s="63" t="s">
        <v>125</v>
      </c>
      <c r="D33" s="63" t="s">
        <v>49</v>
      </c>
      <c r="E33" s="64">
        <v>42019</v>
      </c>
      <c r="F33" s="64" t="s">
        <v>41</v>
      </c>
      <c r="G33" s="63" t="s">
        <v>75</v>
      </c>
      <c r="H33" s="63" t="s">
        <v>51</v>
      </c>
      <c r="I33" s="65" t="s">
        <v>298</v>
      </c>
      <c r="J33" s="65">
        <v>16</v>
      </c>
      <c r="K33" s="66" t="s">
        <v>41</v>
      </c>
      <c r="L33" s="67">
        <f>DonnéesDessin[[#This Row],[PTS]]</f>
        <v>43</v>
      </c>
      <c r="M33" s="68" t="s">
        <v>52</v>
      </c>
      <c r="N33" s="63">
        <v>0</v>
      </c>
      <c r="O33" s="64" t="s">
        <v>288</v>
      </c>
      <c r="P33" s="63" t="s">
        <v>257</v>
      </c>
      <c r="Q33" s="63" t="s">
        <v>289</v>
      </c>
      <c r="R33" s="63" t="s">
        <v>257</v>
      </c>
      <c r="S33" s="63" t="s">
        <v>290</v>
      </c>
      <c r="T33" s="69" t="s">
        <v>257</v>
      </c>
      <c r="U33" s="68" t="s">
        <v>248</v>
      </c>
      <c r="V33" s="70">
        <v>42325</v>
      </c>
      <c r="W33" s="63" t="s">
        <v>257</v>
      </c>
      <c r="X33" s="63" t="s">
        <v>44</v>
      </c>
      <c r="Y33" s="68" t="s">
        <v>248</v>
      </c>
      <c r="Z33" s="71">
        <v>42382</v>
      </c>
      <c r="AA33" s="67" t="s">
        <v>292</v>
      </c>
      <c r="AB33" s="69" t="s">
        <v>342</v>
      </c>
      <c r="AC33" s="68" t="s">
        <v>248</v>
      </c>
      <c r="AD33" s="71">
        <v>42417</v>
      </c>
      <c r="AE33" s="67" t="s">
        <v>257</v>
      </c>
      <c r="AF33" s="69" t="s">
        <v>44</v>
      </c>
      <c r="AG33" s="68" t="s">
        <v>248</v>
      </c>
      <c r="AH33" s="72">
        <v>42439</v>
      </c>
      <c r="AI33" s="67" t="s">
        <v>257</v>
      </c>
      <c r="AJ33" s="69" t="s">
        <v>44</v>
      </c>
      <c r="AK33" s="68" t="s">
        <v>248</v>
      </c>
      <c r="AL33" s="67" t="s">
        <v>333</v>
      </c>
      <c r="AM33" s="67" t="s">
        <v>257</v>
      </c>
      <c r="AN33" s="69" t="s">
        <v>44</v>
      </c>
      <c r="AO33" s="68" t="s">
        <v>248</v>
      </c>
      <c r="AP33" s="67" t="s">
        <v>335</v>
      </c>
      <c r="AQ33" s="67" t="s">
        <v>257</v>
      </c>
      <c r="AR33" s="69" t="s">
        <v>44</v>
      </c>
      <c r="AS33" s="68" t="s">
        <v>248</v>
      </c>
      <c r="AT33" s="67" t="s">
        <v>417</v>
      </c>
      <c r="AU33" s="67" t="s">
        <v>259</v>
      </c>
      <c r="AV33" s="69" t="s">
        <v>343</v>
      </c>
      <c r="AW33" s="68" t="s">
        <v>248</v>
      </c>
      <c r="AX33" s="67" t="s">
        <v>427</v>
      </c>
      <c r="AY33" s="67" t="s">
        <v>257</v>
      </c>
      <c r="AZ33" s="69" t="s">
        <v>44</v>
      </c>
      <c r="BA33" s="68" t="s">
        <v>256</v>
      </c>
      <c r="BB33" s="67" t="s">
        <v>41</v>
      </c>
      <c r="BC33" s="67" t="s">
        <v>259</v>
      </c>
      <c r="BD33" s="69" t="s">
        <v>41</v>
      </c>
      <c r="BE33" s="68" t="s">
        <v>256</v>
      </c>
      <c r="BF33" s="67" t="s">
        <v>41</v>
      </c>
      <c r="BG33" s="67" t="s">
        <v>259</v>
      </c>
      <c r="BH33" s="69" t="s">
        <v>41</v>
      </c>
      <c r="BI33" s="76" t="s">
        <v>256</v>
      </c>
      <c r="BJ33" s="74" t="s">
        <v>41</v>
      </c>
      <c r="BK33" s="67" t="s">
        <v>259</v>
      </c>
      <c r="BL33" s="69" t="s">
        <v>445</v>
      </c>
      <c r="BM33" s="68" t="s">
        <v>53</v>
      </c>
      <c r="BN33" s="67" t="s">
        <v>53</v>
      </c>
      <c r="BO33" s="67" t="s">
        <v>51</v>
      </c>
      <c r="BP33" s="67" t="s">
        <v>248</v>
      </c>
      <c r="BQ33" s="64">
        <v>42347</v>
      </c>
      <c r="BR33" s="63" t="s">
        <v>286</v>
      </c>
      <c r="BS33" s="63" t="s">
        <v>257</v>
      </c>
      <c r="BT33" s="68">
        <f>Nombrecours</f>
        <v>10</v>
      </c>
      <c r="BU33" s="63">
        <f>COUNTIF(DonnéesDessin[[#This Row],[Réponse doodle 01]:[Présence MàN AC]],"Excusé")</f>
        <v>0</v>
      </c>
      <c r="BV33" s="63">
        <f>COUNTIF(DonnéesDessin[[#This Row],[Réponse doodle 01]:[Présence MàN AC]],"N-employé")</f>
        <v>0</v>
      </c>
      <c r="BW33" s="63">
        <f>DonnéesDessin[[#This Row],[Nombre de cours]]-DonnéesDessin[[#This Row],[Nombre excusé]]-DonnéesDessin[[#This Row],[Nombre N-employé]]</f>
        <v>10</v>
      </c>
      <c r="BX33" s="69">
        <f>COUNTIF(DonnéesDessin[[#This Row],[Réponse doodle 01]:[Présence MàN AC]],"Présent")</f>
        <v>7</v>
      </c>
      <c r="BY33" s="68">
        <f>COUNTIF(DonnéesDessin[[#This Row],[Réponse doodle 01]:[Présence MàN AC]],"Inscrit")</f>
        <v>9</v>
      </c>
      <c r="BZ33" s="67">
        <f>3*DonnéesDessin[[#This Row],[Inscrit]]</f>
        <v>27</v>
      </c>
      <c r="CA33" s="67">
        <f>COUNTIF(DonnéesDessin[[#This Row],[Réponse doodle 01]:[Présence MàN AC]],"R pas nécessaire")</f>
        <v>0</v>
      </c>
      <c r="CB33" s="67">
        <f>SUM(3*DonnéesDessin[[#This Row],[R pas nécessaire]])</f>
        <v>0</v>
      </c>
      <c r="CC33" s="67">
        <f>COUNTIF(DonnéesDessin[[#This Row],[Réponse doodle 01]:[Présence MàN AC]],"Indisponible")</f>
        <v>0</v>
      </c>
      <c r="CD33" s="67">
        <f>2*DonnéesDessin[[#This Row],[Indisponible]]</f>
        <v>0</v>
      </c>
      <c r="CE33" s="67">
        <f>COUNTIF(DonnéesDessin[[#This Row],[Réponse doodle 01]:[Présence MàN AC]],"Ne peut s'inscrire")</f>
        <v>0</v>
      </c>
      <c r="CF33" s="67">
        <f>1*DonnéesDessin[[#This Row],[Ne peut s''inscrire]]</f>
        <v>0</v>
      </c>
      <c r="CG33" s="67">
        <f>COUNTIF(DonnéesDessin[[#This Row],[Réponse doodle 01]:[Présence MàN AC]],"Sans information")</f>
        <v>3</v>
      </c>
      <c r="CH33" s="67">
        <f>0*DonnéesDessin[[#This Row],[Sans information]]</f>
        <v>0</v>
      </c>
      <c r="CI33" s="67">
        <f>COUNTIF(DonnéesDessin[[#This Row],[Réponse doodle 01]:[Présence MàN AC]],"Présent")</f>
        <v>7</v>
      </c>
      <c r="CJ33" s="67">
        <f>2*DonnéesDessin[[#This Row],[Présent]]</f>
        <v>14</v>
      </c>
      <c r="CK33" s="67">
        <f>COUNTIF(DonnéesDessin[[#This Row],[Réponse doodle 01]:[Présence MàN AC]],"P pas nécessaire")</f>
        <v>1</v>
      </c>
      <c r="CL33" s="67">
        <f>2*DonnéesDessin[[#This Row],[P pas nécessaire]]</f>
        <v>2</v>
      </c>
      <c r="CM33" s="67">
        <f>COUNTIF(DonnéesDessin[[#This Row],[Réponse doodle 01]:[Présence MàN AC]],"Excusé")</f>
        <v>0</v>
      </c>
      <c r="CN33" s="67">
        <f>1*DonnéesDessin[[#This Row],[Excusé]]</f>
        <v>0</v>
      </c>
      <c r="CO33" s="67">
        <f>COUNTIF(DonnéesDessin[[#This Row],[Réponse doodle 01]:[Présence MàN AC]],"Pas présent")</f>
        <v>4</v>
      </c>
      <c r="CP33" s="67">
        <f>0*DonnéesDessin[[#This Row],[Pas présent]]</f>
        <v>0</v>
      </c>
      <c r="CQ33"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43</v>
      </c>
      <c r="CR33" s="78">
        <v>42572</v>
      </c>
      <c r="CS33" s="79" t="s">
        <v>441</v>
      </c>
      <c r="CT33" s="67" t="s">
        <v>257</v>
      </c>
      <c r="CU33" s="67">
        <v>3</v>
      </c>
      <c r="CV33" s="84">
        <v>60</v>
      </c>
      <c r="CW33" s="84">
        <v>47</v>
      </c>
      <c r="CX33" s="84">
        <f>SUBTOTAL(9,DonnéesDessin[[#This Row],[Résultat Niveau 1]:[Résultat Avancé]])</f>
        <v>107</v>
      </c>
      <c r="CY33" s="83" t="s">
        <v>441</v>
      </c>
      <c r="CZ33" s="83" t="s">
        <v>466</v>
      </c>
      <c r="DA33" s="67">
        <v>70</v>
      </c>
      <c r="DB33" s="88">
        <f>(DonnéesDessin[[#This Row],[Résultat Niveau 1]]+DonnéesDessin[[#This Row],[Résultat Avancé]])/DonnéesDessin[[#This Row],[Durée BC AC19 (en min)]]</f>
        <v>1.5285714285714285</v>
      </c>
    </row>
    <row r="34" spans="1:106">
      <c r="A34" s="62" t="str">
        <f>DonnéesDessin[[#This Row],[Prénom]]&amp;" "&amp;DonnéesDessin[[#This Row],[Nom]]</f>
        <v>Joe Da Costa</v>
      </c>
      <c r="B34" s="63" t="s">
        <v>126</v>
      </c>
      <c r="C34" s="63" t="s">
        <v>127</v>
      </c>
      <c r="D34" s="63" t="s">
        <v>49</v>
      </c>
      <c r="E34" s="64">
        <v>42248</v>
      </c>
      <c r="F34" s="64" t="s">
        <v>41</v>
      </c>
      <c r="G34" s="63" t="s">
        <v>90</v>
      </c>
      <c r="H34" s="63" t="s">
        <v>51</v>
      </c>
      <c r="I34" s="65" t="s">
        <v>73</v>
      </c>
      <c r="J34" s="65">
        <v>18</v>
      </c>
      <c r="K34" s="66" t="s">
        <v>41</v>
      </c>
      <c r="L34" s="67">
        <f>DonnéesDessin[[#This Row],[PTS]]</f>
        <v>50</v>
      </c>
      <c r="M34" s="68" t="s">
        <v>52</v>
      </c>
      <c r="N34" s="63">
        <v>0</v>
      </c>
      <c r="O34" s="63" t="s">
        <v>45</v>
      </c>
      <c r="P34" s="63">
        <v>0</v>
      </c>
      <c r="Q34" s="63" t="s">
        <v>45</v>
      </c>
      <c r="R34" s="63">
        <v>0</v>
      </c>
      <c r="S34" s="63" t="s">
        <v>45</v>
      </c>
      <c r="T34" s="69">
        <v>0</v>
      </c>
      <c r="U34" s="68" t="s">
        <v>248</v>
      </c>
      <c r="V34" s="70">
        <v>42320</v>
      </c>
      <c r="W34" s="63" t="s">
        <v>257</v>
      </c>
      <c r="X34" s="63" t="s">
        <v>44</v>
      </c>
      <c r="Y34" s="68" t="s">
        <v>248</v>
      </c>
      <c r="Z34" s="71">
        <v>42382</v>
      </c>
      <c r="AA34" s="67" t="s">
        <v>257</v>
      </c>
      <c r="AB34" s="69" t="s">
        <v>44</v>
      </c>
      <c r="AC34" s="68" t="s">
        <v>248</v>
      </c>
      <c r="AD34" s="71">
        <v>42417</v>
      </c>
      <c r="AE34" s="67" t="s">
        <v>257</v>
      </c>
      <c r="AF34" s="69" t="s">
        <v>44</v>
      </c>
      <c r="AG34" s="68" t="s">
        <v>248</v>
      </c>
      <c r="AH34" s="72">
        <v>42439</v>
      </c>
      <c r="AI34" s="67" t="s">
        <v>257</v>
      </c>
      <c r="AJ34" s="69" t="s">
        <v>44</v>
      </c>
      <c r="AK34" s="68" t="s">
        <v>248</v>
      </c>
      <c r="AL34" s="67" t="s">
        <v>334</v>
      </c>
      <c r="AM34" s="67" t="s">
        <v>257</v>
      </c>
      <c r="AN34" s="69" t="s">
        <v>44</v>
      </c>
      <c r="AO34" s="68" t="s">
        <v>248</v>
      </c>
      <c r="AP34" s="67" t="s">
        <v>336</v>
      </c>
      <c r="AQ34" s="67" t="s">
        <v>257</v>
      </c>
      <c r="AR34" s="69" t="s">
        <v>44</v>
      </c>
      <c r="AS34" s="68" t="s">
        <v>248</v>
      </c>
      <c r="AT34" s="67" t="s">
        <v>415</v>
      </c>
      <c r="AU34" s="67" t="s">
        <v>257</v>
      </c>
      <c r="AV34" s="69" t="s">
        <v>44</v>
      </c>
      <c r="AW34" s="68" t="s">
        <v>248</v>
      </c>
      <c r="AX34" s="67" t="s">
        <v>424</v>
      </c>
      <c r="AY34" s="67" t="s">
        <v>257</v>
      </c>
      <c r="AZ34" s="69" t="s">
        <v>44</v>
      </c>
      <c r="BA34" s="68" t="s">
        <v>256</v>
      </c>
      <c r="BB34" s="67" t="s">
        <v>41</v>
      </c>
      <c r="BC34" s="67" t="s">
        <v>259</v>
      </c>
      <c r="BD34" s="69" t="s">
        <v>41</v>
      </c>
      <c r="BE34" s="68" t="s">
        <v>256</v>
      </c>
      <c r="BF34" s="67" t="s">
        <v>41</v>
      </c>
      <c r="BG34" s="67" t="s">
        <v>259</v>
      </c>
      <c r="BH34" s="69" t="s">
        <v>41</v>
      </c>
      <c r="BI34" s="68" t="s">
        <v>248</v>
      </c>
      <c r="BJ34" s="72">
        <v>42564</v>
      </c>
      <c r="BK34" s="67" t="s">
        <v>257</v>
      </c>
      <c r="BL34" s="69" t="s">
        <v>44</v>
      </c>
      <c r="BM34" s="68" t="s">
        <v>65</v>
      </c>
      <c r="BN34" s="67" t="s">
        <v>65</v>
      </c>
      <c r="BO34" s="67" t="s">
        <v>51</v>
      </c>
      <c r="BP34" s="67" t="s">
        <v>248</v>
      </c>
      <c r="BQ34" s="64">
        <v>42349</v>
      </c>
      <c r="BR34" s="63" t="s">
        <v>283</v>
      </c>
      <c r="BS34" s="63" t="s">
        <v>257</v>
      </c>
      <c r="BT34" s="68">
        <f>Nombrecours</f>
        <v>10</v>
      </c>
      <c r="BU34" s="63">
        <f>COUNTIF(DonnéesDessin[[#This Row],[Réponse doodle 01]:[Présence MàN AC]],"Excusé")</f>
        <v>0</v>
      </c>
      <c r="BV34" s="63">
        <f>COUNTIF(DonnéesDessin[[#This Row],[Réponse doodle 01]:[Présence MàN AC]],"N-employé")</f>
        <v>0</v>
      </c>
      <c r="BW34" s="63">
        <f>DonnéesDessin[[#This Row],[Nombre de cours]]-DonnéesDessin[[#This Row],[Nombre excusé]]-DonnéesDessin[[#This Row],[Nombre N-employé]]</f>
        <v>10</v>
      </c>
      <c r="BX34" s="69">
        <f>COUNTIF(DonnéesDessin[[#This Row],[Réponse doodle 01]:[Présence MàN AC]],"Présent")</f>
        <v>10</v>
      </c>
      <c r="BY34" s="68">
        <f>COUNTIF(DonnéesDessin[[#This Row],[Réponse doodle 01]:[Présence MàN AC]],"Inscrit")</f>
        <v>10</v>
      </c>
      <c r="BZ34" s="67">
        <f>3*DonnéesDessin[[#This Row],[Inscrit]]</f>
        <v>30</v>
      </c>
      <c r="CA34" s="67">
        <f>COUNTIF(DonnéesDessin[[#This Row],[Réponse doodle 01]:[Présence MàN AC]],"R pas nécessaire")</f>
        <v>0</v>
      </c>
      <c r="CB34" s="67">
        <f>SUM(3*DonnéesDessin[[#This Row],[R pas nécessaire]])</f>
        <v>0</v>
      </c>
      <c r="CC34" s="67">
        <f>COUNTIF(DonnéesDessin[[#This Row],[Réponse doodle 01]:[Présence MàN AC]],"Indisponible")</f>
        <v>0</v>
      </c>
      <c r="CD34" s="67">
        <f>2*DonnéesDessin[[#This Row],[Indisponible]]</f>
        <v>0</v>
      </c>
      <c r="CE34" s="67">
        <f>COUNTIF(DonnéesDessin[[#This Row],[Réponse doodle 01]:[Présence MàN AC]],"Ne peut s'inscrire")</f>
        <v>0</v>
      </c>
      <c r="CF34" s="67">
        <f>1*DonnéesDessin[[#This Row],[Ne peut s''inscrire]]</f>
        <v>0</v>
      </c>
      <c r="CG34" s="67">
        <f>COUNTIF(DonnéesDessin[[#This Row],[Réponse doodle 01]:[Présence MàN AC]],"Sans information")</f>
        <v>2</v>
      </c>
      <c r="CH34" s="67">
        <f>0*DonnéesDessin[[#This Row],[Sans information]]</f>
        <v>0</v>
      </c>
      <c r="CI34" s="67">
        <f>COUNTIF(DonnéesDessin[[#This Row],[Réponse doodle 01]:[Présence MàN AC]],"Présent")</f>
        <v>10</v>
      </c>
      <c r="CJ34" s="67">
        <f>2*DonnéesDessin[[#This Row],[Présent]]</f>
        <v>20</v>
      </c>
      <c r="CK34" s="67">
        <f>COUNTIF(DonnéesDessin[[#This Row],[Réponse doodle 01]:[Présence MàN AC]],"P pas nécessaire")</f>
        <v>0</v>
      </c>
      <c r="CL34" s="67">
        <f>2*DonnéesDessin[[#This Row],[P pas nécessaire]]</f>
        <v>0</v>
      </c>
      <c r="CM34" s="67">
        <f>COUNTIF(DonnéesDessin[[#This Row],[Réponse doodle 01]:[Présence MàN AC]],"Excusé")</f>
        <v>0</v>
      </c>
      <c r="CN34" s="67">
        <f>1*DonnéesDessin[[#This Row],[Excusé]]</f>
        <v>0</v>
      </c>
      <c r="CO34" s="67">
        <f>COUNTIF(DonnéesDessin[[#This Row],[Réponse doodle 01]:[Présence MàN AC]],"Pas présent")</f>
        <v>2</v>
      </c>
      <c r="CP34" s="67">
        <f>0*DonnéesDessin[[#This Row],[Pas présent]]</f>
        <v>0</v>
      </c>
      <c r="CQ34"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50</v>
      </c>
      <c r="CR34" s="78">
        <v>42579</v>
      </c>
      <c r="CS34" s="79" t="s">
        <v>438</v>
      </c>
      <c r="CT34" s="67" t="s">
        <v>257</v>
      </c>
      <c r="CU34" s="67">
        <v>2</v>
      </c>
      <c r="CV34" s="84">
        <v>78</v>
      </c>
      <c r="CW34" s="84">
        <v>78</v>
      </c>
      <c r="CX34" s="84">
        <f>SUBTOTAL(9,DonnéesDessin[[#This Row],[Résultat Niveau 1]:[Résultat Avancé]])</f>
        <v>156</v>
      </c>
      <c r="CY34" s="84" t="s">
        <v>438</v>
      </c>
      <c r="CZ34" s="84" t="s">
        <v>282</v>
      </c>
      <c r="DA34" s="67">
        <v>60</v>
      </c>
      <c r="DB34" s="88">
        <f>(DonnéesDessin[[#This Row],[Résultat Niveau 1]]+DonnéesDessin[[#This Row],[Résultat Avancé]])/DonnéesDessin[[#This Row],[Durée BC AC19 (en min)]]</f>
        <v>2.6</v>
      </c>
    </row>
    <row r="35" spans="1:106">
      <c r="A35" s="62" t="str">
        <f>DonnéesDessin[[#This Row],[Prénom]]&amp;" "&amp;DonnéesDessin[[#This Row],[Nom]]</f>
        <v>Jonathan Aeberli</v>
      </c>
      <c r="B35" s="63" t="s">
        <v>128</v>
      </c>
      <c r="C35" s="63" t="s">
        <v>129</v>
      </c>
      <c r="D35" s="63" t="s">
        <v>49</v>
      </c>
      <c r="E35" s="64">
        <v>42290</v>
      </c>
      <c r="F35" s="64" t="s">
        <v>41</v>
      </c>
      <c r="G35" s="63" t="s">
        <v>90</v>
      </c>
      <c r="H35" s="63" t="s">
        <v>51</v>
      </c>
      <c r="I35" s="65" t="s">
        <v>298</v>
      </c>
      <c r="J35" s="65">
        <v>18</v>
      </c>
      <c r="K35" s="66" t="s">
        <v>41</v>
      </c>
      <c r="L35" s="67">
        <f>DonnéesDessin[[#This Row],[PTS]]</f>
        <v>26</v>
      </c>
      <c r="M35" s="68" t="s">
        <v>52</v>
      </c>
      <c r="N35" s="63">
        <v>0</v>
      </c>
      <c r="O35" s="64" t="s">
        <v>288</v>
      </c>
      <c r="P35" s="63" t="s">
        <v>257</v>
      </c>
      <c r="Q35" s="63" t="s">
        <v>289</v>
      </c>
      <c r="R35" s="63" t="s">
        <v>257</v>
      </c>
      <c r="S35" s="63" t="s">
        <v>290</v>
      </c>
      <c r="T35" s="69" t="s">
        <v>257</v>
      </c>
      <c r="U35" s="68" t="s">
        <v>256</v>
      </c>
      <c r="V35" s="70" t="s">
        <v>41</v>
      </c>
      <c r="W35" s="63" t="s">
        <v>259</v>
      </c>
      <c r="X35" s="63" t="s">
        <v>341</v>
      </c>
      <c r="Y35" s="68" t="s">
        <v>293</v>
      </c>
      <c r="Z35" s="11" t="s">
        <v>41</v>
      </c>
      <c r="AA35" s="67" t="s">
        <v>292</v>
      </c>
      <c r="AB35" s="69" t="s">
        <v>342</v>
      </c>
      <c r="AC35" s="68" t="s">
        <v>256</v>
      </c>
      <c r="AD35" s="11" t="s">
        <v>41</v>
      </c>
      <c r="AE35" s="67" t="s">
        <v>259</v>
      </c>
      <c r="AF35" s="69" t="s">
        <v>341</v>
      </c>
      <c r="AG35" s="68" t="s">
        <v>248</v>
      </c>
      <c r="AH35" s="72">
        <v>42438</v>
      </c>
      <c r="AI35" s="67" t="s">
        <v>257</v>
      </c>
      <c r="AJ35" s="69" t="s">
        <v>44</v>
      </c>
      <c r="AK35" s="68" t="s">
        <v>248</v>
      </c>
      <c r="AL35" s="67" t="s">
        <v>331</v>
      </c>
      <c r="AM35" s="67" t="s">
        <v>259</v>
      </c>
      <c r="AN35" s="69" t="s">
        <v>343</v>
      </c>
      <c r="AO35" s="68" t="s">
        <v>248</v>
      </c>
      <c r="AP35" s="67" t="s">
        <v>335</v>
      </c>
      <c r="AQ35" s="67" t="s">
        <v>259</v>
      </c>
      <c r="AR35" s="69" t="s">
        <v>343</v>
      </c>
      <c r="AS35" s="68" t="s">
        <v>248</v>
      </c>
      <c r="AT35" s="67" t="s">
        <v>416</v>
      </c>
      <c r="AU35" s="67" t="s">
        <v>257</v>
      </c>
      <c r="AV35" s="69" t="s">
        <v>420</v>
      </c>
      <c r="AW35" s="68" t="s">
        <v>256</v>
      </c>
      <c r="AX35" s="67" t="s">
        <v>41</v>
      </c>
      <c r="AY35" s="67" t="s">
        <v>259</v>
      </c>
      <c r="AZ35" s="69" t="s">
        <v>431</v>
      </c>
      <c r="BA35" s="68" t="s">
        <v>256</v>
      </c>
      <c r="BB35" s="67" t="s">
        <v>41</v>
      </c>
      <c r="BC35" s="67" t="s">
        <v>259</v>
      </c>
      <c r="BD35" s="69" t="s">
        <v>41</v>
      </c>
      <c r="BE35" s="68" t="s">
        <v>256</v>
      </c>
      <c r="BF35" s="67" t="s">
        <v>41</v>
      </c>
      <c r="BG35" s="67" t="s">
        <v>259</v>
      </c>
      <c r="BH35" s="69" t="s">
        <v>41</v>
      </c>
      <c r="BI35" s="68" t="s">
        <v>256</v>
      </c>
      <c r="BJ35" s="67" t="s">
        <v>41</v>
      </c>
      <c r="BK35" s="67" t="s">
        <v>259</v>
      </c>
      <c r="BL35" s="69" t="s">
        <v>41</v>
      </c>
      <c r="BM35" s="68" t="s">
        <v>65</v>
      </c>
      <c r="BN35" s="67" t="s">
        <v>65</v>
      </c>
      <c r="BO35" s="67" t="s">
        <v>51</v>
      </c>
      <c r="BP35" s="67" t="s">
        <v>248</v>
      </c>
      <c r="BQ35" s="64">
        <v>42349</v>
      </c>
      <c r="BR35" s="63" t="s">
        <v>284</v>
      </c>
      <c r="BS35" s="63" t="s">
        <v>257</v>
      </c>
      <c r="BT35" s="68">
        <f>Nombrecours</f>
        <v>10</v>
      </c>
      <c r="BU35" s="63">
        <f>COUNTIF(DonnéesDessin[[#This Row],[Réponse doodle 01]:[Présence MàN AC]],"Excusé")</f>
        <v>0</v>
      </c>
      <c r="BV35" s="63">
        <f>COUNTIF(DonnéesDessin[[#This Row],[Réponse doodle 01]:[Présence MàN AC]],"N-employé")</f>
        <v>0</v>
      </c>
      <c r="BW35" s="63">
        <f>DonnéesDessin[[#This Row],[Nombre de cours]]-DonnéesDessin[[#This Row],[Nombre excusé]]-DonnéesDessin[[#This Row],[Nombre N-employé]]</f>
        <v>10</v>
      </c>
      <c r="BX35" s="69">
        <f>COUNTIF(DonnéesDessin[[#This Row],[Réponse doodle 01]:[Présence MàN AC]],"Présent")</f>
        <v>3</v>
      </c>
      <c r="BY35" s="68">
        <f>COUNTIF(DonnéesDessin[[#This Row],[Réponse doodle 01]:[Présence MàN AC]],"Inscrit")</f>
        <v>5</v>
      </c>
      <c r="BZ35" s="67">
        <f>3*DonnéesDessin[[#This Row],[Inscrit]]</f>
        <v>15</v>
      </c>
      <c r="CA35" s="67">
        <f>COUNTIF(DonnéesDessin[[#This Row],[Réponse doodle 01]:[Présence MàN AC]],"R pas nécessaire")</f>
        <v>1</v>
      </c>
      <c r="CB35" s="67">
        <f>SUM(3*DonnéesDessin[[#This Row],[R pas nécessaire]])</f>
        <v>3</v>
      </c>
      <c r="CC35" s="67">
        <f>COUNTIF(DonnéesDessin[[#This Row],[Réponse doodle 01]:[Présence MàN AC]],"Indisponible")</f>
        <v>0</v>
      </c>
      <c r="CD35" s="67">
        <f>2*DonnéesDessin[[#This Row],[Indisponible]]</f>
        <v>0</v>
      </c>
      <c r="CE35" s="67">
        <f>COUNTIF(DonnéesDessin[[#This Row],[Réponse doodle 01]:[Présence MàN AC]],"Ne peut s'inscrire")</f>
        <v>0</v>
      </c>
      <c r="CF35" s="67">
        <f>1*DonnéesDessin[[#This Row],[Ne peut s''inscrire]]</f>
        <v>0</v>
      </c>
      <c r="CG35" s="67">
        <f>COUNTIF(DonnéesDessin[[#This Row],[Réponse doodle 01]:[Présence MàN AC]],"Sans information")</f>
        <v>6</v>
      </c>
      <c r="CH35" s="67">
        <f>0*DonnéesDessin[[#This Row],[Sans information]]</f>
        <v>0</v>
      </c>
      <c r="CI35" s="67">
        <f>COUNTIF(DonnéesDessin[[#This Row],[Réponse doodle 01]:[Présence MàN AC]],"Présent")</f>
        <v>3</v>
      </c>
      <c r="CJ35" s="67">
        <f>2*DonnéesDessin[[#This Row],[Présent]]</f>
        <v>6</v>
      </c>
      <c r="CK35" s="67">
        <f>COUNTIF(DonnéesDessin[[#This Row],[Réponse doodle 01]:[Présence MàN AC]],"P pas nécessaire")</f>
        <v>1</v>
      </c>
      <c r="CL35" s="67">
        <f>2*DonnéesDessin[[#This Row],[P pas nécessaire]]</f>
        <v>2</v>
      </c>
      <c r="CM35" s="67">
        <f>COUNTIF(DonnéesDessin[[#This Row],[Réponse doodle 01]:[Présence MàN AC]],"Excusé")</f>
        <v>0</v>
      </c>
      <c r="CN35" s="67">
        <f>1*DonnéesDessin[[#This Row],[Excusé]]</f>
        <v>0</v>
      </c>
      <c r="CO35" s="67">
        <f>COUNTIF(DonnéesDessin[[#This Row],[Réponse doodle 01]:[Présence MàN AC]],"Pas présent")</f>
        <v>8</v>
      </c>
      <c r="CP35" s="67">
        <f>0*DonnéesDessin[[#This Row],[Pas présent]]</f>
        <v>0</v>
      </c>
      <c r="CQ35"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26</v>
      </c>
      <c r="CR35" s="78">
        <v>42600</v>
      </c>
      <c r="CS35" s="79" t="s">
        <v>439</v>
      </c>
      <c r="CT35" s="67" t="s">
        <v>257</v>
      </c>
      <c r="CU35" s="67">
        <v>2</v>
      </c>
      <c r="CV35" s="84">
        <v>60</v>
      </c>
      <c r="CW35" s="84">
        <v>57</v>
      </c>
      <c r="CX35" s="84">
        <f>SUBTOTAL(9,DonnéesDessin[[#This Row],[Résultat Niveau 1]:[Résultat Avancé]])</f>
        <v>117</v>
      </c>
      <c r="CY35" s="84" t="s">
        <v>691</v>
      </c>
      <c r="CZ35" s="84" t="s">
        <v>458</v>
      </c>
      <c r="DA35" s="67">
        <v>60</v>
      </c>
      <c r="DB35" s="88">
        <f>(DonnéesDessin[[#This Row],[Résultat Niveau 1]]+DonnéesDessin[[#This Row],[Résultat Avancé]])/DonnéesDessin[[#This Row],[Durée BC AC19 (en min)]]</f>
        <v>1.95</v>
      </c>
    </row>
    <row r="36" spans="1:106">
      <c r="A36" s="62" t="str">
        <f>DonnéesDessin[[#This Row],[Prénom]]&amp;" "&amp;DonnéesDessin[[#This Row],[Nom]]</f>
        <v>Jonathan Pernet</v>
      </c>
      <c r="B36" s="63" t="s">
        <v>130</v>
      </c>
      <c r="C36" s="63" t="s">
        <v>129</v>
      </c>
      <c r="D36" s="63" t="s">
        <v>57</v>
      </c>
      <c r="E36" s="64" t="s">
        <v>41</v>
      </c>
      <c r="F36" s="64" t="s">
        <v>41</v>
      </c>
      <c r="G36" s="63" t="s">
        <v>90</v>
      </c>
      <c r="H36" s="63" t="s">
        <v>51</v>
      </c>
      <c r="I36" s="65">
        <v>2009</v>
      </c>
      <c r="J36" s="65">
        <v>16</v>
      </c>
      <c r="K36" s="66" t="s">
        <v>41</v>
      </c>
      <c r="L36" s="67">
        <f>DonnéesDessin[[#This Row],[PTS]]</f>
        <v>40</v>
      </c>
      <c r="M36" s="68" t="s">
        <v>52</v>
      </c>
      <c r="N36" s="63">
        <v>0</v>
      </c>
      <c r="O36" s="63" t="s">
        <v>45</v>
      </c>
      <c r="P36" s="63">
        <v>0</v>
      </c>
      <c r="Q36" s="63" t="s">
        <v>45</v>
      </c>
      <c r="R36" s="63">
        <v>0</v>
      </c>
      <c r="S36" s="63" t="s">
        <v>45</v>
      </c>
      <c r="T36" s="69">
        <v>0</v>
      </c>
      <c r="U36" s="68" t="s">
        <v>256</v>
      </c>
      <c r="V36" s="70" t="s">
        <v>41</v>
      </c>
      <c r="W36" s="63" t="s">
        <v>259</v>
      </c>
      <c r="X36" s="63" t="s">
        <v>341</v>
      </c>
      <c r="Y36" s="68" t="s">
        <v>248</v>
      </c>
      <c r="Z36" s="71">
        <v>42382</v>
      </c>
      <c r="AA36" s="67" t="s">
        <v>259</v>
      </c>
      <c r="AB36" s="69" t="s">
        <v>343</v>
      </c>
      <c r="AC36" s="68" t="s">
        <v>248</v>
      </c>
      <c r="AD36" s="11" t="s">
        <v>323</v>
      </c>
      <c r="AE36" s="67" t="s">
        <v>257</v>
      </c>
      <c r="AF36" s="69" t="s">
        <v>44</v>
      </c>
      <c r="AG36" s="68" t="s">
        <v>248</v>
      </c>
      <c r="AH36" s="72">
        <v>42439</v>
      </c>
      <c r="AI36" s="67" t="s">
        <v>257</v>
      </c>
      <c r="AJ36" s="69" t="s">
        <v>44</v>
      </c>
      <c r="AK36" s="68" t="s">
        <v>248</v>
      </c>
      <c r="AL36" s="67" t="s">
        <v>334</v>
      </c>
      <c r="AM36" s="67" t="s">
        <v>258</v>
      </c>
      <c r="AN36" s="69" t="s">
        <v>378</v>
      </c>
      <c r="AO36" s="68" t="s">
        <v>248</v>
      </c>
      <c r="AP36" s="67" t="s">
        <v>336</v>
      </c>
      <c r="AQ36" s="67" t="s">
        <v>259</v>
      </c>
      <c r="AR36" s="69" t="s">
        <v>343</v>
      </c>
      <c r="AS36" s="76" t="s">
        <v>248</v>
      </c>
      <c r="AT36" s="66" t="s">
        <v>415</v>
      </c>
      <c r="AU36" s="66" t="s">
        <v>257</v>
      </c>
      <c r="AV36" s="69" t="s">
        <v>420</v>
      </c>
      <c r="AW36" s="68" t="s">
        <v>248</v>
      </c>
      <c r="AX36" s="67" t="s">
        <v>430</v>
      </c>
      <c r="AY36" s="67" t="s">
        <v>257</v>
      </c>
      <c r="AZ36" s="69" t="s">
        <v>41</v>
      </c>
      <c r="BA36" s="68" t="s">
        <v>256</v>
      </c>
      <c r="BB36" s="67" t="s">
        <v>41</v>
      </c>
      <c r="BC36" s="67" t="s">
        <v>259</v>
      </c>
      <c r="BD36" s="69" t="s">
        <v>41</v>
      </c>
      <c r="BE36" s="68" t="s">
        <v>256</v>
      </c>
      <c r="BF36" s="67" t="s">
        <v>41</v>
      </c>
      <c r="BG36" s="67" t="s">
        <v>259</v>
      </c>
      <c r="BH36" s="69" t="s">
        <v>41</v>
      </c>
      <c r="BI36" s="68" t="s">
        <v>248</v>
      </c>
      <c r="BJ36" s="72">
        <v>42509</v>
      </c>
      <c r="BK36" s="67" t="s">
        <v>257</v>
      </c>
      <c r="BL36" s="69" t="s">
        <v>41</v>
      </c>
      <c r="BM36" s="68" t="s">
        <v>53</v>
      </c>
      <c r="BN36" s="66" t="s">
        <v>53</v>
      </c>
      <c r="BO36" s="66" t="s">
        <v>51</v>
      </c>
      <c r="BP36" s="66" t="s">
        <v>248</v>
      </c>
      <c r="BQ36" s="74">
        <v>42347</v>
      </c>
      <c r="BR36" s="66" t="s">
        <v>286</v>
      </c>
      <c r="BS36" s="66" t="s">
        <v>257</v>
      </c>
      <c r="BT36" s="68">
        <f>Nombrecours</f>
        <v>10</v>
      </c>
      <c r="BU36" s="63">
        <f>COUNTIF(DonnéesDessin[[#This Row],[Réponse doodle 01]:[Présence MàN AC]],"Excusé")</f>
        <v>1</v>
      </c>
      <c r="BV36" s="63">
        <f>COUNTIF(DonnéesDessin[[#This Row],[Réponse doodle 01]:[Présence MàN AC]],"N-employé")</f>
        <v>0</v>
      </c>
      <c r="BW36" s="63">
        <f>DonnéesDessin[[#This Row],[Nombre de cours]]-DonnéesDessin[[#This Row],[Nombre excusé]]-DonnéesDessin[[#This Row],[Nombre N-employé]]</f>
        <v>9</v>
      </c>
      <c r="BX36" s="69">
        <f>COUNTIF(DonnéesDessin[[#This Row],[Réponse doodle 01]:[Présence MàN AC]],"Présent")</f>
        <v>6</v>
      </c>
      <c r="BY36" s="68">
        <f>COUNTIF(DonnéesDessin[[#This Row],[Réponse doodle 01]:[Présence MàN AC]],"Inscrit")</f>
        <v>9</v>
      </c>
      <c r="BZ36" s="67">
        <f>3*DonnéesDessin[[#This Row],[Inscrit]]</f>
        <v>27</v>
      </c>
      <c r="CA36" s="67">
        <f>COUNTIF(DonnéesDessin[[#This Row],[Réponse doodle 01]:[Présence MàN AC]],"R pas nécessaire")</f>
        <v>0</v>
      </c>
      <c r="CB36" s="67">
        <f>SUM(3*DonnéesDessin[[#This Row],[R pas nécessaire]])</f>
        <v>0</v>
      </c>
      <c r="CC36" s="67">
        <f>COUNTIF(DonnéesDessin[[#This Row],[Réponse doodle 01]:[Présence MàN AC]],"Indisponible")</f>
        <v>0</v>
      </c>
      <c r="CD36" s="67">
        <f>2*DonnéesDessin[[#This Row],[Indisponible]]</f>
        <v>0</v>
      </c>
      <c r="CE36" s="67">
        <f>COUNTIF(DonnéesDessin[[#This Row],[Réponse doodle 01]:[Présence MàN AC]],"Ne peut s'inscrire")</f>
        <v>0</v>
      </c>
      <c r="CF36" s="67">
        <f>1*DonnéesDessin[[#This Row],[Ne peut s''inscrire]]</f>
        <v>0</v>
      </c>
      <c r="CG36" s="67">
        <f>COUNTIF(DonnéesDessin[[#This Row],[Réponse doodle 01]:[Présence MàN AC]],"Sans information")</f>
        <v>3</v>
      </c>
      <c r="CH36" s="67">
        <f>0*DonnéesDessin[[#This Row],[Sans information]]</f>
        <v>0</v>
      </c>
      <c r="CI36" s="67">
        <f>COUNTIF(DonnéesDessin[[#This Row],[Réponse doodle 01]:[Présence MàN AC]],"Présent")</f>
        <v>6</v>
      </c>
      <c r="CJ36" s="67">
        <f>2*DonnéesDessin[[#This Row],[Présent]]</f>
        <v>12</v>
      </c>
      <c r="CK36" s="67">
        <f>COUNTIF(DonnéesDessin[[#This Row],[Réponse doodle 01]:[Présence MàN AC]],"P pas nécessaire")</f>
        <v>0</v>
      </c>
      <c r="CL36" s="67">
        <f>2*DonnéesDessin[[#This Row],[P pas nécessaire]]</f>
        <v>0</v>
      </c>
      <c r="CM36" s="67">
        <f>COUNTIF(DonnéesDessin[[#This Row],[Réponse doodle 01]:[Présence MàN AC]],"Excusé")</f>
        <v>1</v>
      </c>
      <c r="CN36" s="67">
        <f>1*DonnéesDessin[[#This Row],[Excusé]]</f>
        <v>1</v>
      </c>
      <c r="CO36" s="67">
        <f>COUNTIF(DonnéesDessin[[#This Row],[Réponse doodle 01]:[Présence MàN AC]],"Pas présent")</f>
        <v>5</v>
      </c>
      <c r="CP36" s="67">
        <f>0*DonnéesDessin[[#This Row],[Pas présent]]</f>
        <v>0</v>
      </c>
      <c r="CQ36"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40</v>
      </c>
      <c r="CR36" s="78">
        <v>42572</v>
      </c>
      <c r="CS36" s="79" t="s">
        <v>440</v>
      </c>
      <c r="CT36" s="67" t="s">
        <v>257</v>
      </c>
      <c r="CU36" s="67">
        <v>4</v>
      </c>
      <c r="CV36" s="84">
        <v>72</v>
      </c>
      <c r="CW36" s="84">
        <v>76</v>
      </c>
      <c r="CX36" s="84">
        <f>SUBTOTAL(9,DonnéesDessin[[#This Row],[Résultat Niveau 1]:[Résultat Avancé]])</f>
        <v>148</v>
      </c>
      <c r="CY36" s="83" t="s">
        <v>456</v>
      </c>
      <c r="CZ36" s="83" t="s">
        <v>459</v>
      </c>
      <c r="DA36" s="67">
        <v>95</v>
      </c>
      <c r="DB36" s="88">
        <f>(DonnéesDessin[[#This Row],[Résultat Niveau 1]]+DonnéesDessin[[#This Row],[Résultat Avancé]])/DonnéesDessin[[#This Row],[Durée BC AC19 (en min)]]</f>
        <v>1.5578947368421052</v>
      </c>
    </row>
    <row r="37" spans="1:106">
      <c r="A37" s="62" t="str">
        <f>DonnéesDessin[[#This Row],[Prénom]]&amp;" "&amp;DonnéesDessin[[#This Row],[Nom]]</f>
        <v>Jorge Cavalheiro</v>
      </c>
      <c r="B37" s="67" t="s">
        <v>313</v>
      </c>
      <c r="C37" s="67" t="s">
        <v>314</v>
      </c>
      <c r="D37" s="67" t="s">
        <v>63</v>
      </c>
      <c r="E37" s="72">
        <v>42415</v>
      </c>
      <c r="F37" s="72" t="s">
        <v>41</v>
      </c>
      <c r="G37" s="67" t="s">
        <v>90</v>
      </c>
      <c r="H37" s="67" t="s">
        <v>51</v>
      </c>
      <c r="I37" s="12" t="s">
        <v>318</v>
      </c>
      <c r="J37" s="12" t="s">
        <v>42</v>
      </c>
      <c r="K37" s="66" t="s">
        <v>359</v>
      </c>
      <c r="L37" s="67">
        <f>DonnéesDessin[[#This Row],[PTS]]</f>
        <v>30</v>
      </c>
      <c r="M37" s="68" t="s">
        <v>52</v>
      </c>
      <c r="N37" s="63">
        <v>0</v>
      </c>
      <c r="O37" s="63" t="s">
        <v>308</v>
      </c>
      <c r="P37" s="63" t="s">
        <v>257</v>
      </c>
      <c r="Q37" s="63" t="s">
        <v>309</v>
      </c>
      <c r="R37" s="63">
        <v>0</v>
      </c>
      <c r="S37" s="63" t="s">
        <v>310</v>
      </c>
      <c r="T37" s="69">
        <v>0</v>
      </c>
      <c r="U37" s="68" t="s">
        <v>281</v>
      </c>
      <c r="V37" s="75" t="s">
        <v>41</v>
      </c>
      <c r="W37" s="63" t="s">
        <v>41</v>
      </c>
      <c r="X37" s="63" t="s">
        <v>358</v>
      </c>
      <c r="Y37" s="68" t="s">
        <v>281</v>
      </c>
      <c r="Z37" s="75" t="s">
        <v>41</v>
      </c>
      <c r="AA37" s="63" t="s">
        <v>41</v>
      </c>
      <c r="AB37" s="69" t="s">
        <v>358</v>
      </c>
      <c r="AC37" s="68" t="s">
        <v>256</v>
      </c>
      <c r="AD37" s="11" t="s">
        <v>41</v>
      </c>
      <c r="AE37" s="67" t="s">
        <v>259</v>
      </c>
      <c r="AF37" s="69" t="s">
        <v>341</v>
      </c>
      <c r="AG37" s="68" t="s">
        <v>248</v>
      </c>
      <c r="AH37" s="72">
        <v>42439</v>
      </c>
      <c r="AI37" s="67" t="s">
        <v>257</v>
      </c>
      <c r="AJ37" s="69" t="s">
        <v>44</v>
      </c>
      <c r="AK37" s="68" t="s">
        <v>248</v>
      </c>
      <c r="AL37" s="67" t="s">
        <v>332</v>
      </c>
      <c r="AM37" s="67" t="s">
        <v>257</v>
      </c>
      <c r="AN37" s="69" t="s">
        <v>44</v>
      </c>
      <c r="AO37" s="68" t="s">
        <v>248</v>
      </c>
      <c r="AP37" s="67" t="s">
        <v>335</v>
      </c>
      <c r="AQ37" s="67" t="s">
        <v>257</v>
      </c>
      <c r="AR37" s="69" t="s">
        <v>44</v>
      </c>
      <c r="AS37" s="68" t="s">
        <v>248</v>
      </c>
      <c r="AT37" s="67" t="s">
        <v>416</v>
      </c>
      <c r="AU37" s="67" t="s">
        <v>257</v>
      </c>
      <c r="AV37" s="69" t="s">
        <v>420</v>
      </c>
      <c r="AW37" s="68" t="s">
        <v>248</v>
      </c>
      <c r="AX37" s="67" t="s">
        <v>424</v>
      </c>
      <c r="AY37" s="67" t="s">
        <v>257</v>
      </c>
      <c r="AZ37" s="69" t="s">
        <v>432</v>
      </c>
      <c r="BA37" s="68" t="s">
        <v>256</v>
      </c>
      <c r="BB37" s="67" t="s">
        <v>41</v>
      </c>
      <c r="BC37" s="67" t="s">
        <v>259</v>
      </c>
      <c r="BD37" s="69" t="s">
        <v>41</v>
      </c>
      <c r="BE37" s="68" t="s">
        <v>256</v>
      </c>
      <c r="BF37" s="67" t="s">
        <v>41</v>
      </c>
      <c r="BG37" s="67" t="s">
        <v>259</v>
      </c>
      <c r="BH37" s="69" t="s">
        <v>41</v>
      </c>
      <c r="BI37" s="68" t="s">
        <v>248</v>
      </c>
      <c r="BJ37" s="72">
        <v>42564</v>
      </c>
      <c r="BK37" s="67" t="s">
        <v>257</v>
      </c>
      <c r="BL37" s="69" t="s">
        <v>44</v>
      </c>
      <c r="BM37" s="68" t="s">
        <v>281</v>
      </c>
      <c r="BN37" s="67"/>
      <c r="BO37" s="67" t="s">
        <v>41</v>
      </c>
      <c r="BP37" s="67" t="s">
        <v>41</v>
      </c>
      <c r="BQ37" s="63" t="s">
        <v>41</v>
      </c>
      <c r="BR37" s="63" t="s">
        <v>41</v>
      </c>
      <c r="BS37" s="63" t="s">
        <v>41</v>
      </c>
      <c r="BT37" s="68">
        <f>Nombrecours</f>
        <v>10</v>
      </c>
      <c r="BU37" s="63">
        <f>COUNTIF(DonnéesDessin[[#This Row],[Réponse doodle 01]:[Présence MàN AC]],"Excusé")</f>
        <v>0</v>
      </c>
      <c r="BV37" s="63">
        <f>COUNTIF(DonnéesDessin[[#This Row],[Réponse doodle 01]:[Présence MàN AC]],"N-employé")</f>
        <v>3</v>
      </c>
      <c r="BW37" s="63">
        <f>DonnéesDessin[[#This Row],[Nombre de cours]]-DonnéesDessin[[#This Row],[Nombre excusé]]-DonnéesDessin[[#This Row],[Nombre N-employé]]</f>
        <v>7</v>
      </c>
      <c r="BX37" s="69">
        <f>COUNTIF(DonnéesDessin[[#This Row],[Réponse doodle 01]:[Présence MàN AC]],"Présent")</f>
        <v>6</v>
      </c>
      <c r="BY37" s="68">
        <f>COUNTIF(DonnéesDessin[[#This Row],[Réponse doodle 01]:[Présence MàN AC]],"Inscrit")</f>
        <v>6</v>
      </c>
      <c r="BZ37" s="67">
        <f>3*DonnéesDessin[[#This Row],[Inscrit]]</f>
        <v>18</v>
      </c>
      <c r="CA37" s="67">
        <f>COUNTIF(DonnéesDessin[[#This Row],[Réponse doodle 01]:[Présence MàN AC]],"R pas nécessaire")</f>
        <v>0</v>
      </c>
      <c r="CB37" s="67">
        <f>SUM(3*DonnéesDessin[[#This Row],[R pas nécessaire]])</f>
        <v>0</v>
      </c>
      <c r="CC37" s="67">
        <f>COUNTIF(DonnéesDessin[[#This Row],[Réponse doodle 01]:[Présence MàN AC]],"Indisponible")</f>
        <v>0</v>
      </c>
      <c r="CD37" s="67">
        <f>2*DonnéesDessin[[#This Row],[Indisponible]]</f>
        <v>0</v>
      </c>
      <c r="CE37" s="67">
        <f>COUNTIF(DonnéesDessin[[#This Row],[Réponse doodle 01]:[Présence MàN AC]],"Ne peut s'inscrire")</f>
        <v>0</v>
      </c>
      <c r="CF37" s="67">
        <f>1*DonnéesDessin[[#This Row],[Ne peut s''inscrire]]</f>
        <v>0</v>
      </c>
      <c r="CG37" s="67">
        <f>COUNTIF(DonnéesDessin[[#This Row],[Réponse doodle 01]:[Présence MàN AC]],"Sans information")</f>
        <v>3</v>
      </c>
      <c r="CH37" s="67">
        <f>0*DonnéesDessin[[#This Row],[Sans information]]</f>
        <v>0</v>
      </c>
      <c r="CI37" s="67">
        <f>COUNTIF(DonnéesDessin[[#This Row],[Réponse doodle 01]:[Présence MàN AC]],"Présent")</f>
        <v>6</v>
      </c>
      <c r="CJ37" s="67">
        <f>2*DonnéesDessin[[#This Row],[Présent]]</f>
        <v>12</v>
      </c>
      <c r="CK37" s="67">
        <f>COUNTIF(DonnéesDessin[[#This Row],[Réponse doodle 01]:[Présence MàN AC]],"P pas nécessaire")</f>
        <v>0</v>
      </c>
      <c r="CL37" s="67">
        <f>2*DonnéesDessin[[#This Row],[P pas nécessaire]]</f>
        <v>0</v>
      </c>
      <c r="CM37" s="67">
        <f>COUNTIF(DonnéesDessin[[#This Row],[Réponse doodle 01]:[Présence MàN AC]],"Excusé")</f>
        <v>0</v>
      </c>
      <c r="CN37" s="67">
        <f>1*DonnéesDessin[[#This Row],[Excusé]]</f>
        <v>0</v>
      </c>
      <c r="CO37" s="67">
        <f>COUNTIF(DonnéesDessin[[#This Row],[Réponse doodle 01]:[Présence MàN AC]],"Pas présent")</f>
        <v>3</v>
      </c>
      <c r="CP37" s="67">
        <f>0*DonnéesDessin[[#This Row],[Pas présent]]</f>
        <v>0</v>
      </c>
      <c r="CQ37"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30</v>
      </c>
      <c r="CR37" s="78">
        <v>42579</v>
      </c>
      <c r="CS37" s="79" t="s">
        <v>443</v>
      </c>
      <c r="CT37" s="67" t="s">
        <v>257</v>
      </c>
      <c r="CU37" s="67">
        <v>1</v>
      </c>
      <c r="CV37" s="84">
        <v>56</v>
      </c>
      <c r="CW37" s="84">
        <v>49</v>
      </c>
      <c r="CX37" s="84">
        <f>SUBTOTAL(9,DonnéesDessin[[#This Row],[Résultat Niveau 1]:[Résultat Avancé]])</f>
        <v>105</v>
      </c>
      <c r="CY37" s="84" t="s">
        <v>443</v>
      </c>
      <c r="CZ37" s="84" t="s">
        <v>501</v>
      </c>
      <c r="DA37" s="67">
        <v>90</v>
      </c>
      <c r="DB37" s="88">
        <f>(DonnéesDessin[[#This Row],[Résultat Niveau 1]]+DonnéesDessin[[#This Row],[Résultat Avancé]])/DonnéesDessin[[#This Row],[Durée BC AC19 (en min)]]</f>
        <v>1.1666666666666667</v>
      </c>
    </row>
    <row r="38" spans="1:106">
      <c r="A38" s="62" t="str">
        <f>DonnéesDessin[[#This Row],[Prénom]]&amp;" "&amp;DonnéesDessin[[#This Row],[Nom]]</f>
        <v>Logan Werder</v>
      </c>
      <c r="B38" s="63" t="s">
        <v>135</v>
      </c>
      <c r="C38" s="63" t="s">
        <v>136</v>
      </c>
      <c r="D38" s="63" t="s">
        <v>49</v>
      </c>
      <c r="E38" s="64" t="s">
        <v>41</v>
      </c>
      <c r="F38" s="64" t="s">
        <v>41</v>
      </c>
      <c r="G38" s="63"/>
      <c r="H38" s="63" t="s">
        <v>51</v>
      </c>
      <c r="I38" s="65" t="s">
        <v>73</v>
      </c>
      <c r="J38" s="65">
        <v>18</v>
      </c>
      <c r="K38" s="66" t="s">
        <v>41</v>
      </c>
      <c r="L38" s="67">
        <f>DonnéesDessin[[#This Row],[PTS]]</f>
        <v>40</v>
      </c>
      <c r="M38" s="68" t="s">
        <v>52</v>
      </c>
      <c r="N38" s="63">
        <v>0</v>
      </c>
      <c r="O38" s="63" t="s">
        <v>45</v>
      </c>
      <c r="P38" s="63">
        <v>0</v>
      </c>
      <c r="Q38" s="63" t="s">
        <v>45</v>
      </c>
      <c r="R38" s="63">
        <v>0</v>
      </c>
      <c r="S38" s="63" t="s">
        <v>45</v>
      </c>
      <c r="T38" s="69">
        <v>0</v>
      </c>
      <c r="U38" s="68" t="s">
        <v>256</v>
      </c>
      <c r="V38" s="70" t="s">
        <v>41</v>
      </c>
      <c r="W38" s="63" t="s">
        <v>259</v>
      </c>
      <c r="X38" s="63" t="s">
        <v>341</v>
      </c>
      <c r="Y38" s="68" t="s">
        <v>248</v>
      </c>
      <c r="Z38" s="71">
        <v>42398</v>
      </c>
      <c r="AA38" s="67" t="s">
        <v>257</v>
      </c>
      <c r="AB38" s="67" t="s">
        <v>44</v>
      </c>
      <c r="AC38" s="68" t="s">
        <v>248</v>
      </c>
      <c r="AD38" s="11" t="s">
        <v>323</v>
      </c>
      <c r="AE38" s="67" t="s">
        <v>257</v>
      </c>
      <c r="AF38" s="69" t="s">
        <v>44</v>
      </c>
      <c r="AG38" s="68" t="s">
        <v>248</v>
      </c>
      <c r="AH38" s="72">
        <v>42439</v>
      </c>
      <c r="AI38" s="67" t="s">
        <v>257</v>
      </c>
      <c r="AJ38" s="69" t="s">
        <v>44</v>
      </c>
      <c r="AK38" s="68" t="s">
        <v>248</v>
      </c>
      <c r="AL38" s="67" t="s">
        <v>332</v>
      </c>
      <c r="AM38" s="67" t="s">
        <v>257</v>
      </c>
      <c r="AN38" s="69" t="s">
        <v>44</v>
      </c>
      <c r="AO38" s="68" t="s">
        <v>248</v>
      </c>
      <c r="AP38" s="67" t="s">
        <v>338</v>
      </c>
      <c r="AQ38" s="67" t="s">
        <v>257</v>
      </c>
      <c r="AR38" s="69" t="s">
        <v>44</v>
      </c>
      <c r="AS38" s="68" t="s">
        <v>248</v>
      </c>
      <c r="AT38" s="67" t="s">
        <v>414</v>
      </c>
      <c r="AU38" s="67" t="s">
        <v>257</v>
      </c>
      <c r="AV38" s="69" t="s">
        <v>44</v>
      </c>
      <c r="AW38" s="68" t="s">
        <v>248</v>
      </c>
      <c r="AX38" s="67" t="s">
        <v>425</v>
      </c>
      <c r="AY38" s="67" t="s">
        <v>257</v>
      </c>
      <c r="AZ38" s="69" t="s">
        <v>44</v>
      </c>
      <c r="BA38" s="68" t="s">
        <v>256</v>
      </c>
      <c r="BB38" s="67" t="s">
        <v>41</v>
      </c>
      <c r="BC38" s="67" t="s">
        <v>259</v>
      </c>
      <c r="BD38" s="69" t="s">
        <v>41</v>
      </c>
      <c r="BE38" s="68" t="s">
        <v>256</v>
      </c>
      <c r="BF38" s="67" t="s">
        <v>41</v>
      </c>
      <c r="BG38" s="67" t="s">
        <v>259</v>
      </c>
      <c r="BH38" s="69" t="s">
        <v>41</v>
      </c>
      <c r="BI38" s="68" t="s">
        <v>256</v>
      </c>
      <c r="BJ38" s="67" t="s">
        <v>41</v>
      </c>
      <c r="BK38" s="67" t="s">
        <v>259</v>
      </c>
      <c r="BL38" s="69" t="s">
        <v>41</v>
      </c>
      <c r="BM38" s="68" t="s">
        <v>65</v>
      </c>
      <c r="BN38" s="67" t="s">
        <v>53</v>
      </c>
      <c r="BO38" s="67" t="s">
        <v>43</v>
      </c>
      <c r="BP38" s="67" t="s">
        <v>248</v>
      </c>
      <c r="BQ38" s="64">
        <v>42347</v>
      </c>
      <c r="BR38" s="63" t="s">
        <v>285</v>
      </c>
      <c r="BS38" s="63" t="s">
        <v>257</v>
      </c>
      <c r="BT38" s="68">
        <f>Nombrecours</f>
        <v>10</v>
      </c>
      <c r="BU38" s="63">
        <f>COUNTIF(DonnéesDessin[[#This Row],[Réponse doodle 01]:[Présence MàN AC]],"Excusé")</f>
        <v>0</v>
      </c>
      <c r="BV38" s="63">
        <f>COUNTIF(DonnéesDessin[[#This Row],[Réponse doodle 01]:[Présence MàN AC]],"N-employé")</f>
        <v>0</v>
      </c>
      <c r="BW38" s="63">
        <f>DonnéesDessin[[#This Row],[Nombre de cours]]-DonnéesDessin[[#This Row],[Nombre excusé]]-DonnéesDessin[[#This Row],[Nombre N-employé]]</f>
        <v>10</v>
      </c>
      <c r="BX38" s="69">
        <f>COUNTIF(DonnéesDessin[[#This Row],[Réponse doodle 01]:[Présence MàN AC]],"Présent")</f>
        <v>8</v>
      </c>
      <c r="BY38" s="68">
        <f>COUNTIF(DonnéesDessin[[#This Row],[Réponse doodle 01]:[Présence MàN AC]],"Inscrit")</f>
        <v>8</v>
      </c>
      <c r="BZ38" s="67">
        <f>3*DonnéesDessin[[#This Row],[Inscrit]]</f>
        <v>24</v>
      </c>
      <c r="CA38" s="67">
        <f>COUNTIF(DonnéesDessin[[#This Row],[Réponse doodle 01]:[Présence MàN AC]],"R pas nécessaire")</f>
        <v>0</v>
      </c>
      <c r="CB38" s="67">
        <f>SUM(3*DonnéesDessin[[#This Row],[R pas nécessaire]])</f>
        <v>0</v>
      </c>
      <c r="CC38" s="67">
        <f>COUNTIF(DonnéesDessin[[#This Row],[Réponse doodle 01]:[Présence MàN AC]],"Indisponible")</f>
        <v>0</v>
      </c>
      <c r="CD38" s="67">
        <f>2*DonnéesDessin[[#This Row],[Indisponible]]</f>
        <v>0</v>
      </c>
      <c r="CE38" s="67">
        <f>COUNTIF(DonnéesDessin[[#This Row],[Réponse doodle 01]:[Présence MàN AC]],"Ne peut s'inscrire")</f>
        <v>0</v>
      </c>
      <c r="CF38" s="67">
        <f>1*DonnéesDessin[[#This Row],[Ne peut s''inscrire]]</f>
        <v>0</v>
      </c>
      <c r="CG38" s="67">
        <f>COUNTIF(DonnéesDessin[[#This Row],[Réponse doodle 01]:[Présence MàN AC]],"Sans information")</f>
        <v>4</v>
      </c>
      <c r="CH38" s="67">
        <f>0*DonnéesDessin[[#This Row],[Sans information]]</f>
        <v>0</v>
      </c>
      <c r="CI38" s="67">
        <f>COUNTIF(DonnéesDessin[[#This Row],[Réponse doodle 01]:[Présence MàN AC]],"Présent")</f>
        <v>8</v>
      </c>
      <c r="CJ38" s="67">
        <f>2*DonnéesDessin[[#This Row],[Présent]]</f>
        <v>16</v>
      </c>
      <c r="CK38" s="67">
        <f>COUNTIF(DonnéesDessin[[#This Row],[Réponse doodle 01]:[Présence MàN AC]],"P pas nécessaire")</f>
        <v>0</v>
      </c>
      <c r="CL38" s="67">
        <f>2*DonnéesDessin[[#This Row],[P pas nécessaire]]</f>
        <v>0</v>
      </c>
      <c r="CM38" s="67">
        <f>COUNTIF(DonnéesDessin[[#This Row],[Réponse doodle 01]:[Présence MàN AC]],"Excusé")</f>
        <v>0</v>
      </c>
      <c r="CN38" s="67">
        <f>1*DonnéesDessin[[#This Row],[Excusé]]</f>
        <v>0</v>
      </c>
      <c r="CO38" s="67">
        <f>COUNTIF(DonnéesDessin[[#This Row],[Réponse doodle 01]:[Présence MàN AC]],"Pas présent")</f>
        <v>4</v>
      </c>
      <c r="CP38" s="67">
        <f>0*DonnéesDessin[[#This Row],[Pas présent]]</f>
        <v>0</v>
      </c>
      <c r="CQ38"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40</v>
      </c>
      <c r="CR38" s="78">
        <v>42579</v>
      </c>
      <c r="CS38" s="79" t="s">
        <v>439</v>
      </c>
      <c r="CT38" s="67" t="s">
        <v>257</v>
      </c>
      <c r="CU38" s="67">
        <v>2</v>
      </c>
      <c r="CV38" s="84">
        <v>70</v>
      </c>
      <c r="CW38" s="84">
        <v>41</v>
      </c>
      <c r="CX38" s="84">
        <f>SUBTOTAL(9,DonnéesDessin[[#This Row],[Résultat Niveau 1]:[Résultat Avancé]])</f>
        <v>111</v>
      </c>
      <c r="CY38" s="84" t="s">
        <v>491</v>
      </c>
      <c r="CZ38" s="84" t="s">
        <v>457</v>
      </c>
      <c r="DA38" s="67">
        <v>55</v>
      </c>
      <c r="DB38" s="88">
        <f>(DonnéesDessin[[#This Row],[Résultat Niveau 1]]+DonnéesDessin[[#This Row],[Résultat Avancé]])/DonnéesDessin[[#This Row],[Durée BC AC19 (en min)]]</f>
        <v>2.0181818181818181</v>
      </c>
    </row>
    <row r="39" spans="1:106">
      <c r="A39" s="62" t="str">
        <f>DonnéesDessin[[#This Row],[Prénom]]&amp;" "&amp;DonnéesDessin[[#This Row],[Nom]]</f>
        <v>Lucas Nespolo</v>
      </c>
      <c r="B39" s="63" t="s">
        <v>137</v>
      </c>
      <c r="C39" s="63" t="s">
        <v>138</v>
      </c>
      <c r="D39" s="63" t="s">
        <v>57</v>
      </c>
      <c r="E39" s="64" t="s">
        <v>41</v>
      </c>
      <c r="F39" s="64" t="s">
        <v>41</v>
      </c>
      <c r="G39" s="63"/>
      <c r="H39" s="63" t="s">
        <v>51</v>
      </c>
      <c r="I39" s="65">
        <v>2013</v>
      </c>
      <c r="J39" s="65">
        <v>16</v>
      </c>
      <c r="K39" s="66" t="s">
        <v>41</v>
      </c>
      <c r="L39" s="67">
        <f>DonnéesDessin[[#This Row],[PTS]]</f>
        <v>42</v>
      </c>
      <c r="M39" s="68" t="s">
        <v>52</v>
      </c>
      <c r="N39" s="63">
        <v>0</v>
      </c>
      <c r="O39" s="63" t="s">
        <v>45</v>
      </c>
      <c r="P39" s="63">
        <v>0</v>
      </c>
      <c r="Q39" s="63" t="s">
        <v>45</v>
      </c>
      <c r="R39" s="63">
        <v>0</v>
      </c>
      <c r="S39" s="63" t="s">
        <v>45</v>
      </c>
      <c r="T39" s="69">
        <v>0</v>
      </c>
      <c r="U39" s="68" t="s">
        <v>254</v>
      </c>
      <c r="V39" s="70" t="s">
        <v>41</v>
      </c>
      <c r="W39" s="63" t="s">
        <v>258</v>
      </c>
      <c r="X39" s="63" t="s">
        <v>379</v>
      </c>
      <c r="Y39" s="68" t="s">
        <v>248</v>
      </c>
      <c r="Z39" s="71">
        <v>42398</v>
      </c>
      <c r="AA39" s="67" t="s">
        <v>257</v>
      </c>
      <c r="AB39" s="69" t="s">
        <v>44</v>
      </c>
      <c r="AC39" s="68" t="s">
        <v>248</v>
      </c>
      <c r="AD39" s="71">
        <v>42417</v>
      </c>
      <c r="AE39" s="67" t="s">
        <v>257</v>
      </c>
      <c r="AF39" s="69" t="s">
        <v>44</v>
      </c>
      <c r="AG39" s="68" t="s">
        <v>248</v>
      </c>
      <c r="AH39" s="72">
        <v>42439</v>
      </c>
      <c r="AI39" s="67" t="s">
        <v>257</v>
      </c>
      <c r="AJ39" s="69" t="s">
        <v>44</v>
      </c>
      <c r="AK39" s="68" t="s">
        <v>248</v>
      </c>
      <c r="AL39" s="67" t="s">
        <v>332</v>
      </c>
      <c r="AM39" s="67" t="s">
        <v>257</v>
      </c>
      <c r="AN39" s="69" t="s">
        <v>44</v>
      </c>
      <c r="AO39" s="68" t="s">
        <v>248</v>
      </c>
      <c r="AP39" s="67" t="s">
        <v>336</v>
      </c>
      <c r="AQ39" s="67" t="s">
        <v>257</v>
      </c>
      <c r="AR39" s="69" t="s">
        <v>44</v>
      </c>
      <c r="AS39" s="68" t="s">
        <v>248</v>
      </c>
      <c r="AT39" s="67" t="s">
        <v>415</v>
      </c>
      <c r="AU39" s="67" t="s">
        <v>257</v>
      </c>
      <c r="AV39" s="69" t="s">
        <v>44</v>
      </c>
      <c r="AW39" s="68" t="s">
        <v>248</v>
      </c>
      <c r="AX39" s="67" t="s">
        <v>424</v>
      </c>
      <c r="AY39" s="67" t="s">
        <v>257</v>
      </c>
      <c r="AZ39" s="69" t="s">
        <v>44</v>
      </c>
      <c r="BA39" s="68" t="s">
        <v>256</v>
      </c>
      <c r="BB39" s="67" t="s">
        <v>41</v>
      </c>
      <c r="BC39" s="67" t="s">
        <v>259</v>
      </c>
      <c r="BD39" s="69" t="s">
        <v>41</v>
      </c>
      <c r="BE39" s="68" t="s">
        <v>256</v>
      </c>
      <c r="BF39" s="67" t="s">
        <v>41</v>
      </c>
      <c r="BG39" s="67" t="s">
        <v>259</v>
      </c>
      <c r="BH39" s="69" t="s">
        <v>41</v>
      </c>
      <c r="BI39" s="68" t="s">
        <v>256</v>
      </c>
      <c r="BJ39" s="67" t="s">
        <v>41</v>
      </c>
      <c r="BK39" s="67" t="s">
        <v>259</v>
      </c>
      <c r="BL39" s="69" t="s">
        <v>41</v>
      </c>
      <c r="BM39" s="68" t="s">
        <v>53</v>
      </c>
      <c r="BN39" s="66" t="s">
        <v>53</v>
      </c>
      <c r="BO39" s="66" t="s">
        <v>51</v>
      </c>
      <c r="BP39" s="66" t="s">
        <v>248</v>
      </c>
      <c r="BQ39" s="74">
        <v>42347</v>
      </c>
      <c r="BR39" s="66" t="s">
        <v>286</v>
      </c>
      <c r="BS39" s="66" t="s">
        <v>257</v>
      </c>
      <c r="BT39" s="68">
        <f>Nombrecours</f>
        <v>10</v>
      </c>
      <c r="BU39" s="63">
        <f>COUNTIF(DonnéesDessin[[#This Row],[Réponse doodle 01]:[Présence MàN AC]],"Excusé")</f>
        <v>1</v>
      </c>
      <c r="BV39" s="63">
        <f>COUNTIF(DonnéesDessin[[#This Row],[Réponse doodle 01]:[Présence MàN AC]],"N-employé")</f>
        <v>0</v>
      </c>
      <c r="BW39" s="63">
        <f>DonnéesDessin[[#This Row],[Nombre de cours]]-DonnéesDessin[[#This Row],[Nombre excusé]]-DonnéesDessin[[#This Row],[Nombre N-employé]]</f>
        <v>9</v>
      </c>
      <c r="BX39" s="69">
        <f>COUNTIF(DonnéesDessin[[#This Row],[Réponse doodle 01]:[Présence MàN AC]],"Présent")</f>
        <v>8</v>
      </c>
      <c r="BY39" s="68">
        <f>COUNTIF(DonnéesDessin[[#This Row],[Réponse doodle 01]:[Présence MàN AC]],"Inscrit")</f>
        <v>8</v>
      </c>
      <c r="BZ39" s="67">
        <f>3*DonnéesDessin[[#This Row],[Inscrit]]</f>
        <v>24</v>
      </c>
      <c r="CA39" s="67">
        <f>COUNTIF(DonnéesDessin[[#This Row],[Réponse doodle 01]:[Présence MàN AC]],"R pas nécessaire")</f>
        <v>0</v>
      </c>
      <c r="CB39" s="67">
        <f>SUM(3*DonnéesDessin[[#This Row],[R pas nécessaire]])</f>
        <v>0</v>
      </c>
      <c r="CC39" s="67">
        <f>COUNTIF(DonnéesDessin[[#This Row],[Réponse doodle 01]:[Présence MàN AC]],"Indisponible")</f>
        <v>0</v>
      </c>
      <c r="CD39" s="67">
        <f>2*DonnéesDessin[[#This Row],[Indisponible]]</f>
        <v>0</v>
      </c>
      <c r="CE39" s="67">
        <f>COUNTIF(DonnéesDessin[[#This Row],[Réponse doodle 01]:[Présence MàN AC]],"Ne peut s'inscrire")</f>
        <v>1</v>
      </c>
      <c r="CF39" s="67">
        <f>1*DonnéesDessin[[#This Row],[Ne peut s''inscrire]]</f>
        <v>1</v>
      </c>
      <c r="CG39" s="67">
        <f>COUNTIF(DonnéesDessin[[#This Row],[Réponse doodle 01]:[Présence MàN AC]],"Sans information")</f>
        <v>3</v>
      </c>
      <c r="CH39" s="67">
        <f>0*DonnéesDessin[[#This Row],[Sans information]]</f>
        <v>0</v>
      </c>
      <c r="CI39" s="67">
        <f>COUNTIF(DonnéesDessin[[#This Row],[Réponse doodle 01]:[Présence MàN AC]],"Présent")</f>
        <v>8</v>
      </c>
      <c r="CJ39" s="67">
        <f>2*DonnéesDessin[[#This Row],[Présent]]</f>
        <v>16</v>
      </c>
      <c r="CK39" s="67">
        <f>COUNTIF(DonnéesDessin[[#This Row],[Réponse doodle 01]:[Présence MàN AC]],"P pas nécessaire")</f>
        <v>0</v>
      </c>
      <c r="CL39" s="67">
        <f>2*DonnéesDessin[[#This Row],[P pas nécessaire]]</f>
        <v>0</v>
      </c>
      <c r="CM39" s="67">
        <f>COUNTIF(DonnéesDessin[[#This Row],[Réponse doodle 01]:[Présence MàN AC]],"Excusé")</f>
        <v>1</v>
      </c>
      <c r="CN39" s="67">
        <f>1*DonnéesDessin[[#This Row],[Excusé]]</f>
        <v>1</v>
      </c>
      <c r="CO39" s="67">
        <f>COUNTIF(DonnéesDessin[[#This Row],[Réponse doodle 01]:[Présence MàN AC]],"Pas présent")</f>
        <v>3</v>
      </c>
      <c r="CP39" s="67">
        <f>0*DonnéesDessin[[#This Row],[Pas présent]]</f>
        <v>0</v>
      </c>
      <c r="CQ39"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42</v>
      </c>
      <c r="CR39" s="78">
        <v>42579</v>
      </c>
      <c r="CS39" s="67" t="s">
        <v>438</v>
      </c>
      <c r="CT39" s="67" t="s">
        <v>257</v>
      </c>
      <c r="CU39" s="67">
        <v>4</v>
      </c>
      <c r="CV39" s="84">
        <v>60</v>
      </c>
      <c r="CW39" s="84">
        <v>71</v>
      </c>
      <c r="CX39" s="84">
        <f>SUBTOTAL(9,DonnéesDessin[[#This Row],[Résultat Niveau 1]:[Résultat Avancé]])</f>
        <v>131</v>
      </c>
      <c r="CY39" s="84" t="s">
        <v>489</v>
      </c>
      <c r="CZ39" s="84" t="s">
        <v>490</v>
      </c>
      <c r="DA39" s="67">
        <v>80</v>
      </c>
      <c r="DB39" s="88">
        <f>(DonnéesDessin[[#This Row],[Résultat Niveau 1]]+DonnéesDessin[[#This Row],[Résultat Avancé]])/DonnéesDessin[[#This Row],[Durée BC AC19 (en min)]]</f>
        <v>1.6375</v>
      </c>
    </row>
    <row r="40" spans="1:106">
      <c r="A40" s="62" t="str">
        <f>DonnéesDessin[[#This Row],[Prénom]]&amp;" "&amp;DonnéesDessin[[#This Row],[Nom]]</f>
        <v>Lydia Campana</v>
      </c>
      <c r="B40" s="63" t="s">
        <v>139</v>
      </c>
      <c r="C40" s="63" t="s">
        <v>140</v>
      </c>
      <c r="D40" s="63" t="s">
        <v>93</v>
      </c>
      <c r="E40" s="64" t="s">
        <v>41</v>
      </c>
      <c r="F40" s="64" t="s">
        <v>41</v>
      </c>
      <c r="G40" s="63" t="s">
        <v>75</v>
      </c>
      <c r="H40" s="63" t="s">
        <v>51</v>
      </c>
      <c r="I40" s="65" t="s">
        <v>43</v>
      </c>
      <c r="J40" s="65">
        <v>16</v>
      </c>
      <c r="K40" s="66" t="s">
        <v>41</v>
      </c>
      <c r="L40" s="67">
        <f>DonnéesDessin[[#This Row],[PTS]]</f>
        <v>40</v>
      </c>
      <c r="M40" s="68" t="s">
        <v>52</v>
      </c>
      <c r="N40" s="63">
        <v>0</v>
      </c>
      <c r="O40" s="63" t="s">
        <v>45</v>
      </c>
      <c r="P40" s="63">
        <v>0</v>
      </c>
      <c r="Q40" s="63" t="s">
        <v>45</v>
      </c>
      <c r="R40" s="63">
        <v>0</v>
      </c>
      <c r="S40" s="63" t="s">
        <v>45</v>
      </c>
      <c r="T40" s="69">
        <v>0</v>
      </c>
      <c r="U40" s="68" t="s">
        <v>248</v>
      </c>
      <c r="V40" s="70">
        <v>42320</v>
      </c>
      <c r="W40" s="63" t="s">
        <v>257</v>
      </c>
      <c r="X40" s="63" t="s">
        <v>44</v>
      </c>
      <c r="Y40" s="68" t="s">
        <v>248</v>
      </c>
      <c r="Z40" s="71">
        <v>42390</v>
      </c>
      <c r="AA40" s="67" t="s">
        <v>257</v>
      </c>
      <c r="AB40" s="69" t="s">
        <v>44</v>
      </c>
      <c r="AC40" s="68" t="s">
        <v>248</v>
      </c>
      <c r="AD40" s="11" t="s">
        <v>323</v>
      </c>
      <c r="AE40" s="67" t="s">
        <v>257</v>
      </c>
      <c r="AF40" s="69" t="s">
        <v>44</v>
      </c>
      <c r="AG40" s="68" t="s">
        <v>248</v>
      </c>
      <c r="AH40" s="72">
        <v>42439</v>
      </c>
      <c r="AI40" s="67" t="s">
        <v>257</v>
      </c>
      <c r="AJ40" s="69" t="s">
        <v>44</v>
      </c>
      <c r="AK40" s="68" t="s">
        <v>248</v>
      </c>
      <c r="AL40" s="67" t="s">
        <v>334</v>
      </c>
      <c r="AM40" s="67" t="s">
        <v>257</v>
      </c>
      <c r="AN40" s="69" t="s">
        <v>44</v>
      </c>
      <c r="AO40" s="68" t="s">
        <v>248</v>
      </c>
      <c r="AP40" s="67" t="s">
        <v>338</v>
      </c>
      <c r="AQ40" s="67" t="s">
        <v>257</v>
      </c>
      <c r="AR40" s="69" t="s">
        <v>44</v>
      </c>
      <c r="AS40" s="68" t="s">
        <v>256</v>
      </c>
      <c r="AT40" s="67" t="s">
        <v>41</v>
      </c>
      <c r="AU40" s="67" t="s">
        <v>259</v>
      </c>
      <c r="AV40" s="69" t="s">
        <v>341</v>
      </c>
      <c r="AW40" s="68" t="s">
        <v>248</v>
      </c>
      <c r="AX40" s="67" t="s">
        <v>430</v>
      </c>
      <c r="AY40" s="67" t="s">
        <v>257</v>
      </c>
      <c r="AZ40" s="69" t="s">
        <v>44</v>
      </c>
      <c r="BA40" s="68" t="s">
        <v>256</v>
      </c>
      <c r="BB40" s="67" t="s">
        <v>41</v>
      </c>
      <c r="BC40" s="67" t="s">
        <v>259</v>
      </c>
      <c r="BD40" s="69" t="s">
        <v>41</v>
      </c>
      <c r="BE40" s="68" t="s">
        <v>256</v>
      </c>
      <c r="BF40" s="67" t="s">
        <v>41</v>
      </c>
      <c r="BG40" s="67" t="s">
        <v>259</v>
      </c>
      <c r="BH40" s="69" t="s">
        <v>41</v>
      </c>
      <c r="BI40" s="68" t="s">
        <v>256</v>
      </c>
      <c r="BJ40" s="67" t="s">
        <v>41</v>
      </c>
      <c r="BK40" s="67" t="s">
        <v>259</v>
      </c>
      <c r="BL40" s="69" t="s">
        <v>41</v>
      </c>
      <c r="BM40" s="68" t="s">
        <v>53</v>
      </c>
      <c r="BN40" s="67" t="s">
        <v>65</v>
      </c>
      <c r="BO40" s="67" t="s">
        <v>43</v>
      </c>
      <c r="BP40" s="67" t="s">
        <v>248</v>
      </c>
      <c r="BQ40" s="64">
        <v>42349</v>
      </c>
      <c r="BR40" s="63" t="s">
        <v>284</v>
      </c>
      <c r="BS40" s="63" t="s">
        <v>257</v>
      </c>
      <c r="BT40" s="68">
        <f>Nombrecours</f>
        <v>10</v>
      </c>
      <c r="BU40" s="63">
        <f>COUNTIF(DonnéesDessin[[#This Row],[Réponse doodle 01]:[Présence MàN AC]],"Excusé")</f>
        <v>0</v>
      </c>
      <c r="BV40" s="63">
        <f>COUNTIF(DonnéesDessin[[#This Row],[Réponse doodle 01]:[Présence MàN AC]],"N-employé")</f>
        <v>0</v>
      </c>
      <c r="BW40" s="63">
        <f>DonnéesDessin[[#This Row],[Nombre de cours]]-DonnéesDessin[[#This Row],[Nombre excusé]]-DonnéesDessin[[#This Row],[Nombre N-employé]]</f>
        <v>10</v>
      </c>
      <c r="BX40" s="69">
        <f>COUNTIF(DonnéesDessin[[#This Row],[Réponse doodle 01]:[Présence MàN AC]],"Présent")</f>
        <v>8</v>
      </c>
      <c r="BY40" s="68">
        <f>COUNTIF(DonnéesDessin[[#This Row],[Réponse doodle 01]:[Présence MàN AC]],"Inscrit")</f>
        <v>8</v>
      </c>
      <c r="BZ40" s="67">
        <f>3*DonnéesDessin[[#This Row],[Inscrit]]</f>
        <v>24</v>
      </c>
      <c r="CA40" s="67">
        <f>COUNTIF(DonnéesDessin[[#This Row],[Réponse doodle 01]:[Présence MàN AC]],"R pas nécessaire")</f>
        <v>0</v>
      </c>
      <c r="CB40" s="67">
        <f>SUM(3*DonnéesDessin[[#This Row],[R pas nécessaire]])</f>
        <v>0</v>
      </c>
      <c r="CC40" s="67">
        <f>COUNTIF(DonnéesDessin[[#This Row],[Réponse doodle 01]:[Présence MàN AC]],"Indisponible")</f>
        <v>0</v>
      </c>
      <c r="CD40" s="67">
        <f>2*DonnéesDessin[[#This Row],[Indisponible]]</f>
        <v>0</v>
      </c>
      <c r="CE40" s="67">
        <f>COUNTIF(DonnéesDessin[[#This Row],[Réponse doodle 01]:[Présence MàN AC]],"Ne peut s'inscrire")</f>
        <v>0</v>
      </c>
      <c r="CF40" s="67">
        <f>1*DonnéesDessin[[#This Row],[Ne peut s''inscrire]]</f>
        <v>0</v>
      </c>
      <c r="CG40" s="67">
        <f>COUNTIF(DonnéesDessin[[#This Row],[Réponse doodle 01]:[Présence MàN AC]],"Sans information")</f>
        <v>4</v>
      </c>
      <c r="CH40" s="67">
        <f>0*DonnéesDessin[[#This Row],[Sans information]]</f>
        <v>0</v>
      </c>
      <c r="CI40" s="67">
        <f>COUNTIF(DonnéesDessin[[#This Row],[Réponse doodle 01]:[Présence MàN AC]],"Présent")</f>
        <v>8</v>
      </c>
      <c r="CJ40" s="67">
        <f>2*DonnéesDessin[[#This Row],[Présent]]</f>
        <v>16</v>
      </c>
      <c r="CK40" s="67">
        <f>COUNTIF(DonnéesDessin[[#This Row],[Réponse doodle 01]:[Présence MàN AC]],"P pas nécessaire")</f>
        <v>0</v>
      </c>
      <c r="CL40" s="67">
        <f>2*DonnéesDessin[[#This Row],[P pas nécessaire]]</f>
        <v>0</v>
      </c>
      <c r="CM40" s="67">
        <f>COUNTIF(DonnéesDessin[[#This Row],[Réponse doodle 01]:[Présence MàN AC]],"Excusé")</f>
        <v>0</v>
      </c>
      <c r="CN40" s="67">
        <f>1*DonnéesDessin[[#This Row],[Excusé]]</f>
        <v>0</v>
      </c>
      <c r="CO40" s="67">
        <f>COUNTIF(DonnéesDessin[[#This Row],[Réponse doodle 01]:[Présence MàN AC]],"Pas présent")</f>
        <v>4</v>
      </c>
      <c r="CP40" s="67">
        <f>0*DonnéesDessin[[#This Row],[Pas présent]]</f>
        <v>0</v>
      </c>
      <c r="CQ40"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40</v>
      </c>
      <c r="CR40" s="78">
        <v>42572</v>
      </c>
      <c r="CS40" s="79" t="s">
        <v>439</v>
      </c>
      <c r="CT40" s="67" t="s">
        <v>257</v>
      </c>
      <c r="CU40" s="67">
        <v>4</v>
      </c>
      <c r="CV40" s="84">
        <v>46</v>
      </c>
      <c r="CW40" s="84">
        <v>55</v>
      </c>
      <c r="CX40" s="84">
        <f>SUBTOTAL(9,DonnéesDessin[[#This Row],[Résultat Niveau 1]:[Résultat Avancé]])</f>
        <v>101</v>
      </c>
      <c r="CY40" s="83" t="s">
        <v>439</v>
      </c>
      <c r="CZ40" s="83" t="s">
        <v>458</v>
      </c>
      <c r="DA40" s="67">
        <v>55</v>
      </c>
      <c r="DB40" s="88">
        <f>(DonnéesDessin[[#This Row],[Résultat Niveau 1]]+DonnéesDessin[[#This Row],[Résultat Avancé]])/DonnéesDessin[[#This Row],[Durée BC AC19 (en min)]]</f>
        <v>1.8363636363636364</v>
      </c>
    </row>
    <row r="41" spans="1:106">
      <c r="A41" s="62" t="str">
        <f>DonnéesDessin[[#This Row],[Prénom]]&amp;" "&amp;DonnéesDessin[[#This Row],[Nom]]</f>
        <v>Magdalena Chmiel</v>
      </c>
      <c r="B41" s="32" t="s">
        <v>448</v>
      </c>
      <c r="C41" s="32" t="s">
        <v>449</v>
      </c>
      <c r="D41" s="32" t="s">
        <v>49</v>
      </c>
      <c r="E41" s="36">
        <v>42569</v>
      </c>
      <c r="F41" s="36" t="s">
        <v>41</v>
      </c>
      <c r="G41" s="32" t="s">
        <v>50</v>
      </c>
      <c r="H41" s="32" t="s">
        <v>51</v>
      </c>
      <c r="I41" s="48"/>
      <c r="J41" s="48"/>
      <c r="K41" s="41" t="s">
        <v>362</v>
      </c>
      <c r="L41" s="32">
        <f>DonnéesDessin[[#This Row],[PTS]]</f>
        <v>0</v>
      </c>
      <c r="M41" s="31" t="s">
        <v>52</v>
      </c>
      <c r="N41" s="27">
        <v>0</v>
      </c>
      <c r="O41" s="27" t="s">
        <v>45</v>
      </c>
      <c r="P41" s="27">
        <v>0</v>
      </c>
      <c r="Q41" s="27" t="s">
        <v>45</v>
      </c>
      <c r="R41" s="27">
        <v>0</v>
      </c>
      <c r="S41" s="27" t="s">
        <v>45</v>
      </c>
      <c r="T41" s="33">
        <v>0</v>
      </c>
      <c r="U41" s="31" t="s">
        <v>281</v>
      </c>
      <c r="V41" s="54" t="s">
        <v>41</v>
      </c>
      <c r="W41" s="27" t="s">
        <v>41</v>
      </c>
      <c r="X41" s="27" t="s">
        <v>358</v>
      </c>
      <c r="Y41" s="31" t="s">
        <v>281</v>
      </c>
      <c r="Z41" s="54" t="s">
        <v>41</v>
      </c>
      <c r="AA41" s="27" t="s">
        <v>41</v>
      </c>
      <c r="AB41" s="33" t="s">
        <v>358</v>
      </c>
      <c r="AC41" s="31" t="s">
        <v>281</v>
      </c>
      <c r="AD41" s="56" t="s">
        <v>41</v>
      </c>
      <c r="AE41" s="48" t="s">
        <v>41</v>
      </c>
      <c r="AF41" s="33" t="s">
        <v>358</v>
      </c>
      <c r="AG41" s="31" t="s">
        <v>281</v>
      </c>
      <c r="AH41" s="56" t="s">
        <v>41</v>
      </c>
      <c r="AI41" s="48" t="s">
        <v>41</v>
      </c>
      <c r="AJ41" s="33" t="s">
        <v>358</v>
      </c>
      <c r="AK41" s="31" t="s">
        <v>281</v>
      </c>
      <c r="AL41" s="56" t="s">
        <v>41</v>
      </c>
      <c r="AM41" s="48" t="s">
        <v>41</v>
      </c>
      <c r="AN41" s="33" t="s">
        <v>358</v>
      </c>
      <c r="AO41" s="31" t="s">
        <v>281</v>
      </c>
      <c r="AP41" s="56" t="s">
        <v>41</v>
      </c>
      <c r="AQ41" s="48" t="s">
        <v>41</v>
      </c>
      <c r="AR41" s="33" t="s">
        <v>358</v>
      </c>
      <c r="AS41" s="31" t="s">
        <v>281</v>
      </c>
      <c r="AT41" s="56" t="s">
        <v>41</v>
      </c>
      <c r="AU41" s="48" t="s">
        <v>41</v>
      </c>
      <c r="AV41" s="33" t="s">
        <v>358</v>
      </c>
      <c r="AW41" s="31" t="s">
        <v>281</v>
      </c>
      <c r="AX41" s="56" t="s">
        <v>41</v>
      </c>
      <c r="AY41" s="48" t="s">
        <v>41</v>
      </c>
      <c r="AZ41" s="33" t="s">
        <v>358</v>
      </c>
      <c r="BA41" s="68" t="s">
        <v>256</v>
      </c>
      <c r="BB41" s="67" t="s">
        <v>41</v>
      </c>
      <c r="BC41" s="67" t="s">
        <v>259</v>
      </c>
      <c r="BD41" s="69" t="s">
        <v>41</v>
      </c>
      <c r="BE41" s="68" t="s">
        <v>256</v>
      </c>
      <c r="BF41" s="67" t="s">
        <v>41</v>
      </c>
      <c r="BG41" s="67" t="s">
        <v>259</v>
      </c>
      <c r="BH41" s="69" t="s">
        <v>41</v>
      </c>
      <c r="BI41" s="68" t="s">
        <v>256</v>
      </c>
      <c r="BJ41" s="67" t="s">
        <v>41</v>
      </c>
      <c r="BK41" s="67" t="s">
        <v>259</v>
      </c>
      <c r="BL41" s="69" t="s">
        <v>41</v>
      </c>
      <c r="BM41" s="31" t="s">
        <v>281</v>
      </c>
      <c r="BN41" s="32"/>
      <c r="BO41" s="32" t="s">
        <v>41</v>
      </c>
      <c r="BP41" s="32" t="s">
        <v>41</v>
      </c>
      <c r="BQ41" s="27" t="s">
        <v>41</v>
      </c>
      <c r="BR41" s="27" t="s">
        <v>41</v>
      </c>
      <c r="BS41" s="27" t="s">
        <v>41</v>
      </c>
      <c r="BT41" s="31">
        <f>Nombrecours</f>
        <v>10</v>
      </c>
      <c r="BU41" s="27">
        <f>COUNTIF(DonnéesDessin[[#This Row],[Réponse doodle 01]:[Présence MàN AC]],"Excusé")</f>
        <v>0</v>
      </c>
      <c r="BV41" s="27">
        <f>COUNTIF(DonnéesDessin[[#This Row],[Réponse doodle 01]:[Présence MàN AC]],"N-employé")</f>
        <v>9</v>
      </c>
      <c r="BW41" s="27">
        <f>DonnéesDessin[[#This Row],[Nombre de cours]]-DonnéesDessin[[#This Row],[Nombre excusé]]-DonnéesDessin[[#This Row],[Nombre N-employé]]</f>
        <v>1</v>
      </c>
      <c r="BX41" s="33">
        <f>COUNTIF(DonnéesDessin[[#This Row],[Réponse doodle 01]:[Présence MàN AC]],"Présent")</f>
        <v>0</v>
      </c>
      <c r="BY41" s="31">
        <f>COUNTIF(DonnéesDessin[[#This Row],[Réponse doodle 01]:[Présence MàN AC]],"Inscrit")</f>
        <v>0</v>
      </c>
      <c r="BZ41" s="32">
        <f>3*DonnéesDessin[[#This Row],[Inscrit]]</f>
        <v>0</v>
      </c>
      <c r="CA41" s="32">
        <f>COUNTIF(DonnéesDessin[[#This Row],[Réponse doodle 01]:[Présence MàN AC]],"R pas nécessaire")</f>
        <v>0</v>
      </c>
      <c r="CB41" s="32">
        <f>SUM(3*DonnéesDessin[[#This Row],[R pas nécessaire]])</f>
        <v>0</v>
      </c>
      <c r="CC41" s="32">
        <f>COUNTIF(DonnéesDessin[[#This Row],[Réponse doodle 01]:[Présence MàN AC]],"Indisponible")</f>
        <v>0</v>
      </c>
      <c r="CD41" s="32">
        <f>2*DonnéesDessin[[#This Row],[Indisponible]]</f>
        <v>0</v>
      </c>
      <c r="CE41" s="32">
        <f>COUNTIF(DonnéesDessin[[#This Row],[Réponse doodle 01]:[Présence MàN AC]],"Ne peut s'inscrire")</f>
        <v>0</v>
      </c>
      <c r="CF41" s="32">
        <f>1*DonnéesDessin[[#This Row],[Ne peut s''inscrire]]</f>
        <v>0</v>
      </c>
      <c r="CG41" s="32">
        <f>COUNTIF(DonnéesDessin[[#This Row],[Réponse doodle 01]:[Présence MàN AC]],"Sans information")</f>
        <v>3</v>
      </c>
      <c r="CH41" s="32">
        <f>0*DonnéesDessin[[#This Row],[Sans information]]</f>
        <v>0</v>
      </c>
      <c r="CI41" s="32">
        <f>COUNTIF(DonnéesDessin[[#This Row],[Réponse doodle 01]:[Présence MàN AC]],"Présent")</f>
        <v>0</v>
      </c>
      <c r="CJ41" s="32">
        <f>2*DonnéesDessin[[#This Row],[Présent]]</f>
        <v>0</v>
      </c>
      <c r="CK41" s="32">
        <f>COUNTIF(DonnéesDessin[[#This Row],[Réponse doodle 01]:[Présence MàN AC]],"P pas nécessaire")</f>
        <v>0</v>
      </c>
      <c r="CL41" s="32">
        <f>2*DonnéesDessin[[#This Row],[P pas nécessaire]]</f>
        <v>0</v>
      </c>
      <c r="CM41" s="32">
        <f>COUNTIF(DonnéesDessin[[#This Row],[Réponse doodle 01]:[Présence MàN AC]],"Excusé")</f>
        <v>0</v>
      </c>
      <c r="CN41" s="32">
        <f>1*DonnéesDessin[[#This Row],[Excusé]]</f>
        <v>0</v>
      </c>
      <c r="CO41" s="32">
        <f>COUNTIF(DonnéesDessin[[#This Row],[Réponse doodle 01]:[Présence MàN AC]],"Pas présent")</f>
        <v>3</v>
      </c>
      <c r="CP41" s="32">
        <f>0*DonnéesDessin[[#This Row],[Pas présent]]</f>
        <v>0</v>
      </c>
      <c r="CQ41"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0</v>
      </c>
      <c r="CR41" s="78">
        <v>42579</v>
      </c>
      <c r="CS41" s="67" t="s">
        <v>440</v>
      </c>
      <c r="CT41" s="67" t="s">
        <v>259</v>
      </c>
      <c r="CU41" s="67"/>
      <c r="CV41" s="84">
        <v>0</v>
      </c>
      <c r="CW41" s="84">
        <v>0</v>
      </c>
      <c r="CX41" s="84">
        <f>SUBTOTAL(9,DonnéesDessin[[#This Row],[Résultat Niveau 1]:[Résultat Avancé]])</f>
        <v>0</v>
      </c>
      <c r="CY41" s="84" t="s">
        <v>41</v>
      </c>
      <c r="CZ41" s="84" t="s">
        <v>41</v>
      </c>
      <c r="DA41" s="67">
        <v>0</v>
      </c>
      <c r="DB41" s="89" t="e">
        <f>(DonnéesDessin[[#This Row],[Résultat Niveau 1]]+DonnéesDessin[[#This Row],[Résultat Avancé]])/DonnéesDessin[[#This Row],[Durée BC AC19 (en min)]]</f>
        <v>#DIV/0!</v>
      </c>
    </row>
    <row r="42" spans="1:106">
      <c r="A42" s="62" t="str">
        <f>DonnéesDessin[[#This Row],[Prénom]]&amp;" "&amp;DonnéesDessin[[#This Row],[Nom]]</f>
        <v>Manon Huguenin</v>
      </c>
      <c r="B42" s="32" t="s">
        <v>485</v>
      </c>
      <c r="C42" s="32" t="s">
        <v>486</v>
      </c>
      <c r="D42" s="32" t="s">
        <v>93</v>
      </c>
      <c r="E42" s="36">
        <v>42584</v>
      </c>
      <c r="F42" s="36" t="s">
        <v>41</v>
      </c>
      <c r="G42" s="32" t="s">
        <v>75</v>
      </c>
      <c r="H42" s="32" t="s">
        <v>51</v>
      </c>
      <c r="I42" s="48" t="s">
        <v>41</v>
      </c>
      <c r="J42" s="48" t="s">
        <v>42</v>
      </c>
      <c r="K42" s="41" t="s">
        <v>362</v>
      </c>
      <c r="L42" s="32">
        <f>DonnéesDessin[[#This Row],[PTS]]</f>
        <v>0</v>
      </c>
      <c r="M42" s="31" t="s">
        <v>52</v>
      </c>
      <c r="N42" s="27">
        <v>0</v>
      </c>
      <c r="O42" s="27" t="s">
        <v>45</v>
      </c>
      <c r="P42" s="27">
        <v>0</v>
      </c>
      <c r="Q42" s="27" t="s">
        <v>45</v>
      </c>
      <c r="R42" s="27">
        <v>0</v>
      </c>
      <c r="S42" s="27" t="s">
        <v>45</v>
      </c>
      <c r="T42" s="33">
        <v>0</v>
      </c>
      <c r="U42" s="31" t="s">
        <v>281</v>
      </c>
      <c r="V42" s="54" t="s">
        <v>41</v>
      </c>
      <c r="W42" s="27" t="s">
        <v>41</v>
      </c>
      <c r="X42" s="27" t="s">
        <v>358</v>
      </c>
      <c r="Y42" s="31" t="s">
        <v>281</v>
      </c>
      <c r="Z42" s="54" t="s">
        <v>41</v>
      </c>
      <c r="AA42" s="27" t="s">
        <v>41</v>
      </c>
      <c r="AB42" s="33" t="s">
        <v>358</v>
      </c>
      <c r="AC42" s="31" t="s">
        <v>281</v>
      </c>
      <c r="AD42" s="56" t="s">
        <v>41</v>
      </c>
      <c r="AE42" s="48" t="s">
        <v>41</v>
      </c>
      <c r="AF42" s="33" t="s">
        <v>358</v>
      </c>
      <c r="AG42" s="31" t="s">
        <v>281</v>
      </c>
      <c r="AH42" s="56" t="s">
        <v>41</v>
      </c>
      <c r="AI42" s="48" t="s">
        <v>41</v>
      </c>
      <c r="AJ42" s="33" t="s">
        <v>358</v>
      </c>
      <c r="AK42" s="31" t="s">
        <v>281</v>
      </c>
      <c r="AL42" s="56" t="s">
        <v>41</v>
      </c>
      <c r="AM42" s="48" t="s">
        <v>41</v>
      </c>
      <c r="AN42" s="33" t="s">
        <v>358</v>
      </c>
      <c r="AO42" s="31" t="s">
        <v>281</v>
      </c>
      <c r="AP42" s="56" t="s">
        <v>41</v>
      </c>
      <c r="AQ42" s="48" t="s">
        <v>41</v>
      </c>
      <c r="AR42" s="33" t="s">
        <v>358</v>
      </c>
      <c r="AS42" s="31" t="s">
        <v>281</v>
      </c>
      <c r="AT42" s="56" t="s">
        <v>41</v>
      </c>
      <c r="AU42" s="48" t="s">
        <v>41</v>
      </c>
      <c r="AV42" s="33" t="s">
        <v>358</v>
      </c>
      <c r="AW42" s="31" t="s">
        <v>281</v>
      </c>
      <c r="AX42" s="56" t="s">
        <v>41</v>
      </c>
      <c r="AY42" s="48" t="s">
        <v>41</v>
      </c>
      <c r="AZ42" s="33" t="s">
        <v>358</v>
      </c>
      <c r="BA42" s="68" t="s">
        <v>256</v>
      </c>
      <c r="BB42" s="67" t="s">
        <v>41</v>
      </c>
      <c r="BC42" s="67" t="s">
        <v>259</v>
      </c>
      <c r="BD42" s="69" t="s">
        <v>41</v>
      </c>
      <c r="BE42" s="68" t="s">
        <v>256</v>
      </c>
      <c r="BF42" s="67" t="s">
        <v>41</v>
      </c>
      <c r="BG42" s="67" t="s">
        <v>259</v>
      </c>
      <c r="BH42" s="69" t="s">
        <v>41</v>
      </c>
      <c r="BI42" s="68" t="s">
        <v>256</v>
      </c>
      <c r="BJ42" s="67" t="s">
        <v>41</v>
      </c>
      <c r="BK42" s="67" t="s">
        <v>259</v>
      </c>
      <c r="BL42" s="69" t="s">
        <v>41</v>
      </c>
      <c r="BM42" s="31" t="s">
        <v>281</v>
      </c>
      <c r="BN42" s="32"/>
      <c r="BO42" s="32" t="s">
        <v>41</v>
      </c>
      <c r="BP42" s="32" t="s">
        <v>41</v>
      </c>
      <c r="BQ42" s="27" t="s">
        <v>41</v>
      </c>
      <c r="BR42" s="27" t="s">
        <v>41</v>
      </c>
      <c r="BS42" s="27" t="s">
        <v>41</v>
      </c>
      <c r="BT42" s="31">
        <f>Nombrecours</f>
        <v>10</v>
      </c>
      <c r="BU42" s="27">
        <f>COUNTIF(DonnéesDessin[[#This Row],[Réponse doodle 01]:[Présence MàN AC]],"Excusé")</f>
        <v>0</v>
      </c>
      <c r="BV42" s="27">
        <f>COUNTIF(DonnéesDessin[[#This Row],[Réponse doodle 01]:[Présence MàN AC]],"N-employé")</f>
        <v>9</v>
      </c>
      <c r="BW42" s="27">
        <f>DonnéesDessin[[#This Row],[Nombre de cours]]-DonnéesDessin[[#This Row],[Nombre excusé]]-DonnéesDessin[[#This Row],[Nombre N-employé]]</f>
        <v>1</v>
      </c>
      <c r="BX42" s="33">
        <f>COUNTIF(DonnéesDessin[[#This Row],[Réponse doodle 01]:[Présence MàN AC]],"Présent")</f>
        <v>0</v>
      </c>
      <c r="BY42" s="31">
        <f>COUNTIF(DonnéesDessin[[#This Row],[Réponse doodle 01]:[Présence MàN AC]],"Inscrit")</f>
        <v>0</v>
      </c>
      <c r="BZ42" s="32">
        <f>3*DonnéesDessin[[#This Row],[Inscrit]]</f>
        <v>0</v>
      </c>
      <c r="CA42" s="32">
        <f>COUNTIF(DonnéesDessin[[#This Row],[Réponse doodle 01]:[Présence MàN AC]],"R pas nécessaire")</f>
        <v>0</v>
      </c>
      <c r="CB42" s="32">
        <f>SUM(3*DonnéesDessin[[#This Row],[R pas nécessaire]])</f>
        <v>0</v>
      </c>
      <c r="CC42" s="32">
        <f>COUNTIF(DonnéesDessin[[#This Row],[Réponse doodle 01]:[Présence MàN AC]],"Indisponible")</f>
        <v>0</v>
      </c>
      <c r="CD42" s="32">
        <f>2*DonnéesDessin[[#This Row],[Indisponible]]</f>
        <v>0</v>
      </c>
      <c r="CE42" s="32">
        <f>COUNTIF(DonnéesDessin[[#This Row],[Réponse doodle 01]:[Présence MàN AC]],"Ne peut s'inscrire")</f>
        <v>0</v>
      </c>
      <c r="CF42" s="32">
        <f>1*DonnéesDessin[[#This Row],[Ne peut s''inscrire]]</f>
        <v>0</v>
      </c>
      <c r="CG42" s="32">
        <f>COUNTIF(DonnéesDessin[[#This Row],[Réponse doodle 01]:[Présence MàN AC]],"Sans information")</f>
        <v>3</v>
      </c>
      <c r="CH42" s="32">
        <f>0*DonnéesDessin[[#This Row],[Sans information]]</f>
        <v>0</v>
      </c>
      <c r="CI42" s="32">
        <f>COUNTIF(DonnéesDessin[[#This Row],[Réponse doodle 01]:[Présence MàN AC]],"Présent")</f>
        <v>0</v>
      </c>
      <c r="CJ42" s="32">
        <f>2*DonnéesDessin[[#This Row],[Présent]]</f>
        <v>0</v>
      </c>
      <c r="CK42" s="32">
        <f>COUNTIF(DonnéesDessin[[#This Row],[Réponse doodle 01]:[Présence MàN AC]],"P pas nécessaire")</f>
        <v>0</v>
      </c>
      <c r="CL42" s="32">
        <f>2*DonnéesDessin[[#This Row],[P pas nécessaire]]</f>
        <v>0</v>
      </c>
      <c r="CM42" s="32">
        <f>COUNTIF(DonnéesDessin[[#This Row],[Réponse doodle 01]:[Présence MàN AC]],"Excusé")</f>
        <v>0</v>
      </c>
      <c r="CN42" s="32">
        <f>1*DonnéesDessin[[#This Row],[Excusé]]</f>
        <v>0</v>
      </c>
      <c r="CO42" s="32">
        <f>COUNTIF(DonnéesDessin[[#This Row],[Réponse doodle 01]:[Présence MàN AC]],"Pas présent")</f>
        <v>3</v>
      </c>
      <c r="CP42" s="32">
        <f>0*DonnéesDessin[[#This Row],[Pas présent]]</f>
        <v>0</v>
      </c>
      <c r="CQ42"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0</v>
      </c>
      <c r="CR42" s="31" t="s">
        <v>41</v>
      </c>
      <c r="CS42" s="77" t="s">
        <v>41</v>
      </c>
      <c r="CT42" s="56" t="s">
        <v>41</v>
      </c>
      <c r="CU42" s="56"/>
      <c r="CV42" s="81" t="s">
        <v>41</v>
      </c>
      <c r="CW42" s="81" t="s">
        <v>41</v>
      </c>
      <c r="CX42" s="77" t="s">
        <v>41</v>
      </c>
      <c r="CY42" s="77" t="s">
        <v>41</v>
      </c>
      <c r="CZ42" s="77" t="s">
        <v>41</v>
      </c>
      <c r="DA42" s="56" t="s">
        <v>487</v>
      </c>
      <c r="DB42" s="89" t="s">
        <v>41</v>
      </c>
    </row>
    <row r="43" spans="1:106">
      <c r="A43" s="62" t="str">
        <f>DonnéesDessin[[#This Row],[Prénom]]&amp;" "&amp;DonnéesDessin[[#This Row],[Nom]]</f>
        <v>Marc Bergundthal</v>
      </c>
      <c r="B43" s="63" t="s">
        <v>141</v>
      </c>
      <c r="C43" s="63" t="s">
        <v>142</v>
      </c>
      <c r="D43" s="63" t="s">
        <v>93</v>
      </c>
      <c r="E43" s="64">
        <v>41855</v>
      </c>
      <c r="F43" s="64" t="s">
        <v>41</v>
      </c>
      <c r="G43" s="63" t="s">
        <v>75</v>
      </c>
      <c r="H43" s="63" t="s">
        <v>51</v>
      </c>
      <c r="I43" s="65" t="s">
        <v>43</v>
      </c>
      <c r="J43" s="65">
        <v>17</v>
      </c>
      <c r="K43" s="66" t="s">
        <v>345</v>
      </c>
      <c r="L43" s="67">
        <f>DonnéesDessin[[#This Row],[PTS]]</f>
        <v>31</v>
      </c>
      <c r="M43" s="68" t="s">
        <v>52</v>
      </c>
      <c r="N43" s="63">
        <v>0</v>
      </c>
      <c r="O43" s="63" t="s">
        <v>45</v>
      </c>
      <c r="P43" s="63">
        <v>0</v>
      </c>
      <c r="Q43" s="63" t="s">
        <v>45</v>
      </c>
      <c r="R43" s="63">
        <v>0</v>
      </c>
      <c r="S43" s="63" t="s">
        <v>45</v>
      </c>
      <c r="T43" s="69">
        <v>0</v>
      </c>
      <c r="U43" s="68" t="s">
        <v>248</v>
      </c>
      <c r="V43" s="70">
        <v>42325</v>
      </c>
      <c r="W43" s="63" t="s">
        <v>257</v>
      </c>
      <c r="X43" s="63" t="s">
        <v>44</v>
      </c>
      <c r="Y43" s="68" t="s">
        <v>256</v>
      </c>
      <c r="Z43" s="11" t="s">
        <v>41</v>
      </c>
      <c r="AA43" s="67" t="s">
        <v>259</v>
      </c>
      <c r="AB43" s="69" t="s">
        <v>341</v>
      </c>
      <c r="AC43" s="68" t="s">
        <v>255</v>
      </c>
      <c r="AD43" s="11" t="s">
        <v>41</v>
      </c>
      <c r="AE43" s="67" t="s">
        <v>258</v>
      </c>
      <c r="AF43" s="69" t="s">
        <v>360</v>
      </c>
      <c r="AG43" s="68" t="s">
        <v>255</v>
      </c>
      <c r="AH43" s="67" t="s">
        <v>41</v>
      </c>
      <c r="AI43" s="67" t="s">
        <v>258</v>
      </c>
      <c r="AJ43" s="69" t="s">
        <v>360</v>
      </c>
      <c r="AK43" s="68" t="s">
        <v>248</v>
      </c>
      <c r="AL43" s="67" t="s">
        <v>333</v>
      </c>
      <c r="AM43" s="67" t="s">
        <v>257</v>
      </c>
      <c r="AN43" s="69" t="s">
        <v>44</v>
      </c>
      <c r="AO43" s="68" t="s">
        <v>248</v>
      </c>
      <c r="AP43" s="67" t="s">
        <v>337</v>
      </c>
      <c r="AQ43" s="67" t="s">
        <v>257</v>
      </c>
      <c r="AR43" s="69" t="s">
        <v>44</v>
      </c>
      <c r="AS43" s="68" t="s">
        <v>256</v>
      </c>
      <c r="AT43" s="67" t="s">
        <v>41</v>
      </c>
      <c r="AU43" s="67" t="s">
        <v>259</v>
      </c>
      <c r="AV43" s="69" t="s">
        <v>341</v>
      </c>
      <c r="AW43" s="68" t="s">
        <v>248</v>
      </c>
      <c r="AX43" s="67" t="s">
        <v>424</v>
      </c>
      <c r="AY43" s="67" t="s">
        <v>257</v>
      </c>
      <c r="AZ43" s="69" t="s">
        <v>44</v>
      </c>
      <c r="BA43" s="68" t="s">
        <v>256</v>
      </c>
      <c r="BB43" s="67" t="s">
        <v>41</v>
      </c>
      <c r="BC43" s="67" t="s">
        <v>259</v>
      </c>
      <c r="BD43" s="69" t="s">
        <v>41</v>
      </c>
      <c r="BE43" s="68" t="s">
        <v>256</v>
      </c>
      <c r="BF43" s="67" t="s">
        <v>41</v>
      </c>
      <c r="BG43" s="67" t="s">
        <v>259</v>
      </c>
      <c r="BH43" s="69" t="s">
        <v>41</v>
      </c>
      <c r="BI43" s="68" t="s">
        <v>248</v>
      </c>
      <c r="BJ43" s="72">
        <v>42564</v>
      </c>
      <c r="BK43" s="67" t="s">
        <v>257</v>
      </c>
      <c r="BL43" s="69" t="s">
        <v>44</v>
      </c>
      <c r="BM43" s="68" t="s">
        <v>65</v>
      </c>
      <c r="BN43" s="66" t="s">
        <v>41</v>
      </c>
      <c r="BO43" s="66" t="s">
        <v>41</v>
      </c>
      <c r="BP43" s="66" t="s">
        <v>256</v>
      </c>
      <c r="BQ43" s="66" t="s">
        <v>41</v>
      </c>
      <c r="BR43" s="66" t="s">
        <v>41</v>
      </c>
      <c r="BS43" s="66" t="s">
        <v>259</v>
      </c>
      <c r="BT43" s="68">
        <f>Nombrecours</f>
        <v>10</v>
      </c>
      <c r="BU43" s="63">
        <f>COUNTIF(DonnéesDessin[[#This Row],[Réponse doodle 01]:[Présence MàN AC]],"Excusé")</f>
        <v>2</v>
      </c>
      <c r="BV43" s="63">
        <f>COUNTIF(DonnéesDessin[[#This Row],[Réponse doodle 01]:[Présence MàN AC]],"N-employé")</f>
        <v>0</v>
      </c>
      <c r="BW43" s="63">
        <f>DonnéesDessin[[#This Row],[Nombre de cours]]-DonnéesDessin[[#This Row],[Nombre excusé]]-DonnéesDessin[[#This Row],[Nombre N-employé]]</f>
        <v>8</v>
      </c>
      <c r="BX43" s="69">
        <f>COUNTIF(DonnéesDessin[[#This Row],[Réponse doodle 01]:[Présence MàN AC]],"Présent")</f>
        <v>5</v>
      </c>
      <c r="BY43" s="68">
        <f>COUNTIF(DonnéesDessin[[#This Row],[Réponse doodle 01]:[Présence MàN AC]],"Inscrit")</f>
        <v>5</v>
      </c>
      <c r="BZ43" s="67">
        <f>3*DonnéesDessin[[#This Row],[Inscrit]]</f>
        <v>15</v>
      </c>
      <c r="CA43" s="67">
        <f>COUNTIF(DonnéesDessin[[#This Row],[Réponse doodle 01]:[Présence MàN AC]],"R pas nécessaire")</f>
        <v>0</v>
      </c>
      <c r="CB43" s="67">
        <f>SUM(3*DonnéesDessin[[#This Row],[R pas nécessaire]])</f>
        <v>0</v>
      </c>
      <c r="CC43" s="67">
        <f>COUNTIF(DonnéesDessin[[#This Row],[Réponse doodle 01]:[Présence MàN AC]],"Indisponible")</f>
        <v>2</v>
      </c>
      <c r="CD43" s="67">
        <f>2*DonnéesDessin[[#This Row],[Indisponible]]</f>
        <v>4</v>
      </c>
      <c r="CE43" s="67">
        <f>COUNTIF(DonnéesDessin[[#This Row],[Réponse doodle 01]:[Présence MàN AC]],"Ne peut s'inscrire")</f>
        <v>0</v>
      </c>
      <c r="CF43" s="67">
        <f>1*DonnéesDessin[[#This Row],[Ne peut s''inscrire]]</f>
        <v>0</v>
      </c>
      <c r="CG43" s="67">
        <f>COUNTIF(DonnéesDessin[[#This Row],[Réponse doodle 01]:[Présence MàN AC]],"Sans information")</f>
        <v>5</v>
      </c>
      <c r="CH43" s="67">
        <f>0*DonnéesDessin[[#This Row],[Sans information]]</f>
        <v>0</v>
      </c>
      <c r="CI43" s="67">
        <f>COUNTIF(DonnéesDessin[[#This Row],[Réponse doodle 01]:[Présence MàN AC]],"Présent")</f>
        <v>5</v>
      </c>
      <c r="CJ43" s="67">
        <f>2*DonnéesDessin[[#This Row],[Présent]]</f>
        <v>10</v>
      </c>
      <c r="CK43" s="67">
        <f>COUNTIF(DonnéesDessin[[#This Row],[Réponse doodle 01]:[Présence MàN AC]],"P pas nécessaire")</f>
        <v>0</v>
      </c>
      <c r="CL43" s="67">
        <f>2*DonnéesDessin[[#This Row],[P pas nécessaire]]</f>
        <v>0</v>
      </c>
      <c r="CM43" s="67">
        <f>COUNTIF(DonnéesDessin[[#This Row],[Réponse doodle 01]:[Présence MàN AC]],"Excusé")</f>
        <v>2</v>
      </c>
      <c r="CN43" s="67">
        <f>1*DonnéesDessin[[#This Row],[Excusé]]</f>
        <v>2</v>
      </c>
      <c r="CO43" s="67">
        <f>COUNTIF(DonnéesDessin[[#This Row],[Réponse doodle 01]:[Présence MàN AC]],"Pas présent")</f>
        <v>5</v>
      </c>
      <c r="CP43" s="67">
        <f>0*DonnéesDessin[[#This Row],[Pas présent]]</f>
        <v>0</v>
      </c>
      <c r="CQ43"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31</v>
      </c>
      <c r="CR43" s="78">
        <v>42600</v>
      </c>
      <c r="CS43" s="79" t="s">
        <v>438</v>
      </c>
      <c r="CT43" s="67" t="s">
        <v>257</v>
      </c>
      <c r="CU43" s="67">
        <v>3</v>
      </c>
      <c r="CV43" s="84">
        <v>46</v>
      </c>
      <c r="CW43" s="84">
        <v>29</v>
      </c>
      <c r="CX43" s="84">
        <f>SUBTOTAL(9,DonnéesDessin[[#This Row],[Résultat Niveau 1]:[Résultat Avancé]])</f>
        <v>75</v>
      </c>
      <c r="CY43" s="84" t="s">
        <v>438</v>
      </c>
      <c r="CZ43" s="84" t="s">
        <v>690</v>
      </c>
      <c r="DA43" s="67">
        <v>50</v>
      </c>
      <c r="DB43" s="88">
        <f>(DonnéesDessin[[#This Row],[Résultat Niveau 1]]+DonnéesDessin[[#This Row],[Résultat Avancé]])/DonnéesDessin[[#This Row],[Durée BC AC19 (en min)]]</f>
        <v>1.5</v>
      </c>
    </row>
    <row r="44" spans="1:106">
      <c r="A44" s="62" t="str">
        <f>DonnéesDessin[[#This Row],[Prénom]]&amp;" "&amp;DonnéesDessin[[#This Row],[Nom]]</f>
        <v>Marc Diacon</v>
      </c>
      <c r="B44" s="63" t="s">
        <v>143</v>
      </c>
      <c r="C44" s="63" t="s">
        <v>142</v>
      </c>
      <c r="D44" s="63" t="s">
        <v>89</v>
      </c>
      <c r="E44" s="64" t="s">
        <v>41</v>
      </c>
      <c r="F44" s="64" t="s">
        <v>41</v>
      </c>
      <c r="G44" s="63" t="s">
        <v>56</v>
      </c>
      <c r="H44" s="63" t="s">
        <v>51</v>
      </c>
      <c r="I44" s="65">
        <v>2011</v>
      </c>
      <c r="J44" s="65">
        <v>18</v>
      </c>
      <c r="K44" s="66" t="s">
        <v>41</v>
      </c>
      <c r="L44" s="67">
        <f>DonnéesDessin[[#This Row],[PTS]]</f>
        <v>33</v>
      </c>
      <c r="M44" s="68" t="s">
        <v>52</v>
      </c>
      <c r="N44" s="63">
        <v>0</v>
      </c>
      <c r="O44" s="63" t="s">
        <v>45</v>
      </c>
      <c r="P44" s="63">
        <v>0</v>
      </c>
      <c r="Q44" s="63" t="s">
        <v>45</v>
      </c>
      <c r="R44" s="63">
        <v>0</v>
      </c>
      <c r="S44" s="63" t="s">
        <v>45</v>
      </c>
      <c r="T44" s="69">
        <v>0</v>
      </c>
      <c r="U44" s="68" t="s">
        <v>248</v>
      </c>
      <c r="V44" s="70">
        <v>42320</v>
      </c>
      <c r="W44" s="63" t="s">
        <v>259</v>
      </c>
      <c r="X44" s="63" t="s">
        <v>343</v>
      </c>
      <c r="Y44" s="68" t="s">
        <v>248</v>
      </c>
      <c r="Z44" s="71">
        <v>42390</v>
      </c>
      <c r="AA44" s="67" t="s">
        <v>257</v>
      </c>
      <c r="AB44" s="69" t="s">
        <v>44</v>
      </c>
      <c r="AC44" s="68" t="s">
        <v>248</v>
      </c>
      <c r="AD44" s="11" t="s">
        <v>323</v>
      </c>
      <c r="AE44" s="67" t="s">
        <v>257</v>
      </c>
      <c r="AF44" s="69" t="s">
        <v>44</v>
      </c>
      <c r="AG44" s="68" t="s">
        <v>256</v>
      </c>
      <c r="AH44" s="67" t="s">
        <v>41</v>
      </c>
      <c r="AI44" s="67" t="s">
        <v>259</v>
      </c>
      <c r="AJ44" s="69" t="s">
        <v>341</v>
      </c>
      <c r="AK44" s="68" t="s">
        <v>248</v>
      </c>
      <c r="AL44" s="67" t="s">
        <v>332</v>
      </c>
      <c r="AM44" s="67" t="s">
        <v>257</v>
      </c>
      <c r="AN44" s="69" t="s">
        <v>382</v>
      </c>
      <c r="AO44" s="68" t="s">
        <v>256</v>
      </c>
      <c r="AP44" s="67" t="s">
        <v>41</v>
      </c>
      <c r="AQ44" s="67" t="s">
        <v>259</v>
      </c>
      <c r="AR44" s="69" t="s">
        <v>341</v>
      </c>
      <c r="AS44" s="68" t="s">
        <v>248</v>
      </c>
      <c r="AT44" s="67" t="s">
        <v>415</v>
      </c>
      <c r="AU44" s="67" t="s">
        <v>257</v>
      </c>
      <c r="AV44" s="69" t="s">
        <v>44</v>
      </c>
      <c r="AW44" s="68" t="s">
        <v>248</v>
      </c>
      <c r="AX44" s="67" t="s">
        <v>425</v>
      </c>
      <c r="AY44" s="67" t="s">
        <v>257</v>
      </c>
      <c r="AZ44" s="69" t="s">
        <v>44</v>
      </c>
      <c r="BA44" s="68" t="s">
        <v>256</v>
      </c>
      <c r="BB44" s="67" t="s">
        <v>41</v>
      </c>
      <c r="BC44" s="67" t="s">
        <v>259</v>
      </c>
      <c r="BD44" s="69" t="s">
        <v>41</v>
      </c>
      <c r="BE44" s="68" t="s">
        <v>256</v>
      </c>
      <c r="BF44" s="67" t="s">
        <v>41</v>
      </c>
      <c r="BG44" s="67" t="s">
        <v>259</v>
      </c>
      <c r="BH44" s="69" t="s">
        <v>41</v>
      </c>
      <c r="BI44" s="68" t="s">
        <v>256</v>
      </c>
      <c r="BJ44" s="67" t="s">
        <v>41</v>
      </c>
      <c r="BK44" s="67" t="s">
        <v>259</v>
      </c>
      <c r="BL44" s="69" t="s">
        <v>41</v>
      </c>
      <c r="BM44" s="68" t="s">
        <v>65</v>
      </c>
      <c r="BN44" s="66" t="s">
        <v>65</v>
      </c>
      <c r="BO44" s="66" t="s">
        <v>51</v>
      </c>
      <c r="BP44" s="66" t="s">
        <v>248</v>
      </c>
      <c r="BQ44" s="74">
        <v>42349</v>
      </c>
      <c r="BR44" s="66" t="s">
        <v>282</v>
      </c>
      <c r="BS44" s="66" t="s">
        <v>257</v>
      </c>
      <c r="BT44" s="68">
        <f>Nombrecours</f>
        <v>10</v>
      </c>
      <c r="BU44" s="63">
        <f>COUNTIF(DonnéesDessin[[#This Row],[Réponse doodle 01]:[Présence MàN AC]],"Excusé")</f>
        <v>0</v>
      </c>
      <c r="BV44" s="63">
        <f>COUNTIF(DonnéesDessin[[#This Row],[Réponse doodle 01]:[Présence MàN AC]],"N-employé")</f>
        <v>0</v>
      </c>
      <c r="BW44" s="63">
        <f>DonnéesDessin[[#This Row],[Nombre de cours]]-DonnéesDessin[[#This Row],[Nombre excusé]]-DonnéesDessin[[#This Row],[Nombre N-employé]]</f>
        <v>10</v>
      </c>
      <c r="BX44" s="69">
        <f>COUNTIF(DonnéesDessin[[#This Row],[Réponse doodle 01]:[Présence MàN AC]],"Présent")</f>
        <v>6</v>
      </c>
      <c r="BY44" s="68">
        <f>COUNTIF(DonnéesDessin[[#This Row],[Réponse doodle 01]:[Présence MàN AC]],"Inscrit")</f>
        <v>7</v>
      </c>
      <c r="BZ44" s="67">
        <f>3*DonnéesDessin[[#This Row],[Inscrit]]</f>
        <v>21</v>
      </c>
      <c r="CA44" s="67">
        <f>COUNTIF(DonnéesDessin[[#This Row],[Réponse doodle 01]:[Présence MàN AC]],"R pas nécessaire")</f>
        <v>0</v>
      </c>
      <c r="CB44" s="67">
        <f>SUM(3*DonnéesDessin[[#This Row],[R pas nécessaire]])</f>
        <v>0</v>
      </c>
      <c r="CC44" s="67">
        <f>COUNTIF(DonnéesDessin[[#This Row],[Réponse doodle 01]:[Présence MàN AC]],"Indisponible")</f>
        <v>0</v>
      </c>
      <c r="CD44" s="67">
        <f>2*DonnéesDessin[[#This Row],[Indisponible]]</f>
        <v>0</v>
      </c>
      <c r="CE44" s="67">
        <f>COUNTIF(DonnéesDessin[[#This Row],[Réponse doodle 01]:[Présence MàN AC]],"Ne peut s'inscrire")</f>
        <v>0</v>
      </c>
      <c r="CF44" s="67">
        <f>1*DonnéesDessin[[#This Row],[Ne peut s''inscrire]]</f>
        <v>0</v>
      </c>
      <c r="CG44" s="67">
        <f>COUNTIF(DonnéesDessin[[#This Row],[Réponse doodle 01]:[Présence MàN AC]],"Sans information")</f>
        <v>5</v>
      </c>
      <c r="CH44" s="67">
        <f>0*DonnéesDessin[[#This Row],[Sans information]]</f>
        <v>0</v>
      </c>
      <c r="CI44" s="67">
        <f>COUNTIF(DonnéesDessin[[#This Row],[Réponse doodle 01]:[Présence MàN AC]],"Présent")</f>
        <v>6</v>
      </c>
      <c r="CJ44" s="67">
        <f>2*DonnéesDessin[[#This Row],[Présent]]</f>
        <v>12</v>
      </c>
      <c r="CK44" s="67">
        <f>COUNTIF(DonnéesDessin[[#This Row],[Réponse doodle 01]:[Présence MàN AC]],"P pas nécessaire")</f>
        <v>0</v>
      </c>
      <c r="CL44" s="67">
        <f>2*DonnéesDessin[[#This Row],[P pas nécessaire]]</f>
        <v>0</v>
      </c>
      <c r="CM44" s="67">
        <f>COUNTIF(DonnéesDessin[[#This Row],[Réponse doodle 01]:[Présence MàN AC]],"Excusé")</f>
        <v>0</v>
      </c>
      <c r="CN44" s="67">
        <f>1*DonnéesDessin[[#This Row],[Excusé]]</f>
        <v>0</v>
      </c>
      <c r="CO44" s="67">
        <f>COUNTIF(DonnéesDessin[[#This Row],[Réponse doodle 01]:[Présence MàN AC]],"Pas présent")</f>
        <v>6</v>
      </c>
      <c r="CP44" s="67">
        <f>0*DonnéesDessin[[#This Row],[Pas présent]]</f>
        <v>0</v>
      </c>
      <c r="CQ44"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33</v>
      </c>
      <c r="CR44" s="78">
        <v>42600</v>
      </c>
      <c r="CS44" s="79" t="s">
        <v>438</v>
      </c>
      <c r="CT44" s="67" t="s">
        <v>257</v>
      </c>
      <c r="CU44" s="67">
        <v>2</v>
      </c>
      <c r="CV44" s="84">
        <v>58</v>
      </c>
      <c r="CW44" s="84">
        <v>51</v>
      </c>
      <c r="CX44" s="84">
        <f>SUBTOTAL(9,DonnéesDessin[[#This Row],[Résultat Niveau 1]:[Résultat Avancé]])</f>
        <v>109</v>
      </c>
      <c r="CY44" s="84" t="s">
        <v>438</v>
      </c>
      <c r="CZ44" s="84" t="s">
        <v>675</v>
      </c>
      <c r="DA44" s="67">
        <v>55</v>
      </c>
      <c r="DB44" s="88">
        <f>(DonnéesDessin[[#This Row],[Résultat Niveau 1]]+DonnéesDessin[[#This Row],[Résultat Avancé]])/DonnéesDessin[[#This Row],[Durée BC AC19 (en min)]]</f>
        <v>1.9818181818181819</v>
      </c>
    </row>
    <row r="45" spans="1:106">
      <c r="A45" s="62" t="str">
        <f>DonnéesDessin[[#This Row],[Prénom]]&amp;" "&amp;DonnéesDessin[[#This Row],[Nom]]</f>
        <v>Marie-Joëlle Haldimann</v>
      </c>
      <c r="B45" s="63" t="s">
        <v>146</v>
      </c>
      <c r="C45" s="63" t="s">
        <v>147</v>
      </c>
      <c r="D45" s="63" t="s">
        <v>451</v>
      </c>
      <c r="E45" s="64" t="s">
        <v>41</v>
      </c>
      <c r="F45" s="64" t="s">
        <v>41</v>
      </c>
      <c r="G45" s="63" t="s">
        <v>56</v>
      </c>
      <c r="H45" s="63" t="s">
        <v>51</v>
      </c>
      <c r="I45" s="65" t="s">
        <v>51</v>
      </c>
      <c r="J45" s="65">
        <v>18</v>
      </c>
      <c r="K45" s="66" t="s">
        <v>361</v>
      </c>
      <c r="L45" s="67">
        <f>DonnéesDessin[[#This Row],[PTS]]</f>
        <v>29</v>
      </c>
      <c r="M45" s="68" t="s">
        <v>52</v>
      </c>
      <c r="N45" s="63">
        <v>0</v>
      </c>
      <c r="O45" s="63" t="s">
        <v>45</v>
      </c>
      <c r="P45" s="63">
        <v>0</v>
      </c>
      <c r="Q45" s="63" t="s">
        <v>45</v>
      </c>
      <c r="R45" s="63">
        <v>0</v>
      </c>
      <c r="S45" s="63" t="s">
        <v>45</v>
      </c>
      <c r="T45" s="69">
        <v>0</v>
      </c>
      <c r="U45" s="68" t="s">
        <v>248</v>
      </c>
      <c r="V45" s="70">
        <v>42325</v>
      </c>
      <c r="W45" s="63" t="s">
        <v>257</v>
      </c>
      <c r="X45" s="63" t="s">
        <v>44</v>
      </c>
      <c r="Y45" s="68" t="s">
        <v>248</v>
      </c>
      <c r="Z45" s="71">
        <v>42398</v>
      </c>
      <c r="AA45" s="67" t="s">
        <v>259</v>
      </c>
      <c r="AB45" s="69" t="s">
        <v>343</v>
      </c>
      <c r="AC45" s="68" t="s">
        <v>248</v>
      </c>
      <c r="AD45" s="11" t="s">
        <v>323</v>
      </c>
      <c r="AE45" s="67" t="s">
        <v>257</v>
      </c>
      <c r="AF45" s="69" t="s">
        <v>44</v>
      </c>
      <c r="AG45" s="68" t="s">
        <v>256</v>
      </c>
      <c r="AH45" s="67" t="s">
        <v>41</v>
      </c>
      <c r="AI45" s="67" t="s">
        <v>259</v>
      </c>
      <c r="AJ45" s="69" t="s">
        <v>341</v>
      </c>
      <c r="AK45" s="68" t="s">
        <v>248</v>
      </c>
      <c r="AL45" s="67" t="s">
        <v>333</v>
      </c>
      <c r="AM45" s="67" t="s">
        <v>257</v>
      </c>
      <c r="AN45" s="69" t="s">
        <v>44</v>
      </c>
      <c r="AO45" s="68" t="s">
        <v>248</v>
      </c>
      <c r="AP45" s="67" t="s">
        <v>337</v>
      </c>
      <c r="AQ45" s="67" t="s">
        <v>257</v>
      </c>
      <c r="AR45" s="69" t="s">
        <v>44</v>
      </c>
      <c r="AS45" s="68" t="s">
        <v>248</v>
      </c>
      <c r="AT45" s="67" t="s">
        <v>415</v>
      </c>
      <c r="AU45" s="67" t="s">
        <v>259</v>
      </c>
      <c r="AV45" s="69" t="s">
        <v>343</v>
      </c>
      <c r="AW45" s="68" t="s">
        <v>256</v>
      </c>
      <c r="AX45" s="67" t="s">
        <v>41</v>
      </c>
      <c r="AY45" s="67" t="s">
        <v>259</v>
      </c>
      <c r="AZ45" s="69" t="s">
        <v>422</v>
      </c>
      <c r="BA45" s="68" t="s">
        <v>256</v>
      </c>
      <c r="BB45" s="67" t="s">
        <v>41</v>
      </c>
      <c r="BC45" s="67" t="s">
        <v>259</v>
      </c>
      <c r="BD45" s="69" t="s">
        <v>41</v>
      </c>
      <c r="BE45" s="68" t="s">
        <v>256</v>
      </c>
      <c r="BF45" s="67" t="s">
        <v>41</v>
      </c>
      <c r="BG45" s="67" t="s">
        <v>259</v>
      </c>
      <c r="BH45" s="69" t="s">
        <v>41</v>
      </c>
      <c r="BI45" s="68" t="s">
        <v>256</v>
      </c>
      <c r="BJ45" s="67" t="s">
        <v>41</v>
      </c>
      <c r="BK45" s="67" t="s">
        <v>259</v>
      </c>
      <c r="BL45" s="69" t="s">
        <v>41</v>
      </c>
      <c r="BM45" s="68" t="s">
        <v>65</v>
      </c>
      <c r="BN45" s="66" t="s">
        <v>65</v>
      </c>
      <c r="BO45" s="66" t="s">
        <v>51</v>
      </c>
      <c r="BP45" s="66" t="s">
        <v>255</v>
      </c>
      <c r="BQ45" s="74">
        <v>42349</v>
      </c>
      <c r="BR45" s="66" t="s">
        <v>41</v>
      </c>
      <c r="BS45" s="66" t="s">
        <v>258</v>
      </c>
      <c r="BT45" s="68">
        <f>Nombrecours</f>
        <v>10</v>
      </c>
      <c r="BU45" s="63">
        <f>COUNTIF(DonnéesDessin[[#This Row],[Réponse doodle 01]:[Présence MàN AC]],"Excusé")</f>
        <v>1</v>
      </c>
      <c r="BV45" s="63">
        <f>COUNTIF(DonnéesDessin[[#This Row],[Réponse doodle 01]:[Présence MàN AC]],"N-employé")</f>
        <v>0</v>
      </c>
      <c r="BW45" s="63">
        <f>DonnéesDessin[[#This Row],[Nombre de cours]]-DonnéesDessin[[#This Row],[Nombre excusé]]-DonnéesDessin[[#This Row],[Nombre N-employé]]</f>
        <v>9</v>
      </c>
      <c r="BX45" s="69">
        <f>COUNTIF(DonnéesDessin[[#This Row],[Réponse doodle 01]:[Présence MàN AC]],"Présent")</f>
        <v>4</v>
      </c>
      <c r="BY45" s="68">
        <f>COUNTIF(DonnéesDessin[[#This Row],[Réponse doodle 01]:[Présence MàN AC]],"Inscrit")</f>
        <v>6</v>
      </c>
      <c r="BZ45" s="67">
        <f>3*DonnéesDessin[[#This Row],[Inscrit]]</f>
        <v>18</v>
      </c>
      <c r="CA45" s="67">
        <f>COUNTIF(DonnéesDessin[[#This Row],[Réponse doodle 01]:[Présence MàN AC]],"R pas nécessaire")</f>
        <v>0</v>
      </c>
      <c r="CB45" s="67">
        <f>SUM(3*DonnéesDessin[[#This Row],[R pas nécessaire]])</f>
        <v>0</v>
      </c>
      <c r="CC45" s="67">
        <f>COUNTIF(DonnéesDessin[[#This Row],[Réponse doodle 01]:[Présence MàN AC]],"Indisponible")</f>
        <v>1</v>
      </c>
      <c r="CD45" s="67">
        <f>2*DonnéesDessin[[#This Row],[Indisponible]]</f>
        <v>2</v>
      </c>
      <c r="CE45" s="67">
        <f>COUNTIF(DonnéesDessin[[#This Row],[Réponse doodle 01]:[Présence MàN AC]],"Ne peut s'inscrire")</f>
        <v>0</v>
      </c>
      <c r="CF45" s="67">
        <f>1*DonnéesDessin[[#This Row],[Ne peut s''inscrire]]</f>
        <v>0</v>
      </c>
      <c r="CG45" s="67">
        <f>COUNTIF(DonnéesDessin[[#This Row],[Réponse doodle 01]:[Présence MàN AC]],"Sans information")</f>
        <v>5</v>
      </c>
      <c r="CH45" s="67">
        <f>0*DonnéesDessin[[#This Row],[Sans information]]</f>
        <v>0</v>
      </c>
      <c r="CI45" s="67">
        <f>COUNTIF(DonnéesDessin[[#This Row],[Réponse doodle 01]:[Présence MàN AC]],"Présent")</f>
        <v>4</v>
      </c>
      <c r="CJ45" s="67">
        <f>2*DonnéesDessin[[#This Row],[Présent]]</f>
        <v>8</v>
      </c>
      <c r="CK45" s="67">
        <f>COUNTIF(DonnéesDessin[[#This Row],[Réponse doodle 01]:[Présence MàN AC]],"P pas nécessaire")</f>
        <v>0</v>
      </c>
      <c r="CL45" s="67">
        <f>2*DonnéesDessin[[#This Row],[P pas nécessaire]]</f>
        <v>0</v>
      </c>
      <c r="CM45" s="67">
        <f>COUNTIF(DonnéesDessin[[#This Row],[Réponse doodle 01]:[Présence MàN AC]],"Excusé")</f>
        <v>1</v>
      </c>
      <c r="CN45" s="67">
        <f>1*DonnéesDessin[[#This Row],[Excusé]]</f>
        <v>1</v>
      </c>
      <c r="CO45" s="67">
        <f>COUNTIF(DonnéesDessin[[#This Row],[Réponse doodle 01]:[Présence MàN AC]],"Pas présent")</f>
        <v>7</v>
      </c>
      <c r="CP45" s="67">
        <f>0*DonnéesDessin[[#This Row],[Pas présent]]</f>
        <v>0</v>
      </c>
      <c r="CQ45"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29</v>
      </c>
      <c r="CR45" s="78">
        <v>42600</v>
      </c>
      <c r="CS45" s="79" t="s">
        <v>441</v>
      </c>
      <c r="CT45" s="67" t="s">
        <v>257</v>
      </c>
      <c r="CU45" s="67">
        <v>2</v>
      </c>
      <c r="CV45" s="84">
        <v>68</v>
      </c>
      <c r="CW45" s="84">
        <v>65</v>
      </c>
      <c r="CX45" s="84">
        <f>SUBTOTAL(9,DonnéesDessin[[#This Row],[Résultat Niveau 1]:[Résultat Avancé]])</f>
        <v>133</v>
      </c>
      <c r="CY45" s="84" t="s">
        <v>441</v>
      </c>
      <c r="CZ45" s="84" t="s">
        <v>495</v>
      </c>
      <c r="DA45" s="67">
        <v>65</v>
      </c>
      <c r="DB45" s="88">
        <f>(DonnéesDessin[[#This Row],[Résultat Niveau 1]]+DonnéesDessin[[#This Row],[Résultat Avancé]])/DonnéesDessin[[#This Row],[Durée BC AC19 (en min)]]</f>
        <v>2.046153846153846</v>
      </c>
    </row>
    <row r="46" spans="1:106">
      <c r="A46" s="62" t="str">
        <f>DonnéesDessin[[#This Row],[Prénom]]&amp;" "&amp;DonnéesDessin[[#This Row],[Nom]]</f>
        <v>Marine Bizet</v>
      </c>
      <c r="B46" s="67" t="s">
        <v>296</v>
      </c>
      <c r="C46" s="67" t="s">
        <v>297</v>
      </c>
      <c r="D46" s="67" t="s">
        <v>49</v>
      </c>
      <c r="E46" s="72">
        <v>42394</v>
      </c>
      <c r="F46" s="72" t="s">
        <v>41</v>
      </c>
      <c r="G46" s="67" t="s">
        <v>50</v>
      </c>
      <c r="H46" s="67" t="s">
        <v>51</v>
      </c>
      <c r="I46" s="12" t="s">
        <v>318</v>
      </c>
      <c r="J46" s="12" t="s">
        <v>42</v>
      </c>
      <c r="K46" s="66" t="s">
        <v>359</v>
      </c>
      <c r="L46" s="67">
        <f>DonnéesDessin[[#This Row],[PTS]]</f>
        <v>32</v>
      </c>
      <c r="M46" s="68" t="s">
        <v>52</v>
      </c>
      <c r="N46" s="63">
        <v>0</v>
      </c>
      <c r="O46" s="63" t="s">
        <v>308</v>
      </c>
      <c r="P46" s="63" t="s">
        <v>257</v>
      </c>
      <c r="Q46" s="63" t="s">
        <v>309</v>
      </c>
      <c r="R46" s="63">
        <v>0</v>
      </c>
      <c r="S46" s="63" t="s">
        <v>310</v>
      </c>
      <c r="T46" s="69">
        <v>0</v>
      </c>
      <c r="U46" s="68" t="s">
        <v>281</v>
      </c>
      <c r="V46" s="75" t="s">
        <v>41</v>
      </c>
      <c r="W46" s="63" t="s">
        <v>41</v>
      </c>
      <c r="X46" s="63" t="s">
        <v>358</v>
      </c>
      <c r="Y46" s="68" t="s">
        <v>256</v>
      </c>
      <c r="Z46" s="11" t="s">
        <v>41</v>
      </c>
      <c r="AA46" s="67" t="s">
        <v>257</v>
      </c>
      <c r="AB46" s="69" t="s">
        <v>404</v>
      </c>
      <c r="AC46" s="68" t="s">
        <v>256</v>
      </c>
      <c r="AD46" s="11" t="s">
        <v>41</v>
      </c>
      <c r="AE46" s="67" t="s">
        <v>259</v>
      </c>
      <c r="AF46" s="69" t="s">
        <v>341</v>
      </c>
      <c r="AG46" s="68" t="s">
        <v>248</v>
      </c>
      <c r="AH46" s="72">
        <v>42431</v>
      </c>
      <c r="AI46" s="67" t="s">
        <v>257</v>
      </c>
      <c r="AJ46" s="69" t="s">
        <v>44</v>
      </c>
      <c r="AK46" s="68" t="s">
        <v>248</v>
      </c>
      <c r="AL46" s="67" t="s">
        <v>332</v>
      </c>
      <c r="AM46" s="67" t="s">
        <v>257</v>
      </c>
      <c r="AN46" s="69" t="s">
        <v>44</v>
      </c>
      <c r="AO46" s="68" t="s">
        <v>248</v>
      </c>
      <c r="AP46" s="67" t="s">
        <v>336</v>
      </c>
      <c r="AQ46" s="67" t="s">
        <v>257</v>
      </c>
      <c r="AR46" s="69" t="s">
        <v>44</v>
      </c>
      <c r="AS46" s="68" t="s">
        <v>248</v>
      </c>
      <c r="AT46" s="67" t="s">
        <v>417</v>
      </c>
      <c r="AU46" s="67" t="s">
        <v>257</v>
      </c>
      <c r="AV46" s="69" t="s">
        <v>41</v>
      </c>
      <c r="AW46" s="68" t="s">
        <v>248</v>
      </c>
      <c r="AX46" s="67" t="s">
        <v>424</v>
      </c>
      <c r="AY46" s="67" t="s">
        <v>257</v>
      </c>
      <c r="AZ46" s="69" t="s">
        <v>41</v>
      </c>
      <c r="BA46" s="68" t="s">
        <v>256</v>
      </c>
      <c r="BB46" s="67" t="s">
        <v>41</v>
      </c>
      <c r="BC46" s="67" t="s">
        <v>259</v>
      </c>
      <c r="BD46" s="69" t="s">
        <v>41</v>
      </c>
      <c r="BE46" s="68" t="s">
        <v>256</v>
      </c>
      <c r="BF46" s="67" t="s">
        <v>41</v>
      </c>
      <c r="BG46" s="67" t="s">
        <v>259</v>
      </c>
      <c r="BH46" s="69" t="s">
        <v>41</v>
      </c>
      <c r="BI46" s="68" t="s">
        <v>248</v>
      </c>
      <c r="BJ46" s="72">
        <v>42564</v>
      </c>
      <c r="BK46" s="67" t="s">
        <v>257</v>
      </c>
      <c r="BL46" s="69" t="s">
        <v>41</v>
      </c>
      <c r="BM46" s="68" t="s">
        <v>281</v>
      </c>
      <c r="BN46" s="67"/>
      <c r="BO46" s="67" t="s">
        <v>41</v>
      </c>
      <c r="BP46" s="67" t="s">
        <v>41</v>
      </c>
      <c r="BQ46" s="67" t="s">
        <v>41</v>
      </c>
      <c r="BR46" s="67" t="s">
        <v>41</v>
      </c>
      <c r="BS46" s="67" t="s">
        <v>41</v>
      </c>
      <c r="BT46" s="68">
        <f>Nombrecours</f>
        <v>10</v>
      </c>
      <c r="BU46" s="63">
        <f>COUNTIF(DonnéesDessin[[#This Row],[Réponse doodle 01]:[Présence MàN AC]],"Excusé")</f>
        <v>0</v>
      </c>
      <c r="BV46" s="63">
        <f>COUNTIF(DonnéesDessin[[#This Row],[Réponse doodle 01]:[Présence MàN AC]],"N-employé")</f>
        <v>2</v>
      </c>
      <c r="BW46" s="63">
        <f>DonnéesDessin[[#This Row],[Nombre de cours]]-DonnéesDessin[[#This Row],[Nombre excusé]]-DonnéesDessin[[#This Row],[Nombre N-employé]]</f>
        <v>8</v>
      </c>
      <c r="BX46" s="69">
        <f>COUNTIF(DonnéesDessin[[#This Row],[Réponse doodle 01]:[Présence MàN AC]],"Présent")</f>
        <v>7</v>
      </c>
      <c r="BY46" s="68">
        <f>COUNTIF(DonnéesDessin[[#This Row],[Réponse doodle 01]:[Présence MàN AC]],"Inscrit")</f>
        <v>6</v>
      </c>
      <c r="BZ46" s="67">
        <f>3*DonnéesDessin[[#This Row],[Inscrit]]</f>
        <v>18</v>
      </c>
      <c r="CA46" s="67">
        <f>COUNTIF(DonnéesDessin[[#This Row],[Réponse doodle 01]:[Présence MàN AC]],"R pas nécessaire")</f>
        <v>0</v>
      </c>
      <c r="CB46" s="67">
        <f>SUM(3*DonnéesDessin[[#This Row],[R pas nécessaire]])</f>
        <v>0</v>
      </c>
      <c r="CC46" s="67">
        <f>COUNTIF(DonnéesDessin[[#This Row],[Réponse doodle 01]:[Présence MàN AC]],"Indisponible")</f>
        <v>0</v>
      </c>
      <c r="CD46" s="67">
        <f>2*DonnéesDessin[[#This Row],[Indisponible]]</f>
        <v>0</v>
      </c>
      <c r="CE46" s="67">
        <f>COUNTIF(DonnéesDessin[[#This Row],[Réponse doodle 01]:[Présence MàN AC]],"Ne peut s'inscrire")</f>
        <v>0</v>
      </c>
      <c r="CF46" s="67">
        <f>1*DonnéesDessin[[#This Row],[Ne peut s''inscrire]]</f>
        <v>0</v>
      </c>
      <c r="CG46" s="67">
        <f>COUNTIF(DonnéesDessin[[#This Row],[Réponse doodle 01]:[Présence MàN AC]],"Sans information")</f>
        <v>4</v>
      </c>
      <c r="CH46" s="67">
        <f>0*DonnéesDessin[[#This Row],[Sans information]]</f>
        <v>0</v>
      </c>
      <c r="CI46" s="67">
        <f>COUNTIF(DonnéesDessin[[#This Row],[Réponse doodle 01]:[Présence MàN AC]],"Présent")</f>
        <v>7</v>
      </c>
      <c r="CJ46" s="67">
        <f>2*DonnéesDessin[[#This Row],[Présent]]</f>
        <v>14</v>
      </c>
      <c r="CK46" s="67">
        <f>COUNTIF(DonnéesDessin[[#This Row],[Réponse doodle 01]:[Présence MàN AC]],"P pas nécessaire")</f>
        <v>0</v>
      </c>
      <c r="CL46" s="67">
        <f>2*DonnéesDessin[[#This Row],[P pas nécessaire]]</f>
        <v>0</v>
      </c>
      <c r="CM46" s="67">
        <f>COUNTIF(DonnéesDessin[[#This Row],[Réponse doodle 01]:[Présence MàN AC]],"Excusé")</f>
        <v>0</v>
      </c>
      <c r="CN46" s="67">
        <f>1*DonnéesDessin[[#This Row],[Excusé]]</f>
        <v>0</v>
      </c>
      <c r="CO46" s="67">
        <f>COUNTIF(DonnéesDessin[[#This Row],[Réponse doodle 01]:[Présence MàN AC]],"Pas présent")</f>
        <v>3</v>
      </c>
      <c r="CP46" s="67">
        <f>0*DonnéesDessin[[#This Row],[Pas présent]]</f>
        <v>0</v>
      </c>
      <c r="CQ46"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32</v>
      </c>
      <c r="CR46" s="78">
        <v>42579</v>
      </c>
      <c r="CS46" s="79" t="s">
        <v>443</v>
      </c>
      <c r="CT46" s="67" t="s">
        <v>257</v>
      </c>
      <c r="CU46" s="67">
        <v>3</v>
      </c>
      <c r="CV46" s="84">
        <v>76</v>
      </c>
      <c r="CW46" s="84">
        <v>73</v>
      </c>
      <c r="CX46" s="84">
        <f>SUBTOTAL(9,DonnéesDessin[[#This Row],[Résultat Niveau 1]:[Résultat Avancé]])</f>
        <v>149</v>
      </c>
      <c r="CY46" s="84" t="s">
        <v>467</v>
      </c>
      <c r="CZ46" s="84" t="s">
        <v>503</v>
      </c>
      <c r="DA46" s="67">
        <v>115</v>
      </c>
      <c r="DB46" s="88">
        <f>(DonnéesDessin[[#This Row],[Résultat Niveau 1]]+DonnéesDessin[[#This Row],[Résultat Avancé]])/DonnéesDessin[[#This Row],[Durée BC AC19 (en min)]]</f>
        <v>1.2956521739130435</v>
      </c>
    </row>
    <row r="47" spans="1:106">
      <c r="A47" s="62" t="str">
        <f>DonnéesDessin[[#This Row],[Prénom]]&amp;" "&amp;DonnéesDessin[[#This Row],[Nom]]</f>
        <v>Marta Paternain-Martinez</v>
      </c>
      <c r="B47" s="63" t="s">
        <v>148</v>
      </c>
      <c r="C47" s="63" t="s">
        <v>149</v>
      </c>
      <c r="D47" s="63" t="s">
        <v>49</v>
      </c>
      <c r="E47" s="64" t="s">
        <v>41</v>
      </c>
      <c r="F47" s="64" t="s">
        <v>41</v>
      </c>
      <c r="G47" s="63" t="s">
        <v>56</v>
      </c>
      <c r="H47" s="63" t="s">
        <v>51</v>
      </c>
      <c r="I47" s="65">
        <v>2010</v>
      </c>
      <c r="J47" s="65">
        <v>18</v>
      </c>
      <c r="K47" s="66" t="s">
        <v>385</v>
      </c>
      <c r="L47" s="67">
        <f>DonnéesDessin[[#This Row],[PTS]]</f>
        <v>22</v>
      </c>
      <c r="M47" s="68" t="s">
        <v>52</v>
      </c>
      <c r="N47" s="63">
        <v>0</v>
      </c>
      <c r="O47" s="63" t="s">
        <v>45</v>
      </c>
      <c r="P47" s="63">
        <v>0</v>
      </c>
      <c r="Q47" s="63" t="s">
        <v>45</v>
      </c>
      <c r="R47" s="63">
        <v>0</v>
      </c>
      <c r="S47" s="63" t="s">
        <v>45</v>
      </c>
      <c r="T47" s="69">
        <v>0</v>
      </c>
      <c r="U47" s="68" t="s">
        <v>254</v>
      </c>
      <c r="V47" s="70" t="s">
        <v>41</v>
      </c>
      <c r="W47" s="63" t="s">
        <v>258</v>
      </c>
      <c r="X47" s="63" t="s">
        <v>354</v>
      </c>
      <c r="Y47" s="68" t="s">
        <v>254</v>
      </c>
      <c r="Z47" s="11" t="s">
        <v>41</v>
      </c>
      <c r="AA47" s="67" t="s">
        <v>258</v>
      </c>
      <c r="AB47" s="69" t="s">
        <v>354</v>
      </c>
      <c r="AC47" s="68" t="s">
        <v>254</v>
      </c>
      <c r="AD47" s="11" t="s">
        <v>41</v>
      </c>
      <c r="AE47" s="67" t="s">
        <v>258</v>
      </c>
      <c r="AF47" s="69" t="s">
        <v>354</v>
      </c>
      <c r="AG47" s="68" t="s">
        <v>254</v>
      </c>
      <c r="AH47" s="11" t="s">
        <v>41</v>
      </c>
      <c r="AI47" s="67" t="s">
        <v>258</v>
      </c>
      <c r="AJ47" s="69" t="s">
        <v>354</v>
      </c>
      <c r="AK47" s="68" t="s">
        <v>254</v>
      </c>
      <c r="AL47" s="67" t="s">
        <v>41</v>
      </c>
      <c r="AM47" s="67" t="s">
        <v>258</v>
      </c>
      <c r="AN47" s="69" t="s">
        <v>354</v>
      </c>
      <c r="AO47" s="68" t="s">
        <v>254</v>
      </c>
      <c r="AP47" s="67" t="s">
        <v>41</v>
      </c>
      <c r="AQ47" s="67" t="s">
        <v>258</v>
      </c>
      <c r="AR47" s="69" t="s">
        <v>354</v>
      </c>
      <c r="AS47" s="68" t="s">
        <v>254</v>
      </c>
      <c r="AT47" s="67" t="s">
        <v>41</v>
      </c>
      <c r="AU47" s="67" t="s">
        <v>258</v>
      </c>
      <c r="AV47" s="73" t="s">
        <v>354</v>
      </c>
      <c r="AW47" s="68" t="s">
        <v>248</v>
      </c>
      <c r="AX47" s="67" t="s">
        <v>424</v>
      </c>
      <c r="AY47" s="67" t="s">
        <v>259</v>
      </c>
      <c r="AZ47" s="69" t="s">
        <v>343</v>
      </c>
      <c r="BA47" s="68" t="s">
        <v>256</v>
      </c>
      <c r="BB47" s="67" t="s">
        <v>41</v>
      </c>
      <c r="BC47" s="67" t="s">
        <v>259</v>
      </c>
      <c r="BD47" s="69" t="s">
        <v>41</v>
      </c>
      <c r="BE47" s="68" t="s">
        <v>256</v>
      </c>
      <c r="BF47" s="67" t="s">
        <v>41</v>
      </c>
      <c r="BG47" s="67" t="s">
        <v>259</v>
      </c>
      <c r="BH47" s="69" t="s">
        <v>41</v>
      </c>
      <c r="BI47" s="68" t="s">
        <v>248</v>
      </c>
      <c r="BJ47" s="72">
        <v>42564</v>
      </c>
      <c r="BK47" s="67" t="s">
        <v>259</v>
      </c>
      <c r="BL47" s="69" t="s">
        <v>41</v>
      </c>
      <c r="BM47" s="68" t="s">
        <v>65</v>
      </c>
      <c r="BN47" s="67" t="s">
        <v>41</v>
      </c>
      <c r="BO47" s="67" t="s">
        <v>287</v>
      </c>
      <c r="BP47" s="67" t="s">
        <v>254</v>
      </c>
      <c r="BQ47" s="63" t="s">
        <v>41</v>
      </c>
      <c r="BR47" s="63" t="s">
        <v>41</v>
      </c>
      <c r="BS47" s="63" t="s">
        <v>258</v>
      </c>
      <c r="BT47" s="68">
        <f>Nombrecours</f>
        <v>10</v>
      </c>
      <c r="BU47" s="63">
        <f>COUNTIF(DonnéesDessin[[#This Row],[Réponse doodle 01]:[Présence MàN AC]],"Excusé")</f>
        <v>8</v>
      </c>
      <c r="BV47" s="63">
        <f>COUNTIF(DonnéesDessin[[#This Row],[Réponse doodle 01]:[Présence MàN AC]],"N-employé")</f>
        <v>0</v>
      </c>
      <c r="BW47" s="63">
        <f>DonnéesDessin[[#This Row],[Nombre de cours]]-DonnéesDessin[[#This Row],[Nombre excusé]]-DonnéesDessin[[#This Row],[Nombre N-employé]]</f>
        <v>2</v>
      </c>
      <c r="BX47" s="69">
        <f>COUNTIF(DonnéesDessin[[#This Row],[Réponse doodle 01]:[Présence MàN AC]],"Présent")</f>
        <v>0</v>
      </c>
      <c r="BY47" s="68">
        <f>COUNTIF(DonnéesDessin[[#This Row],[Réponse doodle 01]:[Présence MàN AC]],"Inscrit")</f>
        <v>2</v>
      </c>
      <c r="BZ47" s="67">
        <f>3*DonnéesDessin[[#This Row],[Inscrit]]</f>
        <v>6</v>
      </c>
      <c r="CA47" s="67">
        <f>COUNTIF(DonnéesDessin[[#This Row],[Réponse doodle 01]:[Présence MàN AC]],"R pas nécessaire")</f>
        <v>0</v>
      </c>
      <c r="CB47" s="67">
        <f>SUM(3*DonnéesDessin[[#This Row],[R pas nécessaire]])</f>
        <v>0</v>
      </c>
      <c r="CC47" s="67">
        <f>COUNTIF(DonnéesDessin[[#This Row],[Réponse doodle 01]:[Présence MàN AC]],"Indisponible")</f>
        <v>0</v>
      </c>
      <c r="CD47" s="67">
        <f>2*DonnéesDessin[[#This Row],[Indisponible]]</f>
        <v>0</v>
      </c>
      <c r="CE47" s="67">
        <f>COUNTIF(DonnéesDessin[[#This Row],[Réponse doodle 01]:[Présence MàN AC]],"Ne peut s'inscrire")</f>
        <v>8</v>
      </c>
      <c r="CF47" s="67">
        <f>1*DonnéesDessin[[#This Row],[Ne peut s''inscrire]]</f>
        <v>8</v>
      </c>
      <c r="CG47" s="67">
        <f>COUNTIF(DonnéesDessin[[#This Row],[Réponse doodle 01]:[Présence MàN AC]],"Sans information")</f>
        <v>2</v>
      </c>
      <c r="CH47" s="67">
        <f>0*DonnéesDessin[[#This Row],[Sans information]]</f>
        <v>0</v>
      </c>
      <c r="CI47" s="67">
        <f>COUNTIF(DonnéesDessin[[#This Row],[Réponse doodle 01]:[Présence MàN AC]],"Présent")</f>
        <v>0</v>
      </c>
      <c r="CJ47" s="67">
        <f>2*DonnéesDessin[[#This Row],[Présent]]</f>
        <v>0</v>
      </c>
      <c r="CK47" s="67">
        <f>COUNTIF(DonnéesDessin[[#This Row],[Réponse doodle 01]:[Présence MàN AC]],"P pas nécessaire")</f>
        <v>0</v>
      </c>
      <c r="CL47" s="67">
        <f>2*DonnéesDessin[[#This Row],[P pas nécessaire]]</f>
        <v>0</v>
      </c>
      <c r="CM47" s="67">
        <f>COUNTIF(DonnéesDessin[[#This Row],[Réponse doodle 01]:[Présence MàN AC]],"Excusé")</f>
        <v>8</v>
      </c>
      <c r="CN47" s="67">
        <f>1*DonnéesDessin[[#This Row],[Excusé]]</f>
        <v>8</v>
      </c>
      <c r="CO47" s="67">
        <f>COUNTIF(DonnéesDessin[[#This Row],[Réponse doodle 01]:[Présence MàN AC]],"Pas présent")</f>
        <v>4</v>
      </c>
      <c r="CP47" s="67">
        <f>0*DonnéesDessin[[#This Row],[Pas présent]]</f>
        <v>0</v>
      </c>
      <c r="CQ47"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22</v>
      </c>
      <c r="CR47" s="78">
        <v>42599</v>
      </c>
      <c r="CS47" s="67" t="s">
        <v>282</v>
      </c>
      <c r="CT47" s="67" t="s">
        <v>257</v>
      </c>
      <c r="CU47" s="67">
        <v>4</v>
      </c>
      <c r="CV47" s="84">
        <v>62</v>
      </c>
      <c r="CW47" s="84">
        <v>49</v>
      </c>
      <c r="CX47" s="84">
        <f>SUBTOTAL(9,DonnéesDessin[[#This Row],[Résultat Niveau 1]:[Résultat Avancé]])</f>
        <v>111</v>
      </c>
      <c r="CY47" s="84" t="s">
        <v>282</v>
      </c>
      <c r="CZ47" s="84" t="s">
        <v>490</v>
      </c>
      <c r="DA47" s="67">
        <v>55</v>
      </c>
      <c r="DB47" s="88">
        <f>(DonnéesDessin[[#This Row],[Résultat Niveau 1]]+DonnéesDessin[[#This Row],[Résultat Avancé]])/DonnéesDessin[[#This Row],[Durée BC AC19 (en min)]]</f>
        <v>2.0181818181818181</v>
      </c>
    </row>
    <row r="48" spans="1:106">
      <c r="A48" s="62" t="str">
        <f>DonnéesDessin[[#This Row],[Prénom]]&amp;" "&amp;DonnéesDessin[[#This Row],[Nom]]</f>
        <v>Matéo Brocard</v>
      </c>
      <c r="B48" s="32" t="s">
        <v>483</v>
      </c>
      <c r="C48" s="32" t="s">
        <v>484</v>
      </c>
      <c r="D48" s="32" t="s">
        <v>93</v>
      </c>
      <c r="E48" s="36">
        <v>42586</v>
      </c>
      <c r="F48" s="36" t="s">
        <v>41</v>
      </c>
      <c r="G48" s="32" t="s">
        <v>75</v>
      </c>
      <c r="H48" s="32" t="s">
        <v>51</v>
      </c>
      <c r="I48" s="48" t="s">
        <v>41</v>
      </c>
      <c r="J48" s="48" t="s">
        <v>42</v>
      </c>
      <c r="K48" s="41" t="s">
        <v>362</v>
      </c>
      <c r="L48" s="32">
        <f>DonnéesDessin[[#This Row],[PTS]]</f>
        <v>0</v>
      </c>
      <c r="M48" s="31" t="s">
        <v>52</v>
      </c>
      <c r="N48" s="27">
        <v>0</v>
      </c>
      <c r="O48" s="27" t="s">
        <v>45</v>
      </c>
      <c r="P48" s="27">
        <v>0</v>
      </c>
      <c r="Q48" s="27" t="s">
        <v>45</v>
      </c>
      <c r="R48" s="27">
        <v>0</v>
      </c>
      <c r="S48" s="27" t="s">
        <v>45</v>
      </c>
      <c r="T48" s="33">
        <v>0</v>
      </c>
      <c r="U48" s="31" t="s">
        <v>281</v>
      </c>
      <c r="V48" s="54" t="s">
        <v>41</v>
      </c>
      <c r="W48" s="27" t="s">
        <v>41</v>
      </c>
      <c r="X48" s="27" t="s">
        <v>358</v>
      </c>
      <c r="Y48" s="31" t="s">
        <v>281</v>
      </c>
      <c r="Z48" s="54" t="s">
        <v>41</v>
      </c>
      <c r="AA48" s="27" t="s">
        <v>41</v>
      </c>
      <c r="AB48" s="33" t="s">
        <v>358</v>
      </c>
      <c r="AC48" s="31" t="s">
        <v>281</v>
      </c>
      <c r="AD48" s="56" t="s">
        <v>41</v>
      </c>
      <c r="AE48" s="48" t="s">
        <v>41</v>
      </c>
      <c r="AF48" s="33" t="s">
        <v>358</v>
      </c>
      <c r="AG48" s="31" t="s">
        <v>281</v>
      </c>
      <c r="AH48" s="56" t="s">
        <v>41</v>
      </c>
      <c r="AI48" s="48" t="s">
        <v>41</v>
      </c>
      <c r="AJ48" s="33" t="s">
        <v>358</v>
      </c>
      <c r="AK48" s="31" t="s">
        <v>281</v>
      </c>
      <c r="AL48" s="56" t="s">
        <v>41</v>
      </c>
      <c r="AM48" s="48" t="s">
        <v>41</v>
      </c>
      <c r="AN48" s="33" t="s">
        <v>358</v>
      </c>
      <c r="AO48" s="31" t="s">
        <v>281</v>
      </c>
      <c r="AP48" s="56" t="s">
        <v>41</v>
      </c>
      <c r="AQ48" s="48" t="s">
        <v>41</v>
      </c>
      <c r="AR48" s="33" t="s">
        <v>358</v>
      </c>
      <c r="AS48" s="31" t="s">
        <v>281</v>
      </c>
      <c r="AT48" s="56" t="s">
        <v>41</v>
      </c>
      <c r="AU48" s="48" t="s">
        <v>41</v>
      </c>
      <c r="AV48" s="33" t="s">
        <v>358</v>
      </c>
      <c r="AW48" s="31" t="s">
        <v>281</v>
      </c>
      <c r="AX48" s="56" t="s">
        <v>41</v>
      </c>
      <c r="AY48" s="48" t="s">
        <v>41</v>
      </c>
      <c r="AZ48" s="33" t="s">
        <v>358</v>
      </c>
      <c r="BA48" s="68" t="s">
        <v>256</v>
      </c>
      <c r="BB48" s="67" t="s">
        <v>41</v>
      </c>
      <c r="BC48" s="67" t="s">
        <v>259</v>
      </c>
      <c r="BD48" s="69" t="s">
        <v>41</v>
      </c>
      <c r="BE48" s="68" t="s">
        <v>256</v>
      </c>
      <c r="BF48" s="67" t="s">
        <v>41</v>
      </c>
      <c r="BG48" s="67" t="s">
        <v>259</v>
      </c>
      <c r="BH48" s="69" t="s">
        <v>41</v>
      </c>
      <c r="BI48" s="68" t="s">
        <v>256</v>
      </c>
      <c r="BJ48" s="67" t="s">
        <v>41</v>
      </c>
      <c r="BK48" s="67" t="s">
        <v>259</v>
      </c>
      <c r="BL48" s="69" t="s">
        <v>41</v>
      </c>
      <c r="BM48" s="31" t="s">
        <v>281</v>
      </c>
      <c r="BN48" s="32"/>
      <c r="BO48" s="32" t="s">
        <v>41</v>
      </c>
      <c r="BP48" s="32" t="s">
        <v>41</v>
      </c>
      <c r="BQ48" s="27" t="s">
        <v>41</v>
      </c>
      <c r="BR48" s="27" t="s">
        <v>41</v>
      </c>
      <c r="BS48" s="27" t="s">
        <v>41</v>
      </c>
      <c r="BT48" s="31">
        <f>Nombrecours</f>
        <v>10</v>
      </c>
      <c r="BU48" s="27">
        <f>COUNTIF(DonnéesDessin[[#This Row],[Réponse doodle 01]:[Présence MàN AC]],"Excusé")</f>
        <v>0</v>
      </c>
      <c r="BV48" s="27">
        <f>COUNTIF(DonnéesDessin[[#This Row],[Réponse doodle 01]:[Présence MàN AC]],"N-employé")</f>
        <v>9</v>
      </c>
      <c r="BW48" s="27">
        <f>DonnéesDessin[[#This Row],[Nombre de cours]]-DonnéesDessin[[#This Row],[Nombre excusé]]-DonnéesDessin[[#This Row],[Nombre N-employé]]</f>
        <v>1</v>
      </c>
      <c r="BX48" s="33">
        <f>COUNTIF(DonnéesDessin[[#This Row],[Réponse doodle 01]:[Présence MàN AC]],"Présent")</f>
        <v>0</v>
      </c>
      <c r="BY48" s="31">
        <f>COUNTIF(DonnéesDessin[[#This Row],[Réponse doodle 01]:[Présence MàN AC]],"Inscrit")</f>
        <v>0</v>
      </c>
      <c r="BZ48" s="32">
        <f>3*DonnéesDessin[[#This Row],[Inscrit]]</f>
        <v>0</v>
      </c>
      <c r="CA48" s="32">
        <f>COUNTIF(DonnéesDessin[[#This Row],[Réponse doodle 01]:[Présence MàN AC]],"R pas nécessaire")</f>
        <v>0</v>
      </c>
      <c r="CB48" s="32">
        <f>SUM(3*DonnéesDessin[[#This Row],[R pas nécessaire]])</f>
        <v>0</v>
      </c>
      <c r="CC48" s="32">
        <f>COUNTIF(DonnéesDessin[[#This Row],[Réponse doodle 01]:[Présence MàN AC]],"Indisponible")</f>
        <v>0</v>
      </c>
      <c r="CD48" s="32">
        <f>2*DonnéesDessin[[#This Row],[Indisponible]]</f>
        <v>0</v>
      </c>
      <c r="CE48" s="32">
        <f>COUNTIF(DonnéesDessin[[#This Row],[Réponse doodle 01]:[Présence MàN AC]],"Ne peut s'inscrire")</f>
        <v>0</v>
      </c>
      <c r="CF48" s="32">
        <f>1*DonnéesDessin[[#This Row],[Ne peut s''inscrire]]</f>
        <v>0</v>
      </c>
      <c r="CG48" s="32">
        <f>COUNTIF(DonnéesDessin[[#This Row],[Réponse doodle 01]:[Présence MàN AC]],"Sans information")</f>
        <v>3</v>
      </c>
      <c r="CH48" s="32">
        <f>0*DonnéesDessin[[#This Row],[Sans information]]</f>
        <v>0</v>
      </c>
      <c r="CI48" s="32">
        <f>COUNTIF(DonnéesDessin[[#This Row],[Réponse doodle 01]:[Présence MàN AC]],"Présent")</f>
        <v>0</v>
      </c>
      <c r="CJ48" s="32">
        <f>2*DonnéesDessin[[#This Row],[Présent]]</f>
        <v>0</v>
      </c>
      <c r="CK48" s="32">
        <f>COUNTIF(DonnéesDessin[[#This Row],[Réponse doodle 01]:[Présence MàN AC]],"P pas nécessaire")</f>
        <v>0</v>
      </c>
      <c r="CL48" s="32">
        <f>2*DonnéesDessin[[#This Row],[P pas nécessaire]]</f>
        <v>0</v>
      </c>
      <c r="CM48" s="32">
        <f>COUNTIF(DonnéesDessin[[#This Row],[Réponse doodle 01]:[Présence MàN AC]],"Excusé")</f>
        <v>0</v>
      </c>
      <c r="CN48" s="32">
        <f>1*DonnéesDessin[[#This Row],[Excusé]]</f>
        <v>0</v>
      </c>
      <c r="CO48" s="32">
        <f>COUNTIF(DonnéesDessin[[#This Row],[Réponse doodle 01]:[Présence MàN AC]],"Pas présent")</f>
        <v>3</v>
      </c>
      <c r="CP48" s="32">
        <f>0*DonnéesDessin[[#This Row],[Pas présent]]</f>
        <v>0</v>
      </c>
      <c r="CQ48"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0</v>
      </c>
      <c r="CR48" s="31" t="s">
        <v>41</v>
      </c>
      <c r="CS48" s="77" t="s">
        <v>41</v>
      </c>
      <c r="CT48" s="56" t="s">
        <v>41</v>
      </c>
      <c r="CU48" s="56"/>
      <c r="CV48" s="81" t="s">
        <v>41</v>
      </c>
      <c r="CW48" s="81" t="s">
        <v>41</v>
      </c>
      <c r="CX48" s="77" t="s">
        <v>41</v>
      </c>
      <c r="CY48" s="77" t="s">
        <v>41</v>
      </c>
      <c r="CZ48" s="77" t="s">
        <v>41</v>
      </c>
      <c r="DA48" s="56" t="s">
        <v>487</v>
      </c>
      <c r="DB48" s="89" t="s">
        <v>41</v>
      </c>
    </row>
    <row r="49" spans="1:106">
      <c r="A49" s="62" t="str">
        <f>DonnéesDessin[[#This Row],[Prénom]]&amp;" "&amp;DonnéesDessin[[#This Row],[Nom]]</f>
        <v>Maxime Dupont</v>
      </c>
      <c r="B49" s="63" t="s">
        <v>151</v>
      </c>
      <c r="C49" s="63" t="s">
        <v>150</v>
      </c>
      <c r="D49" s="63" t="s">
        <v>93</v>
      </c>
      <c r="E49" s="64" t="s">
        <v>41</v>
      </c>
      <c r="F49" s="64" t="s">
        <v>41</v>
      </c>
      <c r="G49" s="63" t="s">
        <v>75</v>
      </c>
      <c r="H49" s="63" t="s">
        <v>51</v>
      </c>
      <c r="I49" s="65" t="s">
        <v>43</v>
      </c>
      <c r="J49" s="65">
        <v>18</v>
      </c>
      <c r="K49" s="66" t="s">
        <v>41</v>
      </c>
      <c r="L49" s="67">
        <f>DonnéesDessin[[#This Row],[PTS]]</f>
        <v>27</v>
      </c>
      <c r="M49" s="68" t="s">
        <v>52</v>
      </c>
      <c r="N49" s="63">
        <v>0</v>
      </c>
      <c r="O49" s="63" t="s">
        <v>45</v>
      </c>
      <c r="P49" s="63">
        <v>0</v>
      </c>
      <c r="Q49" s="63" t="s">
        <v>45</v>
      </c>
      <c r="R49" s="63">
        <v>0</v>
      </c>
      <c r="S49" s="63" t="s">
        <v>45</v>
      </c>
      <c r="T49" s="69">
        <v>0</v>
      </c>
      <c r="U49" s="68" t="s">
        <v>248</v>
      </c>
      <c r="V49" s="70">
        <v>42320</v>
      </c>
      <c r="W49" s="63" t="s">
        <v>257</v>
      </c>
      <c r="X49" s="63" t="s">
        <v>44</v>
      </c>
      <c r="Y49" s="68" t="s">
        <v>256</v>
      </c>
      <c r="Z49" s="11" t="s">
        <v>41</v>
      </c>
      <c r="AA49" s="67" t="s">
        <v>259</v>
      </c>
      <c r="AB49" s="69" t="s">
        <v>341</v>
      </c>
      <c r="AC49" s="68" t="s">
        <v>256</v>
      </c>
      <c r="AD49" s="11" t="s">
        <v>41</v>
      </c>
      <c r="AE49" s="67" t="s">
        <v>259</v>
      </c>
      <c r="AF49" s="69" t="s">
        <v>341</v>
      </c>
      <c r="AG49" s="68" t="s">
        <v>248</v>
      </c>
      <c r="AH49" s="72">
        <v>42439</v>
      </c>
      <c r="AI49" s="67" t="s">
        <v>257</v>
      </c>
      <c r="AJ49" s="69" t="s">
        <v>44</v>
      </c>
      <c r="AK49" s="68" t="s">
        <v>256</v>
      </c>
      <c r="AL49" s="67" t="s">
        <v>41</v>
      </c>
      <c r="AM49" s="67" t="s">
        <v>257</v>
      </c>
      <c r="AN49" s="69" t="s">
        <v>386</v>
      </c>
      <c r="AO49" s="68" t="s">
        <v>256</v>
      </c>
      <c r="AP49" s="67" t="s">
        <v>41</v>
      </c>
      <c r="AQ49" s="67" t="s">
        <v>257</v>
      </c>
      <c r="AR49" s="69" t="s">
        <v>387</v>
      </c>
      <c r="AS49" s="68" t="s">
        <v>256</v>
      </c>
      <c r="AT49" s="67" t="s">
        <v>41</v>
      </c>
      <c r="AU49" s="67" t="s">
        <v>259</v>
      </c>
      <c r="AV49" s="69" t="s">
        <v>341</v>
      </c>
      <c r="AW49" s="68" t="s">
        <v>248</v>
      </c>
      <c r="AX49" s="67" t="s">
        <v>427</v>
      </c>
      <c r="AY49" s="67" t="s">
        <v>257</v>
      </c>
      <c r="AZ49" s="69" t="s">
        <v>44</v>
      </c>
      <c r="BA49" s="68" t="s">
        <v>256</v>
      </c>
      <c r="BB49" s="67" t="s">
        <v>41</v>
      </c>
      <c r="BC49" s="67" t="s">
        <v>259</v>
      </c>
      <c r="BD49" s="69" t="s">
        <v>41</v>
      </c>
      <c r="BE49" s="68" t="s">
        <v>256</v>
      </c>
      <c r="BF49" s="67" t="s">
        <v>41</v>
      </c>
      <c r="BG49" s="67" t="s">
        <v>259</v>
      </c>
      <c r="BH49" s="69" t="s">
        <v>41</v>
      </c>
      <c r="BI49" s="68" t="s">
        <v>248</v>
      </c>
      <c r="BJ49" s="72">
        <v>42564</v>
      </c>
      <c r="BK49" s="67" t="s">
        <v>259</v>
      </c>
      <c r="BL49" s="69" t="s">
        <v>41</v>
      </c>
      <c r="BM49" s="68" t="s">
        <v>65</v>
      </c>
      <c r="BN49" s="66" t="s">
        <v>65</v>
      </c>
      <c r="BO49" s="66" t="s">
        <v>51</v>
      </c>
      <c r="BP49" s="66" t="s">
        <v>248</v>
      </c>
      <c r="BQ49" s="74">
        <v>42349</v>
      </c>
      <c r="BR49" s="66" t="s">
        <v>282</v>
      </c>
      <c r="BS49" s="66" t="s">
        <v>257</v>
      </c>
      <c r="BT49" s="68">
        <f>Nombrecours</f>
        <v>10</v>
      </c>
      <c r="BU49" s="63">
        <f>COUNTIF(DonnéesDessin[[#This Row],[Réponse doodle 01]:[Présence MàN AC]],"Excusé")</f>
        <v>0</v>
      </c>
      <c r="BV49" s="63">
        <f>COUNTIF(DonnéesDessin[[#This Row],[Réponse doodle 01]:[Présence MàN AC]],"N-employé")</f>
        <v>0</v>
      </c>
      <c r="BW49" s="63">
        <f>DonnéesDessin[[#This Row],[Nombre de cours]]-DonnéesDessin[[#This Row],[Nombre excusé]]-DonnéesDessin[[#This Row],[Nombre N-employé]]</f>
        <v>10</v>
      </c>
      <c r="BX49" s="69">
        <f>COUNTIF(DonnéesDessin[[#This Row],[Réponse doodle 01]:[Présence MàN AC]],"Présent")</f>
        <v>6</v>
      </c>
      <c r="BY49" s="68">
        <f>COUNTIF(DonnéesDessin[[#This Row],[Réponse doodle 01]:[Présence MàN AC]],"Inscrit")</f>
        <v>5</v>
      </c>
      <c r="BZ49" s="67">
        <f>3*DonnéesDessin[[#This Row],[Inscrit]]</f>
        <v>15</v>
      </c>
      <c r="CA49" s="67">
        <f>COUNTIF(DonnéesDessin[[#This Row],[Réponse doodle 01]:[Présence MàN AC]],"R pas nécessaire")</f>
        <v>0</v>
      </c>
      <c r="CB49" s="67">
        <f>SUM(3*DonnéesDessin[[#This Row],[R pas nécessaire]])</f>
        <v>0</v>
      </c>
      <c r="CC49" s="67">
        <f>COUNTIF(DonnéesDessin[[#This Row],[Réponse doodle 01]:[Présence MàN AC]],"Indisponible")</f>
        <v>0</v>
      </c>
      <c r="CD49" s="67">
        <f>2*DonnéesDessin[[#This Row],[Indisponible]]</f>
        <v>0</v>
      </c>
      <c r="CE49" s="67">
        <f>COUNTIF(DonnéesDessin[[#This Row],[Réponse doodle 01]:[Présence MàN AC]],"Ne peut s'inscrire")</f>
        <v>0</v>
      </c>
      <c r="CF49" s="67">
        <f>1*DonnéesDessin[[#This Row],[Ne peut s''inscrire]]</f>
        <v>0</v>
      </c>
      <c r="CG49" s="67">
        <f>COUNTIF(DonnéesDessin[[#This Row],[Réponse doodle 01]:[Présence MàN AC]],"Sans information")</f>
        <v>7</v>
      </c>
      <c r="CH49" s="67">
        <f>0*DonnéesDessin[[#This Row],[Sans information]]</f>
        <v>0</v>
      </c>
      <c r="CI49" s="67">
        <f>COUNTIF(DonnéesDessin[[#This Row],[Réponse doodle 01]:[Présence MàN AC]],"Présent")</f>
        <v>6</v>
      </c>
      <c r="CJ49" s="67">
        <f>2*DonnéesDessin[[#This Row],[Présent]]</f>
        <v>12</v>
      </c>
      <c r="CK49" s="67">
        <f>COUNTIF(DonnéesDessin[[#This Row],[Réponse doodle 01]:[Présence MàN AC]],"P pas nécessaire")</f>
        <v>0</v>
      </c>
      <c r="CL49" s="67">
        <f>2*DonnéesDessin[[#This Row],[P pas nécessaire]]</f>
        <v>0</v>
      </c>
      <c r="CM49" s="67">
        <f>COUNTIF(DonnéesDessin[[#This Row],[Réponse doodle 01]:[Présence MàN AC]],"Excusé")</f>
        <v>0</v>
      </c>
      <c r="CN49" s="67">
        <f>1*DonnéesDessin[[#This Row],[Excusé]]</f>
        <v>0</v>
      </c>
      <c r="CO49" s="67">
        <f>COUNTIF(DonnéesDessin[[#This Row],[Réponse doodle 01]:[Présence MàN AC]],"Pas présent")</f>
        <v>6</v>
      </c>
      <c r="CP49" s="67">
        <f>0*DonnéesDessin[[#This Row],[Pas présent]]</f>
        <v>0</v>
      </c>
      <c r="CQ49"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27</v>
      </c>
      <c r="CR49" s="78">
        <v>42572</v>
      </c>
      <c r="CS49" s="79" t="s">
        <v>442</v>
      </c>
      <c r="CT49" s="67" t="s">
        <v>257</v>
      </c>
      <c r="CU49" s="67">
        <v>2</v>
      </c>
      <c r="CV49" s="84">
        <v>66</v>
      </c>
      <c r="CW49" s="84">
        <v>65</v>
      </c>
      <c r="CX49" s="84">
        <f>SUBTOTAL(9,DonnéesDessin[[#This Row],[Résultat Niveau 1]:[Résultat Avancé]])</f>
        <v>131</v>
      </c>
      <c r="CY49" s="83" t="s">
        <v>442</v>
      </c>
      <c r="CZ49" s="83" t="s">
        <v>467</v>
      </c>
      <c r="DA49" s="67">
        <v>70</v>
      </c>
      <c r="DB49" s="88">
        <f>(DonnéesDessin[[#This Row],[Résultat Niveau 1]]+DonnéesDessin[[#This Row],[Résultat Avancé]])/DonnéesDessin[[#This Row],[Durée BC AC19 (en min)]]</f>
        <v>1.8714285714285714</v>
      </c>
    </row>
    <row r="50" spans="1:106">
      <c r="A50" s="62" t="str">
        <f>DonnéesDessin[[#This Row],[Prénom]]&amp;" "&amp;DonnéesDessin[[#This Row],[Nom]]</f>
        <v>Mélanie Monsciani</v>
      </c>
      <c r="B50" s="63" t="s">
        <v>152</v>
      </c>
      <c r="C50" s="63" t="s">
        <v>153</v>
      </c>
      <c r="D50" s="63" t="s">
        <v>57</v>
      </c>
      <c r="E50" s="64">
        <v>42066</v>
      </c>
      <c r="F50" s="64" t="s">
        <v>41</v>
      </c>
      <c r="G50" s="63" t="s">
        <v>50</v>
      </c>
      <c r="H50" s="63" t="s">
        <v>51</v>
      </c>
      <c r="I50" s="65" t="s">
        <v>43</v>
      </c>
      <c r="J50" s="65">
        <v>17</v>
      </c>
      <c r="K50" s="66" t="s">
        <v>41</v>
      </c>
      <c r="L50" s="67">
        <f>DonnéesDessin[[#This Row],[PTS]]</f>
        <v>49</v>
      </c>
      <c r="M50" s="68" t="s">
        <v>52</v>
      </c>
      <c r="N50" s="63">
        <v>0</v>
      </c>
      <c r="O50" s="63" t="s">
        <v>45</v>
      </c>
      <c r="P50" s="63">
        <v>0</v>
      </c>
      <c r="Q50" s="63" t="s">
        <v>45</v>
      </c>
      <c r="R50" s="63">
        <v>0</v>
      </c>
      <c r="S50" s="63" t="s">
        <v>45</v>
      </c>
      <c r="T50" s="69">
        <v>0</v>
      </c>
      <c r="U50" s="68" t="s">
        <v>248</v>
      </c>
      <c r="V50" s="70">
        <v>42320</v>
      </c>
      <c r="W50" s="63" t="s">
        <v>257</v>
      </c>
      <c r="X50" s="63" t="s">
        <v>44</v>
      </c>
      <c r="Y50" s="68" t="s">
        <v>248</v>
      </c>
      <c r="Z50" s="71">
        <v>42398</v>
      </c>
      <c r="AA50" s="67" t="s">
        <v>258</v>
      </c>
      <c r="AB50" s="67" t="s">
        <v>380</v>
      </c>
      <c r="AC50" s="68" t="s">
        <v>248</v>
      </c>
      <c r="AD50" s="11" t="s">
        <v>323</v>
      </c>
      <c r="AE50" s="67" t="s">
        <v>257</v>
      </c>
      <c r="AF50" s="67" t="s">
        <v>44</v>
      </c>
      <c r="AG50" s="68" t="s">
        <v>248</v>
      </c>
      <c r="AH50" s="72">
        <v>42439</v>
      </c>
      <c r="AI50" s="67" t="s">
        <v>257</v>
      </c>
      <c r="AJ50" s="67" t="s">
        <v>44</v>
      </c>
      <c r="AK50" s="68" t="s">
        <v>248</v>
      </c>
      <c r="AL50" s="67" t="s">
        <v>332</v>
      </c>
      <c r="AM50" s="67" t="s">
        <v>257</v>
      </c>
      <c r="AN50" s="67" t="s">
        <v>44</v>
      </c>
      <c r="AO50" s="68" t="s">
        <v>248</v>
      </c>
      <c r="AP50" s="67" t="s">
        <v>336</v>
      </c>
      <c r="AQ50" s="67" t="s">
        <v>257</v>
      </c>
      <c r="AR50" s="67" t="s">
        <v>44</v>
      </c>
      <c r="AS50" s="68" t="s">
        <v>248</v>
      </c>
      <c r="AT50" s="67" t="s">
        <v>414</v>
      </c>
      <c r="AU50" s="67" t="s">
        <v>257</v>
      </c>
      <c r="AV50" s="69" t="s">
        <v>44</v>
      </c>
      <c r="AW50" s="68" t="s">
        <v>248</v>
      </c>
      <c r="AX50" s="67" t="s">
        <v>427</v>
      </c>
      <c r="AY50" s="67" t="s">
        <v>257</v>
      </c>
      <c r="AZ50" s="69" t="s">
        <v>44</v>
      </c>
      <c r="BA50" s="68" t="s">
        <v>256</v>
      </c>
      <c r="BB50" s="67" t="s">
        <v>41</v>
      </c>
      <c r="BC50" s="67" t="s">
        <v>259</v>
      </c>
      <c r="BD50" s="69" t="s">
        <v>41</v>
      </c>
      <c r="BE50" s="68" t="s">
        <v>256</v>
      </c>
      <c r="BF50" s="67" t="s">
        <v>41</v>
      </c>
      <c r="BG50" s="67" t="s">
        <v>259</v>
      </c>
      <c r="BH50" s="69" t="s">
        <v>41</v>
      </c>
      <c r="BI50" s="68" t="s">
        <v>248</v>
      </c>
      <c r="BJ50" s="72">
        <v>42509</v>
      </c>
      <c r="BK50" s="67" t="s">
        <v>257</v>
      </c>
      <c r="BL50" s="69" t="s">
        <v>44</v>
      </c>
      <c r="BM50" s="68" t="s">
        <v>65</v>
      </c>
      <c r="BN50" s="67" t="s">
        <v>65</v>
      </c>
      <c r="BO50" s="67" t="s">
        <v>51</v>
      </c>
      <c r="BP50" s="67" t="s">
        <v>248</v>
      </c>
      <c r="BQ50" s="64">
        <v>42349</v>
      </c>
      <c r="BR50" s="63" t="s">
        <v>284</v>
      </c>
      <c r="BS50" s="63" t="s">
        <v>257</v>
      </c>
      <c r="BT50" s="68">
        <f>Nombrecours</f>
        <v>10</v>
      </c>
      <c r="BU50" s="63">
        <f>COUNTIF(DonnéesDessin[[#This Row],[Réponse doodle 01]:[Présence MàN AC]],"Excusé")</f>
        <v>1</v>
      </c>
      <c r="BV50" s="63">
        <f>COUNTIF(DonnéesDessin[[#This Row],[Réponse doodle 01]:[Présence MàN AC]],"N-employé")</f>
        <v>0</v>
      </c>
      <c r="BW50" s="63">
        <f>DonnéesDessin[[#This Row],[Nombre de cours]]-DonnéesDessin[[#This Row],[Nombre excusé]]-DonnéesDessin[[#This Row],[Nombre N-employé]]</f>
        <v>9</v>
      </c>
      <c r="BX50" s="69">
        <f>COUNTIF(DonnéesDessin[[#This Row],[Réponse doodle 01]:[Présence MàN AC]],"Présent")</f>
        <v>9</v>
      </c>
      <c r="BY50" s="68">
        <f>COUNTIF(DonnéesDessin[[#This Row],[Réponse doodle 01]:[Présence MàN AC]],"Inscrit")</f>
        <v>10</v>
      </c>
      <c r="BZ50" s="67">
        <f>3*DonnéesDessin[[#This Row],[Inscrit]]</f>
        <v>30</v>
      </c>
      <c r="CA50" s="67">
        <f>COUNTIF(DonnéesDessin[[#This Row],[Réponse doodle 01]:[Présence MàN AC]],"R pas nécessaire")</f>
        <v>0</v>
      </c>
      <c r="CB50" s="67">
        <f>SUM(3*DonnéesDessin[[#This Row],[R pas nécessaire]])</f>
        <v>0</v>
      </c>
      <c r="CC50" s="67">
        <f>COUNTIF(DonnéesDessin[[#This Row],[Réponse doodle 01]:[Présence MàN AC]],"Indisponible")</f>
        <v>0</v>
      </c>
      <c r="CD50" s="67">
        <f>2*DonnéesDessin[[#This Row],[Indisponible]]</f>
        <v>0</v>
      </c>
      <c r="CE50" s="67">
        <f>COUNTIF(DonnéesDessin[[#This Row],[Réponse doodle 01]:[Présence MàN AC]],"Ne peut s'inscrire")</f>
        <v>0</v>
      </c>
      <c r="CF50" s="67">
        <f>1*DonnéesDessin[[#This Row],[Ne peut s''inscrire]]</f>
        <v>0</v>
      </c>
      <c r="CG50" s="67">
        <f>COUNTIF(DonnéesDessin[[#This Row],[Réponse doodle 01]:[Présence MàN AC]],"Sans information")</f>
        <v>2</v>
      </c>
      <c r="CH50" s="67">
        <f>0*DonnéesDessin[[#This Row],[Sans information]]</f>
        <v>0</v>
      </c>
      <c r="CI50" s="67">
        <f>COUNTIF(DonnéesDessin[[#This Row],[Réponse doodle 01]:[Présence MàN AC]],"Présent")</f>
        <v>9</v>
      </c>
      <c r="CJ50" s="67">
        <f>2*DonnéesDessin[[#This Row],[Présent]]</f>
        <v>18</v>
      </c>
      <c r="CK50" s="67">
        <f>COUNTIF(DonnéesDessin[[#This Row],[Réponse doodle 01]:[Présence MàN AC]],"P pas nécessaire")</f>
        <v>0</v>
      </c>
      <c r="CL50" s="67">
        <f>2*DonnéesDessin[[#This Row],[P pas nécessaire]]</f>
        <v>0</v>
      </c>
      <c r="CM50" s="67">
        <f>COUNTIF(DonnéesDessin[[#This Row],[Réponse doodle 01]:[Présence MàN AC]],"Excusé")</f>
        <v>1</v>
      </c>
      <c r="CN50" s="67">
        <f>1*DonnéesDessin[[#This Row],[Excusé]]</f>
        <v>1</v>
      </c>
      <c r="CO50" s="67">
        <f>COUNTIF(DonnéesDessin[[#This Row],[Réponse doodle 01]:[Présence MàN AC]],"Pas présent")</f>
        <v>2</v>
      </c>
      <c r="CP50" s="67">
        <f>0*DonnéesDessin[[#This Row],[Pas présent]]</f>
        <v>0</v>
      </c>
      <c r="CQ50"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49</v>
      </c>
      <c r="CR50" s="78">
        <v>42579</v>
      </c>
      <c r="CS50" s="79" t="s">
        <v>443</v>
      </c>
      <c r="CT50" s="67" t="s">
        <v>257</v>
      </c>
      <c r="CU50" s="67">
        <v>2</v>
      </c>
      <c r="CV50" s="84">
        <v>68</v>
      </c>
      <c r="CW50" s="84">
        <v>73</v>
      </c>
      <c r="CX50" s="84">
        <f>SUBTOTAL(9,DonnéesDessin[[#This Row],[Résultat Niveau 1]:[Résultat Avancé]])</f>
        <v>141</v>
      </c>
      <c r="CY50" s="84" t="s">
        <v>467</v>
      </c>
      <c r="CZ50" s="84" t="s">
        <v>502</v>
      </c>
      <c r="DA50" s="67">
        <v>110</v>
      </c>
      <c r="DB50" s="88">
        <f>(DonnéesDessin[[#This Row],[Résultat Niveau 1]]+DonnéesDessin[[#This Row],[Résultat Avancé]])/DonnéesDessin[[#This Row],[Durée BC AC19 (en min)]]</f>
        <v>1.2818181818181817</v>
      </c>
    </row>
    <row r="51" spans="1:106">
      <c r="A51" s="62" t="str">
        <f>DonnéesDessin[[#This Row],[Prénom]]&amp;" "&amp;DonnéesDessin[[#This Row],[Nom]]</f>
        <v>Mélissa Armand</v>
      </c>
      <c r="B51" s="63" t="s">
        <v>58</v>
      </c>
      <c r="C51" s="63" t="s">
        <v>154</v>
      </c>
      <c r="D51" s="63" t="s">
        <v>49</v>
      </c>
      <c r="E51" s="64" t="s">
        <v>41</v>
      </c>
      <c r="F51" s="64" t="s">
        <v>41</v>
      </c>
      <c r="G51" s="63" t="s">
        <v>50</v>
      </c>
      <c r="H51" s="63" t="s">
        <v>51</v>
      </c>
      <c r="I51" s="65" t="s">
        <v>43</v>
      </c>
      <c r="J51" s="65">
        <v>16</v>
      </c>
      <c r="K51" s="66" t="s">
        <v>41</v>
      </c>
      <c r="L51" s="67">
        <f>DonnéesDessin[[#This Row],[PTS]]</f>
        <v>50</v>
      </c>
      <c r="M51" s="68" t="s">
        <v>52</v>
      </c>
      <c r="N51" s="63">
        <v>0</v>
      </c>
      <c r="O51" s="63" t="s">
        <v>45</v>
      </c>
      <c r="P51" s="63">
        <v>0</v>
      </c>
      <c r="Q51" s="63" t="s">
        <v>45</v>
      </c>
      <c r="R51" s="63">
        <v>0</v>
      </c>
      <c r="S51" s="63" t="s">
        <v>45</v>
      </c>
      <c r="T51" s="69">
        <v>0</v>
      </c>
      <c r="U51" s="68" t="s">
        <v>248</v>
      </c>
      <c r="V51" s="70">
        <v>42320</v>
      </c>
      <c r="W51" s="63" t="s">
        <v>257</v>
      </c>
      <c r="X51" s="63" t="s">
        <v>44</v>
      </c>
      <c r="Y51" s="68" t="s">
        <v>248</v>
      </c>
      <c r="Z51" s="71">
        <v>42398</v>
      </c>
      <c r="AA51" s="67" t="s">
        <v>257</v>
      </c>
      <c r="AB51" s="69" t="s">
        <v>44</v>
      </c>
      <c r="AC51" s="68" t="s">
        <v>248</v>
      </c>
      <c r="AD51" s="11" t="s">
        <v>323</v>
      </c>
      <c r="AE51" s="67" t="s">
        <v>257</v>
      </c>
      <c r="AF51" s="69" t="s">
        <v>44</v>
      </c>
      <c r="AG51" s="68" t="s">
        <v>248</v>
      </c>
      <c r="AH51" s="72">
        <v>42439</v>
      </c>
      <c r="AI51" s="67" t="s">
        <v>257</v>
      </c>
      <c r="AJ51" s="69" t="s">
        <v>44</v>
      </c>
      <c r="AK51" s="68" t="s">
        <v>248</v>
      </c>
      <c r="AL51" s="67" t="s">
        <v>332</v>
      </c>
      <c r="AM51" s="67" t="s">
        <v>257</v>
      </c>
      <c r="AN51" s="69" t="s">
        <v>44</v>
      </c>
      <c r="AO51" s="68" t="s">
        <v>248</v>
      </c>
      <c r="AP51" s="67" t="s">
        <v>338</v>
      </c>
      <c r="AQ51" s="67" t="s">
        <v>257</v>
      </c>
      <c r="AR51" s="69" t="s">
        <v>44</v>
      </c>
      <c r="AS51" s="68" t="s">
        <v>248</v>
      </c>
      <c r="AT51" s="67" t="s">
        <v>413</v>
      </c>
      <c r="AU51" s="67" t="s">
        <v>257</v>
      </c>
      <c r="AV51" s="69" t="s">
        <v>44</v>
      </c>
      <c r="AW51" s="68" t="s">
        <v>248</v>
      </c>
      <c r="AX51" s="67" t="s">
        <v>424</v>
      </c>
      <c r="AY51" s="67" t="s">
        <v>257</v>
      </c>
      <c r="AZ51" s="69" t="s">
        <v>44</v>
      </c>
      <c r="BA51" s="68" t="s">
        <v>256</v>
      </c>
      <c r="BB51" s="67" t="s">
        <v>41</v>
      </c>
      <c r="BC51" s="67" t="s">
        <v>259</v>
      </c>
      <c r="BD51" s="69" t="s">
        <v>41</v>
      </c>
      <c r="BE51" s="68" t="s">
        <v>256</v>
      </c>
      <c r="BF51" s="67" t="s">
        <v>41</v>
      </c>
      <c r="BG51" s="67" t="s">
        <v>259</v>
      </c>
      <c r="BH51" s="69" t="s">
        <v>41</v>
      </c>
      <c r="BI51" s="68" t="s">
        <v>248</v>
      </c>
      <c r="BJ51" s="72">
        <v>42564</v>
      </c>
      <c r="BK51" s="67" t="s">
        <v>257</v>
      </c>
      <c r="BL51" s="69" t="s">
        <v>44</v>
      </c>
      <c r="BM51" s="68" t="s">
        <v>53</v>
      </c>
      <c r="BN51" s="67" t="s">
        <v>53</v>
      </c>
      <c r="BO51" s="67" t="s">
        <v>51</v>
      </c>
      <c r="BP51" s="67" t="s">
        <v>248</v>
      </c>
      <c r="BQ51" s="64">
        <v>42347</v>
      </c>
      <c r="BR51" s="63" t="s">
        <v>286</v>
      </c>
      <c r="BS51" s="63" t="s">
        <v>257</v>
      </c>
      <c r="BT51" s="68">
        <f>Nombrecours</f>
        <v>10</v>
      </c>
      <c r="BU51" s="63">
        <f>COUNTIF(DonnéesDessin[[#This Row],[Réponse doodle 01]:[Présence MàN AC]],"Excusé")</f>
        <v>0</v>
      </c>
      <c r="BV51" s="63">
        <f>COUNTIF(DonnéesDessin[[#This Row],[Réponse doodle 01]:[Présence MàN AC]],"N-employé")</f>
        <v>0</v>
      </c>
      <c r="BW51" s="63">
        <f>DonnéesDessin[[#This Row],[Nombre de cours]]-DonnéesDessin[[#This Row],[Nombre excusé]]-DonnéesDessin[[#This Row],[Nombre N-employé]]</f>
        <v>10</v>
      </c>
      <c r="BX51" s="69">
        <f>COUNTIF(DonnéesDessin[[#This Row],[Réponse doodle 01]:[Présence MàN AC]],"Présent")</f>
        <v>10</v>
      </c>
      <c r="BY51" s="68">
        <f>COUNTIF(DonnéesDessin[[#This Row],[Réponse doodle 01]:[Présence MàN AC]],"Inscrit")</f>
        <v>10</v>
      </c>
      <c r="BZ51" s="67">
        <f>3*DonnéesDessin[[#This Row],[Inscrit]]</f>
        <v>30</v>
      </c>
      <c r="CA51" s="67">
        <f>COUNTIF(DonnéesDessin[[#This Row],[Réponse doodle 01]:[Présence MàN AC]],"R pas nécessaire")</f>
        <v>0</v>
      </c>
      <c r="CB51" s="67">
        <f>SUM(3*DonnéesDessin[[#This Row],[R pas nécessaire]])</f>
        <v>0</v>
      </c>
      <c r="CC51" s="67">
        <f>COUNTIF(DonnéesDessin[[#This Row],[Réponse doodle 01]:[Présence MàN AC]],"Indisponible")</f>
        <v>0</v>
      </c>
      <c r="CD51" s="67">
        <f>2*DonnéesDessin[[#This Row],[Indisponible]]</f>
        <v>0</v>
      </c>
      <c r="CE51" s="67">
        <f>COUNTIF(DonnéesDessin[[#This Row],[Réponse doodle 01]:[Présence MàN AC]],"Ne peut s'inscrire")</f>
        <v>0</v>
      </c>
      <c r="CF51" s="67">
        <f>1*DonnéesDessin[[#This Row],[Ne peut s''inscrire]]</f>
        <v>0</v>
      </c>
      <c r="CG51" s="67">
        <f>COUNTIF(DonnéesDessin[[#This Row],[Réponse doodle 01]:[Présence MàN AC]],"Sans information")</f>
        <v>2</v>
      </c>
      <c r="CH51" s="67">
        <f>0*DonnéesDessin[[#This Row],[Sans information]]</f>
        <v>0</v>
      </c>
      <c r="CI51" s="67">
        <f>COUNTIF(DonnéesDessin[[#This Row],[Réponse doodle 01]:[Présence MàN AC]],"Présent")</f>
        <v>10</v>
      </c>
      <c r="CJ51" s="67">
        <f>2*DonnéesDessin[[#This Row],[Présent]]</f>
        <v>20</v>
      </c>
      <c r="CK51" s="67">
        <f>COUNTIF(DonnéesDessin[[#This Row],[Réponse doodle 01]:[Présence MàN AC]],"P pas nécessaire")</f>
        <v>0</v>
      </c>
      <c r="CL51" s="67">
        <f>2*DonnéesDessin[[#This Row],[P pas nécessaire]]</f>
        <v>0</v>
      </c>
      <c r="CM51" s="67">
        <f>COUNTIF(DonnéesDessin[[#This Row],[Réponse doodle 01]:[Présence MàN AC]],"Excusé")</f>
        <v>0</v>
      </c>
      <c r="CN51" s="67">
        <f>1*DonnéesDessin[[#This Row],[Excusé]]</f>
        <v>0</v>
      </c>
      <c r="CO51" s="67">
        <f>COUNTIF(DonnéesDessin[[#This Row],[Réponse doodle 01]:[Présence MàN AC]],"Pas présent")</f>
        <v>2</v>
      </c>
      <c r="CP51" s="67">
        <f>0*DonnéesDessin[[#This Row],[Pas présent]]</f>
        <v>0</v>
      </c>
      <c r="CQ51"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50</v>
      </c>
      <c r="CR51" s="78">
        <v>42572</v>
      </c>
      <c r="CS51" s="79" t="s">
        <v>443</v>
      </c>
      <c r="CT51" s="67" t="s">
        <v>257</v>
      </c>
      <c r="CU51" s="67">
        <v>2</v>
      </c>
      <c r="CV51" s="84">
        <v>68</v>
      </c>
      <c r="CW51" s="84">
        <v>63</v>
      </c>
      <c r="CX51" s="84">
        <f>SUBTOTAL(9,DonnéesDessin[[#This Row],[Résultat Niveau 1]:[Résultat Avancé]])</f>
        <v>131</v>
      </c>
      <c r="CY51" s="83" t="s">
        <v>443</v>
      </c>
      <c r="CZ51" s="83" t="s">
        <v>471</v>
      </c>
      <c r="DA51" s="67">
        <v>75</v>
      </c>
      <c r="DB51" s="88">
        <f>(DonnéesDessin[[#This Row],[Résultat Niveau 1]]+DonnéesDessin[[#This Row],[Résultat Avancé]])/DonnéesDessin[[#This Row],[Durée BC AC19 (en min)]]</f>
        <v>1.7466666666666666</v>
      </c>
    </row>
    <row r="52" spans="1:106">
      <c r="A52" s="62" t="str">
        <f>DonnéesDessin[[#This Row],[Prénom]]&amp;" "&amp;DonnéesDessin[[#This Row],[Nom]]</f>
        <v>Michal Fok</v>
      </c>
      <c r="B52" s="67" t="s">
        <v>294</v>
      </c>
      <c r="C52" s="67" t="s">
        <v>295</v>
      </c>
      <c r="D52" s="67" t="s">
        <v>49</v>
      </c>
      <c r="E52" s="72">
        <v>42380</v>
      </c>
      <c r="F52" s="72" t="s">
        <v>41</v>
      </c>
      <c r="G52" s="67" t="s">
        <v>56</v>
      </c>
      <c r="H52" s="67" t="s">
        <v>51</v>
      </c>
      <c r="I52" s="12" t="s">
        <v>43</v>
      </c>
      <c r="J52" s="12" t="s">
        <v>42</v>
      </c>
      <c r="K52" s="66" t="s">
        <v>394</v>
      </c>
      <c r="L52" s="67">
        <f>DonnéesDessin[[#This Row],[PTS]]</f>
        <v>32</v>
      </c>
      <c r="M52" s="68" t="s">
        <v>52</v>
      </c>
      <c r="N52" s="63">
        <v>0</v>
      </c>
      <c r="O52" s="63" t="s">
        <v>319</v>
      </c>
      <c r="P52" s="63">
        <v>0</v>
      </c>
      <c r="Q52" s="63" t="s">
        <v>319</v>
      </c>
      <c r="R52" s="63">
        <v>0</v>
      </c>
      <c r="S52" s="63" t="s">
        <v>319</v>
      </c>
      <c r="T52" s="69">
        <v>0</v>
      </c>
      <c r="U52" s="68" t="s">
        <v>281</v>
      </c>
      <c r="V52" s="75" t="s">
        <v>41</v>
      </c>
      <c r="W52" s="63" t="s">
        <v>41</v>
      </c>
      <c r="X52" s="63" t="s">
        <v>358</v>
      </c>
      <c r="Y52" s="68" t="s">
        <v>248</v>
      </c>
      <c r="Z52" s="71">
        <v>42382</v>
      </c>
      <c r="AA52" s="67" t="s">
        <v>257</v>
      </c>
      <c r="AB52" s="69" t="s">
        <v>44</v>
      </c>
      <c r="AC52" s="68" t="s">
        <v>248</v>
      </c>
      <c r="AD52" s="71">
        <v>42417</v>
      </c>
      <c r="AE52" s="67" t="s">
        <v>257</v>
      </c>
      <c r="AF52" s="69" t="s">
        <v>44</v>
      </c>
      <c r="AG52" s="68" t="s">
        <v>248</v>
      </c>
      <c r="AH52" s="72">
        <v>42439</v>
      </c>
      <c r="AI52" s="67" t="s">
        <v>257</v>
      </c>
      <c r="AJ52" s="69" t="s">
        <v>44</v>
      </c>
      <c r="AK52" s="68" t="s">
        <v>248</v>
      </c>
      <c r="AL52" s="67" t="s">
        <v>331</v>
      </c>
      <c r="AM52" s="67" t="s">
        <v>257</v>
      </c>
      <c r="AN52" s="69" t="s">
        <v>392</v>
      </c>
      <c r="AO52" s="68" t="s">
        <v>248</v>
      </c>
      <c r="AP52" s="67" t="s">
        <v>335</v>
      </c>
      <c r="AQ52" s="67" t="s">
        <v>259</v>
      </c>
      <c r="AR52" s="69" t="s">
        <v>343</v>
      </c>
      <c r="AS52" s="68" t="s">
        <v>248</v>
      </c>
      <c r="AT52" s="67" t="s">
        <v>417</v>
      </c>
      <c r="AU52" s="67" t="s">
        <v>258</v>
      </c>
      <c r="AV52" s="69" t="s">
        <v>419</v>
      </c>
      <c r="AW52" s="68" t="s">
        <v>248</v>
      </c>
      <c r="AX52" s="67" t="s">
        <v>427</v>
      </c>
      <c r="AY52" s="67" t="s">
        <v>257</v>
      </c>
      <c r="AZ52" s="69" t="s">
        <v>44</v>
      </c>
      <c r="BA52" s="68" t="s">
        <v>256</v>
      </c>
      <c r="BB52" s="67" t="s">
        <v>41</v>
      </c>
      <c r="BC52" s="67" t="s">
        <v>259</v>
      </c>
      <c r="BD52" s="69" t="s">
        <v>41</v>
      </c>
      <c r="BE52" s="68" t="s">
        <v>256</v>
      </c>
      <c r="BF52" s="67" t="s">
        <v>41</v>
      </c>
      <c r="BG52" s="67" t="s">
        <v>259</v>
      </c>
      <c r="BH52" s="69" t="s">
        <v>41</v>
      </c>
      <c r="BI52" s="68" t="s">
        <v>256</v>
      </c>
      <c r="BJ52" s="67" t="s">
        <v>41</v>
      </c>
      <c r="BK52" s="67" t="s">
        <v>259</v>
      </c>
      <c r="BL52" s="69" t="s">
        <v>41</v>
      </c>
      <c r="BM52" s="68" t="s">
        <v>281</v>
      </c>
      <c r="BN52" s="67"/>
      <c r="BO52" s="67" t="s">
        <v>41</v>
      </c>
      <c r="BP52" s="67" t="s">
        <v>41</v>
      </c>
      <c r="BQ52" s="67" t="s">
        <v>41</v>
      </c>
      <c r="BR52" s="67" t="s">
        <v>41</v>
      </c>
      <c r="BS52" s="67" t="s">
        <v>41</v>
      </c>
      <c r="BT52" s="68">
        <f>Nombrecours</f>
        <v>10</v>
      </c>
      <c r="BU52" s="63">
        <f>COUNTIF(DonnéesDessin[[#This Row],[Réponse doodle 01]:[Présence MàN AC]],"Excusé")</f>
        <v>1</v>
      </c>
      <c r="BV52" s="63">
        <f>COUNTIF(DonnéesDessin[[#This Row],[Réponse doodle 01]:[Présence MàN AC]],"N-employé")</f>
        <v>2</v>
      </c>
      <c r="BW52" s="63">
        <f>DonnéesDessin[[#This Row],[Nombre de cours]]-DonnéesDessin[[#This Row],[Nombre excusé]]-DonnéesDessin[[#This Row],[Nombre N-employé]]</f>
        <v>7</v>
      </c>
      <c r="BX52" s="69">
        <f>COUNTIF(DonnéesDessin[[#This Row],[Réponse doodle 01]:[Présence MàN AC]],"Présent")</f>
        <v>5</v>
      </c>
      <c r="BY52" s="68">
        <f>COUNTIF(DonnéesDessin[[#This Row],[Réponse doodle 01]:[Présence MàN AC]],"Inscrit")</f>
        <v>7</v>
      </c>
      <c r="BZ52" s="67">
        <f>3*DonnéesDessin[[#This Row],[Inscrit]]</f>
        <v>21</v>
      </c>
      <c r="CA52" s="67">
        <f>COUNTIF(DonnéesDessin[[#This Row],[Réponse doodle 01]:[Présence MàN AC]],"R pas nécessaire")</f>
        <v>0</v>
      </c>
      <c r="CB52" s="67">
        <f>SUM(3*DonnéesDessin[[#This Row],[R pas nécessaire]])</f>
        <v>0</v>
      </c>
      <c r="CC52" s="67">
        <f>COUNTIF(DonnéesDessin[[#This Row],[Réponse doodle 01]:[Présence MàN AC]],"Indisponible")</f>
        <v>0</v>
      </c>
      <c r="CD52" s="67">
        <f>2*DonnéesDessin[[#This Row],[Indisponible]]</f>
        <v>0</v>
      </c>
      <c r="CE52" s="67">
        <f>COUNTIF(DonnéesDessin[[#This Row],[Réponse doodle 01]:[Présence MàN AC]],"Ne peut s'inscrire")</f>
        <v>0</v>
      </c>
      <c r="CF52" s="67">
        <f>1*DonnéesDessin[[#This Row],[Ne peut s''inscrire]]</f>
        <v>0</v>
      </c>
      <c r="CG52" s="67">
        <f>COUNTIF(DonnéesDessin[[#This Row],[Réponse doodle 01]:[Présence MàN AC]],"Sans information")</f>
        <v>3</v>
      </c>
      <c r="CH52" s="67">
        <f>0*DonnéesDessin[[#This Row],[Sans information]]</f>
        <v>0</v>
      </c>
      <c r="CI52" s="67">
        <f>COUNTIF(DonnéesDessin[[#This Row],[Réponse doodle 01]:[Présence MàN AC]],"Présent")</f>
        <v>5</v>
      </c>
      <c r="CJ52" s="67">
        <f>2*DonnéesDessin[[#This Row],[Présent]]</f>
        <v>10</v>
      </c>
      <c r="CK52" s="67">
        <f>COUNTIF(DonnéesDessin[[#This Row],[Réponse doodle 01]:[Présence MàN AC]],"P pas nécessaire")</f>
        <v>0</v>
      </c>
      <c r="CL52" s="67">
        <f>2*DonnéesDessin[[#This Row],[P pas nécessaire]]</f>
        <v>0</v>
      </c>
      <c r="CM52" s="67">
        <f>COUNTIF(DonnéesDessin[[#This Row],[Réponse doodle 01]:[Présence MàN AC]],"Excusé")</f>
        <v>1</v>
      </c>
      <c r="CN52" s="67">
        <f>1*DonnéesDessin[[#This Row],[Excusé]]</f>
        <v>1</v>
      </c>
      <c r="CO52" s="67">
        <f>COUNTIF(DonnéesDessin[[#This Row],[Réponse doodle 01]:[Présence MàN AC]],"Pas présent")</f>
        <v>4</v>
      </c>
      <c r="CP52" s="67">
        <f>0*DonnéesDessin[[#This Row],[Pas présent]]</f>
        <v>0</v>
      </c>
      <c r="CQ52"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32</v>
      </c>
      <c r="CR52" s="78">
        <v>42572</v>
      </c>
      <c r="CS52" s="79" t="s">
        <v>441</v>
      </c>
      <c r="CT52" s="67" t="s">
        <v>257</v>
      </c>
      <c r="CU52" s="67">
        <v>2</v>
      </c>
      <c r="CV52" s="84">
        <v>68</v>
      </c>
      <c r="CW52" s="84">
        <v>63</v>
      </c>
      <c r="CX52" s="84">
        <f>SUBTOTAL(9,DonnéesDessin[[#This Row],[Résultat Niveau 1]:[Résultat Avancé]])</f>
        <v>131</v>
      </c>
      <c r="CY52" s="83" t="s">
        <v>441</v>
      </c>
      <c r="CZ52" s="83" t="s">
        <v>442</v>
      </c>
      <c r="DA52" s="67">
        <v>75</v>
      </c>
      <c r="DB52" s="88">
        <f>(DonnéesDessin[[#This Row],[Résultat Niveau 1]]+DonnéesDessin[[#This Row],[Résultat Avancé]])/DonnéesDessin[[#This Row],[Durée BC AC19 (en min)]]</f>
        <v>1.7466666666666666</v>
      </c>
    </row>
    <row r="53" spans="1:106">
      <c r="A53" s="62" t="str">
        <f>DonnéesDessin[[#This Row],[Prénom]]&amp;" "&amp;DonnéesDessin[[#This Row],[Nom]]</f>
        <v>Miguel Gomes-Perdigao</v>
      </c>
      <c r="B53" s="63" t="s">
        <v>155</v>
      </c>
      <c r="C53" s="63" t="s">
        <v>50</v>
      </c>
      <c r="D53" s="63" t="s">
        <v>57</v>
      </c>
      <c r="E53" s="64" t="s">
        <v>41</v>
      </c>
      <c r="F53" s="64" t="s">
        <v>41</v>
      </c>
      <c r="G53" s="63" t="s">
        <v>50</v>
      </c>
      <c r="H53" s="63" t="s">
        <v>51</v>
      </c>
      <c r="I53" s="65" t="s">
        <v>43</v>
      </c>
      <c r="J53" s="65">
        <v>18</v>
      </c>
      <c r="K53" s="66" t="s">
        <v>41</v>
      </c>
      <c r="L53" s="67">
        <f>DonnéesDessin[[#This Row],[PTS]]</f>
        <v>45</v>
      </c>
      <c r="M53" s="68" t="s">
        <v>52</v>
      </c>
      <c r="N53" s="63">
        <v>0</v>
      </c>
      <c r="O53" s="63" t="s">
        <v>45</v>
      </c>
      <c r="P53" s="63">
        <v>0</v>
      </c>
      <c r="Q53" s="63" t="s">
        <v>45</v>
      </c>
      <c r="R53" s="63">
        <v>0</v>
      </c>
      <c r="S53" s="63" t="s">
        <v>45</v>
      </c>
      <c r="T53" s="69">
        <v>0</v>
      </c>
      <c r="U53" s="68" t="s">
        <v>248</v>
      </c>
      <c r="V53" s="70">
        <v>42319</v>
      </c>
      <c r="W53" s="63" t="s">
        <v>257</v>
      </c>
      <c r="X53" s="63" t="s">
        <v>44</v>
      </c>
      <c r="Y53" s="68" t="s">
        <v>248</v>
      </c>
      <c r="Z53" s="71">
        <v>42398</v>
      </c>
      <c r="AA53" s="67" t="s">
        <v>257</v>
      </c>
      <c r="AB53" s="69" t="s">
        <v>44</v>
      </c>
      <c r="AC53" s="68" t="s">
        <v>248</v>
      </c>
      <c r="AD53" s="11" t="s">
        <v>323</v>
      </c>
      <c r="AE53" s="67" t="s">
        <v>257</v>
      </c>
      <c r="AF53" s="69" t="s">
        <v>44</v>
      </c>
      <c r="AG53" s="68" t="s">
        <v>248</v>
      </c>
      <c r="AH53" s="72">
        <v>42439</v>
      </c>
      <c r="AI53" s="67" t="s">
        <v>257</v>
      </c>
      <c r="AJ53" s="69" t="s">
        <v>44</v>
      </c>
      <c r="AK53" s="68" t="s">
        <v>248</v>
      </c>
      <c r="AL53" s="67" t="s">
        <v>334</v>
      </c>
      <c r="AM53" s="67" t="s">
        <v>257</v>
      </c>
      <c r="AN53" s="69" t="s">
        <v>44</v>
      </c>
      <c r="AO53" s="68" t="s">
        <v>256</v>
      </c>
      <c r="AP53" s="67" t="s">
        <v>41</v>
      </c>
      <c r="AQ53" s="67" t="s">
        <v>259</v>
      </c>
      <c r="AR53" s="69" t="s">
        <v>341</v>
      </c>
      <c r="AS53" s="68" t="s">
        <v>248</v>
      </c>
      <c r="AT53" s="67" t="s">
        <v>414</v>
      </c>
      <c r="AU53" s="67" t="s">
        <v>257</v>
      </c>
      <c r="AV53" s="69" t="s">
        <v>44</v>
      </c>
      <c r="AW53" s="68" t="s">
        <v>248</v>
      </c>
      <c r="AX53" s="67" t="s">
        <v>430</v>
      </c>
      <c r="AY53" s="67" t="s">
        <v>257</v>
      </c>
      <c r="AZ53" s="69" t="s">
        <v>44</v>
      </c>
      <c r="BA53" s="68" t="s">
        <v>256</v>
      </c>
      <c r="BB53" s="67" t="s">
        <v>41</v>
      </c>
      <c r="BC53" s="67" t="s">
        <v>259</v>
      </c>
      <c r="BD53" s="69" t="s">
        <v>41</v>
      </c>
      <c r="BE53" s="68" t="s">
        <v>256</v>
      </c>
      <c r="BF53" s="67" t="s">
        <v>41</v>
      </c>
      <c r="BG53" s="67" t="s">
        <v>259</v>
      </c>
      <c r="BH53" s="69" t="s">
        <v>41</v>
      </c>
      <c r="BI53" s="68" t="s">
        <v>248</v>
      </c>
      <c r="BJ53" s="72">
        <v>42509</v>
      </c>
      <c r="BK53" s="67" t="s">
        <v>257</v>
      </c>
      <c r="BL53" s="69" t="s">
        <v>44</v>
      </c>
      <c r="BM53" s="68" t="s">
        <v>65</v>
      </c>
      <c r="BN53" s="67" t="s">
        <v>65</v>
      </c>
      <c r="BO53" s="67" t="s">
        <v>51</v>
      </c>
      <c r="BP53" s="67" t="s">
        <v>248</v>
      </c>
      <c r="BQ53" s="64">
        <v>42349</v>
      </c>
      <c r="BR53" s="63" t="s">
        <v>282</v>
      </c>
      <c r="BS53" s="63" t="s">
        <v>257</v>
      </c>
      <c r="BT53" s="68">
        <f>Nombrecours</f>
        <v>10</v>
      </c>
      <c r="BU53" s="63">
        <f>COUNTIF(DonnéesDessin[[#This Row],[Réponse doodle 01]:[Présence MàN AC]],"Excusé")</f>
        <v>0</v>
      </c>
      <c r="BV53" s="63">
        <f>COUNTIF(DonnéesDessin[[#This Row],[Réponse doodle 01]:[Présence MàN AC]],"N-employé")</f>
        <v>0</v>
      </c>
      <c r="BW53" s="63">
        <f>DonnéesDessin[[#This Row],[Nombre de cours]]-DonnéesDessin[[#This Row],[Nombre excusé]]-DonnéesDessin[[#This Row],[Nombre N-employé]]</f>
        <v>10</v>
      </c>
      <c r="BX53" s="69">
        <f>COUNTIF(DonnéesDessin[[#This Row],[Réponse doodle 01]:[Présence MàN AC]],"Présent")</f>
        <v>9</v>
      </c>
      <c r="BY53" s="68">
        <f>COUNTIF(DonnéesDessin[[#This Row],[Réponse doodle 01]:[Présence MàN AC]],"Inscrit")</f>
        <v>9</v>
      </c>
      <c r="BZ53" s="67">
        <f>3*DonnéesDessin[[#This Row],[Inscrit]]</f>
        <v>27</v>
      </c>
      <c r="CA53" s="67">
        <f>COUNTIF(DonnéesDessin[[#This Row],[Réponse doodle 01]:[Présence MàN AC]],"R pas nécessaire")</f>
        <v>0</v>
      </c>
      <c r="CB53" s="67">
        <f>SUM(3*DonnéesDessin[[#This Row],[R pas nécessaire]])</f>
        <v>0</v>
      </c>
      <c r="CC53" s="67">
        <f>COUNTIF(DonnéesDessin[[#This Row],[Réponse doodle 01]:[Présence MàN AC]],"Indisponible")</f>
        <v>0</v>
      </c>
      <c r="CD53" s="67">
        <f>2*DonnéesDessin[[#This Row],[Indisponible]]</f>
        <v>0</v>
      </c>
      <c r="CE53" s="67">
        <f>COUNTIF(DonnéesDessin[[#This Row],[Réponse doodle 01]:[Présence MàN AC]],"Ne peut s'inscrire")</f>
        <v>0</v>
      </c>
      <c r="CF53" s="67">
        <f>1*DonnéesDessin[[#This Row],[Ne peut s''inscrire]]</f>
        <v>0</v>
      </c>
      <c r="CG53" s="67">
        <f>COUNTIF(DonnéesDessin[[#This Row],[Réponse doodle 01]:[Présence MàN AC]],"Sans information")</f>
        <v>3</v>
      </c>
      <c r="CH53" s="67">
        <f>0*DonnéesDessin[[#This Row],[Sans information]]</f>
        <v>0</v>
      </c>
      <c r="CI53" s="67">
        <f>COUNTIF(DonnéesDessin[[#This Row],[Réponse doodle 01]:[Présence MàN AC]],"Présent")</f>
        <v>9</v>
      </c>
      <c r="CJ53" s="67">
        <f>2*DonnéesDessin[[#This Row],[Présent]]</f>
        <v>18</v>
      </c>
      <c r="CK53" s="67">
        <f>COUNTIF(DonnéesDessin[[#This Row],[Réponse doodle 01]:[Présence MàN AC]],"P pas nécessaire")</f>
        <v>0</v>
      </c>
      <c r="CL53" s="67">
        <f>2*DonnéesDessin[[#This Row],[P pas nécessaire]]</f>
        <v>0</v>
      </c>
      <c r="CM53" s="67">
        <f>COUNTIF(DonnéesDessin[[#This Row],[Réponse doodle 01]:[Présence MàN AC]],"Excusé")</f>
        <v>0</v>
      </c>
      <c r="CN53" s="67">
        <f>1*DonnéesDessin[[#This Row],[Excusé]]</f>
        <v>0</v>
      </c>
      <c r="CO53" s="67">
        <f>COUNTIF(DonnéesDessin[[#This Row],[Réponse doodle 01]:[Présence MàN AC]],"Pas présent")</f>
        <v>3</v>
      </c>
      <c r="CP53" s="67">
        <f>0*DonnéesDessin[[#This Row],[Pas présent]]</f>
        <v>0</v>
      </c>
      <c r="CQ53"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45</v>
      </c>
      <c r="CR53" s="78">
        <v>42600</v>
      </c>
      <c r="CS53" s="79" t="s">
        <v>441</v>
      </c>
      <c r="CT53" s="67" t="s">
        <v>257</v>
      </c>
      <c r="CU53" s="67">
        <v>1</v>
      </c>
      <c r="CV53" s="84">
        <v>88</v>
      </c>
      <c r="CW53" s="84">
        <v>82</v>
      </c>
      <c r="CX53" s="84">
        <f>SUBTOTAL(9,DonnéesDessin[[#This Row],[Résultat Niveau 1]:[Résultat Avancé]])</f>
        <v>170</v>
      </c>
      <c r="CY53" s="84" t="s">
        <v>442</v>
      </c>
      <c r="CZ53" s="84" t="s">
        <v>695</v>
      </c>
      <c r="DA53" s="67">
        <v>55</v>
      </c>
      <c r="DB53" s="88">
        <f>(DonnéesDessin[[#This Row],[Résultat Niveau 1]]+DonnéesDessin[[#This Row],[Résultat Avancé]])/DonnéesDessin[[#This Row],[Durée BC AC19 (en min)]]</f>
        <v>3.0909090909090908</v>
      </c>
    </row>
    <row r="54" spans="1:106">
      <c r="A54" s="62" t="str">
        <f>DonnéesDessin[[#This Row],[Prénom]]&amp;" "&amp;DonnéesDessin[[#This Row],[Nom]]</f>
        <v>Nick Böwing</v>
      </c>
      <c r="B54" s="32" t="s">
        <v>871</v>
      </c>
      <c r="C54" s="32" t="s">
        <v>872</v>
      </c>
      <c r="D54" s="32" t="s">
        <v>63</v>
      </c>
      <c r="E54" s="36">
        <v>42615</v>
      </c>
      <c r="F54" s="36" t="s">
        <v>41</v>
      </c>
      <c r="G54" s="32" t="s">
        <v>42</v>
      </c>
      <c r="H54" s="32"/>
      <c r="I54" s="48"/>
      <c r="J54" s="48"/>
      <c r="K54" s="41" t="s">
        <v>362</v>
      </c>
      <c r="L54" s="32">
        <f>DonnéesDessin[[#This Row],[PTS]]</f>
        <v>0</v>
      </c>
      <c r="M54" s="31" t="s">
        <v>52</v>
      </c>
      <c r="N54" s="27">
        <v>0</v>
      </c>
      <c r="O54" s="27" t="s">
        <v>45</v>
      </c>
      <c r="P54" s="27">
        <v>0</v>
      </c>
      <c r="Q54" s="27" t="s">
        <v>45</v>
      </c>
      <c r="R54" s="27">
        <v>0</v>
      </c>
      <c r="S54" s="27" t="s">
        <v>45</v>
      </c>
      <c r="T54" s="33">
        <v>0</v>
      </c>
      <c r="U54" s="31" t="s">
        <v>281</v>
      </c>
      <c r="V54" s="54" t="s">
        <v>41</v>
      </c>
      <c r="W54" s="27" t="s">
        <v>41</v>
      </c>
      <c r="X54" s="27" t="s">
        <v>358</v>
      </c>
      <c r="Y54" s="31" t="s">
        <v>281</v>
      </c>
      <c r="Z54" s="54" t="s">
        <v>41</v>
      </c>
      <c r="AA54" s="27" t="s">
        <v>41</v>
      </c>
      <c r="AB54" s="33" t="s">
        <v>358</v>
      </c>
      <c r="AC54" s="31" t="s">
        <v>281</v>
      </c>
      <c r="AD54" s="56" t="s">
        <v>41</v>
      </c>
      <c r="AE54" s="48" t="s">
        <v>41</v>
      </c>
      <c r="AF54" s="33" t="s">
        <v>358</v>
      </c>
      <c r="AG54" s="31" t="s">
        <v>281</v>
      </c>
      <c r="AH54" s="56" t="s">
        <v>41</v>
      </c>
      <c r="AI54" s="48" t="s">
        <v>41</v>
      </c>
      <c r="AJ54" s="33" t="s">
        <v>358</v>
      </c>
      <c r="AK54" s="31" t="s">
        <v>281</v>
      </c>
      <c r="AL54" s="56" t="s">
        <v>41</v>
      </c>
      <c r="AM54" s="48" t="s">
        <v>41</v>
      </c>
      <c r="AN54" s="33" t="s">
        <v>358</v>
      </c>
      <c r="AO54" s="31" t="s">
        <v>281</v>
      </c>
      <c r="AP54" s="56" t="s">
        <v>41</v>
      </c>
      <c r="AQ54" s="48" t="s">
        <v>41</v>
      </c>
      <c r="AR54" s="33" t="s">
        <v>358</v>
      </c>
      <c r="AS54" s="31" t="s">
        <v>281</v>
      </c>
      <c r="AT54" s="56" t="s">
        <v>41</v>
      </c>
      <c r="AU54" s="48" t="s">
        <v>41</v>
      </c>
      <c r="AV54" s="33" t="s">
        <v>358</v>
      </c>
      <c r="AW54" s="31" t="s">
        <v>281</v>
      </c>
      <c r="AX54" s="56" t="s">
        <v>41</v>
      </c>
      <c r="AY54" s="48" t="s">
        <v>41</v>
      </c>
      <c r="AZ54" s="33" t="s">
        <v>358</v>
      </c>
      <c r="BA54" s="68" t="s">
        <v>256</v>
      </c>
      <c r="BB54" s="67" t="s">
        <v>41</v>
      </c>
      <c r="BC54" s="67" t="s">
        <v>259</v>
      </c>
      <c r="BD54" s="69" t="s">
        <v>41</v>
      </c>
      <c r="BE54" s="68" t="s">
        <v>256</v>
      </c>
      <c r="BF54" s="67" t="s">
        <v>41</v>
      </c>
      <c r="BG54" s="67" t="s">
        <v>259</v>
      </c>
      <c r="BH54" s="69" t="s">
        <v>41</v>
      </c>
      <c r="BI54" s="68" t="s">
        <v>256</v>
      </c>
      <c r="BJ54" s="67" t="s">
        <v>41</v>
      </c>
      <c r="BK54" s="67" t="s">
        <v>259</v>
      </c>
      <c r="BL54" s="69" t="s">
        <v>41</v>
      </c>
      <c r="BM54" s="31" t="s">
        <v>281</v>
      </c>
      <c r="BN54" s="32"/>
      <c r="BO54" s="32" t="s">
        <v>41</v>
      </c>
      <c r="BP54" s="32" t="s">
        <v>41</v>
      </c>
      <c r="BQ54" s="27" t="s">
        <v>41</v>
      </c>
      <c r="BR54" s="27" t="s">
        <v>41</v>
      </c>
      <c r="BS54" s="27" t="s">
        <v>41</v>
      </c>
      <c r="BT54" s="31">
        <f>Nombrecours</f>
        <v>10</v>
      </c>
      <c r="BU54" s="27">
        <f>COUNTIF(DonnéesDessin[[#This Row],[Réponse doodle 01]:[Présence MàN AC]],"Excusé")</f>
        <v>0</v>
      </c>
      <c r="BV54" s="27">
        <f>COUNTIF(DonnéesDessin[[#This Row],[Réponse doodle 01]:[Présence MàN AC]],"N-employé")</f>
        <v>9</v>
      </c>
      <c r="BW54" s="27">
        <f>DonnéesDessin[[#This Row],[Nombre de cours]]-DonnéesDessin[[#This Row],[Nombre excusé]]-DonnéesDessin[[#This Row],[Nombre N-employé]]</f>
        <v>1</v>
      </c>
      <c r="BX54" s="33">
        <f>COUNTIF(DonnéesDessin[[#This Row],[Réponse doodle 01]:[Présence MàN AC]],"Présent")</f>
        <v>0</v>
      </c>
      <c r="BY54" s="31">
        <f>COUNTIF(DonnéesDessin[[#This Row],[Réponse doodle 01]:[Présence MàN AC]],"Inscrit")</f>
        <v>0</v>
      </c>
      <c r="BZ54" s="32">
        <f>3*DonnéesDessin[[#This Row],[Inscrit]]</f>
        <v>0</v>
      </c>
      <c r="CA54" s="32">
        <f>COUNTIF(DonnéesDessin[[#This Row],[Réponse doodle 01]:[Présence MàN AC]],"R pas nécessaire")</f>
        <v>0</v>
      </c>
      <c r="CB54" s="32">
        <f>SUM(3*DonnéesDessin[[#This Row],[R pas nécessaire]])</f>
        <v>0</v>
      </c>
      <c r="CC54" s="32">
        <f>COUNTIF(DonnéesDessin[[#This Row],[Réponse doodle 01]:[Présence MàN AC]],"Indisponible")</f>
        <v>0</v>
      </c>
      <c r="CD54" s="32">
        <f>2*DonnéesDessin[[#This Row],[Indisponible]]</f>
        <v>0</v>
      </c>
      <c r="CE54" s="32">
        <f>COUNTIF(DonnéesDessin[[#This Row],[Réponse doodle 01]:[Présence MàN AC]],"Ne peut s'inscrire")</f>
        <v>0</v>
      </c>
      <c r="CF54" s="32">
        <f>1*DonnéesDessin[[#This Row],[Ne peut s''inscrire]]</f>
        <v>0</v>
      </c>
      <c r="CG54" s="32">
        <f>COUNTIF(DonnéesDessin[[#This Row],[Réponse doodle 01]:[Présence MàN AC]],"Sans information")</f>
        <v>3</v>
      </c>
      <c r="CH54" s="32">
        <f>0*DonnéesDessin[[#This Row],[Sans information]]</f>
        <v>0</v>
      </c>
      <c r="CI54" s="32">
        <f>COUNTIF(DonnéesDessin[[#This Row],[Réponse doodle 01]:[Présence MàN AC]],"Présent")</f>
        <v>0</v>
      </c>
      <c r="CJ54" s="32">
        <f>2*DonnéesDessin[[#This Row],[Présent]]</f>
        <v>0</v>
      </c>
      <c r="CK54" s="32">
        <f>COUNTIF(DonnéesDessin[[#This Row],[Réponse doodle 01]:[Présence MàN AC]],"P pas nécessaire")</f>
        <v>0</v>
      </c>
      <c r="CL54" s="32">
        <f>2*DonnéesDessin[[#This Row],[P pas nécessaire]]</f>
        <v>0</v>
      </c>
      <c r="CM54" s="32">
        <f>COUNTIF(DonnéesDessin[[#This Row],[Réponse doodle 01]:[Présence MàN AC]],"Excusé")</f>
        <v>0</v>
      </c>
      <c r="CN54" s="32">
        <f>1*DonnéesDessin[[#This Row],[Excusé]]</f>
        <v>0</v>
      </c>
      <c r="CO54" s="32">
        <f>COUNTIF(DonnéesDessin[[#This Row],[Réponse doodle 01]:[Présence MàN AC]],"Pas présent")</f>
        <v>3</v>
      </c>
      <c r="CP54" s="32">
        <f>0*DonnéesDessin[[#This Row],[Pas présent]]</f>
        <v>0</v>
      </c>
      <c r="CQ54"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0</v>
      </c>
      <c r="CR54" s="31" t="s">
        <v>281</v>
      </c>
      <c r="CS54" s="77" t="s">
        <v>41</v>
      </c>
      <c r="CT54" s="56" t="s">
        <v>41</v>
      </c>
      <c r="CU54" s="56"/>
      <c r="CV54" s="81" t="s">
        <v>41</v>
      </c>
      <c r="CW54" s="81" t="s">
        <v>41</v>
      </c>
      <c r="CX54" s="77" t="s">
        <v>41</v>
      </c>
      <c r="CY54" s="77" t="s">
        <v>41</v>
      </c>
      <c r="CZ54" s="77" t="s">
        <v>41</v>
      </c>
      <c r="DA54" s="56" t="s">
        <v>358</v>
      </c>
      <c r="DB54" s="89" t="s">
        <v>41</v>
      </c>
    </row>
    <row r="55" spans="1:106">
      <c r="A55" s="62" t="str">
        <f>DonnéesDessin[[#This Row],[Prénom]]&amp;" "&amp;DonnéesDessin[[#This Row],[Nom]]</f>
        <v>Ondrej Bechyne</v>
      </c>
      <c r="B55" s="63" t="s">
        <v>158</v>
      </c>
      <c r="C55" s="63" t="s">
        <v>159</v>
      </c>
      <c r="D55" s="63" t="s">
        <v>49</v>
      </c>
      <c r="E55" s="64" t="s">
        <v>41</v>
      </c>
      <c r="F55" s="64" t="s">
        <v>41</v>
      </c>
      <c r="G55" s="63" t="s">
        <v>50</v>
      </c>
      <c r="H55" s="63" t="s">
        <v>51</v>
      </c>
      <c r="I55" s="65">
        <v>2013</v>
      </c>
      <c r="J55" s="65">
        <v>18</v>
      </c>
      <c r="K55" s="66" t="s">
        <v>41</v>
      </c>
      <c r="L55" s="67">
        <f>DonnéesDessin[[#This Row],[PTS]]</f>
        <v>37</v>
      </c>
      <c r="M55" s="68" t="s">
        <v>52</v>
      </c>
      <c r="N55" s="63">
        <v>0</v>
      </c>
      <c r="O55" s="63" t="s">
        <v>45</v>
      </c>
      <c r="P55" s="63">
        <v>0</v>
      </c>
      <c r="Q55" s="63" t="s">
        <v>45</v>
      </c>
      <c r="R55" s="63">
        <v>0</v>
      </c>
      <c r="S55" s="63" t="s">
        <v>45</v>
      </c>
      <c r="T55" s="69">
        <v>0</v>
      </c>
      <c r="U55" s="68" t="s">
        <v>248</v>
      </c>
      <c r="V55" s="70">
        <v>42319</v>
      </c>
      <c r="W55" s="63" t="s">
        <v>257</v>
      </c>
      <c r="X55" s="63" t="s">
        <v>44</v>
      </c>
      <c r="Y55" s="68" t="s">
        <v>248</v>
      </c>
      <c r="Z55" s="71">
        <v>42390</v>
      </c>
      <c r="AA55" s="67" t="s">
        <v>258</v>
      </c>
      <c r="AB55" s="69" t="s">
        <v>44</v>
      </c>
      <c r="AC55" s="68" t="s">
        <v>248</v>
      </c>
      <c r="AD55" s="71">
        <v>42417</v>
      </c>
      <c r="AE55" s="67" t="s">
        <v>257</v>
      </c>
      <c r="AF55" s="69" t="s">
        <v>44</v>
      </c>
      <c r="AG55" s="68" t="s">
        <v>248</v>
      </c>
      <c r="AH55" s="72">
        <v>42438</v>
      </c>
      <c r="AI55" s="67" t="s">
        <v>257</v>
      </c>
      <c r="AJ55" s="69" t="s">
        <v>44</v>
      </c>
      <c r="AK55" s="68" t="s">
        <v>248</v>
      </c>
      <c r="AL55" s="67" t="s">
        <v>334</v>
      </c>
      <c r="AM55" s="67" t="s">
        <v>257</v>
      </c>
      <c r="AN55" s="69" t="s">
        <v>381</v>
      </c>
      <c r="AO55" s="68" t="s">
        <v>248</v>
      </c>
      <c r="AP55" s="67" t="s">
        <v>336</v>
      </c>
      <c r="AQ55" s="67" t="s">
        <v>257</v>
      </c>
      <c r="AR55" s="69" t="s">
        <v>44</v>
      </c>
      <c r="AS55" s="68" t="s">
        <v>256</v>
      </c>
      <c r="AT55" s="67" t="s">
        <v>41</v>
      </c>
      <c r="AU55" s="67" t="s">
        <v>259</v>
      </c>
      <c r="AV55" s="69" t="s">
        <v>341</v>
      </c>
      <c r="AW55" s="68" t="s">
        <v>248</v>
      </c>
      <c r="AX55" s="67" t="s">
        <v>425</v>
      </c>
      <c r="AY55" s="67" t="s">
        <v>259</v>
      </c>
      <c r="AZ55" s="69" t="s">
        <v>343</v>
      </c>
      <c r="BA55" s="68" t="s">
        <v>256</v>
      </c>
      <c r="BB55" s="67" t="s">
        <v>41</v>
      </c>
      <c r="BC55" s="67" t="s">
        <v>259</v>
      </c>
      <c r="BD55" s="69" t="s">
        <v>41</v>
      </c>
      <c r="BE55" s="68" t="s">
        <v>256</v>
      </c>
      <c r="BF55" s="67" t="s">
        <v>41</v>
      </c>
      <c r="BG55" s="67" t="s">
        <v>259</v>
      </c>
      <c r="BH55" s="69" t="s">
        <v>41</v>
      </c>
      <c r="BI55" s="68" t="s">
        <v>256</v>
      </c>
      <c r="BJ55" s="67" t="s">
        <v>41</v>
      </c>
      <c r="BK55" s="67" t="s">
        <v>259</v>
      </c>
      <c r="BL55" s="69" t="s">
        <v>41</v>
      </c>
      <c r="BM55" s="68" t="s">
        <v>65</v>
      </c>
      <c r="BN55" s="67" t="s">
        <v>65</v>
      </c>
      <c r="BO55" s="67" t="s">
        <v>51</v>
      </c>
      <c r="BP55" s="67" t="s">
        <v>248</v>
      </c>
      <c r="BQ55" s="64">
        <v>42349</v>
      </c>
      <c r="BR55" s="63" t="s">
        <v>284</v>
      </c>
      <c r="BS55" s="63" t="s">
        <v>257</v>
      </c>
      <c r="BT55" s="68">
        <f>Nombrecours</f>
        <v>10</v>
      </c>
      <c r="BU55" s="63">
        <f>COUNTIF(DonnéesDessin[[#This Row],[Réponse doodle 01]:[Présence MàN AC]],"Excusé")</f>
        <v>1</v>
      </c>
      <c r="BV55" s="63">
        <f>COUNTIF(DonnéesDessin[[#This Row],[Réponse doodle 01]:[Présence MàN AC]],"N-employé")</f>
        <v>0</v>
      </c>
      <c r="BW55" s="63">
        <f>DonnéesDessin[[#This Row],[Nombre de cours]]-DonnéesDessin[[#This Row],[Nombre excusé]]-DonnéesDessin[[#This Row],[Nombre N-employé]]</f>
        <v>9</v>
      </c>
      <c r="BX55" s="69">
        <f>COUNTIF(DonnéesDessin[[#This Row],[Réponse doodle 01]:[Présence MàN AC]],"Présent")</f>
        <v>6</v>
      </c>
      <c r="BY55" s="68">
        <f>COUNTIF(DonnéesDessin[[#This Row],[Réponse doodle 01]:[Présence MàN AC]],"Inscrit")</f>
        <v>8</v>
      </c>
      <c r="BZ55" s="67">
        <f>3*DonnéesDessin[[#This Row],[Inscrit]]</f>
        <v>24</v>
      </c>
      <c r="CA55" s="67">
        <f>COUNTIF(DonnéesDessin[[#This Row],[Réponse doodle 01]:[Présence MàN AC]],"R pas nécessaire")</f>
        <v>0</v>
      </c>
      <c r="CB55" s="67">
        <f>SUM(3*DonnéesDessin[[#This Row],[R pas nécessaire]])</f>
        <v>0</v>
      </c>
      <c r="CC55" s="67">
        <f>COUNTIF(DonnéesDessin[[#This Row],[Réponse doodle 01]:[Présence MàN AC]],"Indisponible")</f>
        <v>0</v>
      </c>
      <c r="CD55" s="67">
        <f>2*DonnéesDessin[[#This Row],[Indisponible]]</f>
        <v>0</v>
      </c>
      <c r="CE55" s="67">
        <f>COUNTIF(DonnéesDessin[[#This Row],[Réponse doodle 01]:[Présence MàN AC]],"Ne peut s'inscrire")</f>
        <v>0</v>
      </c>
      <c r="CF55" s="67">
        <f>1*DonnéesDessin[[#This Row],[Ne peut s''inscrire]]</f>
        <v>0</v>
      </c>
      <c r="CG55" s="67">
        <f>COUNTIF(DonnéesDessin[[#This Row],[Réponse doodle 01]:[Présence MàN AC]],"Sans information")</f>
        <v>4</v>
      </c>
      <c r="CH55" s="67">
        <f>0*DonnéesDessin[[#This Row],[Sans information]]</f>
        <v>0</v>
      </c>
      <c r="CI55" s="67">
        <f>COUNTIF(DonnéesDessin[[#This Row],[Réponse doodle 01]:[Présence MàN AC]],"Présent")</f>
        <v>6</v>
      </c>
      <c r="CJ55" s="67">
        <f>2*DonnéesDessin[[#This Row],[Présent]]</f>
        <v>12</v>
      </c>
      <c r="CK55" s="67">
        <f>COUNTIF(DonnéesDessin[[#This Row],[Réponse doodle 01]:[Présence MàN AC]],"P pas nécessaire")</f>
        <v>0</v>
      </c>
      <c r="CL55" s="67">
        <f>2*DonnéesDessin[[#This Row],[P pas nécessaire]]</f>
        <v>0</v>
      </c>
      <c r="CM55" s="67">
        <f>COUNTIF(DonnéesDessin[[#This Row],[Réponse doodle 01]:[Présence MàN AC]],"Excusé")</f>
        <v>1</v>
      </c>
      <c r="CN55" s="67">
        <f>1*DonnéesDessin[[#This Row],[Excusé]]</f>
        <v>1</v>
      </c>
      <c r="CO55" s="67">
        <f>COUNTIF(DonnéesDessin[[#This Row],[Réponse doodle 01]:[Présence MàN AC]],"Pas présent")</f>
        <v>5</v>
      </c>
      <c r="CP55" s="67">
        <f>0*DonnéesDessin[[#This Row],[Pas présent]]</f>
        <v>0</v>
      </c>
      <c r="CQ55"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37</v>
      </c>
      <c r="CR55" s="78">
        <v>42600</v>
      </c>
      <c r="CS55" s="79" t="s">
        <v>439</v>
      </c>
      <c r="CT55" s="67" t="s">
        <v>257</v>
      </c>
      <c r="CU55" s="67">
        <v>1</v>
      </c>
      <c r="CV55" s="84">
        <v>56</v>
      </c>
      <c r="CW55" s="84">
        <v>49</v>
      </c>
      <c r="CX55" s="84">
        <f>SUBTOTAL(9,DonnéesDessin[[#This Row],[Résultat Niveau 1]:[Résultat Avancé]])</f>
        <v>105</v>
      </c>
      <c r="CY55" s="84" t="s">
        <v>691</v>
      </c>
      <c r="CZ55" s="84" t="s">
        <v>493</v>
      </c>
      <c r="DA55" s="67">
        <v>70</v>
      </c>
      <c r="DB55" s="88">
        <f>(DonnéesDessin[[#This Row],[Résultat Niveau 1]]+DonnéesDessin[[#This Row],[Résultat Avancé]])/DonnéesDessin[[#This Row],[Durée BC AC19 (en min)]]</f>
        <v>1.5</v>
      </c>
    </row>
    <row r="56" spans="1:106">
      <c r="A56" s="62" t="str">
        <f>DonnéesDessin[[#This Row],[Prénom]]&amp;" "&amp;DonnéesDessin[[#This Row],[Nom]]</f>
        <v>Patrick Pidoux</v>
      </c>
      <c r="B56" s="63" t="s">
        <v>160</v>
      </c>
      <c r="C56" s="63" t="s">
        <v>79</v>
      </c>
      <c r="D56" s="63" t="s">
        <v>57</v>
      </c>
      <c r="E56" s="64" t="s">
        <v>41</v>
      </c>
      <c r="F56" s="64" t="s">
        <v>41</v>
      </c>
      <c r="G56" s="63"/>
      <c r="H56" s="63" t="s">
        <v>51</v>
      </c>
      <c r="I56" s="65" t="s">
        <v>51</v>
      </c>
      <c r="J56" s="65">
        <v>18</v>
      </c>
      <c r="K56" s="66" t="s">
        <v>41</v>
      </c>
      <c r="L56" s="67">
        <f>DonnéesDessin[[#This Row],[PTS]]</f>
        <v>17</v>
      </c>
      <c r="M56" s="68" t="s">
        <v>52</v>
      </c>
      <c r="N56" s="63">
        <v>0</v>
      </c>
      <c r="O56" s="63" t="s">
        <v>45</v>
      </c>
      <c r="P56" s="63">
        <v>0</v>
      </c>
      <c r="Q56" s="63" t="s">
        <v>45</v>
      </c>
      <c r="R56" s="63">
        <v>0</v>
      </c>
      <c r="S56" s="63" t="s">
        <v>45</v>
      </c>
      <c r="T56" s="69">
        <v>0</v>
      </c>
      <c r="U56" s="68" t="s">
        <v>248</v>
      </c>
      <c r="V56" s="70">
        <v>42320</v>
      </c>
      <c r="W56" s="63" t="s">
        <v>257</v>
      </c>
      <c r="X56" s="63" t="s">
        <v>44</v>
      </c>
      <c r="Y56" s="68" t="s">
        <v>248</v>
      </c>
      <c r="Z56" s="71">
        <v>42390</v>
      </c>
      <c r="AA56" s="67" t="s">
        <v>259</v>
      </c>
      <c r="AB56" s="69" t="s">
        <v>343</v>
      </c>
      <c r="AC56" s="68" t="s">
        <v>248</v>
      </c>
      <c r="AD56" s="11" t="s">
        <v>323</v>
      </c>
      <c r="AE56" s="67" t="s">
        <v>259</v>
      </c>
      <c r="AF56" s="69" t="s">
        <v>343</v>
      </c>
      <c r="AG56" s="68" t="s">
        <v>256</v>
      </c>
      <c r="AH56" s="67" t="s">
        <v>41</v>
      </c>
      <c r="AI56" s="67" t="s">
        <v>259</v>
      </c>
      <c r="AJ56" s="69" t="s">
        <v>341</v>
      </c>
      <c r="AK56" s="68" t="s">
        <v>256</v>
      </c>
      <c r="AL56" s="67" t="s">
        <v>41</v>
      </c>
      <c r="AM56" s="67" t="s">
        <v>258</v>
      </c>
      <c r="AN56" s="69" t="s">
        <v>405</v>
      </c>
      <c r="AO56" s="68" t="s">
        <v>256</v>
      </c>
      <c r="AP56" s="67" t="s">
        <v>41</v>
      </c>
      <c r="AQ56" s="67" t="s">
        <v>259</v>
      </c>
      <c r="AR56" s="69" t="s">
        <v>341</v>
      </c>
      <c r="AS56" s="68" t="s">
        <v>256</v>
      </c>
      <c r="AT56" s="67" t="s">
        <v>41</v>
      </c>
      <c r="AU56" s="67" t="s">
        <v>259</v>
      </c>
      <c r="AV56" s="69" t="s">
        <v>341</v>
      </c>
      <c r="AW56" s="68" t="s">
        <v>256</v>
      </c>
      <c r="AX56" s="67" t="s">
        <v>41</v>
      </c>
      <c r="AY56" s="67" t="s">
        <v>259</v>
      </c>
      <c r="AZ56" s="69" t="s">
        <v>341</v>
      </c>
      <c r="BA56" s="68" t="s">
        <v>256</v>
      </c>
      <c r="BB56" s="67" t="s">
        <v>41</v>
      </c>
      <c r="BC56" s="67" t="s">
        <v>259</v>
      </c>
      <c r="BD56" s="69" t="s">
        <v>41</v>
      </c>
      <c r="BE56" s="68" t="s">
        <v>256</v>
      </c>
      <c r="BF56" s="67" t="s">
        <v>41</v>
      </c>
      <c r="BG56" s="67" t="s">
        <v>259</v>
      </c>
      <c r="BH56" s="69" t="s">
        <v>41</v>
      </c>
      <c r="BI56" s="68" t="s">
        <v>256</v>
      </c>
      <c r="BJ56" s="67" t="s">
        <v>41</v>
      </c>
      <c r="BK56" s="67" t="s">
        <v>259</v>
      </c>
      <c r="BL56" s="69" t="s">
        <v>41</v>
      </c>
      <c r="BM56" s="68" t="s">
        <v>65</v>
      </c>
      <c r="BN56" s="67" t="s">
        <v>65</v>
      </c>
      <c r="BO56" s="67" t="s">
        <v>51</v>
      </c>
      <c r="BP56" s="67" t="s">
        <v>248</v>
      </c>
      <c r="BQ56" s="64">
        <v>42349</v>
      </c>
      <c r="BR56" s="63" t="s">
        <v>284</v>
      </c>
      <c r="BS56" s="63" t="s">
        <v>257</v>
      </c>
      <c r="BT56" s="68">
        <f>Nombrecours</f>
        <v>10</v>
      </c>
      <c r="BU56" s="63">
        <f>COUNTIF(DonnéesDessin[[#This Row],[Réponse doodle 01]:[Présence MàN AC]],"Excusé")</f>
        <v>1</v>
      </c>
      <c r="BV56" s="63">
        <f>COUNTIF(DonnéesDessin[[#This Row],[Réponse doodle 01]:[Présence MàN AC]],"N-employé")</f>
        <v>0</v>
      </c>
      <c r="BW56" s="63">
        <f>DonnéesDessin[[#This Row],[Nombre de cours]]-DonnéesDessin[[#This Row],[Nombre excusé]]-DonnéesDessin[[#This Row],[Nombre N-employé]]</f>
        <v>9</v>
      </c>
      <c r="BX56" s="69">
        <f>COUNTIF(DonnéesDessin[[#This Row],[Réponse doodle 01]:[Présence MàN AC]],"Présent")</f>
        <v>2</v>
      </c>
      <c r="BY56" s="68">
        <f>COUNTIF(DonnéesDessin[[#This Row],[Réponse doodle 01]:[Présence MàN AC]],"Inscrit")</f>
        <v>4</v>
      </c>
      <c r="BZ56" s="67">
        <f>3*DonnéesDessin[[#This Row],[Inscrit]]</f>
        <v>12</v>
      </c>
      <c r="CA56" s="67">
        <f>COUNTIF(DonnéesDessin[[#This Row],[Réponse doodle 01]:[Présence MàN AC]],"R pas nécessaire")</f>
        <v>0</v>
      </c>
      <c r="CB56" s="67">
        <f>SUM(3*DonnéesDessin[[#This Row],[R pas nécessaire]])</f>
        <v>0</v>
      </c>
      <c r="CC56" s="67">
        <f>COUNTIF(DonnéesDessin[[#This Row],[Réponse doodle 01]:[Présence MàN AC]],"Indisponible")</f>
        <v>0</v>
      </c>
      <c r="CD56" s="67">
        <f>2*DonnéesDessin[[#This Row],[Indisponible]]</f>
        <v>0</v>
      </c>
      <c r="CE56" s="67">
        <f>COUNTIF(DonnéesDessin[[#This Row],[Réponse doodle 01]:[Présence MàN AC]],"Ne peut s'inscrire")</f>
        <v>0</v>
      </c>
      <c r="CF56" s="67">
        <f>1*DonnéesDessin[[#This Row],[Ne peut s''inscrire]]</f>
        <v>0</v>
      </c>
      <c r="CG56" s="67">
        <f>COUNTIF(DonnéesDessin[[#This Row],[Réponse doodle 01]:[Présence MàN AC]],"Sans information")</f>
        <v>8</v>
      </c>
      <c r="CH56" s="67">
        <f>0*DonnéesDessin[[#This Row],[Sans information]]</f>
        <v>0</v>
      </c>
      <c r="CI56" s="67">
        <f>COUNTIF(DonnéesDessin[[#This Row],[Réponse doodle 01]:[Présence MàN AC]],"Présent")</f>
        <v>2</v>
      </c>
      <c r="CJ56" s="67">
        <f>2*DonnéesDessin[[#This Row],[Présent]]</f>
        <v>4</v>
      </c>
      <c r="CK56" s="67">
        <f>COUNTIF(DonnéesDessin[[#This Row],[Réponse doodle 01]:[Présence MàN AC]],"P pas nécessaire")</f>
        <v>0</v>
      </c>
      <c r="CL56" s="67">
        <f>2*DonnéesDessin[[#This Row],[P pas nécessaire]]</f>
        <v>0</v>
      </c>
      <c r="CM56" s="67">
        <f>COUNTIF(DonnéesDessin[[#This Row],[Réponse doodle 01]:[Présence MàN AC]],"Excusé")</f>
        <v>1</v>
      </c>
      <c r="CN56" s="67">
        <f>1*DonnéesDessin[[#This Row],[Excusé]]</f>
        <v>1</v>
      </c>
      <c r="CO56" s="67">
        <f>COUNTIF(DonnéesDessin[[#This Row],[Réponse doodle 01]:[Présence MàN AC]],"Pas présent")</f>
        <v>9</v>
      </c>
      <c r="CP56" s="67">
        <f>0*DonnéesDessin[[#This Row],[Pas présent]]</f>
        <v>0</v>
      </c>
      <c r="CQ56"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17</v>
      </c>
      <c r="CR56" s="31" t="s">
        <v>41</v>
      </c>
      <c r="CS56" s="77" t="s">
        <v>41</v>
      </c>
      <c r="CT56" s="56" t="s">
        <v>41</v>
      </c>
      <c r="CU56" s="56"/>
      <c r="CV56" s="81" t="s">
        <v>41</v>
      </c>
      <c r="CW56" s="81" t="s">
        <v>41</v>
      </c>
      <c r="CX56" s="77" t="s">
        <v>41</v>
      </c>
      <c r="CY56" s="77" t="s">
        <v>41</v>
      </c>
      <c r="CZ56" s="77" t="s">
        <v>41</v>
      </c>
      <c r="DA56" s="56" t="s">
        <v>487</v>
      </c>
      <c r="DB56" s="89" t="s">
        <v>41</v>
      </c>
    </row>
    <row r="57" spans="1:106">
      <c r="A57" s="62" t="str">
        <f>DonnéesDessin[[#This Row],[Prénom]]&amp;" "&amp;DonnéesDessin[[#This Row],[Nom]]</f>
        <v>Paulo Santos</v>
      </c>
      <c r="B57" s="67" t="s">
        <v>320</v>
      </c>
      <c r="C57" s="67" t="s">
        <v>321</v>
      </c>
      <c r="D57" s="67" t="s">
        <v>49</v>
      </c>
      <c r="E57" s="72">
        <v>42430</v>
      </c>
      <c r="F57" s="72" t="s">
        <v>41</v>
      </c>
      <c r="G57" s="67" t="s">
        <v>95</v>
      </c>
      <c r="H57" s="67"/>
      <c r="I57" s="12"/>
      <c r="J57" s="12"/>
      <c r="K57" s="66" t="s">
        <v>394</v>
      </c>
      <c r="L57" s="67">
        <f>DonnéesDessin[[#This Row],[PTS]]</f>
        <v>30</v>
      </c>
      <c r="M57" s="68" t="s">
        <v>52</v>
      </c>
      <c r="N57" s="63">
        <v>0</v>
      </c>
      <c r="O57" s="63" t="s">
        <v>45</v>
      </c>
      <c r="P57" s="63">
        <v>0</v>
      </c>
      <c r="Q57" s="63" t="s">
        <v>45</v>
      </c>
      <c r="R57" s="63">
        <v>0</v>
      </c>
      <c r="S57" s="63" t="s">
        <v>45</v>
      </c>
      <c r="T57" s="69">
        <v>0</v>
      </c>
      <c r="U57" s="68" t="s">
        <v>281</v>
      </c>
      <c r="V57" s="75" t="s">
        <v>41</v>
      </c>
      <c r="W57" s="63" t="s">
        <v>41</v>
      </c>
      <c r="X57" s="63" t="s">
        <v>358</v>
      </c>
      <c r="Y57" s="68" t="s">
        <v>281</v>
      </c>
      <c r="Z57" s="75" t="s">
        <v>41</v>
      </c>
      <c r="AA57" s="63" t="s">
        <v>41</v>
      </c>
      <c r="AB57" s="69" t="s">
        <v>358</v>
      </c>
      <c r="AC57" s="68" t="s">
        <v>281</v>
      </c>
      <c r="AD57" s="11" t="s">
        <v>41</v>
      </c>
      <c r="AE57" s="12" t="s">
        <v>41</v>
      </c>
      <c r="AF57" s="69" t="s">
        <v>358</v>
      </c>
      <c r="AG57" s="68" t="s">
        <v>248</v>
      </c>
      <c r="AH57" s="72">
        <v>42439</v>
      </c>
      <c r="AI57" s="67" t="s">
        <v>257</v>
      </c>
      <c r="AJ57" s="69" t="s">
        <v>44</v>
      </c>
      <c r="AK57" s="68" t="s">
        <v>248</v>
      </c>
      <c r="AL57" s="67" t="s">
        <v>333</v>
      </c>
      <c r="AM57" s="67" t="s">
        <v>257</v>
      </c>
      <c r="AN57" s="69" t="s">
        <v>44</v>
      </c>
      <c r="AO57" s="68" t="s">
        <v>248</v>
      </c>
      <c r="AP57" s="67" t="s">
        <v>336</v>
      </c>
      <c r="AQ57" s="67" t="s">
        <v>257</v>
      </c>
      <c r="AR57" s="69" t="s">
        <v>44</v>
      </c>
      <c r="AS57" s="68" t="s">
        <v>248</v>
      </c>
      <c r="AT57" s="67" t="s">
        <v>416</v>
      </c>
      <c r="AU57" s="67" t="s">
        <v>257</v>
      </c>
      <c r="AV57" s="69" t="s">
        <v>420</v>
      </c>
      <c r="AW57" s="68" t="s">
        <v>248</v>
      </c>
      <c r="AX57" s="67" t="s">
        <v>429</v>
      </c>
      <c r="AY57" s="67" t="s">
        <v>257</v>
      </c>
      <c r="AZ57" s="69" t="s">
        <v>44</v>
      </c>
      <c r="BA57" s="68" t="s">
        <v>256</v>
      </c>
      <c r="BB57" s="67" t="s">
        <v>41</v>
      </c>
      <c r="BC57" s="67" t="s">
        <v>259</v>
      </c>
      <c r="BD57" s="69" t="s">
        <v>41</v>
      </c>
      <c r="BE57" s="68" t="s">
        <v>256</v>
      </c>
      <c r="BF57" s="67" t="s">
        <v>41</v>
      </c>
      <c r="BG57" s="67" t="s">
        <v>259</v>
      </c>
      <c r="BH57" s="69" t="s">
        <v>41</v>
      </c>
      <c r="BI57" s="68" t="s">
        <v>248</v>
      </c>
      <c r="BJ57" s="72">
        <v>42564</v>
      </c>
      <c r="BK57" s="67" t="s">
        <v>257</v>
      </c>
      <c r="BL57" s="69" t="s">
        <v>44</v>
      </c>
      <c r="BM57" s="68" t="s">
        <v>281</v>
      </c>
      <c r="BN57" s="67"/>
      <c r="BO57" s="67" t="s">
        <v>41</v>
      </c>
      <c r="BP57" s="67" t="s">
        <v>41</v>
      </c>
      <c r="BQ57" s="63" t="s">
        <v>41</v>
      </c>
      <c r="BR57" s="63" t="s">
        <v>41</v>
      </c>
      <c r="BS57" s="63" t="s">
        <v>41</v>
      </c>
      <c r="BT57" s="68">
        <f>Nombrecours</f>
        <v>10</v>
      </c>
      <c r="BU57" s="63">
        <f>COUNTIF(DonnéesDessin[[#This Row],[Réponse doodle 01]:[Présence MàN AC]],"Excusé")</f>
        <v>0</v>
      </c>
      <c r="BV57" s="63">
        <f>COUNTIF(DonnéesDessin[[#This Row],[Réponse doodle 01]:[Présence MàN AC]],"N-employé")</f>
        <v>4</v>
      </c>
      <c r="BW57" s="63">
        <f>DonnéesDessin[[#This Row],[Nombre de cours]]-DonnéesDessin[[#This Row],[Nombre excusé]]-DonnéesDessin[[#This Row],[Nombre N-employé]]</f>
        <v>6</v>
      </c>
      <c r="BX57" s="69">
        <f>COUNTIF(DonnéesDessin[[#This Row],[Réponse doodle 01]:[Présence MàN AC]],"Présent")</f>
        <v>6</v>
      </c>
      <c r="BY57" s="68">
        <f>COUNTIF(DonnéesDessin[[#This Row],[Réponse doodle 01]:[Présence MàN AC]],"Inscrit")</f>
        <v>6</v>
      </c>
      <c r="BZ57" s="67">
        <f>3*DonnéesDessin[[#This Row],[Inscrit]]</f>
        <v>18</v>
      </c>
      <c r="CA57" s="67">
        <f>COUNTIF(DonnéesDessin[[#This Row],[Réponse doodle 01]:[Présence MàN AC]],"R pas nécessaire")</f>
        <v>0</v>
      </c>
      <c r="CB57" s="67">
        <f>SUM(3*DonnéesDessin[[#This Row],[R pas nécessaire]])</f>
        <v>0</v>
      </c>
      <c r="CC57" s="67">
        <f>COUNTIF(DonnéesDessin[[#This Row],[Réponse doodle 01]:[Présence MàN AC]],"Indisponible")</f>
        <v>0</v>
      </c>
      <c r="CD57" s="67">
        <f>2*DonnéesDessin[[#This Row],[Indisponible]]</f>
        <v>0</v>
      </c>
      <c r="CE57" s="67">
        <f>COUNTIF(DonnéesDessin[[#This Row],[Réponse doodle 01]:[Présence MàN AC]],"Ne peut s'inscrire")</f>
        <v>0</v>
      </c>
      <c r="CF57" s="67">
        <f>1*DonnéesDessin[[#This Row],[Ne peut s''inscrire]]</f>
        <v>0</v>
      </c>
      <c r="CG57" s="67">
        <f>COUNTIF(DonnéesDessin[[#This Row],[Réponse doodle 01]:[Présence MàN AC]],"Sans information")</f>
        <v>2</v>
      </c>
      <c r="CH57" s="67">
        <f>0*DonnéesDessin[[#This Row],[Sans information]]</f>
        <v>0</v>
      </c>
      <c r="CI57" s="67">
        <f>COUNTIF(DonnéesDessin[[#This Row],[Réponse doodle 01]:[Présence MàN AC]],"Présent")</f>
        <v>6</v>
      </c>
      <c r="CJ57" s="67">
        <f>2*DonnéesDessin[[#This Row],[Présent]]</f>
        <v>12</v>
      </c>
      <c r="CK57" s="67">
        <f>COUNTIF(DonnéesDessin[[#This Row],[Réponse doodle 01]:[Présence MàN AC]],"P pas nécessaire")</f>
        <v>0</v>
      </c>
      <c r="CL57" s="67">
        <f>2*DonnéesDessin[[#This Row],[P pas nécessaire]]</f>
        <v>0</v>
      </c>
      <c r="CM57" s="67">
        <f>COUNTIF(DonnéesDessin[[#This Row],[Réponse doodle 01]:[Présence MàN AC]],"Excusé")</f>
        <v>0</v>
      </c>
      <c r="CN57" s="67">
        <f>1*DonnéesDessin[[#This Row],[Excusé]]</f>
        <v>0</v>
      </c>
      <c r="CO57" s="67">
        <f>COUNTIF(DonnéesDessin[[#This Row],[Réponse doodle 01]:[Présence MàN AC]],"Pas présent")</f>
        <v>2</v>
      </c>
      <c r="CP57" s="67">
        <f>0*DonnéesDessin[[#This Row],[Pas présent]]</f>
        <v>0</v>
      </c>
      <c r="CQ57"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30</v>
      </c>
      <c r="CR57" s="78">
        <v>42572</v>
      </c>
      <c r="CS57" s="79" t="s">
        <v>440</v>
      </c>
      <c r="CT57" s="67" t="s">
        <v>257</v>
      </c>
      <c r="CU57" s="67">
        <v>1</v>
      </c>
      <c r="CV57" s="84">
        <v>68</v>
      </c>
      <c r="CW57" s="84">
        <v>59</v>
      </c>
      <c r="CX57" s="84">
        <f>SUBTOTAL(9,DonnéesDessin[[#This Row],[Résultat Niveau 1]:[Résultat Avancé]])</f>
        <v>127</v>
      </c>
      <c r="CY57" s="83" t="s">
        <v>456</v>
      </c>
      <c r="CZ57" s="83" t="s">
        <v>461</v>
      </c>
      <c r="DA57" s="67">
        <v>60</v>
      </c>
      <c r="DB57" s="88">
        <f>(DonnéesDessin[[#This Row],[Résultat Niveau 1]]+DonnéesDessin[[#This Row],[Résultat Avancé]])/DonnéesDessin[[#This Row],[Durée BC AC19 (en min)]]</f>
        <v>2.1166666666666667</v>
      </c>
    </row>
    <row r="58" spans="1:106">
      <c r="A58" s="62" t="str">
        <f>DonnéesDessin[[#This Row],[Prénom]]&amp;" "&amp;DonnéesDessin[[#This Row],[Nom]]</f>
        <v>Pedro Vieira De Almeida</v>
      </c>
      <c r="B58" s="63" t="s">
        <v>161</v>
      </c>
      <c r="C58" s="63" t="s">
        <v>162</v>
      </c>
      <c r="D58" s="63" t="s">
        <v>49</v>
      </c>
      <c r="E58" s="64" t="s">
        <v>41</v>
      </c>
      <c r="F58" s="64" t="s">
        <v>41</v>
      </c>
      <c r="G58" s="63" t="s">
        <v>56</v>
      </c>
      <c r="H58" s="63" t="s">
        <v>51</v>
      </c>
      <c r="I58" s="65">
        <v>2012</v>
      </c>
      <c r="J58" s="65">
        <v>16</v>
      </c>
      <c r="K58" s="66" t="s">
        <v>41</v>
      </c>
      <c r="L58" s="67">
        <f>DonnéesDessin[[#This Row],[PTS]]</f>
        <v>45</v>
      </c>
      <c r="M58" s="68" t="s">
        <v>52</v>
      </c>
      <c r="N58" s="63">
        <v>0</v>
      </c>
      <c r="O58" s="63" t="s">
        <v>45</v>
      </c>
      <c r="P58" s="63">
        <v>0</v>
      </c>
      <c r="Q58" s="63" t="s">
        <v>45</v>
      </c>
      <c r="R58" s="63">
        <v>0</v>
      </c>
      <c r="S58" s="63" t="s">
        <v>45</v>
      </c>
      <c r="T58" s="69">
        <v>0</v>
      </c>
      <c r="U58" s="68" t="s">
        <v>248</v>
      </c>
      <c r="V58" s="70">
        <v>42325</v>
      </c>
      <c r="W58" s="63" t="s">
        <v>257</v>
      </c>
      <c r="X58" s="63" t="s">
        <v>44</v>
      </c>
      <c r="Y58" s="68" t="s">
        <v>248</v>
      </c>
      <c r="Z58" s="71">
        <v>42382</v>
      </c>
      <c r="AA58" s="67" t="s">
        <v>257</v>
      </c>
      <c r="AB58" s="69" t="s">
        <v>44</v>
      </c>
      <c r="AC58" s="68" t="s">
        <v>248</v>
      </c>
      <c r="AD58" s="11" t="s">
        <v>324</v>
      </c>
      <c r="AE58" s="67" t="s">
        <v>259</v>
      </c>
      <c r="AF58" s="69" t="s">
        <v>343</v>
      </c>
      <c r="AG58" s="68" t="s">
        <v>248</v>
      </c>
      <c r="AH58" s="72">
        <v>42438</v>
      </c>
      <c r="AI58" s="67" t="s">
        <v>257</v>
      </c>
      <c r="AJ58" s="69" t="s">
        <v>44</v>
      </c>
      <c r="AK58" s="68" t="s">
        <v>248</v>
      </c>
      <c r="AL58" s="67" t="s">
        <v>334</v>
      </c>
      <c r="AM58" s="67" t="s">
        <v>257</v>
      </c>
      <c r="AN58" s="69" t="s">
        <v>44</v>
      </c>
      <c r="AO58" s="68" t="s">
        <v>248</v>
      </c>
      <c r="AP58" s="67" t="s">
        <v>337</v>
      </c>
      <c r="AQ58" s="67" t="s">
        <v>257</v>
      </c>
      <c r="AR58" s="69" t="s">
        <v>44</v>
      </c>
      <c r="AS58" s="68" t="s">
        <v>248</v>
      </c>
      <c r="AT58" s="67" t="s">
        <v>414</v>
      </c>
      <c r="AU58" s="67" t="s">
        <v>258</v>
      </c>
      <c r="AV58" s="69" t="s">
        <v>378</v>
      </c>
      <c r="AW58" s="68" t="s">
        <v>248</v>
      </c>
      <c r="AX58" s="67" t="s">
        <v>430</v>
      </c>
      <c r="AY58" s="67" t="s">
        <v>257</v>
      </c>
      <c r="AZ58" s="69" t="s">
        <v>44</v>
      </c>
      <c r="BA58" s="68" t="s">
        <v>256</v>
      </c>
      <c r="BB58" s="67" t="s">
        <v>41</v>
      </c>
      <c r="BC58" s="67" t="s">
        <v>259</v>
      </c>
      <c r="BD58" s="69" t="s">
        <v>41</v>
      </c>
      <c r="BE58" s="68" t="s">
        <v>256</v>
      </c>
      <c r="BF58" s="67" t="s">
        <v>41</v>
      </c>
      <c r="BG58" s="67" t="s">
        <v>259</v>
      </c>
      <c r="BH58" s="69" t="s">
        <v>41</v>
      </c>
      <c r="BI58" s="68" t="s">
        <v>248</v>
      </c>
      <c r="BJ58" s="72">
        <v>42509</v>
      </c>
      <c r="BK58" s="67" t="s">
        <v>259</v>
      </c>
      <c r="BL58" s="69" t="s">
        <v>343</v>
      </c>
      <c r="BM58" s="68" t="s">
        <v>53</v>
      </c>
      <c r="BN58" s="67" t="s">
        <v>53</v>
      </c>
      <c r="BO58" s="67" t="s">
        <v>51</v>
      </c>
      <c r="BP58" s="67" t="s">
        <v>248</v>
      </c>
      <c r="BQ58" s="64">
        <v>42347</v>
      </c>
      <c r="BR58" s="63" t="s">
        <v>285</v>
      </c>
      <c r="BS58" s="63" t="s">
        <v>257</v>
      </c>
      <c r="BT58" s="68">
        <f>Nombrecours</f>
        <v>10</v>
      </c>
      <c r="BU58" s="63">
        <f>COUNTIF(DonnéesDessin[[#This Row],[Réponse doodle 01]:[Présence MàN AC]],"Excusé")</f>
        <v>1</v>
      </c>
      <c r="BV58" s="63">
        <f>COUNTIF(DonnéesDessin[[#This Row],[Réponse doodle 01]:[Présence MàN AC]],"N-employé")</f>
        <v>0</v>
      </c>
      <c r="BW58" s="63">
        <f>DonnéesDessin[[#This Row],[Nombre de cours]]-DonnéesDessin[[#This Row],[Nombre excusé]]-DonnéesDessin[[#This Row],[Nombre N-employé]]</f>
        <v>9</v>
      </c>
      <c r="BX58" s="69">
        <f>COUNTIF(DonnéesDessin[[#This Row],[Réponse doodle 01]:[Présence MàN AC]],"Présent")</f>
        <v>7</v>
      </c>
      <c r="BY58" s="68">
        <f>COUNTIF(DonnéesDessin[[#This Row],[Réponse doodle 01]:[Présence MàN AC]],"Inscrit")</f>
        <v>10</v>
      </c>
      <c r="BZ58" s="67">
        <f>3*DonnéesDessin[[#This Row],[Inscrit]]</f>
        <v>30</v>
      </c>
      <c r="CA58" s="67">
        <f>COUNTIF(DonnéesDessin[[#This Row],[Réponse doodle 01]:[Présence MàN AC]],"R pas nécessaire")</f>
        <v>0</v>
      </c>
      <c r="CB58" s="67">
        <f>SUM(3*DonnéesDessin[[#This Row],[R pas nécessaire]])</f>
        <v>0</v>
      </c>
      <c r="CC58" s="67">
        <f>COUNTIF(DonnéesDessin[[#This Row],[Réponse doodle 01]:[Présence MàN AC]],"Indisponible")</f>
        <v>0</v>
      </c>
      <c r="CD58" s="67">
        <f>2*DonnéesDessin[[#This Row],[Indisponible]]</f>
        <v>0</v>
      </c>
      <c r="CE58" s="67">
        <f>COUNTIF(DonnéesDessin[[#This Row],[Réponse doodle 01]:[Présence MàN AC]],"Ne peut s'inscrire")</f>
        <v>0</v>
      </c>
      <c r="CF58" s="67">
        <f>1*DonnéesDessin[[#This Row],[Ne peut s''inscrire]]</f>
        <v>0</v>
      </c>
      <c r="CG58" s="67">
        <f>COUNTIF(DonnéesDessin[[#This Row],[Réponse doodle 01]:[Présence MàN AC]],"Sans information")</f>
        <v>2</v>
      </c>
      <c r="CH58" s="67">
        <f>0*DonnéesDessin[[#This Row],[Sans information]]</f>
        <v>0</v>
      </c>
      <c r="CI58" s="67">
        <f>COUNTIF(DonnéesDessin[[#This Row],[Réponse doodle 01]:[Présence MàN AC]],"Présent")</f>
        <v>7</v>
      </c>
      <c r="CJ58" s="67">
        <f>2*DonnéesDessin[[#This Row],[Présent]]</f>
        <v>14</v>
      </c>
      <c r="CK58" s="67">
        <f>COUNTIF(DonnéesDessin[[#This Row],[Réponse doodle 01]:[Présence MàN AC]],"P pas nécessaire")</f>
        <v>0</v>
      </c>
      <c r="CL58" s="67">
        <f>2*DonnéesDessin[[#This Row],[P pas nécessaire]]</f>
        <v>0</v>
      </c>
      <c r="CM58" s="67">
        <f>COUNTIF(DonnéesDessin[[#This Row],[Réponse doodle 01]:[Présence MàN AC]],"Excusé")</f>
        <v>1</v>
      </c>
      <c r="CN58" s="67">
        <f>1*DonnéesDessin[[#This Row],[Excusé]]</f>
        <v>1</v>
      </c>
      <c r="CO58" s="67">
        <f>COUNTIF(DonnéesDessin[[#This Row],[Réponse doodle 01]:[Présence MàN AC]],"Pas présent")</f>
        <v>4</v>
      </c>
      <c r="CP58" s="67">
        <f>0*DonnéesDessin[[#This Row],[Pas présent]]</f>
        <v>0</v>
      </c>
      <c r="CQ58"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45</v>
      </c>
      <c r="CR58" s="78">
        <v>42572</v>
      </c>
      <c r="CS58" s="79" t="s">
        <v>443</v>
      </c>
      <c r="CT58" s="67" t="s">
        <v>257</v>
      </c>
      <c r="CU58" s="67">
        <v>1</v>
      </c>
      <c r="CV58" s="84">
        <v>74</v>
      </c>
      <c r="CW58" s="84">
        <v>67</v>
      </c>
      <c r="CX58" s="84">
        <f>SUBTOTAL(9,DonnéesDessin[[#This Row],[Résultat Niveau 1]:[Résultat Avancé]])</f>
        <v>141</v>
      </c>
      <c r="CY58" s="83" t="s">
        <v>443</v>
      </c>
      <c r="CZ58" s="83" t="s">
        <v>472</v>
      </c>
      <c r="DA58" s="67">
        <v>60</v>
      </c>
      <c r="DB58" s="88">
        <f>(DonnéesDessin[[#This Row],[Résultat Niveau 1]]+DonnéesDessin[[#This Row],[Résultat Avancé]])/DonnéesDessin[[#This Row],[Durée BC AC19 (en min)]]</f>
        <v>2.35</v>
      </c>
    </row>
    <row r="59" spans="1:106">
      <c r="A59" s="62" t="str">
        <f>DonnéesDessin[[#This Row],[Prénom]]&amp;" "&amp;DonnéesDessin[[#This Row],[Nom]]</f>
        <v>Philippe Torriani</v>
      </c>
      <c r="B59" s="63" t="s">
        <v>164</v>
      </c>
      <c r="C59" s="63" t="s">
        <v>163</v>
      </c>
      <c r="D59" s="63" t="s">
        <v>49</v>
      </c>
      <c r="E59" s="64" t="s">
        <v>41</v>
      </c>
      <c r="F59" s="64" t="s">
        <v>41</v>
      </c>
      <c r="G59" s="63" t="s">
        <v>75</v>
      </c>
      <c r="H59" s="63" t="s">
        <v>51</v>
      </c>
      <c r="I59" s="65" t="s">
        <v>43</v>
      </c>
      <c r="J59" s="65">
        <v>17</v>
      </c>
      <c r="K59" s="66" t="s">
        <v>346</v>
      </c>
      <c r="L59" s="67">
        <f>DonnéesDessin[[#This Row],[PTS]]</f>
        <v>35</v>
      </c>
      <c r="M59" s="68" t="s">
        <v>52</v>
      </c>
      <c r="N59" s="63">
        <v>0</v>
      </c>
      <c r="O59" s="63" t="s">
        <v>45</v>
      </c>
      <c r="P59" s="63">
        <v>0</v>
      </c>
      <c r="Q59" s="63" t="s">
        <v>45</v>
      </c>
      <c r="R59" s="63">
        <v>0</v>
      </c>
      <c r="S59" s="63" t="s">
        <v>45</v>
      </c>
      <c r="T59" s="69">
        <v>0</v>
      </c>
      <c r="U59" s="68" t="s">
        <v>256</v>
      </c>
      <c r="V59" s="70" t="s">
        <v>41</v>
      </c>
      <c r="W59" s="63" t="s">
        <v>259</v>
      </c>
      <c r="X59" s="63" t="s">
        <v>341</v>
      </c>
      <c r="Y59" s="68" t="s">
        <v>256</v>
      </c>
      <c r="Z59" s="11" t="s">
        <v>41</v>
      </c>
      <c r="AA59" s="67" t="s">
        <v>259</v>
      </c>
      <c r="AB59" s="69" t="s">
        <v>341</v>
      </c>
      <c r="AC59" s="68" t="s">
        <v>248</v>
      </c>
      <c r="AD59" s="11" t="s">
        <v>323</v>
      </c>
      <c r="AE59" s="67" t="s">
        <v>257</v>
      </c>
      <c r="AF59" s="69" t="s">
        <v>44</v>
      </c>
      <c r="AG59" s="68" t="s">
        <v>248</v>
      </c>
      <c r="AH59" s="72">
        <v>42439</v>
      </c>
      <c r="AI59" s="67" t="s">
        <v>257</v>
      </c>
      <c r="AJ59" s="69" t="s">
        <v>44</v>
      </c>
      <c r="AK59" s="68" t="s">
        <v>248</v>
      </c>
      <c r="AL59" s="67" t="s">
        <v>332</v>
      </c>
      <c r="AM59" s="67" t="s">
        <v>257</v>
      </c>
      <c r="AN59" s="69" t="s">
        <v>44</v>
      </c>
      <c r="AO59" s="68" t="s">
        <v>248</v>
      </c>
      <c r="AP59" s="67" t="s">
        <v>338</v>
      </c>
      <c r="AQ59" s="67" t="s">
        <v>257</v>
      </c>
      <c r="AR59" s="69" t="s">
        <v>44</v>
      </c>
      <c r="AS59" s="68" t="s">
        <v>248</v>
      </c>
      <c r="AT59" s="67" t="s">
        <v>416</v>
      </c>
      <c r="AU59" s="67" t="s">
        <v>259</v>
      </c>
      <c r="AV59" s="69" t="s">
        <v>343</v>
      </c>
      <c r="AW59" s="68" t="s">
        <v>248</v>
      </c>
      <c r="AX59" s="67" t="s">
        <v>424</v>
      </c>
      <c r="AY59" s="67" t="s">
        <v>257</v>
      </c>
      <c r="AZ59" s="69" t="s">
        <v>44</v>
      </c>
      <c r="BA59" s="68" t="s">
        <v>256</v>
      </c>
      <c r="BB59" s="67" t="s">
        <v>41</v>
      </c>
      <c r="BC59" s="67" t="s">
        <v>259</v>
      </c>
      <c r="BD59" s="69" t="s">
        <v>41</v>
      </c>
      <c r="BE59" s="68" t="s">
        <v>256</v>
      </c>
      <c r="BF59" s="67" t="s">
        <v>41</v>
      </c>
      <c r="BG59" s="67" t="s">
        <v>259</v>
      </c>
      <c r="BH59" s="69" t="s">
        <v>41</v>
      </c>
      <c r="BI59" s="68" t="s">
        <v>255</v>
      </c>
      <c r="BJ59" s="72">
        <v>42564</v>
      </c>
      <c r="BK59" s="67" t="s">
        <v>257</v>
      </c>
      <c r="BL59" s="69" t="s">
        <v>446</v>
      </c>
      <c r="BM59" s="68" t="s">
        <v>65</v>
      </c>
      <c r="BN59" s="67" t="s">
        <v>65</v>
      </c>
      <c r="BO59" s="67" t="s">
        <v>51</v>
      </c>
      <c r="BP59" s="67" t="s">
        <v>248</v>
      </c>
      <c r="BQ59" s="64">
        <v>42349</v>
      </c>
      <c r="BR59" s="63" t="s">
        <v>282</v>
      </c>
      <c r="BS59" s="63" t="s">
        <v>259</v>
      </c>
      <c r="BT59" s="68">
        <f>Nombrecours</f>
        <v>10</v>
      </c>
      <c r="BU59" s="63">
        <f>COUNTIF(DonnéesDessin[[#This Row],[Réponse doodle 01]:[Présence MàN AC]],"Excusé")</f>
        <v>0</v>
      </c>
      <c r="BV59" s="63">
        <f>COUNTIF(DonnéesDessin[[#This Row],[Réponse doodle 01]:[Présence MàN AC]],"N-employé")</f>
        <v>0</v>
      </c>
      <c r="BW59" s="63">
        <f>DonnéesDessin[[#This Row],[Nombre de cours]]-DonnéesDessin[[#This Row],[Nombre excusé]]-DonnéesDessin[[#This Row],[Nombre N-employé]]</f>
        <v>10</v>
      </c>
      <c r="BX59" s="69">
        <f>COUNTIF(DonnéesDessin[[#This Row],[Réponse doodle 01]:[Présence MàN AC]],"Présent")</f>
        <v>6</v>
      </c>
      <c r="BY59" s="68">
        <f>COUNTIF(DonnéesDessin[[#This Row],[Réponse doodle 01]:[Présence MàN AC]],"Inscrit")</f>
        <v>7</v>
      </c>
      <c r="BZ59" s="67">
        <f>3*DonnéesDessin[[#This Row],[Inscrit]]</f>
        <v>21</v>
      </c>
      <c r="CA59" s="67">
        <f>COUNTIF(DonnéesDessin[[#This Row],[Réponse doodle 01]:[Présence MàN AC]],"R pas nécessaire")</f>
        <v>0</v>
      </c>
      <c r="CB59" s="67">
        <f>SUM(3*DonnéesDessin[[#This Row],[R pas nécessaire]])</f>
        <v>0</v>
      </c>
      <c r="CC59" s="67">
        <f>COUNTIF(DonnéesDessin[[#This Row],[Réponse doodle 01]:[Présence MàN AC]],"Indisponible")</f>
        <v>1</v>
      </c>
      <c r="CD59" s="67">
        <f>2*DonnéesDessin[[#This Row],[Indisponible]]</f>
        <v>2</v>
      </c>
      <c r="CE59" s="67">
        <f>COUNTIF(DonnéesDessin[[#This Row],[Réponse doodle 01]:[Présence MàN AC]],"Ne peut s'inscrire")</f>
        <v>0</v>
      </c>
      <c r="CF59" s="67">
        <f>1*DonnéesDessin[[#This Row],[Ne peut s''inscrire]]</f>
        <v>0</v>
      </c>
      <c r="CG59" s="67">
        <f>COUNTIF(DonnéesDessin[[#This Row],[Réponse doodle 01]:[Présence MàN AC]],"Sans information")</f>
        <v>4</v>
      </c>
      <c r="CH59" s="67">
        <f>0*DonnéesDessin[[#This Row],[Sans information]]</f>
        <v>0</v>
      </c>
      <c r="CI59" s="67">
        <f>COUNTIF(DonnéesDessin[[#This Row],[Réponse doodle 01]:[Présence MàN AC]],"Présent")</f>
        <v>6</v>
      </c>
      <c r="CJ59" s="67">
        <f>2*DonnéesDessin[[#This Row],[Présent]]</f>
        <v>12</v>
      </c>
      <c r="CK59" s="67">
        <f>COUNTIF(DonnéesDessin[[#This Row],[Réponse doodle 01]:[Présence MàN AC]],"P pas nécessaire")</f>
        <v>0</v>
      </c>
      <c r="CL59" s="67">
        <f>2*DonnéesDessin[[#This Row],[P pas nécessaire]]</f>
        <v>0</v>
      </c>
      <c r="CM59" s="67">
        <f>COUNTIF(DonnéesDessin[[#This Row],[Réponse doodle 01]:[Présence MàN AC]],"Excusé")</f>
        <v>0</v>
      </c>
      <c r="CN59" s="67">
        <f>1*DonnéesDessin[[#This Row],[Excusé]]</f>
        <v>0</v>
      </c>
      <c r="CO59" s="67">
        <f>COUNTIF(DonnéesDessin[[#This Row],[Réponse doodle 01]:[Présence MàN AC]],"Pas présent")</f>
        <v>6</v>
      </c>
      <c r="CP59" s="67">
        <f>0*DonnéesDessin[[#This Row],[Pas présent]]</f>
        <v>0</v>
      </c>
      <c r="CQ59"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35</v>
      </c>
      <c r="CR59" s="78">
        <v>42572</v>
      </c>
      <c r="CS59" s="79" t="s">
        <v>442</v>
      </c>
      <c r="CT59" s="67" t="s">
        <v>257</v>
      </c>
      <c r="CU59" s="67">
        <v>3</v>
      </c>
      <c r="CV59" s="84">
        <v>56</v>
      </c>
      <c r="CW59" s="84">
        <v>57</v>
      </c>
      <c r="CX59" s="84">
        <f>SUBTOTAL(9,DonnéesDessin[[#This Row],[Résultat Niveau 1]:[Résultat Avancé]])</f>
        <v>113</v>
      </c>
      <c r="CY59" s="83" t="s">
        <v>442</v>
      </c>
      <c r="CZ59" s="83" t="s">
        <v>468</v>
      </c>
      <c r="DA59" s="67">
        <v>50</v>
      </c>
      <c r="DB59" s="88">
        <f>(DonnéesDessin[[#This Row],[Résultat Niveau 1]]+DonnéesDessin[[#This Row],[Résultat Avancé]])/DonnéesDessin[[#This Row],[Durée BC AC19 (en min)]]</f>
        <v>2.2599999999999998</v>
      </c>
    </row>
    <row r="60" spans="1:106">
      <c r="A60" s="62" t="str">
        <f>DonnéesDessin[[#This Row],[Prénom]]&amp;" "&amp;DonnéesDessin[[#This Row],[Nom]]</f>
        <v>Raphael Batschelet</v>
      </c>
      <c r="B60" s="63" t="s">
        <v>165</v>
      </c>
      <c r="C60" s="63" t="s">
        <v>166</v>
      </c>
      <c r="D60" s="63" t="s">
        <v>93</v>
      </c>
      <c r="E60" s="64">
        <v>42221</v>
      </c>
      <c r="F60" s="64" t="s">
        <v>41</v>
      </c>
      <c r="G60" s="63" t="s">
        <v>75</v>
      </c>
      <c r="H60" s="63" t="s">
        <v>51</v>
      </c>
      <c r="I60" s="65" t="s">
        <v>43</v>
      </c>
      <c r="J60" s="65">
        <v>18</v>
      </c>
      <c r="K60" s="66" t="s">
        <v>395</v>
      </c>
      <c r="L60" s="67">
        <f>DonnéesDessin[[#This Row],[PTS]]</f>
        <v>48</v>
      </c>
      <c r="M60" s="68" t="s">
        <v>52</v>
      </c>
      <c r="N60" s="63">
        <v>0</v>
      </c>
      <c r="O60" s="63" t="s">
        <v>45</v>
      </c>
      <c r="P60" s="63">
        <v>0</v>
      </c>
      <c r="Q60" s="63" t="s">
        <v>45</v>
      </c>
      <c r="R60" s="63">
        <v>0</v>
      </c>
      <c r="S60" s="63" t="s">
        <v>45</v>
      </c>
      <c r="T60" s="69">
        <v>0</v>
      </c>
      <c r="U60" s="68" t="s">
        <v>248</v>
      </c>
      <c r="V60" s="70">
        <v>42320</v>
      </c>
      <c r="W60" s="63" t="s">
        <v>257</v>
      </c>
      <c r="X60" s="63" t="s">
        <v>44</v>
      </c>
      <c r="Y60" s="68" t="s">
        <v>248</v>
      </c>
      <c r="Z60" s="71">
        <v>42390</v>
      </c>
      <c r="AA60" s="67" t="s">
        <v>257</v>
      </c>
      <c r="AB60" s="69" t="s">
        <v>44</v>
      </c>
      <c r="AC60" s="68" t="s">
        <v>248</v>
      </c>
      <c r="AD60" s="11" t="s">
        <v>323</v>
      </c>
      <c r="AE60" s="67" t="s">
        <v>257</v>
      </c>
      <c r="AF60" s="69" t="s">
        <v>44</v>
      </c>
      <c r="AG60" s="68" t="s">
        <v>248</v>
      </c>
      <c r="AH60" s="72">
        <v>42438</v>
      </c>
      <c r="AI60" s="67" t="s">
        <v>257</v>
      </c>
      <c r="AJ60" s="69" t="s">
        <v>44</v>
      </c>
      <c r="AK60" s="68" t="s">
        <v>248</v>
      </c>
      <c r="AL60" s="67" t="s">
        <v>334</v>
      </c>
      <c r="AM60" s="67" t="s">
        <v>257</v>
      </c>
      <c r="AN60" s="69" t="s">
        <v>44</v>
      </c>
      <c r="AO60" s="68" t="s">
        <v>248</v>
      </c>
      <c r="AP60" s="67" t="s">
        <v>335</v>
      </c>
      <c r="AQ60" s="67" t="s">
        <v>257</v>
      </c>
      <c r="AR60" s="69" t="s">
        <v>44</v>
      </c>
      <c r="AS60" s="68" t="s">
        <v>248</v>
      </c>
      <c r="AT60" s="67" t="s">
        <v>414</v>
      </c>
      <c r="AU60" s="67" t="s">
        <v>257</v>
      </c>
      <c r="AV60" s="69" t="s">
        <v>44</v>
      </c>
      <c r="AW60" s="68" t="s">
        <v>248</v>
      </c>
      <c r="AX60" s="67" t="s">
        <v>424</v>
      </c>
      <c r="AY60" s="67" t="s">
        <v>257</v>
      </c>
      <c r="AZ60" s="69" t="s">
        <v>44</v>
      </c>
      <c r="BA60" s="68" t="s">
        <v>256</v>
      </c>
      <c r="BB60" s="67" t="s">
        <v>41</v>
      </c>
      <c r="BC60" s="67" t="s">
        <v>259</v>
      </c>
      <c r="BD60" s="69" t="s">
        <v>41</v>
      </c>
      <c r="BE60" s="68" t="s">
        <v>256</v>
      </c>
      <c r="BF60" s="67" t="s">
        <v>41</v>
      </c>
      <c r="BG60" s="67" t="s">
        <v>259</v>
      </c>
      <c r="BH60" s="69" t="s">
        <v>41</v>
      </c>
      <c r="BI60" s="68" t="s">
        <v>248</v>
      </c>
      <c r="BJ60" s="72">
        <v>42564</v>
      </c>
      <c r="BK60" s="67" t="s">
        <v>257</v>
      </c>
      <c r="BL60" s="69" t="s">
        <v>44</v>
      </c>
      <c r="BM60" s="68" t="s">
        <v>65</v>
      </c>
      <c r="BN60" s="66" t="s">
        <v>65</v>
      </c>
      <c r="BO60" s="66" t="s">
        <v>51</v>
      </c>
      <c r="BP60" s="66" t="s">
        <v>255</v>
      </c>
      <c r="BQ60" s="74">
        <v>42349</v>
      </c>
      <c r="BR60" s="66" t="s">
        <v>41</v>
      </c>
      <c r="BS60" s="66" t="s">
        <v>258</v>
      </c>
      <c r="BT60" s="68">
        <f>Nombrecours</f>
        <v>10</v>
      </c>
      <c r="BU60" s="63">
        <f>COUNTIF(DonnéesDessin[[#This Row],[Réponse doodle 01]:[Présence MàN AC]],"Excusé")</f>
        <v>1</v>
      </c>
      <c r="BV60" s="63">
        <f>COUNTIF(DonnéesDessin[[#This Row],[Réponse doodle 01]:[Présence MàN AC]],"N-employé")</f>
        <v>0</v>
      </c>
      <c r="BW60" s="63">
        <f>DonnéesDessin[[#This Row],[Nombre de cours]]-DonnéesDessin[[#This Row],[Nombre excusé]]-DonnéesDessin[[#This Row],[Nombre N-employé]]</f>
        <v>9</v>
      </c>
      <c r="BX60" s="69">
        <f>COUNTIF(DonnéesDessin[[#This Row],[Réponse doodle 01]:[Présence MàN AC]],"Présent")</f>
        <v>9</v>
      </c>
      <c r="BY60" s="68">
        <f>COUNTIF(DonnéesDessin[[#This Row],[Réponse doodle 01]:[Présence MàN AC]],"Inscrit")</f>
        <v>9</v>
      </c>
      <c r="BZ60" s="67">
        <f>3*DonnéesDessin[[#This Row],[Inscrit]]</f>
        <v>27</v>
      </c>
      <c r="CA60" s="67">
        <f>COUNTIF(DonnéesDessin[[#This Row],[Réponse doodle 01]:[Présence MàN AC]],"R pas nécessaire")</f>
        <v>0</v>
      </c>
      <c r="CB60" s="67">
        <f>SUM(3*DonnéesDessin[[#This Row],[R pas nécessaire]])</f>
        <v>0</v>
      </c>
      <c r="CC60" s="67">
        <f>COUNTIF(DonnéesDessin[[#This Row],[Réponse doodle 01]:[Présence MàN AC]],"Indisponible")</f>
        <v>1</v>
      </c>
      <c r="CD60" s="67">
        <f>2*DonnéesDessin[[#This Row],[Indisponible]]</f>
        <v>2</v>
      </c>
      <c r="CE60" s="67">
        <f>COUNTIF(DonnéesDessin[[#This Row],[Réponse doodle 01]:[Présence MàN AC]],"Ne peut s'inscrire")</f>
        <v>0</v>
      </c>
      <c r="CF60" s="67">
        <f>1*DonnéesDessin[[#This Row],[Ne peut s''inscrire]]</f>
        <v>0</v>
      </c>
      <c r="CG60" s="67">
        <f>COUNTIF(DonnéesDessin[[#This Row],[Réponse doodle 01]:[Présence MàN AC]],"Sans information")</f>
        <v>2</v>
      </c>
      <c r="CH60" s="67">
        <f>0*DonnéesDessin[[#This Row],[Sans information]]</f>
        <v>0</v>
      </c>
      <c r="CI60" s="67">
        <f>COUNTIF(DonnéesDessin[[#This Row],[Réponse doodle 01]:[Présence MàN AC]],"Présent")</f>
        <v>9</v>
      </c>
      <c r="CJ60" s="67">
        <f>2*DonnéesDessin[[#This Row],[Présent]]</f>
        <v>18</v>
      </c>
      <c r="CK60" s="67">
        <f>COUNTIF(DonnéesDessin[[#This Row],[Réponse doodle 01]:[Présence MàN AC]],"P pas nécessaire")</f>
        <v>0</v>
      </c>
      <c r="CL60" s="67">
        <f>2*DonnéesDessin[[#This Row],[P pas nécessaire]]</f>
        <v>0</v>
      </c>
      <c r="CM60" s="67">
        <f>COUNTIF(DonnéesDessin[[#This Row],[Réponse doodle 01]:[Présence MàN AC]],"Excusé")</f>
        <v>1</v>
      </c>
      <c r="CN60" s="67">
        <f>1*DonnéesDessin[[#This Row],[Excusé]]</f>
        <v>1</v>
      </c>
      <c r="CO60" s="67">
        <f>COUNTIF(DonnéesDessin[[#This Row],[Réponse doodle 01]:[Présence MàN AC]],"Pas présent")</f>
        <v>2</v>
      </c>
      <c r="CP60" s="67">
        <f>0*DonnéesDessin[[#This Row],[Pas présent]]</f>
        <v>0</v>
      </c>
      <c r="CQ60"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48</v>
      </c>
      <c r="CR60" s="78">
        <v>42600</v>
      </c>
      <c r="CS60" s="79" t="s">
        <v>438</v>
      </c>
      <c r="CT60" s="67" t="s">
        <v>257</v>
      </c>
      <c r="CU60" s="67">
        <v>4</v>
      </c>
      <c r="CV60" s="84">
        <v>62</v>
      </c>
      <c r="CW60" s="84">
        <v>49</v>
      </c>
      <c r="CX60" s="84">
        <f>SUBTOTAL(9,DonnéesDessin[[#This Row],[Résultat Niveau 1]:[Résultat Avancé]])</f>
        <v>111</v>
      </c>
      <c r="CY60" s="84" t="s">
        <v>438</v>
      </c>
      <c r="CZ60" s="84" t="s">
        <v>675</v>
      </c>
      <c r="DA60" s="67">
        <v>55</v>
      </c>
      <c r="DB60" s="88">
        <f>(DonnéesDessin[[#This Row],[Résultat Niveau 1]]+DonnéesDessin[[#This Row],[Résultat Avancé]])/DonnéesDessin[[#This Row],[Durée BC AC19 (en min)]]</f>
        <v>2.0181818181818181</v>
      </c>
    </row>
    <row r="61" spans="1:106">
      <c r="A61" s="62" t="str">
        <f>DonnéesDessin[[#This Row],[Prénom]]&amp;" "&amp;DonnéesDessin[[#This Row],[Nom]]</f>
        <v>Sandrine Borloz</v>
      </c>
      <c r="B61" s="63" t="s">
        <v>46</v>
      </c>
      <c r="C61" s="63" t="s">
        <v>167</v>
      </c>
      <c r="D61" s="63" t="s">
        <v>451</v>
      </c>
      <c r="E61" s="64" t="s">
        <v>41</v>
      </c>
      <c r="F61" s="64" t="s">
        <v>41</v>
      </c>
      <c r="G61" s="63"/>
      <c r="H61" s="63" t="s">
        <v>51</v>
      </c>
      <c r="I61" s="65">
        <v>2011</v>
      </c>
      <c r="J61" s="65">
        <v>16</v>
      </c>
      <c r="K61" s="66" t="s">
        <v>384</v>
      </c>
      <c r="L61" s="67">
        <f>DonnéesDessin[[#This Row],[PTS]]</f>
        <v>34</v>
      </c>
      <c r="M61" s="68" t="s">
        <v>52</v>
      </c>
      <c r="N61" s="63">
        <v>0</v>
      </c>
      <c r="O61" s="63" t="s">
        <v>45</v>
      </c>
      <c r="P61" s="63">
        <v>0</v>
      </c>
      <c r="Q61" s="63" t="s">
        <v>45</v>
      </c>
      <c r="R61" s="63">
        <v>0</v>
      </c>
      <c r="S61" s="63" t="s">
        <v>45</v>
      </c>
      <c r="T61" s="69">
        <v>0</v>
      </c>
      <c r="U61" s="68" t="s">
        <v>255</v>
      </c>
      <c r="V61" s="70" t="s">
        <v>41</v>
      </c>
      <c r="W61" s="63" t="s">
        <v>258</v>
      </c>
      <c r="X61" s="63" t="s">
        <v>507</v>
      </c>
      <c r="Y61" s="68" t="s">
        <v>248</v>
      </c>
      <c r="Z61" s="71">
        <v>42398</v>
      </c>
      <c r="AA61" s="67" t="s">
        <v>257</v>
      </c>
      <c r="AB61" s="69" t="s">
        <v>44</v>
      </c>
      <c r="AC61" s="68" t="s">
        <v>248</v>
      </c>
      <c r="AD61" s="11" t="s">
        <v>323</v>
      </c>
      <c r="AE61" s="67" t="s">
        <v>258</v>
      </c>
      <c r="AF61" s="69" t="s">
        <v>383</v>
      </c>
      <c r="AG61" s="68" t="s">
        <v>248</v>
      </c>
      <c r="AH61" s="72">
        <v>42439</v>
      </c>
      <c r="AI61" s="67" t="s">
        <v>257</v>
      </c>
      <c r="AJ61" s="69" t="s">
        <v>44</v>
      </c>
      <c r="AK61" s="68" t="s">
        <v>248</v>
      </c>
      <c r="AL61" s="67" t="s">
        <v>334</v>
      </c>
      <c r="AM61" s="67" t="s">
        <v>259</v>
      </c>
      <c r="AN61" s="69" t="s">
        <v>343</v>
      </c>
      <c r="AO61" s="68" t="s">
        <v>248</v>
      </c>
      <c r="AP61" s="67" t="s">
        <v>336</v>
      </c>
      <c r="AQ61" s="67" t="s">
        <v>259</v>
      </c>
      <c r="AR61" s="69" t="s">
        <v>343</v>
      </c>
      <c r="AS61" s="68" t="s">
        <v>248</v>
      </c>
      <c r="AT61" s="67" t="s">
        <v>416</v>
      </c>
      <c r="AU61" s="67" t="s">
        <v>259</v>
      </c>
      <c r="AV61" s="69" t="s">
        <v>343</v>
      </c>
      <c r="AW61" s="68" t="s">
        <v>248</v>
      </c>
      <c r="AX61" s="67" t="s">
        <v>427</v>
      </c>
      <c r="AY61" s="67" t="s">
        <v>257</v>
      </c>
      <c r="AZ61" s="69" t="s">
        <v>44</v>
      </c>
      <c r="BA61" s="68" t="s">
        <v>256</v>
      </c>
      <c r="BB61" s="67" t="s">
        <v>41</v>
      </c>
      <c r="BC61" s="67" t="s">
        <v>259</v>
      </c>
      <c r="BD61" s="69" t="s">
        <v>41</v>
      </c>
      <c r="BE61" s="68" t="s">
        <v>256</v>
      </c>
      <c r="BF61" s="67" t="s">
        <v>41</v>
      </c>
      <c r="BG61" s="67" t="s">
        <v>259</v>
      </c>
      <c r="BH61" s="69" t="s">
        <v>41</v>
      </c>
      <c r="BI61" s="68" t="s">
        <v>256</v>
      </c>
      <c r="BJ61" s="67" t="s">
        <v>41</v>
      </c>
      <c r="BK61" s="67" t="s">
        <v>259</v>
      </c>
      <c r="BL61" s="69" t="s">
        <v>41</v>
      </c>
      <c r="BM61" s="68" t="s">
        <v>53</v>
      </c>
      <c r="BN61" s="66" t="s">
        <v>53</v>
      </c>
      <c r="BO61" s="66" t="s">
        <v>51</v>
      </c>
      <c r="BP61" s="66" t="s">
        <v>255</v>
      </c>
      <c r="BQ61" s="74">
        <v>42347</v>
      </c>
      <c r="BR61" s="66" t="s">
        <v>41</v>
      </c>
      <c r="BS61" s="66" t="s">
        <v>258</v>
      </c>
      <c r="BT61" s="68">
        <f>Nombrecours</f>
        <v>10</v>
      </c>
      <c r="BU61" s="63">
        <f>COUNTIF(DonnéesDessin[[#This Row],[Réponse doodle 01]:[Présence MàN AC]],"Excusé")</f>
        <v>3</v>
      </c>
      <c r="BV61" s="63">
        <f>COUNTIF(DonnéesDessin[[#This Row],[Réponse doodle 01]:[Présence MàN AC]],"N-employé")</f>
        <v>0</v>
      </c>
      <c r="BW61" s="63">
        <f>DonnéesDessin[[#This Row],[Nombre de cours]]-DonnéesDessin[[#This Row],[Nombre excusé]]-DonnéesDessin[[#This Row],[Nombre N-employé]]</f>
        <v>7</v>
      </c>
      <c r="BX61" s="69">
        <f>COUNTIF(DonnéesDessin[[#This Row],[Réponse doodle 01]:[Présence MàN AC]],"Présent")</f>
        <v>3</v>
      </c>
      <c r="BY61" s="68">
        <f>COUNTIF(DonnéesDessin[[#This Row],[Réponse doodle 01]:[Présence MàN AC]],"Inscrit")</f>
        <v>7</v>
      </c>
      <c r="BZ61" s="67">
        <f>3*DonnéesDessin[[#This Row],[Inscrit]]</f>
        <v>21</v>
      </c>
      <c r="CA61" s="67">
        <f>COUNTIF(DonnéesDessin[[#This Row],[Réponse doodle 01]:[Présence MàN AC]],"R pas nécessaire")</f>
        <v>0</v>
      </c>
      <c r="CB61" s="67">
        <f>SUM(3*DonnéesDessin[[#This Row],[R pas nécessaire]])</f>
        <v>0</v>
      </c>
      <c r="CC61" s="67">
        <f>COUNTIF(DonnéesDessin[[#This Row],[Réponse doodle 01]:[Présence MàN AC]],"Indisponible")</f>
        <v>2</v>
      </c>
      <c r="CD61" s="67">
        <f>2*DonnéesDessin[[#This Row],[Indisponible]]</f>
        <v>4</v>
      </c>
      <c r="CE61" s="67">
        <f>COUNTIF(DonnéesDessin[[#This Row],[Réponse doodle 01]:[Présence MàN AC]],"Ne peut s'inscrire")</f>
        <v>0</v>
      </c>
      <c r="CF61" s="67">
        <f>1*DonnéesDessin[[#This Row],[Ne peut s''inscrire]]</f>
        <v>0</v>
      </c>
      <c r="CG61" s="67">
        <f>COUNTIF(DonnéesDessin[[#This Row],[Réponse doodle 01]:[Présence MàN AC]],"Sans information")</f>
        <v>3</v>
      </c>
      <c r="CH61" s="67">
        <f>0*DonnéesDessin[[#This Row],[Sans information]]</f>
        <v>0</v>
      </c>
      <c r="CI61" s="67">
        <f>COUNTIF(DonnéesDessin[[#This Row],[Réponse doodle 01]:[Présence MàN AC]],"Présent")</f>
        <v>3</v>
      </c>
      <c r="CJ61" s="67">
        <f>2*DonnéesDessin[[#This Row],[Présent]]</f>
        <v>6</v>
      </c>
      <c r="CK61" s="67">
        <f>COUNTIF(DonnéesDessin[[#This Row],[Réponse doodle 01]:[Présence MàN AC]],"P pas nécessaire")</f>
        <v>0</v>
      </c>
      <c r="CL61" s="67">
        <f>2*DonnéesDessin[[#This Row],[P pas nécessaire]]</f>
        <v>0</v>
      </c>
      <c r="CM61" s="67">
        <f>COUNTIF(DonnéesDessin[[#This Row],[Réponse doodle 01]:[Présence MàN AC]],"Excusé")</f>
        <v>3</v>
      </c>
      <c r="CN61" s="67">
        <f>1*DonnéesDessin[[#This Row],[Excusé]]</f>
        <v>3</v>
      </c>
      <c r="CO61" s="67">
        <f>COUNTIF(DonnéesDessin[[#This Row],[Réponse doodle 01]:[Présence MàN AC]],"Pas présent")</f>
        <v>6</v>
      </c>
      <c r="CP61" s="67">
        <f>0*DonnéesDessin[[#This Row],[Pas présent]]</f>
        <v>0</v>
      </c>
      <c r="CQ61"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34</v>
      </c>
      <c r="CR61" s="78">
        <v>42579</v>
      </c>
      <c r="CS61" s="79" t="s">
        <v>441</v>
      </c>
      <c r="CT61" s="67" t="s">
        <v>257</v>
      </c>
      <c r="CU61" s="67">
        <v>2</v>
      </c>
      <c r="CV61" s="84">
        <v>80</v>
      </c>
      <c r="CW61" s="84">
        <v>57</v>
      </c>
      <c r="CX61" s="84">
        <f>SUBTOTAL(9,DonnéesDessin[[#This Row],[Résultat Niveau 1]:[Résultat Avancé]])</f>
        <v>137</v>
      </c>
      <c r="CY61" s="84" t="s">
        <v>441</v>
      </c>
      <c r="CZ61" s="84" t="s">
        <v>495</v>
      </c>
      <c r="DA61" s="67">
        <v>65</v>
      </c>
      <c r="DB61" s="88">
        <f>(DonnéesDessin[[#This Row],[Résultat Niveau 1]]+DonnéesDessin[[#This Row],[Résultat Avancé]])/DonnéesDessin[[#This Row],[Durée BC AC19 (en min)]]</f>
        <v>2.1076923076923078</v>
      </c>
    </row>
    <row r="62" spans="1:106">
      <c r="A62" s="62" t="str">
        <f>DonnéesDessin[[#This Row],[Prénom]]&amp;" "&amp;DonnéesDessin[[#This Row],[Nom]]</f>
        <v>Serge Stettler</v>
      </c>
      <c r="B62" s="63" t="s">
        <v>168</v>
      </c>
      <c r="C62" s="63" t="s">
        <v>169</v>
      </c>
      <c r="D62" s="63" t="s">
        <v>451</v>
      </c>
      <c r="E62" s="64" t="s">
        <v>41</v>
      </c>
      <c r="F62" s="64" t="s">
        <v>41</v>
      </c>
      <c r="G62" s="63" t="s">
        <v>56</v>
      </c>
      <c r="H62" s="63" t="s">
        <v>51</v>
      </c>
      <c r="I62" s="65">
        <v>2013</v>
      </c>
      <c r="J62" s="65">
        <v>18</v>
      </c>
      <c r="K62" s="66" t="s">
        <v>41</v>
      </c>
      <c r="L62" s="67">
        <f>DonnéesDessin[[#This Row],[PTS]]</f>
        <v>48</v>
      </c>
      <c r="M62" s="68" t="s">
        <v>52</v>
      </c>
      <c r="N62" s="63">
        <v>0</v>
      </c>
      <c r="O62" s="63" t="s">
        <v>45</v>
      </c>
      <c r="P62" s="63">
        <v>0</v>
      </c>
      <c r="Q62" s="63" t="s">
        <v>45</v>
      </c>
      <c r="R62" s="63">
        <v>0</v>
      </c>
      <c r="S62" s="63" t="s">
        <v>45</v>
      </c>
      <c r="T62" s="69">
        <v>0</v>
      </c>
      <c r="U62" s="68" t="s">
        <v>248</v>
      </c>
      <c r="V62" s="70">
        <v>42320</v>
      </c>
      <c r="W62" s="63" t="s">
        <v>258</v>
      </c>
      <c r="X62" s="63" t="s">
        <v>355</v>
      </c>
      <c r="Y62" s="68" t="s">
        <v>248</v>
      </c>
      <c r="Z62" s="71">
        <v>42390</v>
      </c>
      <c r="AA62" s="67" t="s">
        <v>257</v>
      </c>
      <c r="AB62" s="69" t="s">
        <v>44</v>
      </c>
      <c r="AC62" s="68" t="s">
        <v>248</v>
      </c>
      <c r="AD62" s="11" t="s">
        <v>323</v>
      </c>
      <c r="AE62" s="67" t="s">
        <v>257</v>
      </c>
      <c r="AF62" s="69" t="s">
        <v>44</v>
      </c>
      <c r="AG62" s="68" t="s">
        <v>248</v>
      </c>
      <c r="AH62" s="72">
        <v>42439</v>
      </c>
      <c r="AI62" s="67" t="s">
        <v>258</v>
      </c>
      <c r="AJ62" s="69" t="s">
        <v>356</v>
      </c>
      <c r="AK62" s="68" t="s">
        <v>248</v>
      </c>
      <c r="AL62" s="67" t="s">
        <v>334</v>
      </c>
      <c r="AM62" s="67" t="s">
        <v>257</v>
      </c>
      <c r="AN62" s="69" t="s">
        <v>44</v>
      </c>
      <c r="AO62" s="68" t="s">
        <v>248</v>
      </c>
      <c r="AP62" s="67" t="s">
        <v>338</v>
      </c>
      <c r="AQ62" s="67" t="s">
        <v>257</v>
      </c>
      <c r="AR62" s="69" t="s">
        <v>44</v>
      </c>
      <c r="AS62" s="68" t="s">
        <v>248</v>
      </c>
      <c r="AT62" s="67" t="s">
        <v>415</v>
      </c>
      <c r="AU62" s="67" t="s">
        <v>257</v>
      </c>
      <c r="AV62" s="69" t="s">
        <v>420</v>
      </c>
      <c r="AW62" s="68" t="s">
        <v>248</v>
      </c>
      <c r="AX62" s="67" t="s">
        <v>425</v>
      </c>
      <c r="AY62" s="67" t="s">
        <v>257</v>
      </c>
      <c r="AZ62" s="69" t="s">
        <v>44</v>
      </c>
      <c r="BA62" s="68" t="s">
        <v>256</v>
      </c>
      <c r="BB62" s="67" t="s">
        <v>41</v>
      </c>
      <c r="BC62" s="67" t="s">
        <v>259</v>
      </c>
      <c r="BD62" s="69" t="s">
        <v>41</v>
      </c>
      <c r="BE62" s="68" t="s">
        <v>256</v>
      </c>
      <c r="BF62" s="67" t="s">
        <v>41</v>
      </c>
      <c r="BG62" s="67" t="s">
        <v>259</v>
      </c>
      <c r="BH62" s="69" t="s">
        <v>41</v>
      </c>
      <c r="BI62" s="68" t="s">
        <v>248</v>
      </c>
      <c r="BJ62" s="72">
        <v>42509</v>
      </c>
      <c r="BK62" s="67" t="s">
        <v>257</v>
      </c>
      <c r="BL62" s="69" t="s">
        <v>44</v>
      </c>
      <c r="BM62" s="68" t="s">
        <v>65</v>
      </c>
      <c r="BN62" s="67" t="s">
        <v>65</v>
      </c>
      <c r="BO62" s="67" t="s">
        <v>51</v>
      </c>
      <c r="BP62" s="67" t="s">
        <v>248</v>
      </c>
      <c r="BQ62" s="64">
        <v>42349</v>
      </c>
      <c r="BR62" s="63" t="s">
        <v>284</v>
      </c>
      <c r="BS62" s="63" t="s">
        <v>257</v>
      </c>
      <c r="BT62" s="68">
        <f>Nombrecours</f>
        <v>10</v>
      </c>
      <c r="BU62" s="63">
        <f>COUNTIF(DonnéesDessin[[#This Row],[Réponse doodle 01]:[Présence MàN AC]],"Excusé")</f>
        <v>2</v>
      </c>
      <c r="BV62" s="63">
        <f>COUNTIF(DonnéesDessin[[#This Row],[Réponse doodle 01]:[Présence MàN AC]],"N-employé")</f>
        <v>0</v>
      </c>
      <c r="BW62" s="63">
        <f>DonnéesDessin[[#This Row],[Nombre de cours]]-DonnéesDessin[[#This Row],[Nombre excusé]]-DonnéesDessin[[#This Row],[Nombre N-employé]]</f>
        <v>8</v>
      </c>
      <c r="BX62" s="69">
        <f>COUNTIF(DonnéesDessin[[#This Row],[Réponse doodle 01]:[Présence MàN AC]],"Présent")</f>
        <v>8</v>
      </c>
      <c r="BY62" s="68">
        <f>COUNTIF(DonnéesDessin[[#This Row],[Réponse doodle 01]:[Présence MàN AC]],"Inscrit")</f>
        <v>10</v>
      </c>
      <c r="BZ62" s="67">
        <f>3*DonnéesDessin[[#This Row],[Inscrit]]</f>
        <v>30</v>
      </c>
      <c r="CA62" s="67">
        <f>COUNTIF(DonnéesDessin[[#This Row],[Réponse doodle 01]:[Présence MàN AC]],"R pas nécessaire")</f>
        <v>0</v>
      </c>
      <c r="CB62" s="67">
        <f>SUM(3*DonnéesDessin[[#This Row],[R pas nécessaire]])</f>
        <v>0</v>
      </c>
      <c r="CC62" s="67">
        <f>COUNTIF(DonnéesDessin[[#This Row],[Réponse doodle 01]:[Présence MàN AC]],"Indisponible")</f>
        <v>0</v>
      </c>
      <c r="CD62" s="67">
        <f>2*DonnéesDessin[[#This Row],[Indisponible]]</f>
        <v>0</v>
      </c>
      <c r="CE62" s="67">
        <f>COUNTIF(DonnéesDessin[[#This Row],[Réponse doodle 01]:[Présence MàN AC]],"Ne peut s'inscrire")</f>
        <v>0</v>
      </c>
      <c r="CF62" s="67">
        <f>1*DonnéesDessin[[#This Row],[Ne peut s''inscrire]]</f>
        <v>0</v>
      </c>
      <c r="CG62" s="67">
        <f>COUNTIF(DonnéesDessin[[#This Row],[Réponse doodle 01]:[Présence MàN AC]],"Sans information")</f>
        <v>2</v>
      </c>
      <c r="CH62" s="67">
        <f>0*DonnéesDessin[[#This Row],[Sans information]]</f>
        <v>0</v>
      </c>
      <c r="CI62" s="67">
        <f>COUNTIF(DonnéesDessin[[#This Row],[Réponse doodle 01]:[Présence MàN AC]],"Présent")</f>
        <v>8</v>
      </c>
      <c r="CJ62" s="67">
        <f>2*DonnéesDessin[[#This Row],[Présent]]</f>
        <v>16</v>
      </c>
      <c r="CK62" s="67">
        <f>COUNTIF(DonnéesDessin[[#This Row],[Réponse doodle 01]:[Présence MàN AC]],"P pas nécessaire")</f>
        <v>0</v>
      </c>
      <c r="CL62" s="67">
        <f>2*DonnéesDessin[[#This Row],[P pas nécessaire]]</f>
        <v>0</v>
      </c>
      <c r="CM62" s="67">
        <f>COUNTIF(DonnéesDessin[[#This Row],[Réponse doodle 01]:[Présence MàN AC]],"Excusé")</f>
        <v>2</v>
      </c>
      <c r="CN62" s="67">
        <f>1*DonnéesDessin[[#This Row],[Excusé]]</f>
        <v>2</v>
      </c>
      <c r="CO62" s="67">
        <f>COUNTIF(DonnéesDessin[[#This Row],[Réponse doodle 01]:[Présence MàN AC]],"Pas présent")</f>
        <v>2</v>
      </c>
      <c r="CP62" s="67">
        <f>0*DonnéesDessin[[#This Row],[Pas présent]]</f>
        <v>0</v>
      </c>
      <c r="CQ62"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48</v>
      </c>
      <c r="CR62" s="78">
        <v>42600</v>
      </c>
      <c r="CS62" s="79" t="s">
        <v>438</v>
      </c>
      <c r="CT62" s="67" t="s">
        <v>257</v>
      </c>
      <c r="CU62" s="67">
        <v>1</v>
      </c>
      <c r="CV62" s="84">
        <v>48</v>
      </c>
      <c r="CW62" s="84">
        <v>53</v>
      </c>
      <c r="CX62" s="84">
        <f>SUBTOTAL(9,DonnéesDessin[[#This Row],[Résultat Niveau 1]:[Résultat Avancé]])</f>
        <v>101</v>
      </c>
      <c r="CY62" s="84" t="s">
        <v>438</v>
      </c>
      <c r="CZ62" s="84" t="s">
        <v>488</v>
      </c>
      <c r="DA62" s="67">
        <v>40</v>
      </c>
      <c r="DB62" s="88">
        <f>(DonnéesDessin[[#This Row],[Résultat Niveau 1]]+DonnéesDessin[[#This Row],[Résultat Avancé]])/DonnéesDessin[[#This Row],[Durée BC AC19 (en min)]]</f>
        <v>2.5249999999999999</v>
      </c>
    </row>
    <row r="63" spans="1:106">
      <c r="A63" s="62" t="str">
        <f>DonnéesDessin[[#This Row],[Prénom]]&amp;" "&amp;DonnéesDessin[[#This Row],[Nom]]</f>
        <v>Silvia Mury</v>
      </c>
      <c r="B63" s="63" t="s">
        <v>170</v>
      </c>
      <c r="C63" s="63" t="s">
        <v>171</v>
      </c>
      <c r="D63" s="63" t="s">
        <v>57</v>
      </c>
      <c r="E63" s="64" t="s">
        <v>41</v>
      </c>
      <c r="F63" s="64" t="s">
        <v>41</v>
      </c>
      <c r="G63" s="63"/>
      <c r="H63" s="63" t="s">
        <v>51</v>
      </c>
      <c r="I63" s="65" t="s">
        <v>51</v>
      </c>
      <c r="J63" s="65">
        <v>16</v>
      </c>
      <c r="K63" s="66" t="s">
        <v>41</v>
      </c>
      <c r="L63" s="67">
        <f>DonnéesDessin[[#This Row],[PTS]]</f>
        <v>44</v>
      </c>
      <c r="M63" s="68" t="s">
        <v>52</v>
      </c>
      <c r="N63" s="63">
        <v>0</v>
      </c>
      <c r="O63" s="63" t="s">
        <v>45</v>
      </c>
      <c r="P63" s="63">
        <v>0</v>
      </c>
      <c r="Q63" s="63" t="s">
        <v>45</v>
      </c>
      <c r="R63" s="63">
        <v>0</v>
      </c>
      <c r="S63" s="63" t="s">
        <v>45</v>
      </c>
      <c r="T63" s="69">
        <v>0</v>
      </c>
      <c r="U63" s="68" t="s">
        <v>248</v>
      </c>
      <c r="V63" s="70">
        <v>42325</v>
      </c>
      <c r="W63" s="63" t="s">
        <v>257</v>
      </c>
      <c r="X63" s="63" t="s">
        <v>44</v>
      </c>
      <c r="Y63" s="68" t="s">
        <v>248</v>
      </c>
      <c r="Z63" s="71">
        <v>42390</v>
      </c>
      <c r="AA63" s="67" t="s">
        <v>257</v>
      </c>
      <c r="AB63" s="69" t="s">
        <v>44</v>
      </c>
      <c r="AC63" s="68" t="s">
        <v>248</v>
      </c>
      <c r="AD63" s="11" t="s">
        <v>324</v>
      </c>
      <c r="AE63" s="67" t="s">
        <v>258</v>
      </c>
      <c r="AF63" s="69" t="s">
        <v>366</v>
      </c>
      <c r="AG63" s="68" t="s">
        <v>248</v>
      </c>
      <c r="AH63" s="72">
        <v>42431</v>
      </c>
      <c r="AI63" s="67" t="s">
        <v>257</v>
      </c>
      <c r="AJ63" s="69" t="s">
        <v>44</v>
      </c>
      <c r="AK63" s="68" t="s">
        <v>248</v>
      </c>
      <c r="AL63" s="67" t="s">
        <v>334</v>
      </c>
      <c r="AM63" s="67" t="s">
        <v>257</v>
      </c>
      <c r="AN63" s="69" t="s">
        <v>44</v>
      </c>
      <c r="AO63" s="68" t="s">
        <v>248</v>
      </c>
      <c r="AP63" s="67" t="s">
        <v>335</v>
      </c>
      <c r="AQ63" s="67" t="s">
        <v>257</v>
      </c>
      <c r="AR63" s="69" t="s">
        <v>44</v>
      </c>
      <c r="AS63" s="68" t="s">
        <v>248</v>
      </c>
      <c r="AT63" s="67" t="s">
        <v>413</v>
      </c>
      <c r="AU63" s="67" t="s">
        <v>257</v>
      </c>
      <c r="AV63" s="69" t="s">
        <v>44</v>
      </c>
      <c r="AW63" s="68" t="s">
        <v>248</v>
      </c>
      <c r="AX63" s="67" t="s">
        <v>430</v>
      </c>
      <c r="AY63" s="67" t="s">
        <v>257</v>
      </c>
      <c r="AZ63" s="69" t="s">
        <v>44</v>
      </c>
      <c r="BA63" s="68" t="s">
        <v>256</v>
      </c>
      <c r="BB63" s="67" t="s">
        <v>41</v>
      </c>
      <c r="BC63" s="67" t="s">
        <v>259</v>
      </c>
      <c r="BD63" s="69" t="s">
        <v>41</v>
      </c>
      <c r="BE63" s="68" t="s">
        <v>256</v>
      </c>
      <c r="BF63" s="67" t="s">
        <v>41</v>
      </c>
      <c r="BG63" s="67" t="s">
        <v>259</v>
      </c>
      <c r="BH63" s="69" t="s">
        <v>41</v>
      </c>
      <c r="BI63" s="68" t="s">
        <v>256</v>
      </c>
      <c r="BJ63" s="67" t="s">
        <v>41</v>
      </c>
      <c r="BK63" s="67" t="s">
        <v>259</v>
      </c>
      <c r="BL63" s="69" t="s">
        <v>41</v>
      </c>
      <c r="BM63" s="68" t="s">
        <v>53</v>
      </c>
      <c r="BN63" s="67" t="s">
        <v>53</v>
      </c>
      <c r="BO63" s="67" t="s">
        <v>51</v>
      </c>
      <c r="BP63" s="67" t="s">
        <v>248</v>
      </c>
      <c r="BQ63" s="64">
        <v>42347</v>
      </c>
      <c r="BR63" s="63" t="s">
        <v>285</v>
      </c>
      <c r="BS63" s="63" t="s">
        <v>257</v>
      </c>
      <c r="BT63" s="68">
        <f>Nombrecours</f>
        <v>10</v>
      </c>
      <c r="BU63" s="63">
        <f>COUNTIF(DonnéesDessin[[#This Row],[Réponse doodle 01]:[Présence MàN AC]],"Excusé")</f>
        <v>1</v>
      </c>
      <c r="BV63" s="63">
        <f>COUNTIF(DonnéesDessin[[#This Row],[Réponse doodle 01]:[Présence MàN AC]],"N-employé")</f>
        <v>0</v>
      </c>
      <c r="BW63" s="63">
        <f>DonnéesDessin[[#This Row],[Nombre de cours]]-DonnéesDessin[[#This Row],[Nombre excusé]]-DonnéesDessin[[#This Row],[Nombre N-employé]]</f>
        <v>9</v>
      </c>
      <c r="BX63" s="69">
        <f>COUNTIF(DonnéesDessin[[#This Row],[Réponse doodle 01]:[Présence MàN AC]],"Présent")</f>
        <v>8</v>
      </c>
      <c r="BY63" s="68">
        <f>COUNTIF(DonnéesDessin[[#This Row],[Réponse doodle 01]:[Présence MàN AC]],"Inscrit")</f>
        <v>9</v>
      </c>
      <c r="BZ63" s="67">
        <f>3*DonnéesDessin[[#This Row],[Inscrit]]</f>
        <v>27</v>
      </c>
      <c r="CA63" s="67">
        <f>COUNTIF(DonnéesDessin[[#This Row],[Réponse doodle 01]:[Présence MàN AC]],"R pas nécessaire")</f>
        <v>0</v>
      </c>
      <c r="CB63" s="67">
        <f>SUM(3*DonnéesDessin[[#This Row],[R pas nécessaire]])</f>
        <v>0</v>
      </c>
      <c r="CC63" s="67">
        <f>COUNTIF(DonnéesDessin[[#This Row],[Réponse doodle 01]:[Présence MàN AC]],"Indisponible")</f>
        <v>0</v>
      </c>
      <c r="CD63" s="67">
        <f>2*DonnéesDessin[[#This Row],[Indisponible]]</f>
        <v>0</v>
      </c>
      <c r="CE63" s="67">
        <f>COUNTIF(DonnéesDessin[[#This Row],[Réponse doodle 01]:[Présence MàN AC]],"Ne peut s'inscrire")</f>
        <v>0</v>
      </c>
      <c r="CF63" s="67">
        <f>1*DonnéesDessin[[#This Row],[Ne peut s''inscrire]]</f>
        <v>0</v>
      </c>
      <c r="CG63" s="67">
        <f>COUNTIF(DonnéesDessin[[#This Row],[Réponse doodle 01]:[Présence MàN AC]],"Sans information")</f>
        <v>3</v>
      </c>
      <c r="CH63" s="67">
        <f>0*DonnéesDessin[[#This Row],[Sans information]]</f>
        <v>0</v>
      </c>
      <c r="CI63" s="67">
        <f>COUNTIF(DonnéesDessin[[#This Row],[Réponse doodle 01]:[Présence MàN AC]],"Présent")</f>
        <v>8</v>
      </c>
      <c r="CJ63" s="67">
        <f>2*DonnéesDessin[[#This Row],[Présent]]</f>
        <v>16</v>
      </c>
      <c r="CK63" s="67">
        <f>COUNTIF(DonnéesDessin[[#This Row],[Réponse doodle 01]:[Présence MàN AC]],"P pas nécessaire")</f>
        <v>0</v>
      </c>
      <c r="CL63" s="67">
        <f>2*DonnéesDessin[[#This Row],[P pas nécessaire]]</f>
        <v>0</v>
      </c>
      <c r="CM63" s="67">
        <f>COUNTIF(DonnéesDessin[[#This Row],[Réponse doodle 01]:[Présence MàN AC]],"Excusé")</f>
        <v>1</v>
      </c>
      <c r="CN63" s="67">
        <f>1*DonnéesDessin[[#This Row],[Excusé]]</f>
        <v>1</v>
      </c>
      <c r="CO63" s="67">
        <f>COUNTIF(DonnéesDessin[[#This Row],[Réponse doodle 01]:[Présence MàN AC]],"Pas présent")</f>
        <v>3</v>
      </c>
      <c r="CP63" s="67">
        <f>0*DonnéesDessin[[#This Row],[Pas présent]]</f>
        <v>0</v>
      </c>
      <c r="CQ63"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44</v>
      </c>
      <c r="CR63" s="78">
        <v>42579</v>
      </c>
      <c r="CS63" s="79" t="s">
        <v>440</v>
      </c>
      <c r="CT63" s="67" t="s">
        <v>257</v>
      </c>
      <c r="CU63" s="67">
        <v>1</v>
      </c>
      <c r="CV63" s="84">
        <v>72</v>
      </c>
      <c r="CW63" s="84">
        <v>84</v>
      </c>
      <c r="CX63" s="84">
        <f>SUBTOTAL(9,DonnéesDessin[[#This Row],[Résultat Niveau 1]:[Résultat Avancé]])</f>
        <v>156</v>
      </c>
      <c r="CY63" s="84" t="s">
        <v>456</v>
      </c>
      <c r="CZ63" s="84" t="s">
        <v>494</v>
      </c>
      <c r="DA63" s="67">
        <v>70</v>
      </c>
      <c r="DB63" s="88">
        <f>(DonnéesDessin[[#This Row],[Résultat Niveau 1]]+DonnéesDessin[[#This Row],[Résultat Avancé]])/DonnéesDessin[[#This Row],[Durée BC AC19 (en min)]]</f>
        <v>2.2285714285714286</v>
      </c>
    </row>
    <row r="64" spans="1:106">
      <c r="A64" s="62" t="str">
        <f>DonnéesDessin[[#This Row],[Prénom]]&amp;" "&amp;DonnéesDessin[[#This Row],[Nom]]</f>
        <v>Sophie Superchi</v>
      </c>
      <c r="B64" s="63" t="s">
        <v>174</v>
      </c>
      <c r="C64" s="63" t="s">
        <v>175</v>
      </c>
      <c r="D64" s="63" t="s">
        <v>57</v>
      </c>
      <c r="E64" s="64" t="s">
        <v>41</v>
      </c>
      <c r="F64" s="64" t="s">
        <v>41</v>
      </c>
      <c r="G64" s="63" t="s">
        <v>50</v>
      </c>
      <c r="H64" s="63" t="s">
        <v>51</v>
      </c>
      <c r="I64" s="65">
        <v>2014</v>
      </c>
      <c r="J64" s="65">
        <v>16</v>
      </c>
      <c r="K64" s="66" t="s">
        <v>41</v>
      </c>
      <c r="L64" s="67">
        <f>DonnéesDessin[[#This Row],[PTS]]</f>
        <v>50</v>
      </c>
      <c r="M64" s="68" t="s">
        <v>52</v>
      </c>
      <c r="N64" s="63">
        <v>0</v>
      </c>
      <c r="O64" s="63" t="s">
        <v>45</v>
      </c>
      <c r="P64" s="63">
        <v>0</v>
      </c>
      <c r="Q64" s="63" t="s">
        <v>45</v>
      </c>
      <c r="R64" s="63">
        <v>0</v>
      </c>
      <c r="S64" s="63" t="s">
        <v>45</v>
      </c>
      <c r="T64" s="69">
        <v>0</v>
      </c>
      <c r="U64" s="68" t="s">
        <v>248</v>
      </c>
      <c r="V64" s="70">
        <v>42325</v>
      </c>
      <c r="W64" s="63" t="s">
        <v>257</v>
      </c>
      <c r="X64" s="63" t="s">
        <v>44</v>
      </c>
      <c r="Y64" s="68" t="s">
        <v>248</v>
      </c>
      <c r="Z64" s="71">
        <v>42382</v>
      </c>
      <c r="AA64" s="67" t="s">
        <v>257</v>
      </c>
      <c r="AB64" s="69" t="s">
        <v>44</v>
      </c>
      <c r="AC64" s="68" t="s">
        <v>248</v>
      </c>
      <c r="AD64" s="11" t="s">
        <v>324</v>
      </c>
      <c r="AE64" s="67" t="s">
        <v>257</v>
      </c>
      <c r="AF64" s="69" t="s">
        <v>44</v>
      </c>
      <c r="AG64" s="68" t="s">
        <v>248</v>
      </c>
      <c r="AH64" s="72">
        <v>42439</v>
      </c>
      <c r="AI64" s="67" t="s">
        <v>257</v>
      </c>
      <c r="AJ64" s="69" t="s">
        <v>44</v>
      </c>
      <c r="AK64" s="68" t="s">
        <v>248</v>
      </c>
      <c r="AL64" s="67" t="s">
        <v>332</v>
      </c>
      <c r="AM64" s="67" t="s">
        <v>257</v>
      </c>
      <c r="AN64" s="69" t="s">
        <v>44</v>
      </c>
      <c r="AO64" s="68" t="s">
        <v>248</v>
      </c>
      <c r="AP64" s="67" t="s">
        <v>336</v>
      </c>
      <c r="AQ64" s="67" t="s">
        <v>257</v>
      </c>
      <c r="AR64" s="69" t="s">
        <v>44</v>
      </c>
      <c r="AS64" s="68" t="s">
        <v>248</v>
      </c>
      <c r="AT64" s="67" t="s">
        <v>415</v>
      </c>
      <c r="AU64" s="67" t="s">
        <v>257</v>
      </c>
      <c r="AV64" s="69" t="s">
        <v>44</v>
      </c>
      <c r="AW64" s="68" t="s">
        <v>248</v>
      </c>
      <c r="AX64" s="67" t="s">
        <v>430</v>
      </c>
      <c r="AY64" s="67" t="s">
        <v>257</v>
      </c>
      <c r="AZ64" s="69" t="s">
        <v>44</v>
      </c>
      <c r="BA64" s="68" t="s">
        <v>256</v>
      </c>
      <c r="BB64" s="67" t="s">
        <v>41</v>
      </c>
      <c r="BC64" s="67" t="s">
        <v>259</v>
      </c>
      <c r="BD64" s="69" t="s">
        <v>41</v>
      </c>
      <c r="BE64" s="68" t="s">
        <v>256</v>
      </c>
      <c r="BF64" s="67" t="s">
        <v>41</v>
      </c>
      <c r="BG64" s="67" t="s">
        <v>259</v>
      </c>
      <c r="BH64" s="69" t="s">
        <v>41</v>
      </c>
      <c r="BI64" s="68" t="s">
        <v>248</v>
      </c>
      <c r="BJ64" s="72">
        <v>42509</v>
      </c>
      <c r="BK64" s="67" t="s">
        <v>257</v>
      </c>
      <c r="BL64" s="69" t="s">
        <v>44</v>
      </c>
      <c r="BM64" s="68" t="s">
        <v>53</v>
      </c>
      <c r="BN64" s="67" t="s">
        <v>53</v>
      </c>
      <c r="BO64" s="67" t="s">
        <v>51</v>
      </c>
      <c r="BP64" s="67" t="s">
        <v>248</v>
      </c>
      <c r="BQ64" s="64">
        <v>42347</v>
      </c>
      <c r="BR64" s="63" t="s">
        <v>285</v>
      </c>
      <c r="BS64" s="63" t="s">
        <v>257</v>
      </c>
      <c r="BT64" s="68">
        <f>Nombrecours</f>
        <v>10</v>
      </c>
      <c r="BU64" s="63">
        <f>COUNTIF(DonnéesDessin[[#This Row],[Réponse doodle 01]:[Présence MàN AC]],"Excusé")</f>
        <v>0</v>
      </c>
      <c r="BV64" s="63">
        <f>COUNTIF(DonnéesDessin[[#This Row],[Réponse doodle 01]:[Présence MàN AC]],"N-employé")</f>
        <v>0</v>
      </c>
      <c r="BW64" s="63">
        <f>DonnéesDessin[[#This Row],[Nombre de cours]]-DonnéesDessin[[#This Row],[Nombre excusé]]-DonnéesDessin[[#This Row],[Nombre N-employé]]</f>
        <v>10</v>
      </c>
      <c r="BX64" s="69">
        <f>COUNTIF(DonnéesDessin[[#This Row],[Réponse doodle 01]:[Présence MàN AC]],"Présent")</f>
        <v>10</v>
      </c>
      <c r="BY64" s="68">
        <f>COUNTIF(DonnéesDessin[[#This Row],[Réponse doodle 01]:[Présence MàN AC]],"Inscrit")</f>
        <v>10</v>
      </c>
      <c r="BZ64" s="67">
        <f>3*DonnéesDessin[[#This Row],[Inscrit]]</f>
        <v>30</v>
      </c>
      <c r="CA64" s="67">
        <f>COUNTIF(DonnéesDessin[[#This Row],[Réponse doodle 01]:[Présence MàN AC]],"R pas nécessaire")</f>
        <v>0</v>
      </c>
      <c r="CB64" s="67">
        <f>SUM(3*DonnéesDessin[[#This Row],[R pas nécessaire]])</f>
        <v>0</v>
      </c>
      <c r="CC64" s="67">
        <f>COUNTIF(DonnéesDessin[[#This Row],[Réponse doodle 01]:[Présence MàN AC]],"Indisponible")</f>
        <v>0</v>
      </c>
      <c r="CD64" s="67">
        <f>2*DonnéesDessin[[#This Row],[Indisponible]]</f>
        <v>0</v>
      </c>
      <c r="CE64" s="67">
        <f>COUNTIF(DonnéesDessin[[#This Row],[Réponse doodle 01]:[Présence MàN AC]],"Ne peut s'inscrire")</f>
        <v>0</v>
      </c>
      <c r="CF64" s="67">
        <f>1*DonnéesDessin[[#This Row],[Ne peut s''inscrire]]</f>
        <v>0</v>
      </c>
      <c r="CG64" s="67">
        <f>COUNTIF(DonnéesDessin[[#This Row],[Réponse doodle 01]:[Présence MàN AC]],"Sans information")</f>
        <v>2</v>
      </c>
      <c r="CH64" s="67">
        <f>0*DonnéesDessin[[#This Row],[Sans information]]</f>
        <v>0</v>
      </c>
      <c r="CI64" s="67">
        <f>COUNTIF(DonnéesDessin[[#This Row],[Réponse doodle 01]:[Présence MàN AC]],"Présent")</f>
        <v>10</v>
      </c>
      <c r="CJ64" s="67">
        <f>2*DonnéesDessin[[#This Row],[Présent]]</f>
        <v>20</v>
      </c>
      <c r="CK64" s="67">
        <f>COUNTIF(DonnéesDessin[[#This Row],[Réponse doodle 01]:[Présence MàN AC]],"P pas nécessaire")</f>
        <v>0</v>
      </c>
      <c r="CL64" s="67">
        <f>2*DonnéesDessin[[#This Row],[P pas nécessaire]]</f>
        <v>0</v>
      </c>
      <c r="CM64" s="67">
        <f>COUNTIF(DonnéesDessin[[#This Row],[Réponse doodle 01]:[Présence MàN AC]],"Excusé")</f>
        <v>0</v>
      </c>
      <c r="CN64" s="67">
        <f>1*DonnéesDessin[[#This Row],[Excusé]]</f>
        <v>0</v>
      </c>
      <c r="CO64" s="67">
        <f>COUNTIF(DonnéesDessin[[#This Row],[Réponse doodle 01]:[Présence MàN AC]],"Pas présent")</f>
        <v>2</v>
      </c>
      <c r="CP64" s="67">
        <f>0*DonnéesDessin[[#This Row],[Pas présent]]</f>
        <v>0</v>
      </c>
      <c r="CQ64"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50</v>
      </c>
      <c r="CR64" s="78">
        <v>42579</v>
      </c>
      <c r="CS64" s="79" t="s">
        <v>439</v>
      </c>
      <c r="CT64" s="67" t="s">
        <v>257</v>
      </c>
      <c r="CU64" s="67">
        <v>2</v>
      </c>
      <c r="CV64" s="84">
        <v>68</v>
      </c>
      <c r="CW64" s="84">
        <v>71</v>
      </c>
      <c r="CX64" s="84">
        <f>SUBTOTAL(9,DonnéesDessin[[#This Row],[Résultat Niveau 1]:[Résultat Avancé]])</f>
        <v>139</v>
      </c>
      <c r="CY64" s="84" t="s">
        <v>442</v>
      </c>
      <c r="CZ64" s="84" t="s">
        <v>497</v>
      </c>
      <c r="DA64" s="67">
        <v>65</v>
      </c>
      <c r="DB64" s="88">
        <f>(DonnéesDessin[[#This Row],[Résultat Niveau 1]]+DonnéesDessin[[#This Row],[Résultat Avancé]])/DonnéesDessin[[#This Row],[Durée BC AC19 (en min)]]</f>
        <v>2.1384615384615384</v>
      </c>
    </row>
    <row r="65" spans="1:106">
      <c r="A65" s="62" t="str">
        <f>DonnéesDessin[[#This Row],[Prénom]]&amp;" "&amp;DonnéesDessin[[#This Row],[Nom]]</f>
        <v>Sophie Von Büren</v>
      </c>
      <c r="B65" s="63" t="s">
        <v>176</v>
      </c>
      <c r="C65" s="63" t="s">
        <v>175</v>
      </c>
      <c r="D65" s="63" t="s">
        <v>49</v>
      </c>
      <c r="E65" s="64" t="s">
        <v>41</v>
      </c>
      <c r="F65" s="64" t="s">
        <v>41</v>
      </c>
      <c r="G65" s="63"/>
      <c r="H65" s="63" t="s">
        <v>51</v>
      </c>
      <c r="I65" s="65" t="s">
        <v>51</v>
      </c>
      <c r="J65" s="65">
        <v>17</v>
      </c>
      <c r="K65" s="66" t="s">
        <v>396</v>
      </c>
      <c r="L65" s="67">
        <f>DonnéesDessin[[#This Row],[PTS]]</f>
        <v>30</v>
      </c>
      <c r="M65" s="68" t="s">
        <v>52</v>
      </c>
      <c r="N65" s="63">
        <v>0</v>
      </c>
      <c r="O65" s="63" t="s">
        <v>45</v>
      </c>
      <c r="P65" s="63">
        <v>0</v>
      </c>
      <c r="Q65" s="63" t="s">
        <v>45</v>
      </c>
      <c r="R65" s="63">
        <v>0</v>
      </c>
      <c r="S65" s="63" t="s">
        <v>45</v>
      </c>
      <c r="T65" s="69">
        <v>0</v>
      </c>
      <c r="U65" s="68" t="s">
        <v>255</v>
      </c>
      <c r="V65" s="70" t="s">
        <v>41</v>
      </c>
      <c r="W65" s="63" t="s">
        <v>258</v>
      </c>
      <c r="X65" s="63" t="s">
        <v>507</v>
      </c>
      <c r="Y65" s="68" t="s">
        <v>248</v>
      </c>
      <c r="Z65" s="71">
        <v>42382</v>
      </c>
      <c r="AA65" s="67" t="s">
        <v>257</v>
      </c>
      <c r="AB65" s="69" t="s">
        <v>44</v>
      </c>
      <c r="AC65" s="68" t="s">
        <v>256</v>
      </c>
      <c r="AD65" s="11" t="s">
        <v>41</v>
      </c>
      <c r="AE65" s="67" t="s">
        <v>259</v>
      </c>
      <c r="AF65" s="69" t="s">
        <v>341</v>
      </c>
      <c r="AG65" s="68" t="s">
        <v>248</v>
      </c>
      <c r="AH65" s="72">
        <v>42439</v>
      </c>
      <c r="AI65" s="67" t="s">
        <v>259</v>
      </c>
      <c r="AJ65" s="69" t="s">
        <v>343</v>
      </c>
      <c r="AK65" s="68" t="s">
        <v>248</v>
      </c>
      <c r="AL65" s="67" t="s">
        <v>334</v>
      </c>
      <c r="AM65" s="67" t="s">
        <v>257</v>
      </c>
      <c r="AN65" s="69" t="s">
        <v>44</v>
      </c>
      <c r="AO65" s="68" t="s">
        <v>256</v>
      </c>
      <c r="AP65" s="67" t="s">
        <v>41</v>
      </c>
      <c r="AQ65" s="67" t="s">
        <v>259</v>
      </c>
      <c r="AR65" s="69" t="s">
        <v>341</v>
      </c>
      <c r="AS65" s="68" t="s">
        <v>248</v>
      </c>
      <c r="AT65" s="67" t="s">
        <v>416</v>
      </c>
      <c r="AU65" s="67" t="s">
        <v>259</v>
      </c>
      <c r="AV65" s="69" t="s">
        <v>343</v>
      </c>
      <c r="AW65" s="68" t="s">
        <v>248</v>
      </c>
      <c r="AX65" s="67" t="s">
        <v>425</v>
      </c>
      <c r="AY65" s="67" t="s">
        <v>257</v>
      </c>
      <c r="AZ65" s="69" t="s">
        <v>44</v>
      </c>
      <c r="BA65" s="68" t="s">
        <v>256</v>
      </c>
      <c r="BB65" s="67" t="s">
        <v>41</v>
      </c>
      <c r="BC65" s="67" t="s">
        <v>259</v>
      </c>
      <c r="BD65" s="69" t="s">
        <v>41</v>
      </c>
      <c r="BE65" s="68" t="s">
        <v>256</v>
      </c>
      <c r="BF65" s="67" t="s">
        <v>41</v>
      </c>
      <c r="BG65" s="67" t="s">
        <v>259</v>
      </c>
      <c r="BH65" s="69" t="s">
        <v>41</v>
      </c>
      <c r="BI65" s="68" t="s">
        <v>248</v>
      </c>
      <c r="BJ65" s="72">
        <v>42509</v>
      </c>
      <c r="BK65" s="67" t="s">
        <v>259</v>
      </c>
      <c r="BL65" s="69" t="s">
        <v>343</v>
      </c>
      <c r="BM65" s="68" t="s">
        <v>65</v>
      </c>
      <c r="BN65" s="67" t="s">
        <v>65</v>
      </c>
      <c r="BO65" s="67" t="s">
        <v>51</v>
      </c>
      <c r="BP65" s="67" t="s">
        <v>255</v>
      </c>
      <c r="BQ65" s="64">
        <v>42349</v>
      </c>
      <c r="BR65" s="63" t="s">
        <v>41</v>
      </c>
      <c r="BS65" s="63" t="s">
        <v>258</v>
      </c>
      <c r="BT65" s="68">
        <f>Nombrecours</f>
        <v>10</v>
      </c>
      <c r="BU65" s="63">
        <f>COUNTIF(DonnéesDessin[[#This Row],[Réponse doodle 01]:[Présence MàN AC]],"Excusé")</f>
        <v>2</v>
      </c>
      <c r="BV65" s="63">
        <f>COUNTIF(DonnéesDessin[[#This Row],[Réponse doodle 01]:[Présence MàN AC]],"N-employé")</f>
        <v>0</v>
      </c>
      <c r="BW65" s="63">
        <f>DonnéesDessin[[#This Row],[Nombre de cours]]-DonnéesDessin[[#This Row],[Nombre excusé]]-DonnéesDessin[[#This Row],[Nombre N-employé]]</f>
        <v>8</v>
      </c>
      <c r="BX65" s="69">
        <f>COUNTIF(DonnéesDessin[[#This Row],[Réponse doodle 01]:[Présence MàN AC]],"Présent")</f>
        <v>3</v>
      </c>
      <c r="BY65" s="68">
        <f>COUNTIF(DonnéesDessin[[#This Row],[Réponse doodle 01]:[Présence MàN AC]],"Inscrit")</f>
        <v>6</v>
      </c>
      <c r="BZ65" s="67">
        <f>3*DonnéesDessin[[#This Row],[Inscrit]]</f>
        <v>18</v>
      </c>
      <c r="CA65" s="67">
        <f>COUNTIF(DonnéesDessin[[#This Row],[Réponse doodle 01]:[Présence MàN AC]],"R pas nécessaire")</f>
        <v>0</v>
      </c>
      <c r="CB65" s="67">
        <f>SUM(3*DonnéesDessin[[#This Row],[R pas nécessaire]])</f>
        <v>0</v>
      </c>
      <c r="CC65" s="67">
        <f>COUNTIF(DonnéesDessin[[#This Row],[Réponse doodle 01]:[Présence MàN AC]],"Indisponible")</f>
        <v>2</v>
      </c>
      <c r="CD65" s="67">
        <f>2*DonnéesDessin[[#This Row],[Indisponible]]</f>
        <v>4</v>
      </c>
      <c r="CE65" s="67">
        <f>COUNTIF(DonnéesDessin[[#This Row],[Réponse doodle 01]:[Présence MàN AC]],"Ne peut s'inscrire")</f>
        <v>0</v>
      </c>
      <c r="CF65" s="67">
        <f>1*DonnéesDessin[[#This Row],[Ne peut s''inscrire]]</f>
        <v>0</v>
      </c>
      <c r="CG65" s="67">
        <f>COUNTIF(DonnéesDessin[[#This Row],[Réponse doodle 01]:[Présence MàN AC]],"Sans information")</f>
        <v>4</v>
      </c>
      <c r="CH65" s="67">
        <f>0*DonnéesDessin[[#This Row],[Sans information]]</f>
        <v>0</v>
      </c>
      <c r="CI65" s="67">
        <f>COUNTIF(DonnéesDessin[[#This Row],[Réponse doodle 01]:[Présence MàN AC]],"Présent")</f>
        <v>3</v>
      </c>
      <c r="CJ65" s="67">
        <f>2*DonnéesDessin[[#This Row],[Présent]]</f>
        <v>6</v>
      </c>
      <c r="CK65" s="67">
        <f>COUNTIF(DonnéesDessin[[#This Row],[Réponse doodle 01]:[Présence MàN AC]],"P pas nécessaire")</f>
        <v>0</v>
      </c>
      <c r="CL65" s="67">
        <f>2*DonnéesDessin[[#This Row],[P pas nécessaire]]</f>
        <v>0</v>
      </c>
      <c r="CM65" s="67">
        <f>COUNTIF(DonnéesDessin[[#This Row],[Réponse doodle 01]:[Présence MàN AC]],"Excusé")</f>
        <v>2</v>
      </c>
      <c r="CN65" s="67">
        <f>1*DonnéesDessin[[#This Row],[Excusé]]</f>
        <v>2</v>
      </c>
      <c r="CO65" s="67">
        <f>COUNTIF(DonnéesDessin[[#This Row],[Réponse doodle 01]:[Présence MàN AC]],"Pas présent")</f>
        <v>7</v>
      </c>
      <c r="CP65" s="67">
        <f>0*DonnéesDessin[[#This Row],[Pas présent]]</f>
        <v>0</v>
      </c>
      <c r="CQ65"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30</v>
      </c>
      <c r="CR65" s="78">
        <v>42600</v>
      </c>
      <c r="CS65" s="79" t="s">
        <v>440</v>
      </c>
      <c r="CT65" s="67" t="s">
        <v>257</v>
      </c>
      <c r="CU65" s="67">
        <v>2</v>
      </c>
      <c r="CV65" s="84">
        <v>66</v>
      </c>
      <c r="CW65" s="84">
        <v>51</v>
      </c>
      <c r="CX65" s="84">
        <f>SUBTOTAL(9,DonnéesDessin[[#This Row],[Résultat Niveau 1]:[Résultat Avancé]])</f>
        <v>117</v>
      </c>
      <c r="CY65" s="84" t="s">
        <v>440</v>
      </c>
      <c r="CZ65" s="84" t="s">
        <v>692</v>
      </c>
      <c r="DA65" s="67">
        <v>45</v>
      </c>
      <c r="DB65" s="88">
        <f>(DonnéesDessin[[#This Row],[Résultat Niveau 1]]+DonnéesDessin[[#This Row],[Résultat Avancé]])/DonnéesDessin[[#This Row],[Durée BC AC19 (en min)]]</f>
        <v>2.6</v>
      </c>
    </row>
    <row r="66" spans="1:106">
      <c r="A66" s="62" t="str">
        <f>DonnéesDessin[[#This Row],[Prénom]]&amp;" "&amp;DonnéesDessin[[#This Row],[Nom]]</f>
        <v>Tania Ventura</v>
      </c>
      <c r="B66" s="63" t="s">
        <v>177</v>
      </c>
      <c r="C66" s="63" t="s">
        <v>178</v>
      </c>
      <c r="D66" s="63" t="s">
        <v>57</v>
      </c>
      <c r="E66" s="64">
        <v>42066</v>
      </c>
      <c r="F66" s="64" t="s">
        <v>41</v>
      </c>
      <c r="G66" s="65" t="s">
        <v>56</v>
      </c>
      <c r="H66" s="63" t="s">
        <v>51</v>
      </c>
      <c r="I66" s="65" t="s">
        <v>298</v>
      </c>
      <c r="J66" s="65">
        <v>16</v>
      </c>
      <c r="K66" s="66" t="s">
        <v>41</v>
      </c>
      <c r="L66" s="67">
        <f>DonnéesDessin[[#This Row],[PTS]]</f>
        <v>46</v>
      </c>
      <c r="M66" s="68" t="s">
        <v>52</v>
      </c>
      <c r="N66" s="63">
        <v>0</v>
      </c>
      <c r="O66" s="64" t="s">
        <v>288</v>
      </c>
      <c r="P66" s="63" t="s">
        <v>257</v>
      </c>
      <c r="Q66" s="63" t="s">
        <v>289</v>
      </c>
      <c r="R66" s="63" t="s">
        <v>257</v>
      </c>
      <c r="S66" s="63" t="s">
        <v>290</v>
      </c>
      <c r="T66" s="69" t="s">
        <v>257</v>
      </c>
      <c r="U66" s="68" t="s">
        <v>248</v>
      </c>
      <c r="V66" s="70">
        <v>42319</v>
      </c>
      <c r="W66" s="63" t="s">
        <v>257</v>
      </c>
      <c r="X66" s="63" t="s">
        <v>44</v>
      </c>
      <c r="Y66" s="68" t="s">
        <v>293</v>
      </c>
      <c r="Z66" s="11" t="s">
        <v>41</v>
      </c>
      <c r="AA66" s="67" t="s">
        <v>292</v>
      </c>
      <c r="AB66" s="69" t="s">
        <v>342</v>
      </c>
      <c r="AC66" s="68" t="s">
        <v>248</v>
      </c>
      <c r="AD66" s="11" t="s">
        <v>323</v>
      </c>
      <c r="AE66" s="67" t="s">
        <v>259</v>
      </c>
      <c r="AF66" s="69" t="s">
        <v>343</v>
      </c>
      <c r="AG66" s="68" t="s">
        <v>248</v>
      </c>
      <c r="AH66" s="72">
        <v>42438</v>
      </c>
      <c r="AI66" s="67" t="s">
        <v>259</v>
      </c>
      <c r="AJ66" s="69" t="s">
        <v>343</v>
      </c>
      <c r="AK66" s="68" t="s">
        <v>248</v>
      </c>
      <c r="AL66" s="67" t="s">
        <v>332</v>
      </c>
      <c r="AM66" s="67" t="s">
        <v>257</v>
      </c>
      <c r="AN66" s="69" t="s">
        <v>44</v>
      </c>
      <c r="AO66" s="68" t="s">
        <v>248</v>
      </c>
      <c r="AP66" s="67" t="s">
        <v>338</v>
      </c>
      <c r="AQ66" s="67" t="s">
        <v>257</v>
      </c>
      <c r="AR66" s="69" t="s">
        <v>44</v>
      </c>
      <c r="AS66" s="68" t="s">
        <v>248</v>
      </c>
      <c r="AT66" s="67" t="s">
        <v>416</v>
      </c>
      <c r="AU66" s="67" t="s">
        <v>257</v>
      </c>
      <c r="AV66" s="69" t="s">
        <v>44</v>
      </c>
      <c r="AW66" s="68" t="s">
        <v>248</v>
      </c>
      <c r="AX66" s="67" t="s">
        <v>424</v>
      </c>
      <c r="AY66" s="67" t="s">
        <v>257</v>
      </c>
      <c r="AZ66" s="69" t="s">
        <v>44</v>
      </c>
      <c r="BA66" s="68" t="s">
        <v>256</v>
      </c>
      <c r="BB66" s="67" t="s">
        <v>41</v>
      </c>
      <c r="BC66" s="67" t="s">
        <v>259</v>
      </c>
      <c r="BD66" s="69" t="s">
        <v>41</v>
      </c>
      <c r="BE66" s="68" t="s">
        <v>256</v>
      </c>
      <c r="BF66" s="67" t="s">
        <v>41</v>
      </c>
      <c r="BG66" s="67" t="s">
        <v>259</v>
      </c>
      <c r="BH66" s="69" t="s">
        <v>41</v>
      </c>
      <c r="BI66" s="68" t="s">
        <v>248</v>
      </c>
      <c r="BJ66" s="72">
        <v>42509</v>
      </c>
      <c r="BK66" s="67" t="s">
        <v>257</v>
      </c>
      <c r="BL66" s="69" t="s">
        <v>44</v>
      </c>
      <c r="BM66" s="68" t="s">
        <v>53</v>
      </c>
      <c r="BN66" s="67" t="s">
        <v>53</v>
      </c>
      <c r="BO66" s="67" t="s">
        <v>51</v>
      </c>
      <c r="BP66" s="67" t="s">
        <v>248</v>
      </c>
      <c r="BQ66" s="64">
        <v>42347</v>
      </c>
      <c r="BR66" s="63" t="s">
        <v>285</v>
      </c>
      <c r="BS66" s="63" t="s">
        <v>257</v>
      </c>
      <c r="BT66" s="68">
        <f>Nombrecours</f>
        <v>10</v>
      </c>
      <c r="BU66" s="63">
        <f>COUNTIF(DonnéesDessin[[#This Row],[Réponse doodle 01]:[Présence MàN AC]],"Excusé")</f>
        <v>0</v>
      </c>
      <c r="BV66" s="63">
        <f>COUNTIF(DonnéesDessin[[#This Row],[Réponse doodle 01]:[Présence MàN AC]],"N-employé")</f>
        <v>0</v>
      </c>
      <c r="BW66" s="63">
        <f>DonnéesDessin[[#This Row],[Nombre de cours]]-DonnéesDessin[[#This Row],[Nombre excusé]]-DonnéesDessin[[#This Row],[Nombre N-employé]]</f>
        <v>10</v>
      </c>
      <c r="BX66" s="69">
        <f>COUNTIF(DonnéesDessin[[#This Row],[Réponse doodle 01]:[Présence MàN AC]],"Présent")</f>
        <v>7</v>
      </c>
      <c r="BY66" s="68">
        <f>COUNTIF(DonnéesDessin[[#This Row],[Réponse doodle 01]:[Présence MàN AC]],"Inscrit")</f>
        <v>9</v>
      </c>
      <c r="BZ66" s="67">
        <f>3*DonnéesDessin[[#This Row],[Inscrit]]</f>
        <v>27</v>
      </c>
      <c r="CA66" s="67">
        <f>COUNTIF(DonnéesDessin[[#This Row],[Réponse doodle 01]:[Présence MàN AC]],"R pas nécessaire")</f>
        <v>1</v>
      </c>
      <c r="CB66" s="67">
        <f>SUM(3*DonnéesDessin[[#This Row],[R pas nécessaire]])</f>
        <v>3</v>
      </c>
      <c r="CC66" s="67">
        <f>COUNTIF(DonnéesDessin[[#This Row],[Réponse doodle 01]:[Présence MàN AC]],"Indisponible")</f>
        <v>0</v>
      </c>
      <c r="CD66" s="67">
        <f>2*DonnéesDessin[[#This Row],[Indisponible]]</f>
        <v>0</v>
      </c>
      <c r="CE66" s="67">
        <f>COUNTIF(DonnéesDessin[[#This Row],[Réponse doodle 01]:[Présence MàN AC]],"Ne peut s'inscrire")</f>
        <v>0</v>
      </c>
      <c r="CF66" s="67">
        <f>1*DonnéesDessin[[#This Row],[Ne peut s''inscrire]]</f>
        <v>0</v>
      </c>
      <c r="CG66" s="67">
        <f>COUNTIF(DonnéesDessin[[#This Row],[Réponse doodle 01]:[Présence MàN AC]],"Sans information")</f>
        <v>2</v>
      </c>
      <c r="CH66" s="67">
        <f>0*DonnéesDessin[[#This Row],[Sans information]]</f>
        <v>0</v>
      </c>
      <c r="CI66" s="67">
        <f>COUNTIF(DonnéesDessin[[#This Row],[Réponse doodle 01]:[Présence MàN AC]],"Présent")</f>
        <v>7</v>
      </c>
      <c r="CJ66" s="67">
        <f>2*DonnéesDessin[[#This Row],[Présent]]</f>
        <v>14</v>
      </c>
      <c r="CK66" s="67">
        <f>COUNTIF(DonnéesDessin[[#This Row],[Réponse doodle 01]:[Présence MàN AC]],"P pas nécessaire")</f>
        <v>1</v>
      </c>
      <c r="CL66" s="67">
        <f>2*DonnéesDessin[[#This Row],[P pas nécessaire]]</f>
        <v>2</v>
      </c>
      <c r="CM66" s="67">
        <f>COUNTIF(DonnéesDessin[[#This Row],[Réponse doodle 01]:[Présence MàN AC]],"Excusé")</f>
        <v>0</v>
      </c>
      <c r="CN66" s="67">
        <f>1*DonnéesDessin[[#This Row],[Excusé]]</f>
        <v>0</v>
      </c>
      <c r="CO66" s="67">
        <f>COUNTIF(DonnéesDessin[[#This Row],[Réponse doodle 01]:[Présence MàN AC]],"Pas présent")</f>
        <v>4</v>
      </c>
      <c r="CP66" s="67">
        <f>0*DonnéesDessin[[#This Row],[Pas présent]]</f>
        <v>0</v>
      </c>
      <c r="CQ66"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46</v>
      </c>
      <c r="CR66" s="78">
        <v>42579</v>
      </c>
      <c r="CS66" s="79" t="s">
        <v>439</v>
      </c>
      <c r="CT66" s="67" t="s">
        <v>257</v>
      </c>
      <c r="CU66" s="67">
        <v>1</v>
      </c>
      <c r="CV66" s="84">
        <v>48</v>
      </c>
      <c r="CW66" s="84">
        <v>39</v>
      </c>
      <c r="CX66" s="84">
        <f>SUBTOTAL(9,DonnéesDessin[[#This Row],[Résultat Niveau 1]:[Résultat Avancé]])</f>
        <v>87</v>
      </c>
      <c r="CY66" s="84" t="s">
        <v>282</v>
      </c>
      <c r="CZ66" s="84" t="s">
        <v>458</v>
      </c>
      <c r="DA66" s="67">
        <v>70</v>
      </c>
      <c r="DB66" s="88">
        <f>(DonnéesDessin[[#This Row],[Résultat Niveau 1]]+DonnéesDessin[[#This Row],[Résultat Avancé]])/DonnéesDessin[[#This Row],[Durée BC AC19 (en min)]]</f>
        <v>1.2428571428571429</v>
      </c>
    </row>
    <row r="67" spans="1:106">
      <c r="A67" s="62" t="str">
        <f>DonnéesDessin[[#This Row],[Prénom]]&amp;" "&amp;DonnéesDessin[[#This Row],[Nom]]</f>
        <v>Teresa Parrella</v>
      </c>
      <c r="B67" s="63" t="s">
        <v>181</v>
      </c>
      <c r="C67" s="63" t="s">
        <v>180</v>
      </c>
      <c r="D67" s="63" t="s">
        <v>57</v>
      </c>
      <c r="E67" s="64" t="s">
        <v>41</v>
      </c>
      <c r="F67" s="64" t="s">
        <v>41</v>
      </c>
      <c r="G67" s="63"/>
      <c r="H67" s="63" t="s">
        <v>51</v>
      </c>
      <c r="I67" s="65">
        <v>2009</v>
      </c>
      <c r="J67" s="65">
        <v>16</v>
      </c>
      <c r="K67" s="66" t="s">
        <v>41</v>
      </c>
      <c r="L67" s="67">
        <f>DonnéesDessin[[#This Row],[PTS]]</f>
        <v>39</v>
      </c>
      <c r="M67" s="68" t="s">
        <v>52</v>
      </c>
      <c r="N67" s="63">
        <v>0</v>
      </c>
      <c r="O67" s="63" t="s">
        <v>45</v>
      </c>
      <c r="P67" s="63">
        <v>0</v>
      </c>
      <c r="Q67" s="63" t="s">
        <v>45</v>
      </c>
      <c r="R67" s="63">
        <v>0</v>
      </c>
      <c r="S67" s="63" t="s">
        <v>45</v>
      </c>
      <c r="T67" s="69">
        <v>0</v>
      </c>
      <c r="U67" s="68" t="s">
        <v>248</v>
      </c>
      <c r="V67" s="70">
        <v>42325</v>
      </c>
      <c r="W67" s="63" t="s">
        <v>257</v>
      </c>
      <c r="X67" s="63" t="s">
        <v>44</v>
      </c>
      <c r="Y67" s="68" t="s">
        <v>248</v>
      </c>
      <c r="Z67" s="71">
        <v>42390</v>
      </c>
      <c r="AA67" s="67" t="s">
        <v>257</v>
      </c>
      <c r="AB67" s="69" t="s">
        <v>44</v>
      </c>
      <c r="AC67" s="68" t="s">
        <v>248</v>
      </c>
      <c r="AD67" s="11" t="s">
        <v>324</v>
      </c>
      <c r="AE67" s="67" t="s">
        <v>259</v>
      </c>
      <c r="AF67" s="69" t="s">
        <v>343</v>
      </c>
      <c r="AG67" s="68" t="s">
        <v>248</v>
      </c>
      <c r="AH67" s="72">
        <v>42431</v>
      </c>
      <c r="AI67" s="67" t="s">
        <v>257</v>
      </c>
      <c r="AJ67" s="69" t="s">
        <v>44</v>
      </c>
      <c r="AK67" s="68" t="s">
        <v>248</v>
      </c>
      <c r="AL67" s="67" t="s">
        <v>334</v>
      </c>
      <c r="AM67" s="67" t="s">
        <v>257</v>
      </c>
      <c r="AN67" s="69" t="s">
        <v>44</v>
      </c>
      <c r="AO67" s="68" t="s">
        <v>248</v>
      </c>
      <c r="AP67" s="67" t="s">
        <v>335</v>
      </c>
      <c r="AQ67" s="67" t="s">
        <v>257</v>
      </c>
      <c r="AR67" s="69" t="s">
        <v>44</v>
      </c>
      <c r="AS67" s="68" t="s">
        <v>248</v>
      </c>
      <c r="AT67" s="67" t="s">
        <v>417</v>
      </c>
      <c r="AU67" s="67" t="s">
        <v>259</v>
      </c>
      <c r="AV67" s="69" t="s">
        <v>343</v>
      </c>
      <c r="AW67" s="68" t="s">
        <v>248</v>
      </c>
      <c r="AX67" s="67" t="s">
        <v>425</v>
      </c>
      <c r="AY67" s="67" t="s">
        <v>259</v>
      </c>
      <c r="AZ67" s="69" t="s">
        <v>343</v>
      </c>
      <c r="BA67" s="68" t="s">
        <v>256</v>
      </c>
      <c r="BB67" s="67" t="s">
        <v>41</v>
      </c>
      <c r="BC67" s="67" t="s">
        <v>259</v>
      </c>
      <c r="BD67" s="69" t="s">
        <v>41</v>
      </c>
      <c r="BE67" s="68" t="s">
        <v>256</v>
      </c>
      <c r="BF67" s="67" t="s">
        <v>41</v>
      </c>
      <c r="BG67" s="67" t="s">
        <v>259</v>
      </c>
      <c r="BH67" s="69" t="s">
        <v>41</v>
      </c>
      <c r="BI67" s="68" t="s">
        <v>256</v>
      </c>
      <c r="BJ67" s="67" t="s">
        <v>41</v>
      </c>
      <c r="BK67" s="67" t="s">
        <v>259</v>
      </c>
      <c r="BL67" s="69" t="s">
        <v>41</v>
      </c>
      <c r="BM67" s="68" t="s">
        <v>53</v>
      </c>
      <c r="BN67" s="67" t="s">
        <v>53</v>
      </c>
      <c r="BO67" s="67" t="s">
        <v>51</v>
      </c>
      <c r="BP67" s="67" t="s">
        <v>248</v>
      </c>
      <c r="BQ67" s="64">
        <v>42347</v>
      </c>
      <c r="BR67" s="63" t="s">
        <v>285</v>
      </c>
      <c r="BS67" s="63" t="s">
        <v>257</v>
      </c>
      <c r="BT67" s="68">
        <f>Nombrecours</f>
        <v>10</v>
      </c>
      <c r="BU67" s="63">
        <f>COUNTIF(DonnéesDessin[[#This Row],[Réponse doodle 01]:[Présence MàN AC]],"Excusé")</f>
        <v>0</v>
      </c>
      <c r="BV67" s="63">
        <f>COUNTIF(DonnéesDessin[[#This Row],[Réponse doodle 01]:[Présence MàN AC]],"N-employé")</f>
        <v>0</v>
      </c>
      <c r="BW67" s="63">
        <f>DonnéesDessin[[#This Row],[Nombre de cours]]-DonnéesDessin[[#This Row],[Nombre excusé]]-DonnéesDessin[[#This Row],[Nombre N-employé]]</f>
        <v>10</v>
      </c>
      <c r="BX67" s="69">
        <f>COUNTIF(DonnéesDessin[[#This Row],[Réponse doodle 01]:[Présence MàN AC]],"Présent")</f>
        <v>6</v>
      </c>
      <c r="BY67" s="68">
        <f>COUNTIF(DonnéesDessin[[#This Row],[Réponse doodle 01]:[Présence MàN AC]],"Inscrit")</f>
        <v>9</v>
      </c>
      <c r="BZ67" s="67">
        <f>3*DonnéesDessin[[#This Row],[Inscrit]]</f>
        <v>27</v>
      </c>
      <c r="CA67" s="67">
        <f>COUNTIF(DonnéesDessin[[#This Row],[Réponse doodle 01]:[Présence MàN AC]],"R pas nécessaire")</f>
        <v>0</v>
      </c>
      <c r="CB67" s="67">
        <f>SUM(3*DonnéesDessin[[#This Row],[R pas nécessaire]])</f>
        <v>0</v>
      </c>
      <c r="CC67" s="67">
        <f>COUNTIF(DonnéesDessin[[#This Row],[Réponse doodle 01]:[Présence MàN AC]],"Indisponible")</f>
        <v>0</v>
      </c>
      <c r="CD67" s="67">
        <f>2*DonnéesDessin[[#This Row],[Indisponible]]</f>
        <v>0</v>
      </c>
      <c r="CE67" s="67">
        <f>COUNTIF(DonnéesDessin[[#This Row],[Réponse doodle 01]:[Présence MàN AC]],"Ne peut s'inscrire")</f>
        <v>0</v>
      </c>
      <c r="CF67" s="67">
        <f>1*DonnéesDessin[[#This Row],[Ne peut s''inscrire]]</f>
        <v>0</v>
      </c>
      <c r="CG67" s="67">
        <f>COUNTIF(DonnéesDessin[[#This Row],[Réponse doodle 01]:[Présence MàN AC]],"Sans information")</f>
        <v>3</v>
      </c>
      <c r="CH67" s="67">
        <f>0*DonnéesDessin[[#This Row],[Sans information]]</f>
        <v>0</v>
      </c>
      <c r="CI67" s="67">
        <f>COUNTIF(DonnéesDessin[[#This Row],[Réponse doodle 01]:[Présence MàN AC]],"Présent")</f>
        <v>6</v>
      </c>
      <c r="CJ67" s="67">
        <f>2*DonnéesDessin[[#This Row],[Présent]]</f>
        <v>12</v>
      </c>
      <c r="CK67" s="67">
        <f>COUNTIF(DonnéesDessin[[#This Row],[Réponse doodle 01]:[Présence MàN AC]],"P pas nécessaire")</f>
        <v>0</v>
      </c>
      <c r="CL67" s="67">
        <f>2*DonnéesDessin[[#This Row],[P pas nécessaire]]</f>
        <v>0</v>
      </c>
      <c r="CM67" s="67">
        <f>COUNTIF(DonnéesDessin[[#This Row],[Réponse doodle 01]:[Présence MàN AC]],"Excusé")</f>
        <v>0</v>
      </c>
      <c r="CN67" s="67">
        <f>1*DonnéesDessin[[#This Row],[Excusé]]</f>
        <v>0</v>
      </c>
      <c r="CO67" s="67">
        <f>COUNTIF(DonnéesDessin[[#This Row],[Réponse doodle 01]:[Présence MàN AC]],"Pas présent")</f>
        <v>6</v>
      </c>
      <c r="CP67" s="67">
        <f>0*DonnéesDessin[[#This Row],[Pas présent]]</f>
        <v>0</v>
      </c>
      <c r="CQ67"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39</v>
      </c>
      <c r="CR67" s="78">
        <v>42572</v>
      </c>
      <c r="CS67" s="79" t="s">
        <v>442</v>
      </c>
      <c r="CT67" s="67" t="s">
        <v>257</v>
      </c>
      <c r="CU67" s="67">
        <v>4</v>
      </c>
      <c r="CV67" s="84">
        <v>58</v>
      </c>
      <c r="CW67" s="84">
        <v>51</v>
      </c>
      <c r="CX67" s="84">
        <f>SUBTOTAL(9,DonnéesDessin[[#This Row],[Résultat Niveau 1]:[Résultat Avancé]])</f>
        <v>109</v>
      </c>
      <c r="CY67" s="83" t="s">
        <v>442</v>
      </c>
      <c r="CZ67" s="83" t="s">
        <v>467</v>
      </c>
      <c r="DA67" s="67">
        <v>70</v>
      </c>
      <c r="DB67" s="88">
        <f>(DonnéesDessin[[#This Row],[Résultat Niveau 1]]+DonnéesDessin[[#This Row],[Résultat Avancé]])/DonnéesDessin[[#This Row],[Durée BC AC19 (en min)]]</f>
        <v>1.5571428571428572</v>
      </c>
    </row>
    <row r="68" spans="1:106">
      <c r="A68" s="62" t="str">
        <f>DonnéesDessin[[#This Row],[Prénom]]&amp;" "&amp;DonnéesDessin[[#This Row],[Nom]]</f>
        <v>Xavier Bettex</v>
      </c>
      <c r="B68" s="32" t="s">
        <v>869</v>
      </c>
      <c r="C68" s="32" t="s">
        <v>870</v>
      </c>
      <c r="D68" s="32" t="s">
        <v>63</v>
      </c>
      <c r="E68" s="36">
        <v>42614</v>
      </c>
      <c r="F68" s="36" t="s">
        <v>41</v>
      </c>
      <c r="G68" s="32" t="s">
        <v>42</v>
      </c>
      <c r="H68" s="32"/>
      <c r="I68" s="48"/>
      <c r="J68" s="48"/>
      <c r="K68" s="41" t="s">
        <v>362</v>
      </c>
      <c r="L68" s="32">
        <f>DonnéesDessin[[#This Row],[PTS]]</f>
        <v>0</v>
      </c>
      <c r="M68" s="31" t="s">
        <v>52</v>
      </c>
      <c r="N68" s="27">
        <v>0</v>
      </c>
      <c r="O68" s="27" t="s">
        <v>45</v>
      </c>
      <c r="P68" s="27">
        <v>0</v>
      </c>
      <c r="Q68" s="27" t="s">
        <v>45</v>
      </c>
      <c r="R68" s="27">
        <v>0</v>
      </c>
      <c r="S68" s="27" t="s">
        <v>45</v>
      </c>
      <c r="T68" s="33">
        <v>0</v>
      </c>
      <c r="U68" s="31" t="s">
        <v>281</v>
      </c>
      <c r="V68" s="54" t="s">
        <v>41</v>
      </c>
      <c r="W68" s="27" t="s">
        <v>41</v>
      </c>
      <c r="X68" s="27" t="s">
        <v>358</v>
      </c>
      <c r="Y68" s="31" t="s">
        <v>281</v>
      </c>
      <c r="Z68" s="54" t="s">
        <v>41</v>
      </c>
      <c r="AA68" s="27" t="s">
        <v>41</v>
      </c>
      <c r="AB68" s="33" t="s">
        <v>358</v>
      </c>
      <c r="AC68" s="31" t="s">
        <v>281</v>
      </c>
      <c r="AD68" s="56" t="s">
        <v>41</v>
      </c>
      <c r="AE68" s="48" t="s">
        <v>41</v>
      </c>
      <c r="AF68" s="33" t="s">
        <v>358</v>
      </c>
      <c r="AG68" s="31" t="s">
        <v>281</v>
      </c>
      <c r="AH68" s="56" t="s">
        <v>41</v>
      </c>
      <c r="AI68" s="48" t="s">
        <v>41</v>
      </c>
      <c r="AJ68" s="33" t="s">
        <v>358</v>
      </c>
      <c r="AK68" s="31" t="s">
        <v>281</v>
      </c>
      <c r="AL68" s="56" t="s">
        <v>41</v>
      </c>
      <c r="AM68" s="48" t="s">
        <v>41</v>
      </c>
      <c r="AN68" s="33" t="s">
        <v>358</v>
      </c>
      <c r="AO68" s="31" t="s">
        <v>281</v>
      </c>
      <c r="AP68" s="56" t="s">
        <v>41</v>
      </c>
      <c r="AQ68" s="48" t="s">
        <v>41</v>
      </c>
      <c r="AR68" s="33" t="s">
        <v>358</v>
      </c>
      <c r="AS68" s="31" t="s">
        <v>281</v>
      </c>
      <c r="AT68" s="56" t="s">
        <v>41</v>
      </c>
      <c r="AU68" s="48" t="s">
        <v>41</v>
      </c>
      <c r="AV68" s="33" t="s">
        <v>358</v>
      </c>
      <c r="AW68" s="31" t="s">
        <v>281</v>
      </c>
      <c r="AX68" s="56" t="s">
        <v>41</v>
      </c>
      <c r="AY68" s="48" t="s">
        <v>41</v>
      </c>
      <c r="AZ68" s="33" t="s">
        <v>358</v>
      </c>
      <c r="BA68" s="68" t="s">
        <v>256</v>
      </c>
      <c r="BB68" s="67" t="s">
        <v>41</v>
      </c>
      <c r="BC68" s="67" t="s">
        <v>259</v>
      </c>
      <c r="BD68" s="69" t="s">
        <v>41</v>
      </c>
      <c r="BE68" s="68" t="s">
        <v>256</v>
      </c>
      <c r="BF68" s="67" t="s">
        <v>41</v>
      </c>
      <c r="BG68" s="67" t="s">
        <v>259</v>
      </c>
      <c r="BH68" s="69" t="s">
        <v>41</v>
      </c>
      <c r="BI68" s="68" t="s">
        <v>256</v>
      </c>
      <c r="BJ68" s="67" t="s">
        <v>41</v>
      </c>
      <c r="BK68" s="67" t="s">
        <v>259</v>
      </c>
      <c r="BL68" s="69" t="s">
        <v>41</v>
      </c>
      <c r="BM68" s="31" t="s">
        <v>281</v>
      </c>
      <c r="BN68" s="32"/>
      <c r="BO68" s="32" t="s">
        <v>41</v>
      </c>
      <c r="BP68" s="32" t="s">
        <v>41</v>
      </c>
      <c r="BQ68" s="27" t="s">
        <v>41</v>
      </c>
      <c r="BR68" s="27" t="s">
        <v>41</v>
      </c>
      <c r="BS68" s="27" t="s">
        <v>41</v>
      </c>
      <c r="BT68" s="31">
        <f>Nombrecours</f>
        <v>10</v>
      </c>
      <c r="BU68" s="27">
        <f>COUNTIF(DonnéesDessin[[#This Row],[Réponse doodle 01]:[Présence MàN AC]],"Excusé")</f>
        <v>0</v>
      </c>
      <c r="BV68" s="27">
        <f>COUNTIF(DonnéesDessin[[#This Row],[Réponse doodle 01]:[Présence MàN AC]],"N-employé")</f>
        <v>9</v>
      </c>
      <c r="BW68" s="27">
        <f>DonnéesDessin[[#This Row],[Nombre de cours]]-DonnéesDessin[[#This Row],[Nombre excusé]]-DonnéesDessin[[#This Row],[Nombre N-employé]]</f>
        <v>1</v>
      </c>
      <c r="BX68" s="33">
        <f>COUNTIF(DonnéesDessin[[#This Row],[Réponse doodle 01]:[Présence MàN AC]],"Présent")</f>
        <v>0</v>
      </c>
      <c r="BY68" s="31">
        <f>COUNTIF(DonnéesDessin[[#This Row],[Réponse doodle 01]:[Présence MàN AC]],"Inscrit")</f>
        <v>0</v>
      </c>
      <c r="BZ68" s="32">
        <f>3*DonnéesDessin[[#This Row],[Inscrit]]</f>
        <v>0</v>
      </c>
      <c r="CA68" s="32">
        <f>COUNTIF(DonnéesDessin[[#This Row],[Réponse doodle 01]:[Présence MàN AC]],"R pas nécessaire")</f>
        <v>0</v>
      </c>
      <c r="CB68" s="32">
        <f>SUM(3*DonnéesDessin[[#This Row],[R pas nécessaire]])</f>
        <v>0</v>
      </c>
      <c r="CC68" s="32">
        <f>COUNTIF(DonnéesDessin[[#This Row],[Réponse doodle 01]:[Présence MàN AC]],"Indisponible")</f>
        <v>0</v>
      </c>
      <c r="CD68" s="32">
        <f>2*DonnéesDessin[[#This Row],[Indisponible]]</f>
        <v>0</v>
      </c>
      <c r="CE68" s="32">
        <f>COUNTIF(DonnéesDessin[[#This Row],[Réponse doodle 01]:[Présence MàN AC]],"Ne peut s'inscrire")</f>
        <v>0</v>
      </c>
      <c r="CF68" s="32">
        <f>1*DonnéesDessin[[#This Row],[Ne peut s''inscrire]]</f>
        <v>0</v>
      </c>
      <c r="CG68" s="32">
        <f>COUNTIF(DonnéesDessin[[#This Row],[Réponse doodle 01]:[Présence MàN AC]],"Sans information")</f>
        <v>3</v>
      </c>
      <c r="CH68" s="32">
        <f>0*DonnéesDessin[[#This Row],[Sans information]]</f>
        <v>0</v>
      </c>
      <c r="CI68" s="32">
        <f>COUNTIF(DonnéesDessin[[#This Row],[Réponse doodle 01]:[Présence MàN AC]],"Présent")</f>
        <v>0</v>
      </c>
      <c r="CJ68" s="32">
        <f>2*DonnéesDessin[[#This Row],[Présent]]</f>
        <v>0</v>
      </c>
      <c r="CK68" s="32">
        <f>COUNTIF(DonnéesDessin[[#This Row],[Réponse doodle 01]:[Présence MàN AC]],"P pas nécessaire")</f>
        <v>0</v>
      </c>
      <c r="CL68" s="32">
        <f>2*DonnéesDessin[[#This Row],[P pas nécessaire]]</f>
        <v>0</v>
      </c>
      <c r="CM68" s="32">
        <f>COUNTIF(DonnéesDessin[[#This Row],[Réponse doodle 01]:[Présence MàN AC]],"Excusé")</f>
        <v>0</v>
      </c>
      <c r="CN68" s="32">
        <f>1*DonnéesDessin[[#This Row],[Excusé]]</f>
        <v>0</v>
      </c>
      <c r="CO68" s="32">
        <f>COUNTIF(DonnéesDessin[[#This Row],[Réponse doodle 01]:[Présence MàN AC]],"Pas présent")</f>
        <v>3</v>
      </c>
      <c r="CP68" s="32">
        <f>0*DonnéesDessin[[#This Row],[Pas présent]]</f>
        <v>0</v>
      </c>
      <c r="CQ68"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0</v>
      </c>
      <c r="CR68" s="31" t="s">
        <v>281</v>
      </c>
      <c r="CS68" s="77" t="s">
        <v>41</v>
      </c>
      <c r="CT68" s="56" t="s">
        <v>41</v>
      </c>
      <c r="CU68" s="56"/>
      <c r="CV68" s="81" t="s">
        <v>41</v>
      </c>
      <c r="CW68" s="81" t="s">
        <v>41</v>
      </c>
      <c r="CX68" s="77" t="s">
        <v>41</v>
      </c>
      <c r="CY68" s="77" t="s">
        <v>41</v>
      </c>
      <c r="CZ68" s="77" t="s">
        <v>41</v>
      </c>
      <c r="DA68" s="56" t="s">
        <v>358</v>
      </c>
      <c r="DB68" s="89" t="s">
        <v>41</v>
      </c>
    </row>
    <row r="69" spans="1:106">
      <c r="A69" s="29" t="s">
        <v>317</v>
      </c>
      <c r="B69" s="63" t="s">
        <v>182</v>
      </c>
      <c r="C69" s="63" t="s">
        <v>183</v>
      </c>
      <c r="D69" s="63" t="s">
        <v>49</v>
      </c>
      <c r="E69" s="64">
        <v>42044</v>
      </c>
      <c r="F69" s="64">
        <v>42587</v>
      </c>
      <c r="G69" s="63" t="s">
        <v>42</v>
      </c>
      <c r="H69" s="63" t="s">
        <v>51</v>
      </c>
      <c r="I69" s="65">
        <v>2015</v>
      </c>
      <c r="J69" s="65" t="s">
        <v>73</v>
      </c>
      <c r="K69" s="66" t="s">
        <v>479</v>
      </c>
      <c r="L69" s="67">
        <f>DonnéesDessin[[#This Row],[PTS]]</f>
        <v>30</v>
      </c>
      <c r="M69" s="31" t="s">
        <v>281</v>
      </c>
      <c r="N69" s="27">
        <v>0</v>
      </c>
      <c r="O69" s="27" t="s">
        <v>281</v>
      </c>
      <c r="P69" s="27">
        <v>0</v>
      </c>
      <c r="Q69" s="27" t="s">
        <v>281</v>
      </c>
      <c r="R69" s="27">
        <v>0</v>
      </c>
      <c r="S69" s="27" t="s">
        <v>281</v>
      </c>
      <c r="T69" s="33">
        <v>0</v>
      </c>
      <c r="U69" s="68" t="s">
        <v>256</v>
      </c>
      <c r="V69" s="70" t="s">
        <v>41</v>
      </c>
      <c r="W69" s="63" t="s">
        <v>259</v>
      </c>
      <c r="X69" s="63" t="s">
        <v>341</v>
      </c>
      <c r="Y69" s="68" t="s">
        <v>256</v>
      </c>
      <c r="Z69" s="11" t="s">
        <v>41</v>
      </c>
      <c r="AA69" s="67" t="s">
        <v>259</v>
      </c>
      <c r="AB69" s="69" t="s">
        <v>341</v>
      </c>
      <c r="AC69" s="68" t="s">
        <v>248</v>
      </c>
      <c r="AD69" s="11" t="s">
        <v>324</v>
      </c>
      <c r="AE69" s="67" t="s">
        <v>259</v>
      </c>
      <c r="AF69" s="69" t="s">
        <v>343</v>
      </c>
      <c r="AG69" s="68" t="s">
        <v>248</v>
      </c>
      <c r="AH69" s="72">
        <v>42439</v>
      </c>
      <c r="AI69" s="67" t="s">
        <v>257</v>
      </c>
      <c r="AJ69" s="69" t="s">
        <v>44</v>
      </c>
      <c r="AK69" s="68" t="s">
        <v>256</v>
      </c>
      <c r="AL69" s="67" t="s">
        <v>41</v>
      </c>
      <c r="AM69" s="67" t="s">
        <v>257</v>
      </c>
      <c r="AN69" s="69" t="s">
        <v>397</v>
      </c>
      <c r="AO69" s="68" t="s">
        <v>256</v>
      </c>
      <c r="AP69" s="67" t="s">
        <v>41</v>
      </c>
      <c r="AQ69" s="67" t="s">
        <v>257</v>
      </c>
      <c r="AR69" s="69" t="s">
        <v>398</v>
      </c>
      <c r="AS69" s="68" t="s">
        <v>248</v>
      </c>
      <c r="AT69" s="67" t="s">
        <v>414</v>
      </c>
      <c r="AU69" s="67" t="s">
        <v>257</v>
      </c>
      <c r="AV69" s="69" t="s">
        <v>44</v>
      </c>
      <c r="AW69" s="68" t="s">
        <v>248</v>
      </c>
      <c r="AX69" s="67" t="s">
        <v>430</v>
      </c>
      <c r="AY69" s="67" t="s">
        <v>257</v>
      </c>
      <c r="AZ69" s="69" t="s">
        <v>44</v>
      </c>
      <c r="BA69" s="31" t="s">
        <v>281</v>
      </c>
      <c r="BB69" s="56" t="s">
        <v>41</v>
      </c>
      <c r="BC69" s="48" t="s">
        <v>41</v>
      </c>
      <c r="BD69" s="60" t="s">
        <v>368</v>
      </c>
      <c r="BE69" s="31" t="s">
        <v>281</v>
      </c>
      <c r="BF69" s="56" t="s">
        <v>41</v>
      </c>
      <c r="BG69" s="48" t="s">
        <v>41</v>
      </c>
      <c r="BH69" s="60" t="s">
        <v>368</v>
      </c>
      <c r="BI69" s="68" t="s">
        <v>248</v>
      </c>
      <c r="BJ69" s="72">
        <v>42509</v>
      </c>
      <c r="BK69" s="67" t="s">
        <v>259</v>
      </c>
      <c r="BL69" s="69" t="s">
        <v>343</v>
      </c>
      <c r="BM69" s="68" t="s">
        <v>280</v>
      </c>
      <c r="BN69" s="67" t="s">
        <v>65</v>
      </c>
      <c r="BO69" s="67" t="s">
        <v>287</v>
      </c>
      <c r="BP69" s="67" t="s">
        <v>248</v>
      </c>
      <c r="BQ69" s="64">
        <v>42349</v>
      </c>
      <c r="BR69" s="63" t="s">
        <v>283</v>
      </c>
      <c r="BS69" s="63" t="s">
        <v>257</v>
      </c>
      <c r="BT69" s="68">
        <f>Nombrecours</f>
        <v>10</v>
      </c>
      <c r="BU69" s="63">
        <f>COUNTIF(DonnéesDessin[[#This Row],[Réponse doodle 01]:[Présence MàN AC]],"Excusé")</f>
        <v>0</v>
      </c>
      <c r="BV69" s="63">
        <f>COUNTIF(DonnéesDessin[[#This Row],[Réponse doodle 01]:[Présence MàN AC]],"N-employé")</f>
        <v>2</v>
      </c>
      <c r="BW69" s="63">
        <f>DonnéesDessin[[#This Row],[Nombre de cours]]-DonnéesDessin[[#This Row],[Nombre excusé]]-DonnéesDessin[[#This Row],[Nombre N-employé]]</f>
        <v>8</v>
      </c>
      <c r="BX69" s="69">
        <f>COUNTIF(DonnéesDessin[[#This Row],[Réponse doodle 01]:[Présence MàN AC]],"Présent")</f>
        <v>6</v>
      </c>
      <c r="BY69" s="68">
        <f>COUNTIF(DonnéesDessin[[#This Row],[Réponse doodle 01]:[Présence MàN AC]],"Inscrit")</f>
        <v>6</v>
      </c>
      <c r="BZ69" s="67">
        <f>3*DonnéesDessin[[#This Row],[Inscrit]]</f>
        <v>18</v>
      </c>
      <c r="CA69" s="67">
        <f>COUNTIF(DonnéesDessin[[#This Row],[Réponse doodle 01]:[Présence MàN AC]],"R pas nécessaire")</f>
        <v>0</v>
      </c>
      <c r="CB69" s="67">
        <f>SUM(3*DonnéesDessin[[#This Row],[R pas nécessaire]])</f>
        <v>0</v>
      </c>
      <c r="CC69" s="67">
        <f>COUNTIF(DonnéesDessin[[#This Row],[Réponse doodle 01]:[Présence MàN AC]],"Indisponible")</f>
        <v>0</v>
      </c>
      <c r="CD69" s="67">
        <f>2*DonnéesDessin[[#This Row],[Indisponible]]</f>
        <v>0</v>
      </c>
      <c r="CE69" s="67">
        <f>COUNTIF(DonnéesDessin[[#This Row],[Réponse doodle 01]:[Présence MàN AC]],"Ne peut s'inscrire")</f>
        <v>0</v>
      </c>
      <c r="CF69" s="67">
        <f>1*DonnéesDessin[[#This Row],[Ne peut s''inscrire]]</f>
        <v>0</v>
      </c>
      <c r="CG69" s="67">
        <f>COUNTIF(DonnéesDessin[[#This Row],[Réponse doodle 01]:[Présence MàN AC]],"Sans information")</f>
        <v>4</v>
      </c>
      <c r="CH69" s="67">
        <f>0*DonnéesDessin[[#This Row],[Sans information]]</f>
        <v>0</v>
      </c>
      <c r="CI69" s="67">
        <f>COUNTIF(DonnéesDessin[[#This Row],[Réponse doodle 01]:[Présence MàN AC]],"Présent")</f>
        <v>6</v>
      </c>
      <c r="CJ69" s="67">
        <f>2*DonnéesDessin[[#This Row],[Présent]]</f>
        <v>12</v>
      </c>
      <c r="CK69" s="67">
        <f>COUNTIF(DonnéesDessin[[#This Row],[Réponse doodle 01]:[Présence MàN AC]],"P pas nécessaire")</f>
        <v>0</v>
      </c>
      <c r="CL69" s="67">
        <f>2*DonnéesDessin[[#This Row],[P pas nécessaire]]</f>
        <v>0</v>
      </c>
      <c r="CM69" s="67">
        <f>COUNTIF(DonnéesDessin[[#This Row],[Réponse doodle 01]:[Présence MàN AC]],"Excusé")</f>
        <v>0</v>
      </c>
      <c r="CN69" s="67">
        <f>1*DonnéesDessin[[#This Row],[Excusé]]</f>
        <v>0</v>
      </c>
      <c r="CO69" s="67">
        <f>COUNTIF(DonnéesDessin[[#This Row],[Réponse doodle 01]:[Présence MàN AC]],"Pas présent")</f>
        <v>4</v>
      </c>
      <c r="CP69" s="67">
        <f>0*DonnéesDessin[[#This Row],[Pas présent]]</f>
        <v>0</v>
      </c>
      <c r="CQ69"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30</v>
      </c>
      <c r="CR69" s="31" t="s">
        <v>281</v>
      </c>
      <c r="CS69" s="77" t="s">
        <v>41</v>
      </c>
      <c r="CT69" s="56" t="s">
        <v>41</v>
      </c>
      <c r="CU69" s="56"/>
      <c r="CV69" s="81" t="s">
        <v>41</v>
      </c>
      <c r="CW69" s="81" t="s">
        <v>41</v>
      </c>
      <c r="CX69" s="77" t="s">
        <v>41</v>
      </c>
      <c r="CY69" s="77" t="s">
        <v>41</v>
      </c>
      <c r="CZ69" s="77" t="s">
        <v>41</v>
      </c>
      <c r="DA69" s="56" t="s">
        <v>368</v>
      </c>
      <c r="DB69" s="90" t="s">
        <v>41</v>
      </c>
    </row>
    <row r="70" spans="1:106">
      <c r="A70" s="29" t="s">
        <v>317</v>
      </c>
      <c r="B70" s="27" t="s">
        <v>184</v>
      </c>
      <c r="C70" s="27" t="s">
        <v>185</v>
      </c>
      <c r="D70" s="27" t="s">
        <v>57</v>
      </c>
      <c r="E70" s="28">
        <v>42066</v>
      </c>
      <c r="F70" s="28">
        <v>42423</v>
      </c>
      <c r="G70" s="32" t="s">
        <v>42</v>
      </c>
      <c r="H70" s="27" t="s">
        <v>51</v>
      </c>
      <c r="I70" s="47" t="s">
        <v>43</v>
      </c>
      <c r="J70" s="48"/>
      <c r="K70" s="41" t="s">
        <v>369</v>
      </c>
      <c r="L70" s="52">
        <f>DonnéesDessin[[#This Row],[PTS]]</f>
        <v>18</v>
      </c>
      <c r="M70" s="31" t="s">
        <v>281</v>
      </c>
      <c r="N70" s="27">
        <v>0</v>
      </c>
      <c r="O70" s="27" t="s">
        <v>281</v>
      </c>
      <c r="P70" s="27">
        <v>0</v>
      </c>
      <c r="Q70" s="27" t="s">
        <v>281</v>
      </c>
      <c r="R70" s="27">
        <v>0</v>
      </c>
      <c r="S70" s="27" t="s">
        <v>281</v>
      </c>
      <c r="T70" s="33">
        <v>0</v>
      </c>
      <c r="U70" s="31" t="s">
        <v>248</v>
      </c>
      <c r="V70" s="53">
        <v>42319</v>
      </c>
      <c r="W70" s="27" t="s">
        <v>257</v>
      </c>
      <c r="X70" s="27" t="s">
        <v>44</v>
      </c>
      <c r="Y70" s="31" t="s">
        <v>248</v>
      </c>
      <c r="Z70" s="53">
        <v>42398</v>
      </c>
      <c r="AA70" s="27" t="s">
        <v>257</v>
      </c>
      <c r="AB70" s="33" t="s">
        <v>44</v>
      </c>
      <c r="AC70" s="31" t="s">
        <v>255</v>
      </c>
      <c r="AD70" s="56" t="s">
        <v>41</v>
      </c>
      <c r="AE70" s="48" t="s">
        <v>258</v>
      </c>
      <c r="AF70" s="33" t="s">
        <v>367</v>
      </c>
      <c r="AG70" s="31" t="s">
        <v>281</v>
      </c>
      <c r="AH70" s="56" t="s">
        <v>41</v>
      </c>
      <c r="AI70" s="48" t="s">
        <v>41</v>
      </c>
      <c r="AJ70" s="33" t="s">
        <v>368</v>
      </c>
      <c r="AK70" s="31" t="s">
        <v>281</v>
      </c>
      <c r="AL70" s="56" t="s">
        <v>41</v>
      </c>
      <c r="AM70" s="48" t="s">
        <v>41</v>
      </c>
      <c r="AN70" s="33" t="s">
        <v>368</v>
      </c>
      <c r="AO70" s="31" t="s">
        <v>281</v>
      </c>
      <c r="AP70" s="56" t="s">
        <v>41</v>
      </c>
      <c r="AQ70" s="48" t="s">
        <v>41</v>
      </c>
      <c r="AR70" s="33" t="s">
        <v>368</v>
      </c>
      <c r="AS70" s="31" t="s">
        <v>281</v>
      </c>
      <c r="AT70" s="56" t="s">
        <v>41</v>
      </c>
      <c r="AU70" s="48" t="s">
        <v>41</v>
      </c>
      <c r="AV70" s="33" t="s">
        <v>368</v>
      </c>
      <c r="AW70" s="31" t="s">
        <v>281</v>
      </c>
      <c r="AX70" s="56" t="s">
        <v>41</v>
      </c>
      <c r="AY70" s="48" t="s">
        <v>41</v>
      </c>
      <c r="AZ70" s="33" t="s">
        <v>368</v>
      </c>
      <c r="BA70" s="31" t="s">
        <v>281</v>
      </c>
      <c r="BB70" s="56" t="s">
        <v>41</v>
      </c>
      <c r="BC70" s="48" t="s">
        <v>41</v>
      </c>
      <c r="BD70" s="33" t="s">
        <v>368</v>
      </c>
      <c r="BE70" s="31" t="s">
        <v>281</v>
      </c>
      <c r="BF70" s="56" t="s">
        <v>41</v>
      </c>
      <c r="BG70" s="48" t="s">
        <v>41</v>
      </c>
      <c r="BH70" s="33" t="s">
        <v>368</v>
      </c>
      <c r="BI70" s="31" t="s">
        <v>281</v>
      </c>
      <c r="BJ70" s="56" t="s">
        <v>41</v>
      </c>
      <c r="BK70" s="48" t="s">
        <v>41</v>
      </c>
      <c r="BL70" s="33" t="s">
        <v>368</v>
      </c>
      <c r="BM70" s="31" t="s">
        <v>42</v>
      </c>
      <c r="BN70" s="32" t="s">
        <v>42</v>
      </c>
      <c r="BO70" s="32" t="s">
        <v>42</v>
      </c>
      <c r="BP70" s="32" t="s">
        <v>248</v>
      </c>
      <c r="BQ70" s="27" t="s">
        <v>42</v>
      </c>
      <c r="BR70" s="27" t="s">
        <v>42</v>
      </c>
      <c r="BS70" s="27" t="s">
        <v>257</v>
      </c>
      <c r="BT70" s="31">
        <f>Nombrecours</f>
        <v>10</v>
      </c>
      <c r="BU70" s="57">
        <f>COUNTIF(DonnéesDessin[[#This Row],[Réponse doodle 01]:[Présence MàN AC]],"Excusé")</f>
        <v>1</v>
      </c>
      <c r="BV70" s="57">
        <f>COUNTIF(DonnéesDessin[[#This Row],[Réponse doodle 01]:[Présence MàN AC]],"N-employé")</f>
        <v>8</v>
      </c>
      <c r="BW70" s="57">
        <f>DonnéesDessin[[#This Row],[Nombre de cours]]-DonnéesDessin[[#This Row],[Nombre excusé]]-DonnéesDessin[[#This Row],[Nombre N-employé]]</f>
        <v>1</v>
      </c>
      <c r="BX70" s="58">
        <f>COUNTIF(DonnéesDessin[[#This Row],[Réponse doodle 01]:[Présence MàN AC]],"Présent")</f>
        <v>3</v>
      </c>
      <c r="BY70" s="59">
        <f>COUNTIF(DonnéesDessin[[#This Row],[Réponse doodle 01]:[Présence MàN AC]],"Inscrit")</f>
        <v>3</v>
      </c>
      <c r="BZ70" s="52">
        <f>3*DonnéesDessin[[#This Row],[Inscrit]]</f>
        <v>9</v>
      </c>
      <c r="CA70" s="52">
        <f>COUNTIF(DonnéesDessin[[#This Row],[Réponse doodle 01]:[Présence MàN AC]],"R pas nécessaire")</f>
        <v>0</v>
      </c>
      <c r="CB70" s="52">
        <f>SUM(3*DonnéesDessin[[#This Row],[R pas nécessaire]])</f>
        <v>0</v>
      </c>
      <c r="CC70" s="52">
        <f>COUNTIF(DonnéesDessin[[#This Row],[Réponse doodle 01]:[Présence MàN AC]],"Indisponible")</f>
        <v>1</v>
      </c>
      <c r="CD70" s="52">
        <f>2*DonnéesDessin[[#This Row],[Indisponible]]</f>
        <v>2</v>
      </c>
      <c r="CE70" s="52">
        <f>COUNTIF(DonnéesDessin[[#This Row],[Réponse doodle 01]:[Présence MàN AC]],"Ne peut s'inscrire")</f>
        <v>0</v>
      </c>
      <c r="CF70" s="52">
        <f>1*DonnéesDessin[[#This Row],[Ne peut s''inscrire]]</f>
        <v>0</v>
      </c>
      <c r="CG70" s="52">
        <f>COUNTIF(DonnéesDessin[[#This Row],[Réponse doodle 01]:[Présence MàN AC]],"Sans information")</f>
        <v>0</v>
      </c>
      <c r="CH70" s="52">
        <f>0*DonnéesDessin[[#This Row],[Sans information]]</f>
        <v>0</v>
      </c>
      <c r="CI70" s="52">
        <f>COUNTIF(DonnéesDessin[[#This Row],[Réponse doodle 01]:[Présence MàN AC]],"Présent")</f>
        <v>3</v>
      </c>
      <c r="CJ70" s="52">
        <f>2*DonnéesDessin[[#This Row],[Présent]]</f>
        <v>6</v>
      </c>
      <c r="CK70" s="52">
        <f>COUNTIF(DonnéesDessin[[#This Row],[Réponse doodle 01]:[Présence MàN AC]],"P pas nécessaire")</f>
        <v>0</v>
      </c>
      <c r="CL70" s="52">
        <f>2*DonnéesDessin[[#This Row],[P pas nécessaire]]</f>
        <v>0</v>
      </c>
      <c r="CM70" s="52">
        <f>COUNTIF(DonnéesDessin[[#This Row],[Réponse doodle 01]:[Présence MàN AC]],"Excusé")</f>
        <v>1</v>
      </c>
      <c r="CN70" s="52">
        <f>1*DonnéesDessin[[#This Row],[Excusé]]</f>
        <v>1</v>
      </c>
      <c r="CO70" s="52">
        <f>COUNTIF(DonnéesDessin[[#This Row],[Réponse doodle 01]:[Présence MàN AC]],"Pas présent")</f>
        <v>0</v>
      </c>
      <c r="CP70" s="52">
        <f>0*DonnéesDessin[[#This Row],[Pas présent]]</f>
        <v>0</v>
      </c>
      <c r="CQ70"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18</v>
      </c>
      <c r="CR70" s="31" t="s">
        <v>281</v>
      </c>
      <c r="CS70" s="77" t="s">
        <v>41</v>
      </c>
      <c r="CT70" s="56" t="s">
        <v>41</v>
      </c>
      <c r="CU70" s="56"/>
      <c r="CV70" s="81" t="s">
        <v>41</v>
      </c>
      <c r="CW70" s="81" t="s">
        <v>41</v>
      </c>
      <c r="CX70" s="77" t="s">
        <v>41</v>
      </c>
      <c r="CY70" s="77" t="s">
        <v>41</v>
      </c>
      <c r="CZ70" s="77" t="s">
        <v>41</v>
      </c>
      <c r="DA70" s="56" t="s">
        <v>368</v>
      </c>
      <c r="DB70" s="89" t="s">
        <v>41</v>
      </c>
    </row>
    <row r="71" spans="1:106">
      <c r="A71" s="29" t="s">
        <v>317</v>
      </c>
      <c r="B71" s="27" t="s">
        <v>96</v>
      </c>
      <c r="C71" s="27" t="s">
        <v>97</v>
      </c>
      <c r="D71" s="27" t="s">
        <v>63</v>
      </c>
      <c r="E71" s="28">
        <v>42221</v>
      </c>
      <c r="F71" s="28">
        <v>42400</v>
      </c>
      <c r="G71" s="32" t="s">
        <v>42</v>
      </c>
      <c r="H71" s="27" t="s">
        <v>51</v>
      </c>
      <c r="I71" s="47" t="s">
        <v>298</v>
      </c>
      <c r="J71" s="48"/>
      <c r="K71" s="41" t="s">
        <v>369</v>
      </c>
      <c r="L71" s="52">
        <f>DonnéesDessin[[#This Row],[PTS]]</f>
        <v>10</v>
      </c>
      <c r="M71" s="31" t="s">
        <v>281</v>
      </c>
      <c r="N71" s="27">
        <v>0</v>
      </c>
      <c r="O71" s="28" t="s">
        <v>288</v>
      </c>
      <c r="P71" s="27" t="s">
        <v>257</v>
      </c>
      <c r="Q71" s="27" t="s">
        <v>289</v>
      </c>
      <c r="R71" s="27" t="s">
        <v>257</v>
      </c>
      <c r="S71" s="27" t="s">
        <v>290</v>
      </c>
      <c r="T71" s="33" t="s">
        <v>257</v>
      </c>
      <c r="U71" s="31" t="s">
        <v>248</v>
      </c>
      <c r="V71" s="53">
        <v>42319</v>
      </c>
      <c r="W71" s="27" t="s">
        <v>257</v>
      </c>
      <c r="X71" s="27" t="s">
        <v>44</v>
      </c>
      <c r="Y71" s="31" t="s">
        <v>248</v>
      </c>
      <c r="Z71" s="53">
        <v>42382</v>
      </c>
      <c r="AA71" s="27" t="s">
        <v>257</v>
      </c>
      <c r="AB71" s="32" t="s">
        <v>44</v>
      </c>
      <c r="AC71" s="31" t="s">
        <v>281</v>
      </c>
      <c r="AD71" s="56" t="s">
        <v>41</v>
      </c>
      <c r="AE71" s="48" t="s">
        <v>41</v>
      </c>
      <c r="AF71" s="33" t="s">
        <v>368</v>
      </c>
      <c r="AG71" s="31" t="s">
        <v>281</v>
      </c>
      <c r="AH71" s="56" t="s">
        <v>41</v>
      </c>
      <c r="AI71" s="48" t="s">
        <v>41</v>
      </c>
      <c r="AJ71" s="33" t="s">
        <v>368</v>
      </c>
      <c r="AK71" s="31" t="s">
        <v>281</v>
      </c>
      <c r="AL71" s="56" t="s">
        <v>41</v>
      </c>
      <c r="AM71" s="48" t="s">
        <v>41</v>
      </c>
      <c r="AN71" s="33" t="s">
        <v>368</v>
      </c>
      <c r="AO71" s="31" t="s">
        <v>281</v>
      </c>
      <c r="AP71" s="56" t="s">
        <v>41</v>
      </c>
      <c r="AQ71" s="48" t="s">
        <v>41</v>
      </c>
      <c r="AR71" s="33" t="s">
        <v>368</v>
      </c>
      <c r="AS71" s="31" t="s">
        <v>281</v>
      </c>
      <c r="AT71" s="56" t="s">
        <v>41</v>
      </c>
      <c r="AU71" s="48" t="s">
        <v>41</v>
      </c>
      <c r="AV71" s="33" t="s">
        <v>368</v>
      </c>
      <c r="AW71" s="31" t="s">
        <v>281</v>
      </c>
      <c r="AX71" s="56" t="s">
        <v>41</v>
      </c>
      <c r="AY71" s="48" t="s">
        <v>41</v>
      </c>
      <c r="AZ71" s="33" t="s">
        <v>368</v>
      </c>
      <c r="BA71" s="31" t="s">
        <v>281</v>
      </c>
      <c r="BB71" s="56" t="s">
        <v>41</v>
      </c>
      <c r="BC71" s="48" t="s">
        <v>41</v>
      </c>
      <c r="BD71" s="33" t="s">
        <v>368</v>
      </c>
      <c r="BE71" s="31" t="s">
        <v>281</v>
      </c>
      <c r="BF71" s="56" t="s">
        <v>41</v>
      </c>
      <c r="BG71" s="48" t="s">
        <v>41</v>
      </c>
      <c r="BH71" s="33" t="s">
        <v>368</v>
      </c>
      <c r="BI71" s="31" t="s">
        <v>281</v>
      </c>
      <c r="BJ71" s="56" t="s">
        <v>41</v>
      </c>
      <c r="BK71" s="48" t="s">
        <v>41</v>
      </c>
      <c r="BL71" s="33" t="s">
        <v>368</v>
      </c>
      <c r="BM71" s="31" t="s">
        <v>42</v>
      </c>
      <c r="BN71" s="32" t="s">
        <v>42</v>
      </c>
      <c r="BO71" s="32" t="s">
        <v>42</v>
      </c>
      <c r="BP71" s="32" t="s">
        <v>42</v>
      </c>
      <c r="BQ71" s="27" t="s">
        <v>42</v>
      </c>
      <c r="BR71" s="27" t="s">
        <v>42</v>
      </c>
      <c r="BS71" s="27" t="s">
        <v>42</v>
      </c>
      <c r="BT71" s="31">
        <f>Nombrecours</f>
        <v>10</v>
      </c>
      <c r="BU71" s="57">
        <f>COUNTIF(DonnéesDessin[[#This Row],[Réponse doodle 01]:[Présence MàN AC]],"Excusé")</f>
        <v>0</v>
      </c>
      <c r="BV71" s="57">
        <f>COUNTIF(DonnéesDessin[[#This Row],[Réponse doodle 01]:[Présence MàN AC]],"N-employé")</f>
        <v>9</v>
      </c>
      <c r="BW71" s="57">
        <f>DonnéesDessin[[#This Row],[Nombre de cours]]-DonnéesDessin[[#This Row],[Nombre excusé]]-DonnéesDessin[[#This Row],[Nombre N-employé]]</f>
        <v>1</v>
      </c>
      <c r="BX71" s="58">
        <f>COUNTIF(DonnéesDessin[[#This Row],[Réponse doodle 01]:[Présence MàN AC]],"Présent")</f>
        <v>2</v>
      </c>
      <c r="BY71" s="59">
        <f>COUNTIF(DonnéesDessin[[#This Row],[Réponse doodle 01]:[Présence MàN AC]],"Inscrit")</f>
        <v>2</v>
      </c>
      <c r="BZ71" s="52">
        <f>3*DonnéesDessin[[#This Row],[Inscrit]]</f>
        <v>6</v>
      </c>
      <c r="CA71" s="52">
        <f>COUNTIF(DonnéesDessin[[#This Row],[Réponse doodle 01]:[Présence MàN AC]],"R pas nécessaire")</f>
        <v>0</v>
      </c>
      <c r="CB71" s="52">
        <f>SUM(3*DonnéesDessin[[#This Row],[R pas nécessaire]])</f>
        <v>0</v>
      </c>
      <c r="CC71" s="52">
        <f>COUNTIF(DonnéesDessin[[#This Row],[Réponse doodle 01]:[Présence MàN AC]],"Indisponible")</f>
        <v>0</v>
      </c>
      <c r="CD71" s="52">
        <f>2*DonnéesDessin[[#This Row],[Indisponible]]</f>
        <v>0</v>
      </c>
      <c r="CE71" s="52">
        <f>COUNTIF(DonnéesDessin[[#This Row],[Réponse doodle 01]:[Présence MàN AC]],"Ne peut s'inscrire")</f>
        <v>0</v>
      </c>
      <c r="CF71" s="52">
        <f>1*DonnéesDessin[[#This Row],[Ne peut s''inscrire]]</f>
        <v>0</v>
      </c>
      <c r="CG71" s="52">
        <f>COUNTIF(DonnéesDessin[[#This Row],[Réponse doodle 01]:[Présence MàN AC]],"Sans information")</f>
        <v>0</v>
      </c>
      <c r="CH71" s="52">
        <f>0*DonnéesDessin[[#This Row],[Sans information]]</f>
        <v>0</v>
      </c>
      <c r="CI71" s="52">
        <f>COUNTIF(DonnéesDessin[[#This Row],[Réponse doodle 01]:[Présence MàN AC]],"Présent")</f>
        <v>2</v>
      </c>
      <c r="CJ71" s="52">
        <f>2*DonnéesDessin[[#This Row],[Présent]]</f>
        <v>4</v>
      </c>
      <c r="CK71" s="52">
        <f>COUNTIF(DonnéesDessin[[#This Row],[Réponse doodle 01]:[Présence MàN AC]],"P pas nécessaire")</f>
        <v>0</v>
      </c>
      <c r="CL71" s="52">
        <f>2*DonnéesDessin[[#This Row],[P pas nécessaire]]</f>
        <v>0</v>
      </c>
      <c r="CM71" s="52">
        <f>COUNTIF(DonnéesDessin[[#This Row],[Réponse doodle 01]:[Présence MàN AC]],"Excusé")</f>
        <v>0</v>
      </c>
      <c r="CN71" s="52">
        <f>1*DonnéesDessin[[#This Row],[Excusé]]</f>
        <v>0</v>
      </c>
      <c r="CO71" s="52">
        <f>COUNTIF(DonnéesDessin[[#This Row],[Réponse doodle 01]:[Présence MàN AC]],"Pas présent")</f>
        <v>0</v>
      </c>
      <c r="CP71" s="52">
        <f>0*DonnéesDessin[[#This Row],[Pas présent]]</f>
        <v>0</v>
      </c>
      <c r="CQ71"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10</v>
      </c>
      <c r="CR71" s="31" t="s">
        <v>281</v>
      </c>
      <c r="CS71" s="77" t="s">
        <v>41</v>
      </c>
      <c r="CT71" s="56" t="s">
        <v>41</v>
      </c>
      <c r="CU71" s="56"/>
      <c r="CV71" s="81" t="s">
        <v>41</v>
      </c>
      <c r="CW71" s="81" t="s">
        <v>41</v>
      </c>
      <c r="CX71" s="77" t="s">
        <v>41</v>
      </c>
      <c r="CY71" s="77" t="s">
        <v>41</v>
      </c>
      <c r="CZ71" s="77" t="s">
        <v>41</v>
      </c>
      <c r="DA71" s="56" t="s">
        <v>368</v>
      </c>
      <c r="DB71" s="89" t="s">
        <v>41</v>
      </c>
    </row>
    <row r="72" spans="1:106">
      <c r="A72" s="29" t="s">
        <v>317</v>
      </c>
      <c r="B72" s="27" t="s">
        <v>61</v>
      </c>
      <c r="C72" s="27" t="s">
        <v>62</v>
      </c>
      <c r="D72" s="27" t="s">
        <v>63</v>
      </c>
      <c r="E72" s="28">
        <v>42249</v>
      </c>
      <c r="F72" s="28">
        <v>42417</v>
      </c>
      <c r="G72" s="27" t="s">
        <v>42</v>
      </c>
      <c r="H72" s="27" t="s">
        <v>51</v>
      </c>
      <c r="I72" s="47" t="s">
        <v>298</v>
      </c>
      <c r="J72" s="47">
        <v>18</v>
      </c>
      <c r="K72" s="41" t="s">
        <v>370</v>
      </c>
      <c r="L72" s="32">
        <f>DonnéesDessin[[#This Row],[PTS]]</f>
        <v>5</v>
      </c>
      <c r="M72" s="31" t="s">
        <v>281</v>
      </c>
      <c r="N72" s="27">
        <v>0</v>
      </c>
      <c r="O72" s="28" t="s">
        <v>288</v>
      </c>
      <c r="P72" s="27" t="s">
        <v>257</v>
      </c>
      <c r="Q72" s="27" t="s">
        <v>289</v>
      </c>
      <c r="R72" s="27" t="s">
        <v>257</v>
      </c>
      <c r="S72" s="27" t="s">
        <v>290</v>
      </c>
      <c r="T72" s="33" t="s">
        <v>257</v>
      </c>
      <c r="U72" s="31" t="s">
        <v>256</v>
      </c>
      <c r="V72" s="53" t="s">
        <v>41</v>
      </c>
      <c r="W72" s="27" t="s">
        <v>259</v>
      </c>
      <c r="X72" s="27" t="s">
        <v>341</v>
      </c>
      <c r="Y72" s="31" t="s">
        <v>248</v>
      </c>
      <c r="Z72" s="55">
        <v>42382</v>
      </c>
      <c r="AA72" s="32" t="s">
        <v>292</v>
      </c>
      <c r="AB72" s="32" t="s">
        <v>342</v>
      </c>
      <c r="AC72" s="31" t="s">
        <v>281</v>
      </c>
      <c r="AD72" s="56" t="s">
        <v>41</v>
      </c>
      <c r="AE72" s="48" t="s">
        <v>41</v>
      </c>
      <c r="AF72" s="60" t="s">
        <v>368</v>
      </c>
      <c r="AG72" s="31" t="s">
        <v>281</v>
      </c>
      <c r="AH72" s="56" t="s">
        <v>41</v>
      </c>
      <c r="AI72" s="48" t="s">
        <v>41</v>
      </c>
      <c r="AJ72" s="60" t="s">
        <v>368</v>
      </c>
      <c r="AK72" s="31" t="s">
        <v>281</v>
      </c>
      <c r="AL72" s="56" t="s">
        <v>41</v>
      </c>
      <c r="AM72" s="48" t="s">
        <v>41</v>
      </c>
      <c r="AN72" s="60" t="s">
        <v>368</v>
      </c>
      <c r="AO72" s="31" t="s">
        <v>281</v>
      </c>
      <c r="AP72" s="56" t="s">
        <v>41</v>
      </c>
      <c r="AQ72" s="48" t="s">
        <v>41</v>
      </c>
      <c r="AR72" s="60" t="s">
        <v>368</v>
      </c>
      <c r="AS72" s="31" t="s">
        <v>281</v>
      </c>
      <c r="AT72" s="56" t="s">
        <v>41</v>
      </c>
      <c r="AU72" s="48" t="s">
        <v>41</v>
      </c>
      <c r="AV72" s="60" t="s">
        <v>368</v>
      </c>
      <c r="AW72" s="31" t="s">
        <v>281</v>
      </c>
      <c r="AX72" s="56" t="s">
        <v>41</v>
      </c>
      <c r="AY72" s="48" t="s">
        <v>41</v>
      </c>
      <c r="AZ72" s="60" t="s">
        <v>368</v>
      </c>
      <c r="BA72" s="31" t="s">
        <v>281</v>
      </c>
      <c r="BB72" s="56" t="s">
        <v>41</v>
      </c>
      <c r="BC72" s="48" t="s">
        <v>41</v>
      </c>
      <c r="BD72" s="60" t="s">
        <v>368</v>
      </c>
      <c r="BE72" s="31" t="s">
        <v>281</v>
      </c>
      <c r="BF72" s="56" t="s">
        <v>41</v>
      </c>
      <c r="BG72" s="48" t="s">
        <v>41</v>
      </c>
      <c r="BH72" s="60" t="s">
        <v>368</v>
      </c>
      <c r="BI72" s="31" t="s">
        <v>281</v>
      </c>
      <c r="BJ72" s="56" t="s">
        <v>41</v>
      </c>
      <c r="BK72" s="48" t="s">
        <v>41</v>
      </c>
      <c r="BL72" s="60" t="s">
        <v>368</v>
      </c>
      <c r="BM72" s="31" t="s">
        <v>65</v>
      </c>
      <c r="BN72" s="32" t="s">
        <v>41</v>
      </c>
      <c r="BO72" s="32" t="s">
        <v>41</v>
      </c>
      <c r="BP72" s="32" t="s">
        <v>256</v>
      </c>
      <c r="BQ72" s="27" t="s">
        <v>41</v>
      </c>
      <c r="BR72" s="27" t="s">
        <v>41</v>
      </c>
      <c r="BS72" s="27" t="s">
        <v>259</v>
      </c>
      <c r="BT72" s="31">
        <f>Nombrecours</f>
        <v>10</v>
      </c>
      <c r="BU72" s="27">
        <f>COUNTIF(DonnéesDessin[[#This Row],[Réponse doodle 01]:[Présence MàN AC]],"Excusé")</f>
        <v>0</v>
      </c>
      <c r="BV72" s="27">
        <f>COUNTIF(DonnéesDessin[[#This Row],[Réponse doodle 01]:[Présence MàN AC]],"N-employé")</f>
        <v>9</v>
      </c>
      <c r="BW72" s="27">
        <f>DonnéesDessin[[#This Row],[Nombre de cours]]-DonnéesDessin[[#This Row],[Nombre excusé]]-DonnéesDessin[[#This Row],[Nombre N-employé]]</f>
        <v>1</v>
      </c>
      <c r="BX72" s="33">
        <f>COUNTIF(DonnéesDessin[[#This Row],[Réponse doodle 01]:[Présence MàN AC]],"Présent")</f>
        <v>0</v>
      </c>
      <c r="BY72" s="31">
        <f>COUNTIF(DonnéesDessin[[#This Row],[Réponse doodle 01]:[Présence MàN AC]],"Inscrit")</f>
        <v>1</v>
      </c>
      <c r="BZ72" s="32">
        <f>3*DonnéesDessin[[#This Row],[Inscrit]]</f>
        <v>3</v>
      </c>
      <c r="CA72" s="32">
        <f>COUNTIF(DonnéesDessin[[#This Row],[Réponse doodle 01]:[Présence MàN AC]],"R pas nécessaire")</f>
        <v>0</v>
      </c>
      <c r="CB72" s="32">
        <f>SUM(3*DonnéesDessin[[#This Row],[R pas nécessaire]])</f>
        <v>0</v>
      </c>
      <c r="CC72" s="32">
        <f>COUNTIF(DonnéesDessin[[#This Row],[Réponse doodle 01]:[Présence MàN AC]],"Indisponible")</f>
        <v>0</v>
      </c>
      <c r="CD72" s="32">
        <f>2*DonnéesDessin[[#This Row],[Indisponible]]</f>
        <v>0</v>
      </c>
      <c r="CE72" s="32">
        <f>COUNTIF(DonnéesDessin[[#This Row],[Réponse doodle 01]:[Présence MàN AC]],"Ne peut s'inscrire")</f>
        <v>0</v>
      </c>
      <c r="CF72" s="32">
        <f>1*DonnéesDessin[[#This Row],[Ne peut s''inscrire]]</f>
        <v>0</v>
      </c>
      <c r="CG72" s="32">
        <f>COUNTIF(DonnéesDessin[[#This Row],[Réponse doodle 01]:[Présence MàN AC]],"Sans information")</f>
        <v>2</v>
      </c>
      <c r="CH72" s="32">
        <f>0*DonnéesDessin[[#This Row],[Sans information]]</f>
        <v>0</v>
      </c>
      <c r="CI72" s="32">
        <f>COUNTIF(DonnéesDessin[[#This Row],[Réponse doodle 01]:[Présence MàN AC]],"Présent")</f>
        <v>0</v>
      </c>
      <c r="CJ72" s="32">
        <f>2*DonnéesDessin[[#This Row],[Présent]]</f>
        <v>0</v>
      </c>
      <c r="CK72" s="32">
        <f>COUNTIF(DonnéesDessin[[#This Row],[Réponse doodle 01]:[Présence MàN AC]],"P pas nécessaire")</f>
        <v>1</v>
      </c>
      <c r="CL72" s="32">
        <f>2*DonnéesDessin[[#This Row],[P pas nécessaire]]</f>
        <v>2</v>
      </c>
      <c r="CM72" s="32">
        <f>COUNTIF(DonnéesDessin[[#This Row],[Réponse doodle 01]:[Présence MàN AC]],"Excusé")</f>
        <v>0</v>
      </c>
      <c r="CN72" s="32">
        <f>1*DonnéesDessin[[#This Row],[Excusé]]</f>
        <v>0</v>
      </c>
      <c r="CO72" s="32">
        <f>COUNTIF(DonnéesDessin[[#This Row],[Réponse doodle 01]:[Présence MàN AC]],"Pas présent")</f>
        <v>2</v>
      </c>
      <c r="CP72" s="32">
        <f>0*DonnéesDessin[[#This Row],[Pas présent]]</f>
        <v>0</v>
      </c>
      <c r="CQ72" s="60">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5</v>
      </c>
      <c r="CR72" s="31" t="s">
        <v>281</v>
      </c>
      <c r="CS72" s="77" t="s">
        <v>41</v>
      </c>
      <c r="CT72" s="56" t="s">
        <v>41</v>
      </c>
      <c r="CU72" s="56"/>
      <c r="CV72" s="81" t="s">
        <v>41</v>
      </c>
      <c r="CW72" s="81" t="s">
        <v>41</v>
      </c>
      <c r="CX72" s="77" t="s">
        <v>41</v>
      </c>
      <c r="CY72" s="77" t="s">
        <v>41</v>
      </c>
      <c r="CZ72" s="77" t="s">
        <v>41</v>
      </c>
      <c r="DA72" s="56" t="s">
        <v>368</v>
      </c>
      <c r="DB72" s="89" t="s">
        <v>41</v>
      </c>
    </row>
    <row r="73" spans="1:106">
      <c r="A73" s="29" t="s">
        <v>317</v>
      </c>
      <c r="B73" s="27" t="s">
        <v>87</v>
      </c>
      <c r="C73" s="27" t="s">
        <v>88</v>
      </c>
      <c r="D73" s="27" t="s">
        <v>89</v>
      </c>
      <c r="E73" s="28">
        <v>42249</v>
      </c>
      <c r="F73" s="28">
        <v>42510</v>
      </c>
      <c r="G73" s="27" t="s">
        <v>42</v>
      </c>
      <c r="H73" s="27" t="s">
        <v>51</v>
      </c>
      <c r="I73" s="47">
        <v>2015</v>
      </c>
      <c r="J73" s="47">
        <v>18</v>
      </c>
      <c r="K73" s="41" t="s">
        <v>478</v>
      </c>
      <c r="L73" s="32">
        <f>DonnéesDessin[[#This Row],[PTS]]</f>
        <v>38</v>
      </c>
      <c r="M73" s="31" t="s">
        <v>281</v>
      </c>
      <c r="N73" s="27">
        <v>0</v>
      </c>
      <c r="O73" s="27" t="s">
        <v>281</v>
      </c>
      <c r="P73" s="27">
        <v>0</v>
      </c>
      <c r="Q73" s="27" t="s">
        <v>281</v>
      </c>
      <c r="R73" s="27">
        <v>0</v>
      </c>
      <c r="S73" s="27" t="s">
        <v>281</v>
      </c>
      <c r="T73" s="33">
        <v>0</v>
      </c>
      <c r="U73" s="31" t="s">
        <v>248</v>
      </c>
      <c r="V73" s="53">
        <v>42320</v>
      </c>
      <c r="W73" s="27" t="s">
        <v>257</v>
      </c>
      <c r="X73" s="27" t="s">
        <v>44</v>
      </c>
      <c r="Y73" s="31" t="s">
        <v>248</v>
      </c>
      <c r="Z73" s="55">
        <v>42390</v>
      </c>
      <c r="AA73" s="32" t="s">
        <v>257</v>
      </c>
      <c r="AB73" s="33" t="s">
        <v>44</v>
      </c>
      <c r="AC73" s="31" t="s">
        <v>248</v>
      </c>
      <c r="AD73" s="56" t="s">
        <v>324</v>
      </c>
      <c r="AE73" s="32" t="s">
        <v>257</v>
      </c>
      <c r="AF73" s="33" t="s">
        <v>44</v>
      </c>
      <c r="AG73" s="31" t="s">
        <v>248</v>
      </c>
      <c r="AH73" s="36">
        <v>42439</v>
      </c>
      <c r="AI73" s="32" t="s">
        <v>259</v>
      </c>
      <c r="AJ73" s="33" t="s">
        <v>343</v>
      </c>
      <c r="AK73" s="31" t="s">
        <v>248</v>
      </c>
      <c r="AL73" s="32" t="s">
        <v>334</v>
      </c>
      <c r="AM73" s="32" t="s">
        <v>257</v>
      </c>
      <c r="AN73" s="33" t="s">
        <v>44</v>
      </c>
      <c r="AO73" s="31" t="s">
        <v>248</v>
      </c>
      <c r="AP73" s="32" t="s">
        <v>336</v>
      </c>
      <c r="AQ73" s="32" t="s">
        <v>257</v>
      </c>
      <c r="AR73" s="33" t="s">
        <v>44</v>
      </c>
      <c r="AS73" s="31" t="s">
        <v>248</v>
      </c>
      <c r="AT73" s="32" t="s">
        <v>414</v>
      </c>
      <c r="AU73" s="32" t="s">
        <v>257</v>
      </c>
      <c r="AV73" s="69" t="s">
        <v>44</v>
      </c>
      <c r="AW73" s="31" t="s">
        <v>281</v>
      </c>
      <c r="AX73" s="56" t="s">
        <v>41</v>
      </c>
      <c r="AY73" s="48" t="s">
        <v>41</v>
      </c>
      <c r="AZ73" s="33" t="s">
        <v>368</v>
      </c>
      <c r="BA73" s="31" t="s">
        <v>281</v>
      </c>
      <c r="BB73" s="56" t="s">
        <v>41</v>
      </c>
      <c r="BC73" s="48" t="s">
        <v>41</v>
      </c>
      <c r="BD73" s="33" t="s">
        <v>368</v>
      </c>
      <c r="BE73" s="31" t="s">
        <v>281</v>
      </c>
      <c r="BF73" s="56" t="s">
        <v>41</v>
      </c>
      <c r="BG73" s="48" t="s">
        <v>41</v>
      </c>
      <c r="BH73" s="33" t="s">
        <v>368</v>
      </c>
      <c r="BI73" s="31" t="s">
        <v>281</v>
      </c>
      <c r="BJ73" s="56" t="s">
        <v>41</v>
      </c>
      <c r="BK73" s="48" t="s">
        <v>41</v>
      </c>
      <c r="BL73" s="33" t="s">
        <v>368</v>
      </c>
      <c r="BM73" s="31" t="s">
        <v>65</v>
      </c>
      <c r="BN73" s="32" t="s">
        <v>65</v>
      </c>
      <c r="BO73" s="32" t="s">
        <v>51</v>
      </c>
      <c r="BP73" s="32" t="s">
        <v>248</v>
      </c>
      <c r="BQ73" s="28">
        <v>42349</v>
      </c>
      <c r="BR73" s="27" t="s">
        <v>282</v>
      </c>
      <c r="BS73" s="27" t="s">
        <v>257</v>
      </c>
      <c r="BT73" s="31">
        <f>Nombrecours</f>
        <v>10</v>
      </c>
      <c r="BU73" s="27">
        <f>COUNTIF(DonnéesDessin[[#This Row],[Réponse doodle 01]:[Présence MàN AC]],"Excusé")</f>
        <v>0</v>
      </c>
      <c r="BV73" s="27">
        <f>COUNTIF(DonnéesDessin[[#This Row],[Réponse doodle 01]:[Présence MàN AC]],"N-employé")</f>
        <v>4</v>
      </c>
      <c r="BW73" s="27">
        <f>DonnéesDessin[[#This Row],[Nombre de cours]]-DonnéesDessin[[#This Row],[Nombre excusé]]-DonnéesDessin[[#This Row],[Nombre N-employé]]</f>
        <v>6</v>
      </c>
      <c r="BX73" s="33">
        <f>COUNTIF(DonnéesDessin[[#This Row],[Réponse doodle 01]:[Présence MàN AC]],"Présent")</f>
        <v>7</v>
      </c>
      <c r="BY73" s="31">
        <f>COUNTIF(DonnéesDessin[[#This Row],[Réponse doodle 01]:[Présence MàN AC]],"Inscrit")</f>
        <v>8</v>
      </c>
      <c r="BZ73" s="32">
        <f>3*DonnéesDessin[[#This Row],[Inscrit]]</f>
        <v>24</v>
      </c>
      <c r="CA73" s="32">
        <f>COUNTIF(DonnéesDessin[[#This Row],[Réponse doodle 01]:[Présence MàN AC]],"R pas nécessaire")</f>
        <v>0</v>
      </c>
      <c r="CB73" s="32">
        <f>SUM(3*DonnéesDessin[[#This Row],[R pas nécessaire]])</f>
        <v>0</v>
      </c>
      <c r="CC73" s="32">
        <f>COUNTIF(DonnéesDessin[[#This Row],[Réponse doodle 01]:[Présence MàN AC]],"Indisponible")</f>
        <v>0</v>
      </c>
      <c r="CD73" s="32">
        <f>2*DonnéesDessin[[#This Row],[Indisponible]]</f>
        <v>0</v>
      </c>
      <c r="CE73" s="32">
        <f>COUNTIF(DonnéesDessin[[#This Row],[Réponse doodle 01]:[Présence MàN AC]],"Ne peut s'inscrire")</f>
        <v>0</v>
      </c>
      <c r="CF73" s="32">
        <f>1*DonnéesDessin[[#This Row],[Ne peut s''inscrire]]</f>
        <v>0</v>
      </c>
      <c r="CG73" s="32">
        <f>COUNTIF(DonnéesDessin[[#This Row],[Réponse doodle 01]:[Présence MàN AC]],"Sans information")</f>
        <v>0</v>
      </c>
      <c r="CH73" s="32">
        <f>0*DonnéesDessin[[#This Row],[Sans information]]</f>
        <v>0</v>
      </c>
      <c r="CI73" s="32">
        <f>COUNTIF(DonnéesDessin[[#This Row],[Réponse doodle 01]:[Présence MàN AC]],"Présent")</f>
        <v>7</v>
      </c>
      <c r="CJ73" s="32">
        <f>2*DonnéesDessin[[#This Row],[Présent]]</f>
        <v>14</v>
      </c>
      <c r="CK73" s="32">
        <f>COUNTIF(DonnéesDessin[[#This Row],[Réponse doodle 01]:[Présence MàN AC]],"P pas nécessaire")</f>
        <v>0</v>
      </c>
      <c r="CL73" s="32">
        <f>2*DonnéesDessin[[#This Row],[P pas nécessaire]]</f>
        <v>0</v>
      </c>
      <c r="CM73" s="32">
        <f>COUNTIF(DonnéesDessin[[#This Row],[Réponse doodle 01]:[Présence MàN AC]],"Excusé")</f>
        <v>0</v>
      </c>
      <c r="CN73" s="32">
        <f>1*DonnéesDessin[[#This Row],[Excusé]]</f>
        <v>0</v>
      </c>
      <c r="CO73" s="32">
        <f>COUNTIF(DonnéesDessin[[#This Row],[Réponse doodle 01]:[Présence MàN AC]],"Pas présent")</f>
        <v>1</v>
      </c>
      <c r="CP73" s="32">
        <f>0*DonnéesDessin[[#This Row],[Pas présent]]</f>
        <v>0</v>
      </c>
      <c r="CQ73"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38</v>
      </c>
      <c r="CR73" s="31" t="s">
        <v>281</v>
      </c>
      <c r="CS73" s="77" t="s">
        <v>41</v>
      </c>
      <c r="CT73" s="56" t="s">
        <v>41</v>
      </c>
      <c r="CU73" s="56"/>
      <c r="CV73" s="81" t="s">
        <v>41</v>
      </c>
      <c r="CW73" s="81" t="s">
        <v>41</v>
      </c>
      <c r="CX73" s="77" t="s">
        <v>41</v>
      </c>
      <c r="CY73" s="77" t="s">
        <v>41</v>
      </c>
      <c r="CZ73" s="77" t="s">
        <v>41</v>
      </c>
      <c r="DA73" s="56" t="s">
        <v>368</v>
      </c>
      <c r="DB73" s="89" t="s">
        <v>41</v>
      </c>
    </row>
    <row r="74" spans="1:106">
      <c r="A74" s="29" t="s">
        <v>317</v>
      </c>
      <c r="B74" s="27" t="s">
        <v>131</v>
      </c>
      <c r="C74" s="27" t="s">
        <v>132</v>
      </c>
      <c r="D74" s="27" t="s">
        <v>49</v>
      </c>
      <c r="E74" s="28">
        <v>42282</v>
      </c>
      <c r="F74" s="28">
        <v>42450</v>
      </c>
      <c r="G74" s="27" t="s">
        <v>42</v>
      </c>
      <c r="H74" s="27" t="s">
        <v>51</v>
      </c>
      <c r="I74" s="47" t="s">
        <v>298</v>
      </c>
      <c r="J74" s="47">
        <v>18</v>
      </c>
      <c r="K74" s="41" t="s">
        <v>372</v>
      </c>
      <c r="L74" s="32">
        <f>DonnéesDessin[[#This Row],[PTS]]</f>
        <v>21</v>
      </c>
      <c r="M74" s="31" t="s">
        <v>52</v>
      </c>
      <c r="N74" s="27">
        <v>0</v>
      </c>
      <c r="O74" s="28" t="s">
        <v>288</v>
      </c>
      <c r="P74" s="27" t="s">
        <v>257</v>
      </c>
      <c r="Q74" s="27" t="s">
        <v>289</v>
      </c>
      <c r="R74" s="27" t="s">
        <v>257</v>
      </c>
      <c r="S74" s="27" t="s">
        <v>290</v>
      </c>
      <c r="T74" s="33" t="s">
        <v>257</v>
      </c>
      <c r="U74" s="31" t="s">
        <v>248</v>
      </c>
      <c r="V74" s="53">
        <v>42319</v>
      </c>
      <c r="W74" s="27" t="s">
        <v>257</v>
      </c>
      <c r="X74" s="27" t="s">
        <v>44</v>
      </c>
      <c r="Y74" s="31" t="s">
        <v>248</v>
      </c>
      <c r="Z74" s="55">
        <v>42398</v>
      </c>
      <c r="AA74" s="32" t="s">
        <v>292</v>
      </c>
      <c r="AB74" s="33" t="s">
        <v>342</v>
      </c>
      <c r="AC74" s="31" t="s">
        <v>248</v>
      </c>
      <c r="AD74" s="55">
        <v>42417</v>
      </c>
      <c r="AE74" s="32" t="s">
        <v>259</v>
      </c>
      <c r="AF74" s="33" t="s">
        <v>343</v>
      </c>
      <c r="AG74" s="31" t="s">
        <v>248</v>
      </c>
      <c r="AH74" s="36">
        <v>42439</v>
      </c>
      <c r="AI74" s="32" t="s">
        <v>259</v>
      </c>
      <c r="AJ74" s="33" t="s">
        <v>343</v>
      </c>
      <c r="AK74" s="31" t="s">
        <v>281</v>
      </c>
      <c r="AL74" s="56" t="s">
        <v>41</v>
      </c>
      <c r="AM74" s="48" t="s">
        <v>41</v>
      </c>
      <c r="AN74" s="60" t="s">
        <v>368</v>
      </c>
      <c r="AO74" s="31" t="s">
        <v>281</v>
      </c>
      <c r="AP74" s="56" t="s">
        <v>41</v>
      </c>
      <c r="AQ74" s="48" t="s">
        <v>41</v>
      </c>
      <c r="AR74" s="60" t="s">
        <v>368</v>
      </c>
      <c r="AS74" s="31" t="s">
        <v>281</v>
      </c>
      <c r="AT74" s="56" t="s">
        <v>41</v>
      </c>
      <c r="AU74" s="48" t="s">
        <v>41</v>
      </c>
      <c r="AV74" s="60" t="s">
        <v>368</v>
      </c>
      <c r="AW74" s="31" t="s">
        <v>281</v>
      </c>
      <c r="AX74" s="56" t="s">
        <v>41</v>
      </c>
      <c r="AY74" s="48" t="s">
        <v>41</v>
      </c>
      <c r="AZ74" s="60" t="s">
        <v>368</v>
      </c>
      <c r="BA74" s="31" t="s">
        <v>281</v>
      </c>
      <c r="BB74" s="56" t="s">
        <v>41</v>
      </c>
      <c r="BC74" s="48" t="s">
        <v>41</v>
      </c>
      <c r="BD74" s="60" t="s">
        <v>368</v>
      </c>
      <c r="BE74" s="31" t="s">
        <v>281</v>
      </c>
      <c r="BF74" s="56" t="s">
        <v>41</v>
      </c>
      <c r="BG74" s="48" t="s">
        <v>41</v>
      </c>
      <c r="BH74" s="60" t="s">
        <v>368</v>
      </c>
      <c r="BI74" s="31" t="s">
        <v>281</v>
      </c>
      <c r="BJ74" s="56" t="s">
        <v>41</v>
      </c>
      <c r="BK74" s="48" t="s">
        <v>41</v>
      </c>
      <c r="BL74" s="60" t="s">
        <v>368</v>
      </c>
      <c r="BM74" s="31" t="s">
        <v>65</v>
      </c>
      <c r="BN74" s="32" t="s">
        <v>53</v>
      </c>
      <c r="BO74" s="32" t="s">
        <v>43</v>
      </c>
      <c r="BP74" s="32" t="s">
        <v>248</v>
      </c>
      <c r="BQ74" s="28">
        <v>42347</v>
      </c>
      <c r="BR74" s="27" t="s">
        <v>286</v>
      </c>
      <c r="BS74" s="27" t="s">
        <v>257</v>
      </c>
      <c r="BT74" s="31">
        <f>Nombrecours</f>
        <v>10</v>
      </c>
      <c r="BU74" s="27">
        <f>COUNTIF(DonnéesDessin[[#This Row],[Réponse doodle 01]:[Présence MàN AC]],"Excusé")</f>
        <v>0</v>
      </c>
      <c r="BV74" s="27">
        <f>COUNTIF(DonnéesDessin[[#This Row],[Réponse doodle 01]:[Présence MàN AC]],"N-employé")</f>
        <v>7</v>
      </c>
      <c r="BW74" s="27">
        <f>DonnéesDessin[[#This Row],[Nombre de cours]]-DonnéesDessin[[#This Row],[Nombre excusé]]-DonnéesDessin[[#This Row],[Nombre N-employé]]</f>
        <v>3</v>
      </c>
      <c r="BX74" s="33">
        <f>COUNTIF(DonnéesDessin[[#This Row],[Réponse doodle 01]:[Présence MàN AC]],"Présent")</f>
        <v>2</v>
      </c>
      <c r="BY74" s="31">
        <f>COUNTIF(DonnéesDessin[[#This Row],[Réponse doodle 01]:[Présence MàN AC]],"Inscrit")</f>
        <v>5</v>
      </c>
      <c r="BZ74" s="32">
        <f>3*DonnéesDessin[[#This Row],[Inscrit]]</f>
        <v>15</v>
      </c>
      <c r="CA74" s="32">
        <f>COUNTIF(DonnéesDessin[[#This Row],[Réponse doodle 01]:[Présence MàN AC]],"R pas nécessaire")</f>
        <v>0</v>
      </c>
      <c r="CB74" s="32">
        <f>SUM(3*DonnéesDessin[[#This Row],[R pas nécessaire]])</f>
        <v>0</v>
      </c>
      <c r="CC74" s="32">
        <f>COUNTIF(DonnéesDessin[[#This Row],[Réponse doodle 01]:[Présence MàN AC]],"Indisponible")</f>
        <v>0</v>
      </c>
      <c r="CD74" s="32">
        <f>2*DonnéesDessin[[#This Row],[Indisponible]]</f>
        <v>0</v>
      </c>
      <c r="CE74" s="32">
        <f>COUNTIF(DonnéesDessin[[#This Row],[Réponse doodle 01]:[Présence MàN AC]],"Ne peut s'inscrire")</f>
        <v>0</v>
      </c>
      <c r="CF74" s="32">
        <f>1*DonnéesDessin[[#This Row],[Ne peut s''inscrire]]</f>
        <v>0</v>
      </c>
      <c r="CG74" s="32">
        <f>COUNTIF(DonnéesDessin[[#This Row],[Réponse doodle 01]:[Présence MàN AC]],"Sans information")</f>
        <v>0</v>
      </c>
      <c r="CH74" s="32">
        <f>0*DonnéesDessin[[#This Row],[Sans information]]</f>
        <v>0</v>
      </c>
      <c r="CI74" s="32">
        <f>COUNTIF(DonnéesDessin[[#This Row],[Réponse doodle 01]:[Présence MàN AC]],"Présent")</f>
        <v>2</v>
      </c>
      <c r="CJ74" s="32">
        <f>2*DonnéesDessin[[#This Row],[Présent]]</f>
        <v>4</v>
      </c>
      <c r="CK74" s="32">
        <f>COUNTIF(DonnéesDessin[[#This Row],[Réponse doodle 01]:[Présence MàN AC]],"P pas nécessaire")</f>
        <v>1</v>
      </c>
      <c r="CL74" s="32">
        <f>2*DonnéesDessin[[#This Row],[P pas nécessaire]]</f>
        <v>2</v>
      </c>
      <c r="CM74" s="32">
        <f>COUNTIF(DonnéesDessin[[#This Row],[Réponse doodle 01]:[Présence MàN AC]],"Excusé")</f>
        <v>0</v>
      </c>
      <c r="CN74" s="32">
        <f>1*DonnéesDessin[[#This Row],[Excusé]]</f>
        <v>0</v>
      </c>
      <c r="CO74" s="32">
        <f>COUNTIF(DonnéesDessin[[#This Row],[Réponse doodle 01]:[Présence MàN AC]],"Pas présent")</f>
        <v>2</v>
      </c>
      <c r="CP74" s="32">
        <f>0*DonnéesDessin[[#This Row],[Pas présent]]</f>
        <v>0</v>
      </c>
      <c r="CQ74" s="60">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21</v>
      </c>
      <c r="CR74" s="31" t="s">
        <v>281</v>
      </c>
      <c r="CS74" s="77" t="s">
        <v>41</v>
      </c>
      <c r="CT74" s="56" t="s">
        <v>41</v>
      </c>
      <c r="CU74" s="56"/>
      <c r="CV74" s="81" t="s">
        <v>41</v>
      </c>
      <c r="CW74" s="81" t="s">
        <v>41</v>
      </c>
      <c r="CX74" s="77" t="s">
        <v>41</v>
      </c>
      <c r="CY74" s="77" t="s">
        <v>41</v>
      </c>
      <c r="CZ74" s="77" t="s">
        <v>41</v>
      </c>
      <c r="DA74" s="56" t="s">
        <v>368</v>
      </c>
      <c r="DB74" s="89" t="s">
        <v>41</v>
      </c>
    </row>
    <row r="75" spans="1:106">
      <c r="A75" s="62" t="s">
        <v>317</v>
      </c>
      <c r="B75" s="67" t="s">
        <v>322</v>
      </c>
      <c r="C75" s="67" t="s">
        <v>251</v>
      </c>
      <c r="D75" s="67" t="s">
        <v>63</v>
      </c>
      <c r="E75" s="72">
        <v>42408</v>
      </c>
      <c r="F75" s="72">
        <v>42608</v>
      </c>
      <c r="G75" s="67"/>
      <c r="H75" s="67" t="s">
        <v>51</v>
      </c>
      <c r="I75" s="12"/>
      <c r="J75" s="12"/>
      <c r="K75" s="66" t="s">
        <v>845</v>
      </c>
      <c r="L75" s="67">
        <f>DonnéesDessin[[#This Row],[PTS]]</f>
        <v>30</v>
      </c>
      <c r="M75" s="68" t="s">
        <v>52</v>
      </c>
      <c r="N75" s="63">
        <v>0</v>
      </c>
      <c r="O75" s="63" t="s">
        <v>45</v>
      </c>
      <c r="P75" s="63">
        <v>0</v>
      </c>
      <c r="Q75" s="63" t="s">
        <v>45</v>
      </c>
      <c r="R75" s="63">
        <v>0</v>
      </c>
      <c r="S75" s="63" t="s">
        <v>45</v>
      </c>
      <c r="T75" s="69">
        <v>0</v>
      </c>
      <c r="U75" s="68" t="s">
        <v>281</v>
      </c>
      <c r="V75" s="75" t="s">
        <v>41</v>
      </c>
      <c r="W75" s="63" t="s">
        <v>41</v>
      </c>
      <c r="X75" s="63" t="s">
        <v>358</v>
      </c>
      <c r="Y75" s="68" t="s">
        <v>281</v>
      </c>
      <c r="Z75" s="75" t="s">
        <v>41</v>
      </c>
      <c r="AA75" s="63" t="s">
        <v>41</v>
      </c>
      <c r="AB75" s="67" t="s">
        <v>358</v>
      </c>
      <c r="AC75" s="68" t="s">
        <v>256</v>
      </c>
      <c r="AD75" s="11" t="s">
        <v>41</v>
      </c>
      <c r="AE75" s="67" t="s">
        <v>259</v>
      </c>
      <c r="AF75" s="69" t="s">
        <v>341</v>
      </c>
      <c r="AG75" s="68" t="s">
        <v>248</v>
      </c>
      <c r="AH75" s="72">
        <v>42438</v>
      </c>
      <c r="AI75" s="67" t="s">
        <v>257</v>
      </c>
      <c r="AJ75" s="69" t="s">
        <v>44</v>
      </c>
      <c r="AK75" s="68" t="s">
        <v>248</v>
      </c>
      <c r="AL75" s="67" t="s">
        <v>333</v>
      </c>
      <c r="AM75" s="67" t="s">
        <v>257</v>
      </c>
      <c r="AN75" s="69" t="s">
        <v>44</v>
      </c>
      <c r="AO75" s="68" t="s">
        <v>248</v>
      </c>
      <c r="AP75" s="67" t="s">
        <v>337</v>
      </c>
      <c r="AQ75" s="67" t="s">
        <v>257</v>
      </c>
      <c r="AR75" s="69" t="s">
        <v>44</v>
      </c>
      <c r="AS75" s="68" t="s">
        <v>248</v>
      </c>
      <c r="AT75" s="67" t="s">
        <v>417</v>
      </c>
      <c r="AU75" s="67" t="s">
        <v>257</v>
      </c>
      <c r="AV75" s="69" t="s">
        <v>44</v>
      </c>
      <c r="AW75" s="68" t="s">
        <v>248</v>
      </c>
      <c r="AX75" s="67" t="s">
        <v>429</v>
      </c>
      <c r="AY75" s="67" t="s">
        <v>257</v>
      </c>
      <c r="AZ75" s="69" t="s">
        <v>44</v>
      </c>
      <c r="BA75" s="68" t="s">
        <v>256</v>
      </c>
      <c r="BB75" s="67" t="s">
        <v>41</v>
      </c>
      <c r="BC75" s="67" t="s">
        <v>259</v>
      </c>
      <c r="BD75" s="69" t="s">
        <v>41</v>
      </c>
      <c r="BE75" s="68" t="s">
        <v>256</v>
      </c>
      <c r="BF75" s="67" t="s">
        <v>41</v>
      </c>
      <c r="BG75" s="67" t="s">
        <v>259</v>
      </c>
      <c r="BH75" s="69" t="s">
        <v>41</v>
      </c>
      <c r="BI75" s="68" t="s">
        <v>248</v>
      </c>
      <c r="BJ75" s="72">
        <v>42509</v>
      </c>
      <c r="BK75" s="67" t="s">
        <v>257</v>
      </c>
      <c r="BL75" s="69" t="s">
        <v>44</v>
      </c>
      <c r="BM75" s="68" t="s">
        <v>281</v>
      </c>
      <c r="BN75" s="67"/>
      <c r="BO75" s="67" t="s">
        <v>41</v>
      </c>
      <c r="BP75" s="67" t="s">
        <v>41</v>
      </c>
      <c r="BQ75" s="67" t="s">
        <v>41</v>
      </c>
      <c r="BR75" s="67" t="s">
        <v>41</v>
      </c>
      <c r="BS75" s="67" t="s">
        <v>41</v>
      </c>
      <c r="BT75" s="68">
        <f>Nombrecours</f>
        <v>10</v>
      </c>
      <c r="BU75" s="63">
        <f>COUNTIF(DonnéesDessin[[#This Row],[Réponse doodle 01]:[Présence MàN AC]],"Excusé")</f>
        <v>0</v>
      </c>
      <c r="BV75" s="63">
        <f>COUNTIF(DonnéesDessin[[#This Row],[Réponse doodle 01]:[Présence MàN AC]],"N-employé")</f>
        <v>3</v>
      </c>
      <c r="BW75" s="63">
        <f>DonnéesDessin[[#This Row],[Nombre de cours]]-DonnéesDessin[[#This Row],[Nombre excusé]]-DonnéesDessin[[#This Row],[Nombre N-employé]]</f>
        <v>7</v>
      </c>
      <c r="BX75" s="69">
        <f>COUNTIF(DonnéesDessin[[#This Row],[Réponse doodle 01]:[Présence MàN AC]],"Présent")</f>
        <v>6</v>
      </c>
      <c r="BY75" s="68">
        <f>COUNTIF(DonnéesDessin[[#This Row],[Réponse doodle 01]:[Présence MàN AC]],"Inscrit")</f>
        <v>6</v>
      </c>
      <c r="BZ75" s="67">
        <f>3*DonnéesDessin[[#This Row],[Inscrit]]</f>
        <v>18</v>
      </c>
      <c r="CA75" s="67">
        <f>COUNTIF(DonnéesDessin[[#This Row],[Réponse doodle 01]:[Présence MàN AC]],"R pas nécessaire")</f>
        <v>0</v>
      </c>
      <c r="CB75" s="67">
        <f>SUM(3*DonnéesDessin[[#This Row],[R pas nécessaire]])</f>
        <v>0</v>
      </c>
      <c r="CC75" s="67">
        <f>COUNTIF(DonnéesDessin[[#This Row],[Réponse doodle 01]:[Présence MàN AC]],"Indisponible")</f>
        <v>0</v>
      </c>
      <c r="CD75" s="67">
        <f>2*DonnéesDessin[[#This Row],[Indisponible]]</f>
        <v>0</v>
      </c>
      <c r="CE75" s="67">
        <f>COUNTIF(DonnéesDessin[[#This Row],[Réponse doodle 01]:[Présence MàN AC]],"Ne peut s'inscrire")</f>
        <v>0</v>
      </c>
      <c r="CF75" s="67">
        <f>1*DonnéesDessin[[#This Row],[Ne peut s''inscrire]]</f>
        <v>0</v>
      </c>
      <c r="CG75" s="67">
        <f>COUNTIF(DonnéesDessin[[#This Row],[Réponse doodle 01]:[Présence MàN AC]],"Sans information")</f>
        <v>3</v>
      </c>
      <c r="CH75" s="67">
        <f>0*DonnéesDessin[[#This Row],[Sans information]]</f>
        <v>0</v>
      </c>
      <c r="CI75" s="67">
        <f>COUNTIF(DonnéesDessin[[#This Row],[Réponse doodle 01]:[Présence MàN AC]],"Présent")</f>
        <v>6</v>
      </c>
      <c r="CJ75" s="67">
        <f>2*DonnéesDessin[[#This Row],[Présent]]</f>
        <v>12</v>
      </c>
      <c r="CK75" s="67">
        <f>COUNTIF(DonnéesDessin[[#This Row],[Réponse doodle 01]:[Présence MàN AC]],"P pas nécessaire")</f>
        <v>0</v>
      </c>
      <c r="CL75" s="67">
        <f>2*DonnéesDessin[[#This Row],[P pas nécessaire]]</f>
        <v>0</v>
      </c>
      <c r="CM75" s="67">
        <f>COUNTIF(DonnéesDessin[[#This Row],[Réponse doodle 01]:[Présence MàN AC]],"Excusé")</f>
        <v>0</v>
      </c>
      <c r="CN75" s="67">
        <f>1*DonnéesDessin[[#This Row],[Excusé]]</f>
        <v>0</v>
      </c>
      <c r="CO75" s="67">
        <f>COUNTIF(DonnéesDessin[[#This Row],[Réponse doodle 01]:[Présence MàN AC]],"Pas présent")</f>
        <v>3</v>
      </c>
      <c r="CP75" s="67">
        <f>0*DonnéesDessin[[#This Row],[Pas présent]]</f>
        <v>0</v>
      </c>
      <c r="CQ75"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30</v>
      </c>
      <c r="CR75" s="31" t="s">
        <v>41</v>
      </c>
      <c r="CS75" s="77" t="s">
        <v>41</v>
      </c>
      <c r="CT75" s="56" t="s">
        <v>41</v>
      </c>
      <c r="CU75" s="56"/>
      <c r="CV75" s="81" t="s">
        <v>41</v>
      </c>
      <c r="CW75" s="81" t="s">
        <v>41</v>
      </c>
      <c r="CX75" s="77" t="s">
        <v>41</v>
      </c>
      <c r="CY75" s="77" t="s">
        <v>41</v>
      </c>
      <c r="CZ75" s="77" t="s">
        <v>41</v>
      </c>
      <c r="DA75" s="56" t="s">
        <v>487</v>
      </c>
      <c r="DB75" s="89" t="s">
        <v>41</v>
      </c>
    </row>
    <row r="76" spans="1:106">
      <c r="A76" s="29" t="s">
        <v>317</v>
      </c>
      <c r="B76" s="32" t="s">
        <v>315</v>
      </c>
      <c r="C76" s="32" t="s">
        <v>316</v>
      </c>
      <c r="D76" s="32" t="s">
        <v>63</v>
      </c>
      <c r="E76" s="36">
        <v>42415</v>
      </c>
      <c r="F76" s="36">
        <v>42557</v>
      </c>
      <c r="G76" s="32" t="s">
        <v>42</v>
      </c>
      <c r="H76" s="32" t="s">
        <v>51</v>
      </c>
      <c r="I76" s="48" t="s">
        <v>318</v>
      </c>
      <c r="J76" s="48" t="s">
        <v>42</v>
      </c>
      <c r="K76" s="41" t="s">
        <v>359</v>
      </c>
      <c r="L76" s="32">
        <f>DonnéesDessin[[#This Row],[PTS]]</f>
        <v>35</v>
      </c>
      <c r="M76" s="31" t="s">
        <v>52</v>
      </c>
      <c r="N76" s="27">
        <v>0</v>
      </c>
      <c r="O76" s="27" t="s">
        <v>308</v>
      </c>
      <c r="P76" s="27" t="s">
        <v>257</v>
      </c>
      <c r="Q76" s="27" t="s">
        <v>309</v>
      </c>
      <c r="R76" s="27">
        <v>0</v>
      </c>
      <c r="S76" s="27" t="s">
        <v>310</v>
      </c>
      <c r="T76" s="33">
        <v>0</v>
      </c>
      <c r="U76" s="31" t="s">
        <v>281</v>
      </c>
      <c r="V76" s="54" t="s">
        <v>41</v>
      </c>
      <c r="W76" s="27" t="s">
        <v>41</v>
      </c>
      <c r="X76" s="27" t="s">
        <v>358</v>
      </c>
      <c r="Y76" s="31" t="s">
        <v>281</v>
      </c>
      <c r="Z76" s="54" t="s">
        <v>41</v>
      </c>
      <c r="AA76" s="27" t="s">
        <v>41</v>
      </c>
      <c r="AB76" s="33" t="s">
        <v>358</v>
      </c>
      <c r="AC76" s="31" t="s">
        <v>248</v>
      </c>
      <c r="AD76" s="56" t="s">
        <v>324</v>
      </c>
      <c r="AE76" s="32" t="s">
        <v>257</v>
      </c>
      <c r="AF76" s="33" t="s">
        <v>44</v>
      </c>
      <c r="AG76" s="31" t="s">
        <v>248</v>
      </c>
      <c r="AH76" s="36">
        <v>42438</v>
      </c>
      <c r="AI76" s="32" t="s">
        <v>257</v>
      </c>
      <c r="AJ76" s="33" t="s">
        <v>44</v>
      </c>
      <c r="AK76" s="31" t="s">
        <v>248</v>
      </c>
      <c r="AL76" s="32" t="s">
        <v>333</v>
      </c>
      <c r="AM76" s="32" t="s">
        <v>257</v>
      </c>
      <c r="AN76" s="33" t="s">
        <v>44</v>
      </c>
      <c r="AO76" s="31" t="s">
        <v>248</v>
      </c>
      <c r="AP76" s="32" t="s">
        <v>337</v>
      </c>
      <c r="AQ76" s="32" t="s">
        <v>257</v>
      </c>
      <c r="AR76" s="33" t="s">
        <v>44</v>
      </c>
      <c r="AS76" s="31" t="s">
        <v>248</v>
      </c>
      <c r="AT76" s="32" t="s">
        <v>416</v>
      </c>
      <c r="AU76" s="32" t="s">
        <v>257</v>
      </c>
      <c r="AV76" s="69" t="s">
        <v>44</v>
      </c>
      <c r="AW76" s="31" t="s">
        <v>248</v>
      </c>
      <c r="AX76" s="32" t="s">
        <v>427</v>
      </c>
      <c r="AY76" s="32" t="s">
        <v>257</v>
      </c>
      <c r="AZ76" s="69" t="s">
        <v>44</v>
      </c>
      <c r="BA76" s="31" t="s">
        <v>281</v>
      </c>
      <c r="BB76" s="56" t="s">
        <v>41</v>
      </c>
      <c r="BC76" s="48" t="s">
        <v>41</v>
      </c>
      <c r="BD76" s="33" t="s">
        <v>368</v>
      </c>
      <c r="BE76" s="31" t="s">
        <v>281</v>
      </c>
      <c r="BF76" s="56" t="s">
        <v>41</v>
      </c>
      <c r="BG76" s="48" t="s">
        <v>41</v>
      </c>
      <c r="BH76" s="33" t="s">
        <v>368</v>
      </c>
      <c r="BI76" s="31" t="s">
        <v>248</v>
      </c>
      <c r="BJ76" s="36">
        <v>42509</v>
      </c>
      <c r="BK76" s="32" t="s">
        <v>257</v>
      </c>
      <c r="BL76" s="69" t="s">
        <v>44</v>
      </c>
      <c r="BM76" s="31" t="s">
        <v>281</v>
      </c>
      <c r="BN76" s="32"/>
      <c r="BO76" s="32" t="s">
        <v>41</v>
      </c>
      <c r="BP76" s="32" t="s">
        <v>41</v>
      </c>
      <c r="BQ76" s="32" t="s">
        <v>41</v>
      </c>
      <c r="BR76" s="32" t="s">
        <v>41</v>
      </c>
      <c r="BS76" s="32" t="s">
        <v>41</v>
      </c>
      <c r="BT76" s="31">
        <f>Nombrecours</f>
        <v>10</v>
      </c>
      <c r="BU76" s="27">
        <f>COUNTIF(DonnéesDessin[[#This Row],[Réponse doodle 01]:[Présence MàN AC]],"Excusé")</f>
        <v>0</v>
      </c>
      <c r="BV76" s="27">
        <f>COUNTIF(DonnéesDessin[[#This Row],[Réponse doodle 01]:[Présence MàN AC]],"N-employé")</f>
        <v>5</v>
      </c>
      <c r="BW76" s="27">
        <f>DonnéesDessin[[#This Row],[Nombre de cours]]-DonnéesDessin[[#This Row],[Nombre excusé]]-DonnéesDessin[[#This Row],[Nombre N-employé]]</f>
        <v>5</v>
      </c>
      <c r="BX76" s="33">
        <f>COUNTIF(DonnéesDessin[[#This Row],[Réponse doodle 01]:[Présence MàN AC]],"Présent")</f>
        <v>7</v>
      </c>
      <c r="BY76" s="31">
        <f>COUNTIF(DonnéesDessin[[#This Row],[Réponse doodle 01]:[Présence MàN AC]],"Inscrit")</f>
        <v>7</v>
      </c>
      <c r="BZ76" s="32">
        <f>3*DonnéesDessin[[#This Row],[Inscrit]]</f>
        <v>21</v>
      </c>
      <c r="CA76" s="32">
        <f>COUNTIF(DonnéesDessin[[#This Row],[Réponse doodle 01]:[Présence MàN AC]],"R pas nécessaire")</f>
        <v>0</v>
      </c>
      <c r="CB76" s="32">
        <f>SUM(3*DonnéesDessin[[#This Row],[R pas nécessaire]])</f>
        <v>0</v>
      </c>
      <c r="CC76" s="32">
        <f>COUNTIF(DonnéesDessin[[#This Row],[Réponse doodle 01]:[Présence MàN AC]],"Indisponible")</f>
        <v>0</v>
      </c>
      <c r="CD76" s="32">
        <f>2*DonnéesDessin[[#This Row],[Indisponible]]</f>
        <v>0</v>
      </c>
      <c r="CE76" s="32">
        <f>COUNTIF(DonnéesDessin[[#This Row],[Réponse doodle 01]:[Présence MàN AC]],"Ne peut s'inscrire")</f>
        <v>0</v>
      </c>
      <c r="CF76" s="32">
        <f>1*DonnéesDessin[[#This Row],[Ne peut s''inscrire]]</f>
        <v>0</v>
      </c>
      <c r="CG76" s="32">
        <f>COUNTIF(DonnéesDessin[[#This Row],[Réponse doodle 01]:[Présence MàN AC]],"Sans information")</f>
        <v>0</v>
      </c>
      <c r="CH76" s="32">
        <f>0*DonnéesDessin[[#This Row],[Sans information]]</f>
        <v>0</v>
      </c>
      <c r="CI76" s="32">
        <f>COUNTIF(DonnéesDessin[[#This Row],[Réponse doodle 01]:[Présence MàN AC]],"Présent")</f>
        <v>7</v>
      </c>
      <c r="CJ76" s="32">
        <f>2*DonnéesDessin[[#This Row],[Présent]]</f>
        <v>14</v>
      </c>
      <c r="CK76" s="32">
        <f>COUNTIF(DonnéesDessin[[#This Row],[Réponse doodle 01]:[Présence MàN AC]],"P pas nécessaire")</f>
        <v>0</v>
      </c>
      <c r="CL76" s="32">
        <f>2*DonnéesDessin[[#This Row],[P pas nécessaire]]</f>
        <v>0</v>
      </c>
      <c r="CM76" s="32">
        <f>COUNTIF(DonnéesDessin[[#This Row],[Réponse doodle 01]:[Présence MàN AC]],"Excusé")</f>
        <v>0</v>
      </c>
      <c r="CN76" s="32">
        <f>1*DonnéesDessin[[#This Row],[Excusé]]</f>
        <v>0</v>
      </c>
      <c r="CO76" s="32">
        <f>COUNTIF(DonnéesDessin[[#This Row],[Réponse doodle 01]:[Présence MàN AC]],"Pas présent")</f>
        <v>0</v>
      </c>
      <c r="CP76" s="32">
        <f>0*DonnéesDessin[[#This Row],[Pas présent]]</f>
        <v>0</v>
      </c>
      <c r="CQ76"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35</v>
      </c>
      <c r="CR76" s="31" t="s">
        <v>281</v>
      </c>
      <c r="CS76" s="77" t="s">
        <v>41</v>
      </c>
      <c r="CT76" s="56" t="s">
        <v>41</v>
      </c>
      <c r="CU76" s="56"/>
      <c r="CV76" s="81" t="s">
        <v>41</v>
      </c>
      <c r="CW76" s="81" t="s">
        <v>41</v>
      </c>
      <c r="CX76" s="77" t="s">
        <v>41</v>
      </c>
      <c r="CY76" s="77" t="s">
        <v>41</v>
      </c>
      <c r="CZ76" s="77" t="s">
        <v>41</v>
      </c>
      <c r="DA76" s="56" t="s">
        <v>368</v>
      </c>
      <c r="DB76" s="89" t="s">
        <v>41</v>
      </c>
    </row>
    <row r="77" spans="1:106" s="1" customFormat="1" ht="9">
      <c r="A77" s="62" t="s">
        <v>317</v>
      </c>
      <c r="B77" s="63" t="s">
        <v>144</v>
      </c>
      <c r="C77" s="63" t="s">
        <v>145</v>
      </c>
      <c r="D77" s="63" t="s">
        <v>49</v>
      </c>
      <c r="E77" s="64" t="s">
        <v>41</v>
      </c>
      <c r="F77" s="64">
        <v>42608</v>
      </c>
      <c r="G77" s="63"/>
      <c r="H77" s="63" t="s">
        <v>51</v>
      </c>
      <c r="I77" s="65">
        <v>2012</v>
      </c>
      <c r="J77" s="65">
        <v>17</v>
      </c>
      <c r="K77" s="66" t="s">
        <v>41</v>
      </c>
      <c r="L77" s="67">
        <f>DonnéesDessin[[#This Row],[PTS]]</f>
        <v>40</v>
      </c>
      <c r="M77" s="68" t="s">
        <v>52</v>
      </c>
      <c r="N77" s="63">
        <v>0</v>
      </c>
      <c r="O77" s="63" t="s">
        <v>45</v>
      </c>
      <c r="P77" s="63">
        <v>0</v>
      </c>
      <c r="Q77" s="63" t="s">
        <v>45</v>
      </c>
      <c r="R77" s="63">
        <v>0</v>
      </c>
      <c r="S77" s="63" t="s">
        <v>45</v>
      </c>
      <c r="T77" s="69">
        <v>0</v>
      </c>
      <c r="U77" s="68" t="s">
        <v>248</v>
      </c>
      <c r="V77" s="70">
        <v>42325</v>
      </c>
      <c r="W77" s="63" t="s">
        <v>257</v>
      </c>
      <c r="X77" s="63" t="s">
        <v>44</v>
      </c>
      <c r="Y77" s="68" t="s">
        <v>248</v>
      </c>
      <c r="Z77" s="71">
        <v>42382</v>
      </c>
      <c r="AA77" s="67" t="s">
        <v>257</v>
      </c>
      <c r="AB77" s="69" t="s">
        <v>44</v>
      </c>
      <c r="AC77" s="68" t="s">
        <v>248</v>
      </c>
      <c r="AD77" s="11" t="s">
        <v>323</v>
      </c>
      <c r="AE77" s="67" t="s">
        <v>257</v>
      </c>
      <c r="AF77" s="69" t="s">
        <v>44</v>
      </c>
      <c r="AG77" s="68" t="s">
        <v>248</v>
      </c>
      <c r="AH77" s="72">
        <v>42438</v>
      </c>
      <c r="AI77" s="67" t="s">
        <v>257</v>
      </c>
      <c r="AJ77" s="69" t="s">
        <v>44</v>
      </c>
      <c r="AK77" s="68" t="s">
        <v>248</v>
      </c>
      <c r="AL77" s="67" t="s">
        <v>333</v>
      </c>
      <c r="AM77" s="67" t="s">
        <v>257</v>
      </c>
      <c r="AN77" s="69" t="s">
        <v>44</v>
      </c>
      <c r="AO77" s="68" t="s">
        <v>248</v>
      </c>
      <c r="AP77" s="67" t="s">
        <v>335</v>
      </c>
      <c r="AQ77" s="67" t="s">
        <v>257</v>
      </c>
      <c r="AR77" s="69" t="s">
        <v>44</v>
      </c>
      <c r="AS77" s="68" t="s">
        <v>248</v>
      </c>
      <c r="AT77" s="67" t="s">
        <v>415</v>
      </c>
      <c r="AU77" s="67" t="s">
        <v>257</v>
      </c>
      <c r="AV77" s="69" t="s">
        <v>44</v>
      </c>
      <c r="AW77" s="68" t="s">
        <v>256</v>
      </c>
      <c r="AX77" s="67" t="s">
        <v>41</v>
      </c>
      <c r="AY77" s="67" t="s">
        <v>259</v>
      </c>
      <c r="AZ77" s="69" t="s">
        <v>341</v>
      </c>
      <c r="BA77" s="68" t="s">
        <v>256</v>
      </c>
      <c r="BB77" s="67" t="s">
        <v>41</v>
      </c>
      <c r="BC77" s="67" t="s">
        <v>259</v>
      </c>
      <c r="BD77" s="69" t="s">
        <v>41</v>
      </c>
      <c r="BE77" s="68" t="s">
        <v>256</v>
      </c>
      <c r="BF77" s="67" t="s">
        <v>41</v>
      </c>
      <c r="BG77" s="67" t="s">
        <v>259</v>
      </c>
      <c r="BH77" s="69" t="s">
        <v>41</v>
      </c>
      <c r="BI77" s="68" t="s">
        <v>256</v>
      </c>
      <c r="BJ77" s="67" t="s">
        <v>41</v>
      </c>
      <c r="BK77" s="67" t="s">
        <v>259</v>
      </c>
      <c r="BL77" s="69" t="s">
        <v>41</v>
      </c>
      <c r="BM77" s="68" t="s">
        <v>65</v>
      </c>
      <c r="BN77" s="67" t="s">
        <v>65</v>
      </c>
      <c r="BO77" s="67" t="s">
        <v>51</v>
      </c>
      <c r="BP77" s="67" t="s">
        <v>248</v>
      </c>
      <c r="BQ77" s="64">
        <v>42349</v>
      </c>
      <c r="BR77" s="63" t="s">
        <v>283</v>
      </c>
      <c r="BS77" s="63" t="s">
        <v>257</v>
      </c>
      <c r="BT77" s="68">
        <f>Nombrecours</f>
        <v>10</v>
      </c>
      <c r="BU77" s="63">
        <f>COUNTIF(DonnéesDessin[[#This Row],[Réponse doodle 01]:[Présence MàN AC]],"Excusé")</f>
        <v>0</v>
      </c>
      <c r="BV77" s="63">
        <f>COUNTIF(DonnéesDessin[[#This Row],[Réponse doodle 01]:[Présence MàN AC]],"N-employé")</f>
        <v>0</v>
      </c>
      <c r="BW77" s="63">
        <f>DonnéesDessin[[#This Row],[Nombre de cours]]-DonnéesDessin[[#This Row],[Nombre excusé]]-DonnéesDessin[[#This Row],[Nombre N-employé]]</f>
        <v>10</v>
      </c>
      <c r="BX77" s="69">
        <f>COUNTIF(DonnéesDessin[[#This Row],[Réponse doodle 01]:[Présence MàN AC]],"Présent")</f>
        <v>8</v>
      </c>
      <c r="BY77" s="68">
        <f>COUNTIF(DonnéesDessin[[#This Row],[Réponse doodle 01]:[Présence MàN AC]],"Inscrit")</f>
        <v>8</v>
      </c>
      <c r="BZ77" s="67">
        <f>3*DonnéesDessin[[#This Row],[Inscrit]]</f>
        <v>24</v>
      </c>
      <c r="CA77" s="67">
        <f>COUNTIF(DonnéesDessin[[#This Row],[Réponse doodle 01]:[Présence MàN AC]],"R pas nécessaire")</f>
        <v>0</v>
      </c>
      <c r="CB77" s="67">
        <f>SUM(3*DonnéesDessin[[#This Row],[R pas nécessaire]])</f>
        <v>0</v>
      </c>
      <c r="CC77" s="67">
        <f>COUNTIF(DonnéesDessin[[#This Row],[Réponse doodle 01]:[Présence MàN AC]],"Indisponible")</f>
        <v>0</v>
      </c>
      <c r="CD77" s="67">
        <f>2*DonnéesDessin[[#This Row],[Indisponible]]</f>
        <v>0</v>
      </c>
      <c r="CE77" s="67">
        <f>COUNTIF(DonnéesDessin[[#This Row],[Réponse doodle 01]:[Présence MàN AC]],"Ne peut s'inscrire")</f>
        <v>0</v>
      </c>
      <c r="CF77" s="67">
        <f>1*DonnéesDessin[[#This Row],[Ne peut s''inscrire]]</f>
        <v>0</v>
      </c>
      <c r="CG77" s="67">
        <f>COUNTIF(DonnéesDessin[[#This Row],[Réponse doodle 01]:[Présence MàN AC]],"Sans information")</f>
        <v>4</v>
      </c>
      <c r="CH77" s="67">
        <f>0*DonnéesDessin[[#This Row],[Sans information]]</f>
        <v>0</v>
      </c>
      <c r="CI77" s="67">
        <f>COUNTIF(DonnéesDessin[[#This Row],[Réponse doodle 01]:[Présence MàN AC]],"Présent")</f>
        <v>8</v>
      </c>
      <c r="CJ77" s="67">
        <f>2*DonnéesDessin[[#This Row],[Présent]]</f>
        <v>16</v>
      </c>
      <c r="CK77" s="67">
        <f>COUNTIF(DonnéesDessin[[#This Row],[Réponse doodle 01]:[Présence MàN AC]],"P pas nécessaire")</f>
        <v>0</v>
      </c>
      <c r="CL77" s="67">
        <f>2*DonnéesDessin[[#This Row],[P pas nécessaire]]</f>
        <v>0</v>
      </c>
      <c r="CM77" s="67">
        <f>COUNTIF(DonnéesDessin[[#This Row],[Réponse doodle 01]:[Présence MàN AC]],"Excusé")</f>
        <v>0</v>
      </c>
      <c r="CN77" s="67">
        <f>1*DonnéesDessin[[#This Row],[Excusé]]</f>
        <v>0</v>
      </c>
      <c r="CO77" s="67">
        <f>COUNTIF(DonnéesDessin[[#This Row],[Réponse doodle 01]:[Présence MàN AC]],"Pas présent")</f>
        <v>4</v>
      </c>
      <c r="CP77" s="67">
        <f>0*DonnéesDessin[[#This Row],[Pas présent]]</f>
        <v>0</v>
      </c>
      <c r="CQ77"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40</v>
      </c>
      <c r="CR77" s="31" t="s">
        <v>41</v>
      </c>
      <c r="CS77" s="77" t="s">
        <v>41</v>
      </c>
      <c r="CT77" s="56" t="s">
        <v>41</v>
      </c>
      <c r="CU77" s="56"/>
      <c r="CV77" s="81" t="s">
        <v>41</v>
      </c>
      <c r="CW77" s="81" t="s">
        <v>41</v>
      </c>
      <c r="CX77" s="77" t="s">
        <v>41</v>
      </c>
      <c r="CY77" s="77" t="s">
        <v>41</v>
      </c>
      <c r="CZ77" s="77" t="s">
        <v>41</v>
      </c>
      <c r="DA77" s="56" t="s">
        <v>487</v>
      </c>
      <c r="DB77" s="89" t="s">
        <v>41</v>
      </c>
    </row>
    <row r="78" spans="1:106" s="1" customFormat="1" ht="9">
      <c r="A78" s="62" t="s">
        <v>317</v>
      </c>
      <c r="B78" s="63" t="s">
        <v>66</v>
      </c>
      <c r="C78" s="63" t="s">
        <v>67</v>
      </c>
      <c r="D78" s="63" t="s">
        <v>54</v>
      </c>
      <c r="E78" s="64" t="s">
        <v>41</v>
      </c>
      <c r="F78" s="64" t="s">
        <v>41</v>
      </c>
      <c r="G78" s="63" t="s">
        <v>56</v>
      </c>
      <c r="H78" s="63" t="s">
        <v>51</v>
      </c>
      <c r="I78" s="65">
        <v>2010</v>
      </c>
      <c r="J78" s="65">
        <v>17</v>
      </c>
      <c r="K78" s="66" t="s">
        <v>345</v>
      </c>
      <c r="L78" s="67">
        <f>DonnéesDessin[[#This Row],[PTS]]</f>
        <v>5</v>
      </c>
      <c r="M78" s="68" t="s">
        <v>52</v>
      </c>
      <c r="N78" s="63">
        <v>0</v>
      </c>
      <c r="O78" s="63" t="s">
        <v>45</v>
      </c>
      <c r="P78" s="63">
        <v>0</v>
      </c>
      <c r="Q78" s="63" t="s">
        <v>45</v>
      </c>
      <c r="R78" s="63">
        <v>0</v>
      </c>
      <c r="S78" s="63" t="s">
        <v>45</v>
      </c>
      <c r="T78" s="69">
        <v>0</v>
      </c>
      <c r="U78" s="68" t="s">
        <v>256</v>
      </c>
      <c r="V78" s="70" t="s">
        <v>41</v>
      </c>
      <c r="W78" s="63" t="s">
        <v>259</v>
      </c>
      <c r="X78" s="63" t="s">
        <v>341</v>
      </c>
      <c r="Y78" s="68" t="s">
        <v>256</v>
      </c>
      <c r="Z78" s="11" t="s">
        <v>41</v>
      </c>
      <c r="AA78" s="67" t="s">
        <v>259</v>
      </c>
      <c r="AB78" s="69" t="s">
        <v>341</v>
      </c>
      <c r="AC78" s="68" t="s">
        <v>256</v>
      </c>
      <c r="AD78" s="11" t="s">
        <v>41</v>
      </c>
      <c r="AE78" s="67" t="s">
        <v>259</v>
      </c>
      <c r="AF78" s="69" t="s">
        <v>341</v>
      </c>
      <c r="AG78" s="68" t="s">
        <v>256</v>
      </c>
      <c r="AH78" s="67" t="s">
        <v>41</v>
      </c>
      <c r="AI78" s="67" t="s">
        <v>259</v>
      </c>
      <c r="AJ78" s="69" t="s">
        <v>341</v>
      </c>
      <c r="AK78" s="68" t="s">
        <v>248</v>
      </c>
      <c r="AL78" s="67" t="s">
        <v>331</v>
      </c>
      <c r="AM78" s="67" t="s">
        <v>259</v>
      </c>
      <c r="AN78" s="69" t="s">
        <v>343</v>
      </c>
      <c r="AO78" s="68" t="s">
        <v>256</v>
      </c>
      <c r="AP78" s="67" t="s">
        <v>41</v>
      </c>
      <c r="AQ78" s="67" t="s">
        <v>259</v>
      </c>
      <c r="AR78" s="69" t="s">
        <v>341</v>
      </c>
      <c r="AS78" s="68" t="s">
        <v>256</v>
      </c>
      <c r="AT78" s="67" t="s">
        <v>41</v>
      </c>
      <c r="AU78" s="67" t="s">
        <v>259</v>
      </c>
      <c r="AV78" s="69" t="s">
        <v>341</v>
      </c>
      <c r="AW78" s="68" t="s">
        <v>256</v>
      </c>
      <c r="AX78" s="67" t="s">
        <v>41</v>
      </c>
      <c r="AY78" s="67" t="s">
        <v>257</v>
      </c>
      <c r="AZ78" s="69" t="s">
        <v>508</v>
      </c>
      <c r="BA78" s="68" t="s">
        <v>256</v>
      </c>
      <c r="BB78" s="67" t="s">
        <v>41</v>
      </c>
      <c r="BC78" s="67" t="s">
        <v>259</v>
      </c>
      <c r="BD78" s="69" t="s">
        <v>41</v>
      </c>
      <c r="BE78" s="68" t="s">
        <v>256</v>
      </c>
      <c r="BF78" s="67" t="s">
        <v>41</v>
      </c>
      <c r="BG78" s="67" t="s">
        <v>259</v>
      </c>
      <c r="BH78" s="69" t="s">
        <v>41</v>
      </c>
      <c r="BI78" s="68" t="s">
        <v>256</v>
      </c>
      <c r="BJ78" s="67" t="s">
        <v>41</v>
      </c>
      <c r="BK78" s="67" t="s">
        <v>259</v>
      </c>
      <c r="BL78" s="69" t="s">
        <v>41</v>
      </c>
      <c r="BM78" s="68" t="s">
        <v>65</v>
      </c>
      <c r="BN78" s="67" t="s">
        <v>41</v>
      </c>
      <c r="BO78" s="67" t="s">
        <v>41</v>
      </c>
      <c r="BP78" s="67" t="s">
        <v>256</v>
      </c>
      <c r="BQ78" s="63" t="s">
        <v>41</v>
      </c>
      <c r="BR78" s="63" t="s">
        <v>41</v>
      </c>
      <c r="BS78" s="63" t="s">
        <v>259</v>
      </c>
      <c r="BT78" s="68">
        <f>Nombrecours</f>
        <v>10</v>
      </c>
      <c r="BU78" s="63">
        <f>COUNTIF(DonnéesDessin[[#This Row],[Réponse doodle 01]:[Présence MàN AC]],"Excusé")</f>
        <v>0</v>
      </c>
      <c r="BV78" s="63">
        <f>COUNTIF(DonnéesDessin[[#This Row],[Réponse doodle 01]:[Présence MàN AC]],"N-employé")</f>
        <v>0</v>
      </c>
      <c r="BW78" s="63">
        <f>DonnéesDessin[[#This Row],[Nombre de cours]]-DonnéesDessin[[#This Row],[Nombre excusé]]-DonnéesDessin[[#This Row],[Nombre N-employé]]</f>
        <v>10</v>
      </c>
      <c r="BX78" s="69">
        <f>COUNTIF(DonnéesDessin[[#This Row],[Réponse doodle 01]:[Présence MàN AC]],"Présent")</f>
        <v>1</v>
      </c>
      <c r="BY78" s="68">
        <f>COUNTIF(DonnéesDessin[[#This Row],[Réponse doodle 01]:[Présence MàN AC]],"Inscrit")</f>
        <v>1</v>
      </c>
      <c r="BZ78" s="67">
        <f>3*DonnéesDessin[[#This Row],[Inscrit]]</f>
        <v>3</v>
      </c>
      <c r="CA78" s="67">
        <f>COUNTIF(DonnéesDessin[[#This Row],[Réponse doodle 01]:[Présence MàN AC]],"R pas nécessaire")</f>
        <v>0</v>
      </c>
      <c r="CB78" s="67">
        <f>SUM(3*DonnéesDessin[[#This Row],[R pas nécessaire]])</f>
        <v>0</v>
      </c>
      <c r="CC78" s="67">
        <f>COUNTIF(DonnéesDessin[[#This Row],[Réponse doodle 01]:[Présence MàN AC]],"Indisponible")</f>
        <v>0</v>
      </c>
      <c r="CD78" s="67">
        <f>2*DonnéesDessin[[#This Row],[Indisponible]]</f>
        <v>0</v>
      </c>
      <c r="CE78" s="67">
        <f>COUNTIF(DonnéesDessin[[#This Row],[Réponse doodle 01]:[Présence MàN AC]],"Ne peut s'inscrire")</f>
        <v>0</v>
      </c>
      <c r="CF78" s="67">
        <f>1*DonnéesDessin[[#This Row],[Ne peut s''inscrire]]</f>
        <v>0</v>
      </c>
      <c r="CG78" s="67">
        <f>COUNTIF(DonnéesDessin[[#This Row],[Réponse doodle 01]:[Présence MàN AC]],"Sans information")</f>
        <v>11</v>
      </c>
      <c r="CH78" s="67">
        <f>0*DonnéesDessin[[#This Row],[Sans information]]</f>
        <v>0</v>
      </c>
      <c r="CI78" s="67">
        <f>COUNTIF(DonnéesDessin[[#This Row],[Réponse doodle 01]:[Présence MàN AC]],"Présent")</f>
        <v>1</v>
      </c>
      <c r="CJ78" s="67">
        <f>2*DonnéesDessin[[#This Row],[Présent]]</f>
        <v>2</v>
      </c>
      <c r="CK78" s="67">
        <f>COUNTIF(DonnéesDessin[[#This Row],[Réponse doodle 01]:[Présence MàN AC]],"P pas nécessaire")</f>
        <v>0</v>
      </c>
      <c r="CL78" s="67">
        <f>2*DonnéesDessin[[#This Row],[P pas nécessaire]]</f>
        <v>0</v>
      </c>
      <c r="CM78" s="67">
        <f>COUNTIF(DonnéesDessin[[#This Row],[Réponse doodle 01]:[Présence MàN AC]],"Excusé")</f>
        <v>0</v>
      </c>
      <c r="CN78" s="67">
        <f>1*DonnéesDessin[[#This Row],[Excusé]]</f>
        <v>0</v>
      </c>
      <c r="CO78" s="67">
        <f>COUNTIF(DonnéesDessin[[#This Row],[Réponse doodle 01]:[Présence MàN AC]],"Pas présent")</f>
        <v>11</v>
      </c>
      <c r="CP78" s="67">
        <f>0*DonnéesDessin[[#This Row],[Pas présent]]</f>
        <v>0</v>
      </c>
      <c r="CQ78"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5</v>
      </c>
      <c r="CR78" s="31" t="s">
        <v>281</v>
      </c>
      <c r="CS78" s="77" t="s">
        <v>41</v>
      </c>
      <c r="CT78" s="56" t="s">
        <v>41</v>
      </c>
      <c r="CU78" s="56"/>
      <c r="CV78" s="81" t="s">
        <v>41</v>
      </c>
      <c r="CW78" s="81" t="s">
        <v>41</v>
      </c>
      <c r="CX78" s="77" t="s">
        <v>41</v>
      </c>
      <c r="CY78" s="77" t="s">
        <v>41</v>
      </c>
      <c r="CZ78" s="77" t="s">
        <v>41</v>
      </c>
      <c r="DA78" s="56" t="s">
        <v>368</v>
      </c>
      <c r="DB78" s="89" t="s">
        <v>41</v>
      </c>
    </row>
    <row r="79" spans="1:106" s="1" customFormat="1" ht="9">
      <c r="A79" s="29" t="s">
        <v>317</v>
      </c>
      <c r="B79" s="27" t="s">
        <v>47</v>
      </c>
      <c r="C79" s="27" t="s">
        <v>48</v>
      </c>
      <c r="D79" s="27" t="s">
        <v>49</v>
      </c>
      <c r="E79" s="28" t="s">
        <v>41</v>
      </c>
      <c r="F79" s="28">
        <v>42340</v>
      </c>
      <c r="G79" s="32" t="s">
        <v>42</v>
      </c>
      <c r="H79" s="27" t="s">
        <v>51</v>
      </c>
      <c r="I79" s="47">
        <v>2010</v>
      </c>
      <c r="J79" s="48"/>
      <c r="K79" s="41" t="s">
        <v>369</v>
      </c>
      <c r="L79" s="52">
        <f>DonnéesDessin[[#This Row],[PTS]]</f>
        <v>5</v>
      </c>
      <c r="M79" s="31" t="s">
        <v>281</v>
      </c>
      <c r="N79" s="27">
        <v>0</v>
      </c>
      <c r="O79" s="27" t="s">
        <v>281</v>
      </c>
      <c r="P79" s="27">
        <v>0</v>
      </c>
      <c r="Q79" s="27" t="s">
        <v>281</v>
      </c>
      <c r="R79" s="27">
        <v>0</v>
      </c>
      <c r="S79" s="27" t="s">
        <v>281</v>
      </c>
      <c r="T79" s="33">
        <v>0</v>
      </c>
      <c r="U79" s="31" t="s">
        <v>248</v>
      </c>
      <c r="V79" s="53">
        <v>42320</v>
      </c>
      <c r="W79" s="27" t="s">
        <v>257</v>
      </c>
      <c r="X79" s="27" t="s">
        <v>44</v>
      </c>
      <c r="Y79" s="31" t="s">
        <v>281</v>
      </c>
      <c r="Z79" s="56" t="s">
        <v>41</v>
      </c>
      <c r="AA79" s="48" t="s">
        <v>41</v>
      </c>
      <c r="AB79" s="32" t="s">
        <v>368</v>
      </c>
      <c r="AC79" s="31" t="s">
        <v>281</v>
      </c>
      <c r="AD79" s="56" t="s">
        <v>41</v>
      </c>
      <c r="AE79" s="48" t="s">
        <v>41</v>
      </c>
      <c r="AF79" s="32" t="s">
        <v>368</v>
      </c>
      <c r="AG79" s="31" t="s">
        <v>281</v>
      </c>
      <c r="AH79" s="56" t="s">
        <v>41</v>
      </c>
      <c r="AI79" s="48" t="s">
        <v>41</v>
      </c>
      <c r="AJ79" s="32" t="s">
        <v>368</v>
      </c>
      <c r="AK79" s="31" t="s">
        <v>281</v>
      </c>
      <c r="AL79" s="56" t="s">
        <v>41</v>
      </c>
      <c r="AM79" s="48" t="s">
        <v>41</v>
      </c>
      <c r="AN79" s="32" t="s">
        <v>368</v>
      </c>
      <c r="AO79" s="31" t="s">
        <v>281</v>
      </c>
      <c r="AP79" s="56" t="s">
        <v>41</v>
      </c>
      <c r="AQ79" s="48" t="s">
        <v>41</v>
      </c>
      <c r="AR79" s="32" t="s">
        <v>368</v>
      </c>
      <c r="AS79" s="31" t="s">
        <v>281</v>
      </c>
      <c r="AT79" s="56" t="s">
        <v>41</v>
      </c>
      <c r="AU79" s="48" t="s">
        <v>41</v>
      </c>
      <c r="AV79" s="32" t="s">
        <v>368</v>
      </c>
      <c r="AW79" s="31" t="s">
        <v>281</v>
      </c>
      <c r="AX79" s="56" t="s">
        <v>41</v>
      </c>
      <c r="AY79" s="48" t="s">
        <v>41</v>
      </c>
      <c r="AZ79" s="33" t="s">
        <v>368</v>
      </c>
      <c r="BA79" s="31" t="s">
        <v>281</v>
      </c>
      <c r="BB79" s="56" t="s">
        <v>41</v>
      </c>
      <c r="BC79" s="48" t="s">
        <v>41</v>
      </c>
      <c r="BD79" s="32" t="s">
        <v>368</v>
      </c>
      <c r="BE79" s="31" t="s">
        <v>281</v>
      </c>
      <c r="BF79" s="56" t="s">
        <v>41</v>
      </c>
      <c r="BG79" s="48" t="s">
        <v>41</v>
      </c>
      <c r="BH79" s="32" t="s">
        <v>368</v>
      </c>
      <c r="BI79" s="31" t="s">
        <v>281</v>
      </c>
      <c r="BJ79" s="56" t="s">
        <v>41</v>
      </c>
      <c r="BK79" s="48" t="s">
        <v>41</v>
      </c>
      <c r="BL79" s="32" t="s">
        <v>368</v>
      </c>
      <c r="BM79" s="31" t="s">
        <v>42</v>
      </c>
      <c r="BN79" s="32" t="s">
        <v>42</v>
      </c>
      <c r="BO79" s="32" t="s">
        <v>42</v>
      </c>
      <c r="BP79" s="32" t="s">
        <v>42</v>
      </c>
      <c r="BQ79" s="27" t="s">
        <v>42</v>
      </c>
      <c r="BR79" s="27" t="s">
        <v>42</v>
      </c>
      <c r="BS79" s="27" t="s">
        <v>42</v>
      </c>
      <c r="BT79" s="31">
        <f>Nombrecours</f>
        <v>10</v>
      </c>
      <c r="BU79" s="57">
        <f>COUNTIF(DonnéesDessin[[#This Row],[Réponse doodle 01]:[Présence MàN AC]],"Excusé")</f>
        <v>0</v>
      </c>
      <c r="BV79" s="57">
        <f>COUNTIF(DonnéesDessin[[#This Row],[Réponse doodle 01]:[Présence MàN AC]],"N-employé")</f>
        <v>10</v>
      </c>
      <c r="BW79" s="57">
        <f>DonnéesDessin[[#This Row],[Nombre de cours]]-DonnéesDessin[[#This Row],[Nombre excusé]]-DonnéesDessin[[#This Row],[Nombre N-employé]]</f>
        <v>0</v>
      </c>
      <c r="BX79" s="58">
        <f>COUNTIF(DonnéesDessin[[#This Row],[Réponse doodle 01]:[Présence MàN AC]],"Présent")</f>
        <v>1</v>
      </c>
      <c r="BY79" s="59">
        <f>COUNTIF(DonnéesDessin[[#This Row],[Réponse doodle 01]:[Présence MàN AC]],"Inscrit")</f>
        <v>1</v>
      </c>
      <c r="BZ79" s="52">
        <f>3*DonnéesDessin[[#This Row],[Inscrit]]</f>
        <v>3</v>
      </c>
      <c r="CA79" s="52">
        <f>COUNTIF(DonnéesDessin[[#This Row],[Réponse doodle 01]:[Présence MàN AC]],"R pas nécessaire")</f>
        <v>0</v>
      </c>
      <c r="CB79" s="52">
        <f>SUM(3*DonnéesDessin[[#This Row],[R pas nécessaire]])</f>
        <v>0</v>
      </c>
      <c r="CC79" s="52">
        <f>COUNTIF(DonnéesDessin[[#This Row],[Réponse doodle 01]:[Présence MàN AC]],"Indisponible")</f>
        <v>0</v>
      </c>
      <c r="CD79" s="52">
        <f>2*DonnéesDessin[[#This Row],[Indisponible]]</f>
        <v>0</v>
      </c>
      <c r="CE79" s="52">
        <f>COUNTIF(DonnéesDessin[[#This Row],[Réponse doodle 01]:[Présence MàN AC]],"Ne peut s'inscrire")</f>
        <v>0</v>
      </c>
      <c r="CF79" s="52">
        <f>1*DonnéesDessin[[#This Row],[Ne peut s''inscrire]]</f>
        <v>0</v>
      </c>
      <c r="CG79" s="52">
        <f>COUNTIF(DonnéesDessin[[#This Row],[Réponse doodle 01]:[Présence MàN AC]],"Sans information")</f>
        <v>0</v>
      </c>
      <c r="CH79" s="52">
        <f>0*DonnéesDessin[[#This Row],[Sans information]]</f>
        <v>0</v>
      </c>
      <c r="CI79" s="52">
        <f>COUNTIF(DonnéesDessin[[#This Row],[Réponse doodle 01]:[Présence MàN AC]],"Présent")</f>
        <v>1</v>
      </c>
      <c r="CJ79" s="52">
        <f>2*DonnéesDessin[[#This Row],[Présent]]</f>
        <v>2</v>
      </c>
      <c r="CK79" s="52">
        <f>COUNTIF(DonnéesDessin[[#This Row],[Réponse doodle 01]:[Présence MàN AC]],"P pas nécessaire")</f>
        <v>0</v>
      </c>
      <c r="CL79" s="52">
        <f>2*DonnéesDessin[[#This Row],[P pas nécessaire]]</f>
        <v>0</v>
      </c>
      <c r="CM79" s="52">
        <f>COUNTIF(DonnéesDessin[[#This Row],[Réponse doodle 01]:[Présence MàN AC]],"Excusé")</f>
        <v>0</v>
      </c>
      <c r="CN79" s="52">
        <f>1*DonnéesDessin[[#This Row],[Excusé]]</f>
        <v>0</v>
      </c>
      <c r="CO79" s="52">
        <f>COUNTIF(DonnéesDessin[[#This Row],[Réponse doodle 01]:[Présence MàN AC]],"Pas présent")</f>
        <v>0</v>
      </c>
      <c r="CP79" s="52">
        <f>0*DonnéesDessin[[#This Row],[Pas présent]]</f>
        <v>0</v>
      </c>
      <c r="CQ79"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5</v>
      </c>
      <c r="CR79" s="31" t="s">
        <v>281</v>
      </c>
      <c r="CS79" s="77" t="s">
        <v>41</v>
      </c>
      <c r="CT79" s="56" t="s">
        <v>41</v>
      </c>
      <c r="CU79" s="56"/>
      <c r="CV79" s="81" t="s">
        <v>41</v>
      </c>
      <c r="CW79" s="81" t="s">
        <v>41</v>
      </c>
      <c r="CX79" s="77" t="s">
        <v>41</v>
      </c>
      <c r="CY79" s="77" t="s">
        <v>41</v>
      </c>
      <c r="CZ79" s="77" t="s">
        <v>41</v>
      </c>
      <c r="DA79" s="56" t="s">
        <v>368</v>
      </c>
      <c r="DB79" s="89" t="s">
        <v>41</v>
      </c>
    </row>
    <row r="80" spans="1:106" s="1" customFormat="1" ht="9">
      <c r="A80" s="29" t="s">
        <v>317</v>
      </c>
      <c r="B80" s="27" t="s">
        <v>76</v>
      </c>
      <c r="C80" s="27" t="s">
        <v>68</v>
      </c>
      <c r="D80" s="27" t="s">
        <v>49</v>
      </c>
      <c r="E80" s="28" t="s">
        <v>41</v>
      </c>
      <c r="F80" s="28">
        <v>42490</v>
      </c>
      <c r="G80" s="27" t="s">
        <v>42</v>
      </c>
      <c r="H80" s="27" t="s">
        <v>51</v>
      </c>
      <c r="I80" s="47" t="s">
        <v>51</v>
      </c>
      <c r="J80" s="47">
        <v>16</v>
      </c>
      <c r="K80" s="41" t="s">
        <v>365</v>
      </c>
      <c r="L80" s="32">
        <f>DonnéesDessin[[#This Row],[PTS]]</f>
        <v>30</v>
      </c>
      <c r="M80" s="31" t="s">
        <v>281</v>
      </c>
      <c r="N80" s="27">
        <v>0</v>
      </c>
      <c r="O80" s="27" t="s">
        <v>281</v>
      </c>
      <c r="P80" s="27">
        <v>0</v>
      </c>
      <c r="Q80" s="27" t="s">
        <v>281</v>
      </c>
      <c r="R80" s="27">
        <v>0</v>
      </c>
      <c r="S80" s="27" t="s">
        <v>281</v>
      </c>
      <c r="T80" s="33">
        <v>0</v>
      </c>
      <c r="U80" s="31" t="s">
        <v>248</v>
      </c>
      <c r="V80" s="53">
        <v>42319</v>
      </c>
      <c r="W80" s="27" t="s">
        <v>257</v>
      </c>
      <c r="X80" s="27" t="s">
        <v>44</v>
      </c>
      <c r="Y80" s="31" t="s">
        <v>248</v>
      </c>
      <c r="Z80" s="55">
        <v>42390</v>
      </c>
      <c r="AA80" s="32" t="s">
        <v>257</v>
      </c>
      <c r="AB80" s="32" t="s">
        <v>44</v>
      </c>
      <c r="AC80" s="31" t="s">
        <v>248</v>
      </c>
      <c r="AD80" s="55">
        <v>42417</v>
      </c>
      <c r="AE80" s="32" t="s">
        <v>257</v>
      </c>
      <c r="AF80" s="32" t="s">
        <v>44</v>
      </c>
      <c r="AG80" s="31" t="s">
        <v>248</v>
      </c>
      <c r="AH80" s="36">
        <v>42431</v>
      </c>
      <c r="AI80" s="32" t="s">
        <v>257</v>
      </c>
      <c r="AJ80" s="32" t="s">
        <v>44</v>
      </c>
      <c r="AK80" s="31" t="s">
        <v>248</v>
      </c>
      <c r="AL80" s="32" t="s">
        <v>333</v>
      </c>
      <c r="AM80" s="32" t="s">
        <v>258</v>
      </c>
      <c r="AN80" s="32" t="s">
        <v>405</v>
      </c>
      <c r="AO80" s="31" t="s">
        <v>248</v>
      </c>
      <c r="AP80" s="32" t="s">
        <v>336</v>
      </c>
      <c r="AQ80" s="32" t="s">
        <v>259</v>
      </c>
      <c r="AR80" s="32" t="s">
        <v>343</v>
      </c>
      <c r="AS80" s="31" t="s">
        <v>281</v>
      </c>
      <c r="AT80" s="56" t="s">
        <v>41</v>
      </c>
      <c r="AU80" s="48" t="s">
        <v>41</v>
      </c>
      <c r="AV80" s="32" t="s">
        <v>368</v>
      </c>
      <c r="AW80" s="31" t="s">
        <v>281</v>
      </c>
      <c r="AX80" s="56" t="s">
        <v>41</v>
      </c>
      <c r="AY80" s="48" t="s">
        <v>41</v>
      </c>
      <c r="AZ80" s="32" t="s">
        <v>368</v>
      </c>
      <c r="BA80" s="31" t="s">
        <v>281</v>
      </c>
      <c r="BB80" s="56" t="s">
        <v>41</v>
      </c>
      <c r="BC80" s="48" t="s">
        <v>41</v>
      </c>
      <c r="BD80" s="32" t="s">
        <v>368</v>
      </c>
      <c r="BE80" s="31" t="s">
        <v>281</v>
      </c>
      <c r="BF80" s="56" t="s">
        <v>41</v>
      </c>
      <c r="BG80" s="48" t="s">
        <v>41</v>
      </c>
      <c r="BH80" s="32" t="s">
        <v>368</v>
      </c>
      <c r="BI80" s="31" t="s">
        <v>281</v>
      </c>
      <c r="BJ80" s="56" t="s">
        <v>41</v>
      </c>
      <c r="BK80" s="48" t="s">
        <v>41</v>
      </c>
      <c r="BL80" s="32" t="s">
        <v>368</v>
      </c>
      <c r="BM80" s="31" t="s">
        <v>53</v>
      </c>
      <c r="BN80" s="32" t="s">
        <v>53</v>
      </c>
      <c r="BO80" s="32" t="s">
        <v>51</v>
      </c>
      <c r="BP80" s="32" t="s">
        <v>255</v>
      </c>
      <c r="BQ80" s="28">
        <v>42347</v>
      </c>
      <c r="BR80" s="27" t="s">
        <v>41</v>
      </c>
      <c r="BS80" s="27" t="s">
        <v>258</v>
      </c>
      <c r="BT80" s="31">
        <f>Nombrecours</f>
        <v>10</v>
      </c>
      <c r="BU80" s="27">
        <f>COUNTIF(DonnéesDessin[[#This Row],[Réponse doodle 01]:[Présence MàN AC]],"Excusé")</f>
        <v>2</v>
      </c>
      <c r="BV80" s="27">
        <f>COUNTIF(DonnéesDessin[[#This Row],[Réponse doodle 01]:[Présence MàN AC]],"N-employé")</f>
        <v>5</v>
      </c>
      <c r="BW80" s="27">
        <f>DonnéesDessin[[#This Row],[Nombre de cours]]-DonnéesDessin[[#This Row],[Nombre excusé]]-DonnéesDessin[[#This Row],[Nombre N-employé]]</f>
        <v>3</v>
      </c>
      <c r="BX80" s="33">
        <f>COUNTIF(DonnéesDessin[[#This Row],[Réponse doodle 01]:[Présence MàN AC]],"Présent")</f>
        <v>4</v>
      </c>
      <c r="BY80" s="31">
        <f>COUNTIF(DonnéesDessin[[#This Row],[Réponse doodle 01]:[Présence MàN AC]],"Inscrit")</f>
        <v>6</v>
      </c>
      <c r="BZ80" s="32">
        <f>3*DonnéesDessin[[#This Row],[Inscrit]]</f>
        <v>18</v>
      </c>
      <c r="CA80" s="32">
        <f>COUNTIF(DonnéesDessin[[#This Row],[Réponse doodle 01]:[Présence MàN AC]],"R pas nécessaire")</f>
        <v>0</v>
      </c>
      <c r="CB80" s="32">
        <f>SUM(3*DonnéesDessin[[#This Row],[R pas nécessaire]])</f>
        <v>0</v>
      </c>
      <c r="CC80" s="32">
        <f>COUNTIF(DonnéesDessin[[#This Row],[Réponse doodle 01]:[Présence MàN AC]],"Indisponible")</f>
        <v>1</v>
      </c>
      <c r="CD80" s="32">
        <f>2*DonnéesDessin[[#This Row],[Indisponible]]</f>
        <v>2</v>
      </c>
      <c r="CE80" s="32">
        <f>COUNTIF(DonnéesDessin[[#This Row],[Réponse doodle 01]:[Présence MàN AC]],"Ne peut s'inscrire")</f>
        <v>0</v>
      </c>
      <c r="CF80" s="32">
        <f>1*DonnéesDessin[[#This Row],[Ne peut s''inscrire]]</f>
        <v>0</v>
      </c>
      <c r="CG80" s="32">
        <f>COUNTIF(DonnéesDessin[[#This Row],[Réponse doodle 01]:[Présence MàN AC]],"Sans information")</f>
        <v>0</v>
      </c>
      <c r="CH80" s="32">
        <f>0*DonnéesDessin[[#This Row],[Sans information]]</f>
        <v>0</v>
      </c>
      <c r="CI80" s="32">
        <f>COUNTIF(DonnéesDessin[[#This Row],[Réponse doodle 01]:[Présence MàN AC]],"Présent")</f>
        <v>4</v>
      </c>
      <c r="CJ80" s="32">
        <f>2*DonnéesDessin[[#This Row],[Présent]]</f>
        <v>8</v>
      </c>
      <c r="CK80" s="32">
        <f>COUNTIF(DonnéesDessin[[#This Row],[Réponse doodle 01]:[Présence MàN AC]],"P pas nécessaire")</f>
        <v>0</v>
      </c>
      <c r="CL80" s="32">
        <f>2*DonnéesDessin[[#This Row],[P pas nécessaire]]</f>
        <v>0</v>
      </c>
      <c r="CM80" s="32">
        <f>COUNTIF(DonnéesDessin[[#This Row],[Réponse doodle 01]:[Présence MàN AC]],"Excusé")</f>
        <v>2</v>
      </c>
      <c r="CN80" s="32">
        <f>1*DonnéesDessin[[#This Row],[Excusé]]</f>
        <v>2</v>
      </c>
      <c r="CO80" s="32">
        <f>COUNTIF(DonnéesDessin[[#This Row],[Réponse doodle 01]:[Présence MàN AC]],"Pas présent")</f>
        <v>1</v>
      </c>
      <c r="CP80" s="32">
        <f>0*DonnéesDessin[[#This Row],[Pas présent]]</f>
        <v>0</v>
      </c>
      <c r="CQ80"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30</v>
      </c>
      <c r="CR80" s="31" t="s">
        <v>281</v>
      </c>
      <c r="CS80" s="77" t="s">
        <v>41</v>
      </c>
      <c r="CT80" s="56" t="s">
        <v>41</v>
      </c>
      <c r="CU80" s="56"/>
      <c r="CV80" s="81" t="s">
        <v>41</v>
      </c>
      <c r="CW80" s="81" t="s">
        <v>41</v>
      </c>
      <c r="CX80" s="77" t="s">
        <v>41</v>
      </c>
      <c r="CY80" s="77" t="s">
        <v>41</v>
      </c>
      <c r="CZ80" s="77" t="s">
        <v>41</v>
      </c>
      <c r="DA80" s="56" t="s">
        <v>368</v>
      </c>
      <c r="DB80" s="89" t="s">
        <v>41</v>
      </c>
    </row>
    <row r="81" spans="1:106" s="1" customFormat="1" ht="9">
      <c r="A81" s="29" t="s">
        <v>317</v>
      </c>
      <c r="B81" s="63" t="s">
        <v>133</v>
      </c>
      <c r="C81" s="63" t="s">
        <v>134</v>
      </c>
      <c r="D81" s="63" t="s">
        <v>49</v>
      </c>
      <c r="E81" s="64" t="s">
        <v>41</v>
      </c>
      <c r="F81" s="64">
        <v>42577</v>
      </c>
      <c r="G81" s="63" t="s">
        <v>42</v>
      </c>
      <c r="H81" s="63" t="s">
        <v>51</v>
      </c>
      <c r="I81" s="65">
        <v>2014</v>
      </c>
      <c r="J81" s="65">
        <v>18</v>
      </c>
      <c r="K81" s="66" t="s">
        <v>480</v>
      </c>
      <c r="L81" s="67">
        <f>DonnéesDessin[[#This Row],[PTS]]</f>
        <v>18</v>
      </c>
      <c r="M81" s="31" t="s">
        <v>281</v>
      </c>
      <c r="N81" s="27">
        <v>0</v>
      </c>
      <c r="O81" s="27" t="s">
        <v>281</v>
      </c>
      <c r="P81" s="27">
        <v>0</v>
      </c>
      <c r="Q81" s="27" t="s">
        <v>281</v>
      </c>
      <c r="R81" s="27">
        <v>0</v>
      </c>
      <c r="S81" s="27" t="s">
        <v>281</v>
      </c>
      <c r="T81" s="33">
        <v>0</v>
      </c>
      <c r="U81" s="68" t="s">
        <v>248</v>
      </c>
      <c r="V81" s="70">
        <v>42325</v>
      </c>
      <c r="W81" s="63" t="s">
        <v>257</v>
      </c>
      <c r="X81" s="63" t="s">
        <v>44</v>
      </c>
      <c r="Y81" s="68" t="s">
        <v>248</v>
      </c>
      <c r="Z81" s="71">
        <v>42390</v>
      </c>
      <c r="AA81" s="67" t="s">
        <v>257</v>
      </c>
      <c r="AB81" s="67" t="s">
        <v>44</v>
      </c>
      <c r="AC81" s="68" t="s">
        <v>248</v>
      </c>
      <c r="AD81" s="11" t="s">
        <v>324</v>
      </c>
      <c r="AE81" s="67" t="s">
        <v>259</v>
      </c>
      <c r="AF81" s="67" t="s">
        <v>343</v>
      </c>
      <c r="AG81" s="68" t="s">
        <v>256</v>
      </c>
      <c r="AH81" s="67" t="s">
        <v>41</v>
      </c>
      <c r="AI81" s="67" t="s">
        <v>259</v>
      </c>
      <c r="AJ81" s="67" t="s">
        <v>341</v>
      </c>
      <c r="AK81" s="68" t="s">
        <v>256</v>
      </c>
      <c r="AL81" s="67" t="s">
        <v>41</v>
      </c>
      <c r="AM81" s="67" t="s">
        <v>259</v>
      </c>
      <c r="AN81" s="67" t="s">
        <v>341</v>
      </c>
      <c r="AO81" s="68" t="s">
        <v>256</v>
      </c>
      <c r="AP81" s="67" t="s">
        <v>41</v>
      </c>
      <c r="AQ81" s="67" t="s">
        <v>259</v>
      </c>
      <c r="AR81" s="67" t="s">
        <v>341</v>
      </c>
      <c r="AS81" s="68" t="s">
        <v>256</v>
      </c>
      <c r="AT81" s="67" t="s">
        <v>41</v>
      </c>
      <c r="AU81" s="67" t="s">
        <v>259</v>
      </c>
      <c r="AV81" s="67" t="s">
        <v>341</v>
      </c>
      <c r="AW81" s="68" t="s">
        <v>256</v>
      </c>
      <c r="AX81" s="67" t="s">
        <v>41</v>
      </c>
      <c r="AY81" s="67" t="s">
        <v>259</v>
      </c>
      <c r="AZ81" s="67" t="s">
        <v>341</v>
      </c>
      <c r="BA81" s="31" t="s">
        <v>281</v>
      </c>
      <c r="BB81" s="56" t="s">
        <v>41</v>
      </c>
      <c r="BC81" s="48" t="s">
        <v>41</v>
      </c>
      <c r="BD81" s="94" t="s">
        <v>368</v>
      </c>
      <c r="BE81" s="31" t="s">
        <v>281</v>
      </c>
      <c r="BF81" s="56" t="s">
        <v>41</v>
      </c>
      <c r="BG81" s="48" t="s">
        <v>41</v>
      </c>
      <c r="BH81" s="94" t="s">
        <v>368</v>
      </c>
      <c r="BI81" s="31" t="s">
        <v>281</v>
      </c>
      <c r="BJ81" s="56" t="s">
        <v>41</v>
      </c>
      <c r="BK81" s="48" t="s">
        <v>41</v>
      </c>
      <c r="BL81" s="94" t="s">
        <v>368</v>
      </c>
      <c r="BM81" s="68" t="s">
        <v>65</v>
      </c>
      <c r="BN81" s="67" t="s">
        <v>65</v>
      </c>
      <c r="BO81" s="67" t="s">
        <v>51</v>
      </c>
      <c r="BP81" s="67" t="s">
        <v>248</v>
      </c>
      <c r="BQ81" s="64">
        <v>42349</v>
      </c>
      <c r="BR81" s="63" t="s">
        <v>283</v>
      </c>
      <c r="BS81" s="63" t="s">
        <v>257</v>
      </c>
      <c r="BT81" s="68">
        <f>Nombrecours</f>
        <v>10</v>
      </c>
      <c r="BU81" s="63">
        <f>COUNTIF(DonnéesDessin[[#This Row],[Réponse doodle 01]:[Présence MàN AC]],"Excusé")</f>
        <v>0</v>
      </c>
      <c r="BV81" s="63">
        <f>COUNTIF(DonnéesDessin[[#This Row],[Réponse doodle 01]:[Présence MàN AC]],"N-employé")</f>
        <v>3</v>
      </c>
      <c r="BW81" s="63">
        <f>DonnéesDessin[[#This Row],[Nombre de cours]]-DonnéesDessin[[#This Row],[Nombre excusé]]-DonnéesDessin[[#This Row],[Nombre N-employé]]</f>
        <v>7</v>
      </c>
      <c r="BX81" s="69">
        <f>COUNTIF(DonnéesDessin[[#This Row],[Réponse doodle 01]:[Présence MàN AC]],"Présent")</f>
        <v>3</v>
      </c>
      <c r="BY81" s="68">
        <f>COUNTIF(DonnéesDessin[[#This Row],[Réponse doodle 01]:[Présence MàN AC]],"Inscrit")</f>
        <v>4</v>
      </c>
      <c r="BZ81" s="67">
        <f>3*DonnéesDessin[[#This Row],[Inscrit]]</f>
        <v>12</v>
      </c>
      <c r="CA81" s="67">
        <f>COUNTIF(DonnéesDessin[[#This Row],[Réponse doodle 01]:[Présence MàN AC]],"R pas nécessaire")</f>
        <v>0</v>
      </c>
      <c r="CB81" s="67">
        <f>SUM(3*DonnéesDessin[[#This Row],[R pas nécessaire]])</f>
        <v>0</v>
      </c>
      <c r="CC81" s="67">
        <f>COUNTIF(DonnéesDessin[[#This Row],[Réponse doodle 01]:[Présence MàN AC]],"Indisponible")</f>
        <v>0</v>
      </c>
      <c r="CD81" s="67">
        <f>2*DonnéesDessin[[#This Row],[Indisponible]]</f>
        <v>0</v>
      </c>
      <c r="CE81" s="67">
        <f>COUNTIF(DonnéesDessin[[#This Row],[Réponse doodle 01]:[Présence MàN AC]],"Ne peut s'inscrire")</f>
        <v>0</v>
      </c>
      <c r="CF81" s="67">
        <f>1*DonnéesDessin[[#This Row],[Ne peut s''inscrire]]</f>
        <v>0</v>
      </c>
      <c r="CG81" s="67">
        <f>COUNTIF(DonnéesDessin[[#This Row],[Réponse doodle 01]:[Présence MàN AC]],"Sans information")</f>
        <v>5</v>
      </c>
      <c r="CH81" s="67">
        <f>0*DonnéesDessin[[#This Row],[Sans information]]</f>
        <v>0</v>
      </c>
      <c r="CI81" s="67">
        <f>COUNTIF(DonnéesDessin[[#This Row],[Réponse doodle 01]:[Présence MàN AC]],"Présent")</f>
        <v>3</v>
      </c>
      <c r="CJ81" s="67">
        <f>2*DonnéesDessin[[#This Row],[Présent]]</f>
        <v>6</v>
      </c>
      <c r="CK81" s="67">
        <f>COUNTIF(DonnéesDessin[[#This Row],[Réponse doodle 01]:[Présence MàN AC]],"P pas nécessaire")</f>
        <v>0</v>
      </c>
      <c r="CL81" s="67">
        <f>2*DonnéesDessin[[#This Row],[P pas nécessaire]]</f>
        <v>0</v>
      </c>
      <c r="CM81" s="67">
        <f>COUNTIF(DonnéesDessin[[#This Row],[Réponse doodle 01]:[Présence MàN AC]],"Excusé")</f>
        <v>0</v>
      </c>
      <c r="CN81" s="67">
        <f>1*DonnéesDessin[[#This Row],[Excusé]]</f>
        <v>0</v>
      </c>
      <c r="CO81" s="67">
        <f>COUNTIF(DonnéesDessin[[#This Row],[Réponse doodle 01]:[Présence MàN AC]],"Pas présent")</f>
        <v>6</v>
      </c>
      <c r="CP81" s="67">
        <f>0*DonnéesDessin[[#This Row],[Pas présent]]</f>
        <v>0</v>
      </c>
      <c r="CQ81"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18</v>
      </c>
      <c r="CR81" s="31" t="s">
        <v>281</v>
      </c>
      <c r="CS81" s="77" t="s">
        <v>41</v>
      </c>
      <c r="CT81" s="56" t="s">
        <v>41</v>
      </c>
      <c r="CU81" s="56"/>
      <c r="CV81" s="81" t="s">
        <v>41</v>
      </c>
      <c r="CW81" s="81" t="s">
        <v>41</v>
      </c>
      <c r="CX81" s="77" t="s">
        <v>41</v>
      </c>
      <c r="CY81" s="77" t="s">
        <v>41</v>
      </c>
      <c r="CZ81" s="77" t="s">
        <v>41</v>
      </c>
      <c r="DA81" s="56" t="s">
        <v>368</v>
      </c>
      <c r="DB81" s="90" t="s">
        <v>41</v>
      </c>
    </row>
    <row r="82" spans="1:106" s="1" customFormat="1" ht="9">
      <c r="A82" s="29" t="s">
        <v>317</v>
      </c>
      <c r="B82" s="27" t="s">
        <v>156</v>
      </c>
      <c r="C82" s="27" t="s">
        <v>157</v>
      </c>
      <c r="D82" s="27" t="s">
        <v>49</v>
      </c>
      <c r="E82" s="28" t="s">
        <v>41</v>
      </c>
      <c r="F82" s="28">
        <v>42415</v>
      </c>
      <c r="G82" s="27" t="s">
        <v>42</v>
      </c>
      <c r="H82" s="27" t="s">
        <v>51</v>
      </c>
      <c r="I82" s="47">
        <v>2013</v>
      </c>
      <c r="J82" s="47">
        <v>18</v>
      </c>
      <c r="K82" s="41" t="s">
        <v>371</v>
      </c>
      <c r="L82" s="32">
        <f>DonnéesDessin[[#This Row],[PTS]]</f>
        <v>15</v>
      </c>
      <c r="M82" s="31" t="s">
        <v>281</v>
      </c>
      <c r="N82" s="27">
        <v>0</v>
      </c>
      <c r="O82" s="27" t="s">
        <v>281</v>
      </c>
      <c r="P82" s="27">
        <v>0</v>
      </c>
      <c r="Q82" s="27" t="s">
        <v>281</v>
      </c>
      <c r="R82" s="27">
        <v>0</v>
      </c>
      <c r="S82" s="27" t="s">
        <v>281</v>
      </c>
      <c r="T82" s="33">
        <v>0</v>
      </c>
      <c r="U82" s="31" t="s">
        <v>248</v>
      </c>
      <c r="V82" s="53">
        <v>42325</v>
      </c>
      <c r="W82" s="27" t="s">
        <v>257</v>
      </c>
      <c r="X82" s="27" t="s">
        <v>44</v>
      </c>
      <c r="Y82" s="31" t="s">
        <v>248</v>
      </c>
      <c r="Z82" s="55">
        <v>42382</v>
      </c>
      <c r="AA82" s="32" t="s">
        <v>257</v>
      </c>
      <c r="AB82" s="32" t="s">
        <v>44</v>
      </c>
      <c r="AC82" s="31" t="s">
        <v>281</v>
      </c>
      <c r="AD82" s="56" t="s">
        <v>41</v>
      </c>
      <c r="AE82" s="48" t="s">
        <v>41</v>
      </c>
      <c r="AF82" s="94" t="s">
        <v>368</v>
      </c>
      <c r="AG82" s="31" t="s">
        <v>281</v>
      </c>
      <c r="AH82" s="56" t="s">
        <v>41</v>
      </c>
      <c r="AI82" s="48" t="s">
        <v>41</v>
      </c>
      <c r="AJ82" s="94" t="s">
        <v>368</v>
      </c>
      <c r="AK82" s="31" t="s">
        <v>281</v>
      </c>
      <c r="AL82" s="56" t="s">
        <v>41</v>
      </c>
      <c r="AM82" s="48" t="s">
        <v>41</v>
      </c>
      <c r="AN82" s="94" t="s">
        <v>368</v>
      </c>
      <c r="AO82" s="31" t="s">
        <v>281</v>
      </c>
      <c r="AP82" s="56" t="s">
        <v>41</v>
      </c>
      <c r="AQ82" s="48" t="s">
        <v>41</v>
      </c>
      <c r="AR82" s="94" t="s">
        <v>368</v>
      </c>
      <c r="AS82" s="31" t="s">
        <v>281</v>
      </c>
      <c r="AT82" s="56" t="s">
        <v>41</v>
      </c>
      <c r="AU82" s="48" t="s">
        <v>41</v>
      </c>
      <c r="AV82" s="94" t="s">
        <v>368</v>
      </c>
      <c r="AW82" s="31" t="s">
        <v>281</v>
      </c>
      <c r="AX82" s="56" t="s">
        <v>41</v>
      </c>
      <c r="AY82" s="48" t="s">
        <v>41</v>
      </c>
      <c r="AZ82" s="94" t="s">
        <v>368</v>
      </c>
      <c r="BA82" s="31" t="s">
        <v>281</v>
      </c>
      <c r="BB82" s="56" t="s">
        <v>41</v>
      </c>
      <c r="BC82" s="48" t="s">
        <v>41</v>
      </c>
      <c r="BD82" s="94" t="s">
        <v>368</v>
      </c>
      <c r="BE82" s="31" t="s">
        <v>281</v>
      </c>
      <c r="BF82" s="56" t="s">
        <v>41</v>
      </c>
      <c r="BG82" s="48" t="s">
        <v>41</v>
      </c>
      <c r="BH82" s="94" t="s">
        <v>368</v>
      </c>
      <c r="BI82" s="31" t="s">
        <v>281</v>
      </c>
      <c r="BJ82" s="56" t="s">
        <v>41</v>
      </c>
      <c r="BK82" s="48" t="s">
        <v>41</v>
      </c>
      <c r="BL82" s="94" t="s">
        <v>368</v>
      </c>
      <c r="BM82" s="31" t="s">
        <v>65</v>
      </c>
      <c r="BN82" s="32" t="s">
        <v>65</v>
      </c>
      <c r="BO82" s="32" t="s">
        <v>51</v>
      </c>
      <c r="BP82" s="32" t="s">
        <v>248</v>
      </c>
      <c r="BQ82" s="28">
        <v>42349</v>
      </c>
      <c r="BR82" s="27" t="s">
        <v>284</v>
      </c>
      <c r="BS82" s="27" t="s">
        <v>257</v>
      </c>
      <c r="BT82" s="31">
        <f>Nombrecours</f>
        <v>10</v>
      </c>
      <c r="BU82" s="27">
        <f>COUNTIF(DonnéesDessin[[#This Row],[Réponse doodle 01]:[Présence MàN AC]],"Excusé")</f>
        <v>0</v>
      </c>
      <c r="BV82" s="27">
        <f>COUNTIF(DonnéesDessin[[#This Row],[Réponse doodle 01]:[Présence MàN AC]],"N-employé")</f>
        <v>9</v>
      </c>
      <c r="BW82" s="27">
        <f>DonnéesDessin[[#This Row],[Nombre de cours]]-DonnéesDessin[[#This Row],[Nombre excusé]]-DonnéesDessin[[#This Row],[Nombre N-employé]]</f>
        <v>1</v>
      </c>
      <c r="BX82" s="33">
        <f>COUNTIF(DonnéesDessin[[#This Row],[Réponse doodle 01]:[Présence MàN AC]],"Présent")</f>
        <v>3</v>
      </c>
      <c r="BY82" s="31">
        <f>COUNTIF(DonnéesDessin[[#This Row],[Réponse doodle 01]:[Présence MàN AC]],"Inscrit")</f>
        <v>3</v>
      </c>
      <c r="BZ82" s="32">
        <f>3*DonnéesDessin[[#This Row],[Inscrit]]</f>
        <v>9</v>
      </c>
      <c r="CA82" s="32">
        <f>COUNTIF(DonnéesDessin[[#This Row],[Réponse doodle 01]:[Présence MàN AC]],"R pas nécessaire")</f>
        <v>0</v>
      </c>
      <c r="CB82" s="32">
        <f>SUM(3*DonnéesDessin[[#This Row],[R pas nécessaire]])</f>
        <v>0</v>
      </c>
      <c r="CC82" s="32">
        <f>COUNTIF(DonnéesDessin[[#This Row],[Réponse doodle 01]:[Présence MàN AC]],"Indisponible")</f>
        <v>0</v>
      </c>
      <c r="CD82" s="32">
        <f>2*DonnéesDessin[[#This Row],[Indisponible]]</f>
        <v>0</v>
      </c>
      <c r="CE82" s="32">
        <f>COUNTIF(DonnéesDessin[[#This Row],[Réponse doodle 01]:[Présence MàN AC]],"Ne peut s'inscrire")</f>
        <v>0</v>
      </c>
      <c r="CF82" s="32">
        <f>1*DonnéesDessin[[#This Row],[Ne peut s''inscrire]]</f>
        <v>0</v>
      </c>
      <c r="CG82" s="32">
        <f>COUNTIF(DonnéesDessin[[#This Row],[Réponse doodle 01]:[Présence MàN AC]],"Sans information")</f>
        <v>0</v>
      </c>
      <c r="CH82" s="32">
        <f>0*DonnéesDessin[[#This Row],[Sans information]]</f>
        <v>0</v>
      </c>
      <c r="CI82" s="32">
        <f>COUNTIF(DonnéesDessin[[#This Row],[Réponse doodle 01]:[Présence MàN AC]],"Présent")</f>
        <v>3</v>
      </c>
      <c r="CJ82" s="32">
        <f>2*DonnéesDessin[[#This Row],[Présent]]</f>
        <v>6</v>
      </c>
      <c r="CK82" s="32">
        <f>COUNTIF(DonnéesDessin[[#This Row],[Réponse doodle 01]:[Présence MàN AC]],"P pas nécessaire")</f>
        <v>0</v>
      </c>
      <c r="CL82" s="32">
        <f>2*DonnéesDessin[[#This Row],[P pas nécessaire]]</f>
        <v>0</v>
      </c>
      <c r="CM82" s="32">
        <f>COUNTIF(DonnéesDessin[[#This Row],[Réponse doodle 01]:[Présence MàN AC]],"Excusé")</f>
        <v>0</v>
      </c>
      <c r="CN82" s="32">
        <f>1*DonnéesDessin[[#This Row],[Excusé]]</f>
        <v>0</v>
      </c>
      <c r="CO82" s="32">
        <f>COUNTIF(DonnéesDessin[[#This Row],[Réponse doodle 01]:[Présence MàN AC]],"Pas présent")</f>
        <v>0</v>
      </c>
      <c r="CP82" s="32">
        <f>0*DonnéesDessin[[#This Row],[Pas présent]]</f>
        <v>0</v>
      </c>
      <c r="CQ82" s="60">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15</v>
      </c>
      <c r="CR82" s="31" t="s">
        <v>281</v>
      </c>
      <c r="CS82" s="77" t="s">
        <v>41</v>
      </c>
      <c r="CT82" s="56" t="s">
        <v>41</v>
      </c>
      <c r="CU82" s="56"/>
      <c r="CV82" s="81" t="s">
        <v>41</v>
      </c>
      <c r="CW82" s="81" t="s">
        <v>41</v>
      </c>
      <c r="CX82" s="77" t="s">
        <v>41</v>
      </c>
      <c r="CY82" s="77" t="s">
        <v>41</v>
      </c>
      <c r="CZ82" s="77" t="s">
        <v>41</v>
      </c>
      <c r="DA82" s="56" t="s">
        <v>368</v>
      </c>
      <c r="DB82" s="90" t="s">
        <v>41</v>
      </c>
    </row>
    <row r="83" spans="1:106" s="1" customFormat="1" ht="9">
      <c r="A83" s="62" t="s">
        <v>317</v>
      </c>
      <c r="B83" s="63" t="s">
        <v>172</v>
      </c>
      <c r="C83" s="63" t="s">
        <v>173</v>
      </c>
      <c r="D83" s="63" t="s">
        <v>93</v>
      </c>
      <c r="E83" s="64" t="s">
        <v>41</v>
      </c>
      <c r="F83" s="64">
        <v>42594</v>
      </c>
      <c r="G83" s="63" t="s">
        <v>75</v>
      </c>
      <c r="H83" s="63" t="s">
        <v>51</v>
      </c>
      <c r="I83" s="65" t="s">
        <v>43</v>
      </c>
      <c r="J83" s="65">
        <v>18</v>
      </c>
      <c r="K83" s="66" t="s">
        <v>41</v>
      </c>
      <c r="L83" s="67">
        <f>DonnéesDessin[[#This Row],[PTS]]</f>
        <v>37</v>
      </c>
      <c r="M83" s="68" t="s">
        <v>52</v>
      </c>
      <c r="N83" s="63">
        <v>0</v>
      </c>
      <c r="O83" s="63" t="s">
        <v>45</v>
      </c>
      <c r="P83" s="63">
        <v>0</v>
      </c>
      <c r="Q83" s="63" t="s">
        <v>45</v>
      </c>
      <c r="R83" s="63">
        <v>0</v>
      </c>
      <c r="S83" s="63" t="s">
        <v>45</v>
      </c>
      <c r="T83" s="69">
        <v>0</v>
      </c>
      <c r="U83" s="68" t="s">
        <v>248</v>
      </c>
      <c r="V83" s="70">
        <v>42320</v>
      </c>
      <c r="W83" s="63" t="s">
        <v>257</v>
      </c>
      <c r="X83" s="63" t="s">
        <v>44</v>
      </c>
      <c r="Y83" s="68" t="s">
        <v>248</v>
      </c>
      <c r="Z83" s="71">
        <v>42398</v>
      </c>
      <c r="AA83" s="67" t="s">
        <v>257</v>
      </c>
      <c r="AB83" s="67" t="s">
        <v>44</v>
      </c>
      <c r="AC83" s="68" t="s">
        <v>248</v>
      </c>
      <c r="AD83" s="11" t="s">
        <v>324</v>
      </c>
      <c r="AE83" s="67" t="s">
        <v>259</v>
      </c>
      <c r="AF83" s="67" t="s">
        <v>343</v>
      </c>
      <c r="AG83" s="68" t="s">
        <v>248</v>
      </c>
      <c r="AH83" s="72">
        <v>42439</v>
      </c>
      <c r="AI83" s="67" t="s">
        <v>257</v>
      </c>
      <c r="AJ83" s="67" t="s">
        <v>44</v>
      </c>
      <c r="AK83" s="68" t="s">
        <v>248</v>
      </c>
      <c r="AL83" s="67" t="s">
        <v>334</v>
      </c>
      <c r="AM83" s="67" t="s">
        <v>258</v>
      </c>
      <c r="AN83" s="67" t="s">
        <v>507</v>
      </c>
      <c r="AO83" s="68" t="s">
        <v>248</v>
      </c>
      <c r="AP83" s="67" t="s">
        <v>338</v>
      </c>
      <c r="AQ83" s="67" t="s">
        <v>257</v>
      </c>
      <c r="AR83" s="67" t="s">
        <v>44</v>
      </c>
      <c r="AS83" s="68" t="s">
        <v>256</v>
      </c>
      <c r="AT83" s="67" t="s">
        <v>41</v>
      </c>
      <c r="AU83" s="67" t="s">
        <v>259</v>
      </c>
      <c r="AV83" s="67" t="s">
        <v>341</v>
      </c>
      <c r="AW83" s="68" t="s">
        <v>248</v>
      </c>
      <c r="AX83" s="67" t="s">
        <v>427</v>
      </c>
      <c r="AY83" s="67" t="s">
        <v>257</v>
      </c>
      <c r="AZ83" s="67" t="s">
        <v>44</v>
      </c>
      <c r="BA83" s="31" t="s">
        <v>281</v>
      </c>
      <c r="BB83" s="56" t="s">
        <v>41</v>
      </c>
      <c r="BC83" s="48" t="s">
        <v>41</v>
      </c>
      <c r="BD83" s="94" t="s">
        <v>368</v>
      </c>
      <c r="BE83" s="31" t="s">
        <v>281</v>
      </c>
      <c r="BF83" s="56" t="s">
        <v>41</v>
      </c>
      <c r="BG83" s="48" t="s">
        <v>41</v>
      </c>
      <c r="BH83" s="94" t="s">
        <v>368</v>
      </c>
      <c r="BI83" s="31" t="s">
        <v>281</v>
      </c>
      <c r="BJ83" s="56" t="s">
        <v>41</v>
      </c>
      <c r="BK83" s="48" t="s">
        <v>41</v>
      </c>
      <c r="BL83" s="94" t="s">
        <v>368</v>
      </c>
      <c r="BM83" s="68" t="s">
        <v>65</v>
      </c>
      <c r="BN83" s="67" t="s">
        <v>65</v>
      </c>
      <c r="BO83" s="67" t="s">
        <v>51</v>
      </c>
      <c r="BP83" s="67" t="s">
        <v>248</v>
      </c>
      <c r="BQ83" s="64">
        <v>42349</v>
      </c>
      <c r="BR83" s="63" t="s">
        <v>282</v>
      </c>
      <c r="BS83" s="63" t="s">
        <v>257</v>
      </c>
      <c r="BT83" s="68">
        <f>Nombrecours</f>
        <v>10</v>
      </c>
      <c r="BU83" s="63">
        <f>COUNTIF(DonnéesDessin[[#This Row],[Réponse doodle 01]:[Présence MàN AC]],"Excusé")</f>
        <v>1</v>
      </c>
      <c r="BV83" s="63">
        <f>COUNTIF(DonnéesDessin[[#This Row],[Réponse doodle 01]:[Présence MàN AC]],"N-employé")</f>
        <v>3</v>
      </c>
      <c r="BW83" s="63">
        <f>DonnéesDessin[[#This Row],[Nombre de cours]]-DonnéesDessin[[#This Row],[Nombre excusé]]-DonnéesDessin[[#This Row],[Nombre N-employé]]</f>
        <v>6</v>
      </c>
      <c r="BX83" s="69">
        <f>COUNTIF(DonnéesDessin[[#This Row],[Réponse doodle 01]:[Présence MàN AC]],"Présent")</f>
        <v>6</v>
      </c>
      <c r="BY83" s="68">
        <f>COUNTIF(DonnéesDessin[[#This Row],[Réponse doodle 01]:[Présence MàN AC]],"Inscrit")</f>
        <v>8</v>
      </c>
      <c r="BZ83" s="67">
        <f>3*DonnéesDessin[[#This Row],[Inscrit]]</f>
        <v>24</v>
      </c>
      <c r="CA83" s="67">
        <f>COUNTIF(DonnéesDessin[[#This Row],[Réponse doodle 01]:[Présence MàN AC]],"R pas nécessaire")</f>
        <v>0</v>
      </c>
      <c r="CB83" s="67">
        <f>SUM(3*DonnéesDessin[[#This Row],[R pas nécessaire]])</f>
        <v>0</v>
      </c>
      <c r="CC83" s="67">
        <f>COUNTIF(DonnéesDessin[[#This Row],[Réponse doodle 01]:[Présence MàN AC]],"Indisponible")</f>
        <v>0</v>
      </c>
      <c r="CD83" s="67">
        <f>2*DonnéesDessin[[#This Row],[Indisponible]]</f>
        <v>0</v>
      </c>
      <c r="CE83" s="67">
        <f>COUNTIF(DonnéesDessin[[#This Row],[Réponse doodle 01]:[Présence MàN AC]],"Ne peut s'inscrire")</f>
        <v>0</v>
      </c>
      <c r="CF83" s="67">
        <f>1*DonnéesDessin[[#This Row],[Ne peut s''inscrire]]</f>
        <v>0</v>
      </c>
      <c r="CG83" s="67">
        <f>COUNTIF(DonnéesDessin[[#This Row],[Réponse doodle 01]:[Présence MàN AC]],"Sans information")</f>
        <v>1</v>
      </c>
      <c r="CH83" s="67">
        <f>0*DonnéesDessin[[#This Row],[Sans information]]</f>
        <v>0</v>
      </c>
      <c r="CI83" s="67">
        <f>COUNTIF(DonnéesDessin[[#This Row],[Réponse doodle 01]:[Présence MàN AC]],"Présent")</f>
        <v>6</v>
      </c>
      <c r="CJ83" s="67">
        <f>2*DonnéesDessin[[#This Row],[Présent]]</f>
        <v>12</v>
      </c>
      <c r="CK83" s="67">
        <f>COUNTIF(DonnéesDessin[[#This Row],[Réponse doodle 01]:[Présence MàN AC]],"P pas nécessaire")</f>
        <v>0</v>
      </c>
      <c r="CL83" s="67">
        <f>2*DonnéesDessin[[#This Row],[P pas nécessaire]]</f>
        <v>0</v>
      </c>
      <c r="CM83" s="67">
        <f>COUNTIF(DonnéesDessin[[#This Row],[Réponse doodle 01]:[Présence MàN AC]],"Excusé")</f>
        <v>1</v>
      </c>
      <c r="CN83" s="67">
        <f>1*DonnéesDessin[[#This Row],[Excusé]]</f>
        <v>1</v>
      </c>
      <c r="CO83" s="67">
        <f>COUNTIF(DonnéesDessin[[#This Row],[Réponse doodle 01]:[Présence MàN AC]],"Pas présent")</f>
        <v>2</v>
      </c>
      <c r="CP83" s="67">
        <f>0*DonnéesDessin[[#This Row],[Pas présent]]</f>
        <v>0</v>
      </c>
      <c r="CQ83" s="69">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37</v>
      </c>
      <c r="CR83" s="31" t="s">
        <v>281</v>
      </c>
      <c r="CS83" s="77" t="s">
        <v>41</v>
      </c>
      <c r="CT83" s="56" t="s">
        <v>41</v>
      </c>
      <c r="CU83" s="56"/>
      <c r="CV83" s="81" t="s">
        <v>41</v>
      </c>
      <c r="CW83" s="81" t="s">
        <v>41</v>
      </c>
      <c r="CX83" s="77" t="s">
        <v>41</v>
      </c>
      <c r="CY83" s="77" t="s">
        <v>41</v>
      </c>
      <c r="CZ83" s="77" t="s">
        <v>41</v>
      </c>
      <c r="DA83" s="56" t="s">
        <v>368</v>
      </c>
      <c r="DB83" s="89" t="s">
        <v>41</v>
      </c>
    </row>
    <row r="84" spans="1:106" s="1" customFormat="1" ht="9">
      <c r="A84" s="29" t="s">
        <v>317</v>
      </c>
      <c r="B84" s="27" t="s">
        <v>179</v>
      </c>
      <c r="C84" s="27" t="s">
        <v>180</v>
      </c>
      <c r="D84" s="27" t="s">
        <v>49</v>
      </c>
      <c r="E84" s="28" t="s">
        <v>41</v>
      </c>
      <c r="F84" s="28">
        <v>42433</v>
      </c>
      <c r="G84" s="27" t="s">
        <v>42</v>
      </c>
      <c r="H84" s="27" t="s">
        <v>51</v>
      </c>
      <c r="I84" s="47" t="s">
        <v>51</v>
      </c>
      <c r="J84" s="47">
        <v>16</v>
      </c>
      <c r="K84" s="41" t="s">
        <v>369</v>
      </c>
      <c r="L84" s="32">
        <f>DonnéesDessin[[#This Row],[PTS]]</f>
        <v>15</v>
      </c>
      <c r="M84" s="31" t="s">
        <v>281</v>
      </c>
      <c r="N84" s="27">
        <v>0</v>
      </c>
      <c r="O84" s="27" t="s">
        <v>281</v>
      </c>
      <c r="P84" s="27">
        <v>0</v>
      </c>
      <c r="Q84" s="27" t="s">
        <v>281</v>
      </c>
      <c r="R84" s="27">
        <v>0</v>
      </c>
      <c r="S84" s="27" t="s">
        <v>281</v>
      </c>
      <c r="T84" s="33">
        <v>0</v>
      </c>
      <c r="U84" s="31" t="s">
        <v>248</v>
      </c>
      <c r="V84" s="53">
        <v>42325</v>
      </c>
      <c r="W84" s="27" t="s">
        <v>257</v>
      </c>
      <c r="X84" s="27" t="s">
        <v>44</v>
      </c>
      <c r="Y84" s="31" t="s">
        <v>248</v>
      </c>
      <c r="Z84" s="55">
        <v>42382</v>
      </c>
      <c r="AA84" s="32" t="s">
        <v>257</v>
      </c>
      <c r="AB84" s="32" t="s">
        <v>44</v>
      </c>
      <c r="AC84" s="31" t="s">
        <v>256</v>
      </c>
      <c r="AD84" s="56" t="s">
        <v>41</v>
      </c>
      <c r="AE84" s="32" t="s">
        <v>259</v>
      </c>
      <c r="AF84" s="32" t="s">
        <v>341</v>
      </c>
      <c r="AG84" s="31" t="s">
        <v>281</v>
      </c>
      <c r="AH84" s="56" t="s">
        <v>41</v>
      </c>
      <c r="AI84" s="48" t="s">
        <v>41</v>
      </c>
      <c r="AJ84" s="94" t="s">
        <v>368</v>
      </c>
      <c r="AK84" s="31" t="s">
        <v>281</v>
      </c>
      <c r="AL84" s="56" t="s">
        <v>41</v>
      </c>
      <c r="AM84" s="48" t="s">
        <v>41</v>
      </c>
      <c r="AN84" s="94" t="s">
        <v>368</v>
      </c>
      <c r="AO84" s="31" t="s">
        <v>281</v>
      </c>
      <c r="AP84" s="56" t="s">
        <v>41</v>
      </c>
      <c r="AQ84" s="48" t="s">
        <v>41</v>
      </c>
      <c r="AR84" s="94" t="s">
        <v>368</v>
      </c>
      <c r="AS84" s="31" t="s">
        <v>281</v>
      </c>
      <c r="AT84" s="56" t="s">
        <v>41</v>
      </c>
      <c r="AU84" s="48" t="s">
        <v>41</v>
      </c>
      <c r="AV84" s="94" t="s">
        <v>368</v>
      </c>
      <c r="AW84" s="31" t="s">
        <v>281</v>
      </c>
      <c r="AX84" s="56" t="s">
        <v>41</v>
      </c>
      <c r="AY84" s="48" t="s">
        <v>41</v>
      </c>
      <c r="AZ84" s="94" t="s">
        <v>368</v>
      </c>
      <c r="BA84" s="31" t="s">
        <v>281</v>
      </c>
      <c r="BB84" s="56" t="s">
        <v>41</v>
      </c>
      <c r="BC84" s="48" t="s">
        <v>41</v>
      </c>
      <c r="BD84" s="94" t="s">
        <v>368</v>
      </c>
      <c r="BE84" s="31" t="s">
        <v>281</v>
      </c>
      <c r="BF84" s="56" t="s">
        <v>41</v>
      </c>
      <c r="BG84" s="48" t="s">
        <v>41</v>
      </c>
      <c r="BH84" s="94" t="s">
        <v>368</v>
      </c>
      <c r="BI84" s="31" t="s">
        <v>281</v>
      </c>
      <c r="BJ84" s="56" t="s">
        <v>41</v>
      </c>
      <c r="BK84" s="48" t="s">
        <v>41</v>
      </c>
      <c r="BL84" s="94" t="s">
        <v>368</v>
      </c>
      <c r="BM84" s="31" t="s">
        <v>53</v>
      </c>
      <c r="BN84" s="32" t="s">
        <v>53</v>
      </c>
      <c r="BO84" s="32" t="s">
        <v>51</v>
      </c>
      <c r="BP84" s="32" t="s">
        <v>248</v>
      </c>
      <c r="BQ84" s="28">
        <v>42347</v>
      </c>
      <c r="BR84" s="27" t="s">
        <v>286</v>
      </c>
      <c r="BS84" s="27" t="s">
        <v>257</v>
      </c>
      <c r="BT84" s="31">
        <f>Nombrecours</f>
        <v>10</v>
      </c>
      <c r="BU84" s="27">
        <f>COUNTIF(DonnéesDessin[[#This Row],[Réponse doodle 01]:[Présence MàN AC]],"Excusé")</f>
        <v>0</v>
      </c>
      <c r="BV84" s="27">
        <f>COUNTIF(DonnéesDessin[[#This Row],[Réponse doodle 01]:[Présence MàN AC]],"N-employé")</f>
        <v>8</v>
      </c>
      <c r="BW84" s="27">
        <f>DonnéesDessin[[#This Row],[Nombre de cours]]-DonnéesDessin[[#This Row],[Nombre excusé]]-DonnéesDessin[[#This Row],[Nombre N-employé]]</f>
        <v>2</v>
      </c>
      <c r="BX84" s="33">
        <f>COUNTIF(DonnéesDessin[[#This Row],[Réponse doodle 01]:[Présence MàN AC]],"Présent")</f>
        <v>3</v>
      </c>
      <c r="BY84" s="31">
        <f>COUNTIF(DonnéesDessin[[#This Row],[Réponse doodle 01]:[Présence MàN AC]],"Inscrit")</f>
        <v>3</v>
      </c>
      <c r="BZ84" s="32">
        <f>3*DonnéesDessin[[#This Row],[Inscrit]]</f>
        <v>9</v>
      </c>
      <c r="CA84" s="32">
        <f>COUNTIF(DonnéesDessin[[#This Row],[Réponse doodle 01]:[Présence MàN AC]],"R pas nécessaire")</f>
        <v>0</v>
      </c>
      <c r="CB84" s="32">
        <f>SUM(3*DonnéesDessin[[#This Row],[R pas nécessaire]])</f>
        <v>0</v>
      </c>
      <c r="CC84" s="32">
        <f>COUNTIF(DonnéesDessin[[#This Row],[Réponse doodle 01]:[Présence MàN AC]],"Indisponible")</f>
        <v>0</v>
      </c>
      <c r="CD84" s="32">
        <f>2*DonnéesDessin[[#This Row],[Indisponible]]</f>
        <v>0</v>
      </c>
      <c r="CE84" s="32">
        <f>COUNTIF(DonnéesDessin[[#This Row],[Réponse doodle 01]:[Présence MàN AC]],"Ne peut s'inscrire")</f>
        <v>0</v>
      </c>
      <c r="CF84" s="32">
        <f>1*DonnéesDessin[[#This Row],[Ne peut s''inscrire]]</f>
        <v>0</v>
      </c>
      <c r="CG84" s="32">
        <f>COUNTIF(DonnéesDessin[[#This Row],[Réponse doodle 01]:[Présence MàN AC]],"Sans information")</f>
        <v>1</v>
      </c>
      <c r="CH84" s="32">
        <f>0*DonnéesDessin[[#This Row],[Sans information]]</f>
        <v>0</v>
      </c>
      <c r="CI84" s="32">
        <f>COUNTIF(DonnéesDessin[[#This Row],[Réponse doodle 01]:[Présence MàN AC]],"Présent")</f>
        <v>3</v>
      </c>
      <c r="CJ84" s="32">
        <f>2*DonnéesDessin[[#This Row],[Présent]]</f>
        <v>6</v>
      </c>
      <c r="CK84" s="32">
        <f>COUNTIF(DonnéesDessin[[#This Row],[Réponse doodle 01]:[Présence MàN AC]],"P pas nécessaire")</f>
        <v>0</v>
      </c>
      <c r="CL84" s="32">
        <f>2*DonnéesDessin[[#This Row],[P pas nécessaire]]</f>
        <v>0</v>
      </c>
      <c r="CM84" s="32">
        <f>COUNTIF(DonnéesDessin[[#This Row],[Réponse doodle 01]:[Présence MàN AC]],"Excusé")</f>
        <v>0</v>
      </c>
      <c r="CN84" s="32">
        <f>1*DonnéesDessin[[#This Row],[Excusé]]</f>
        <v>0</v>
      </c>
      <c r="CO84" s="32">
        <f>COUNTIF(DonnéesDessin[[#This Row],[Réponse doodle 01]:[Présence MàN AC]],"Pas présent")</f>
        <v>1</v>
      </c>
      <c r="CP84" s="32">
        <f>0*DonnéesDessin[[#This Row],[Pas présent]]</f>
        <v>0</v>
      </c>
      <c r="CQ84" s="60">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15</v>
      </c>
      <c r="CR84" s="31" t="s">
        <v>281</v>
      </c>
      <c r="CS84" s="77" t="s">
        <v>41</v>
      </c>
      <c r="CT84" s="56" t="s">
        <v>41</v>
      </c>
      <c r="CU84" s="56"/>
      <c r="CV84" s="81" t="s">
        <v>41</v>
      </c>
      <c r="CW84" s="81" t="s">
        <v>41</v>
      </c>
      <c r="CX84" s="77" t="s">
        <v>41</v>
      </c>
      <c r="CY84" s="77" t="s">
        <v>41</v>
      </c>
      <c r="CZ84" s="77" t="s">
        <v>41</v>
      </c>
      <c r="DA84" s="56" t="s">
        <v>368</v>
      </c>
      <c r="DB84" s="89" t="s">
        <v>41</v>
      </c>
    </row>
    <row r="85" spans="1:106" s="1" customFormat="1" ht="9">
      <c r="A85" s="35" t="s">
        <v>246</v>
      </c>
      <c r="B85" s="32"/>
      <c r="C85" s="32"/>
      <c r="D85" s="32"/>
      <c r="E85" s="36"/>
      <c r="F85" s="36"/>
      <c r="G85" s="32" t="s">
        <v>42</v>
      </c>
      <c r="H85" s="32"/>
      <c r="I85" s="48"/>
      <c r="J85" s="48"/>
      <c r="K85" s="41" t="s">
        <v>362</v>
      </c>
      <c r="L85" s="32">
        <f>DonnéesDessin[[#This Row],[PTS]]</f>
        <v>0</v>
      </c>
      <c r="M85" s="31" t="s">
        <v>52</v>
      </c>
      <c r="N85" s="27">
        <v>0</v>
      </c>
      <c r="O85" s="27" t="s">
        <v>45</v>
      </c>
      <c r="P85" s="27">
        <v>0</v>
      </c>
      <c r="Q85" s="27" t="s">
        <v>45</v>
      </c>
      <c r="R85" s="27">
        <v>0</v>
      </c>
      <c r="S85" s="27" t="s">
        <v>45</v>
      </c>
      <c r="T85" s="33">
        <v>0</v>
      </c>
      <c r="U85" s="31" t="s">
        <v>281</v>
      </c>
      <c r="V85" s="54" t="s">
        <v>41</v>
      </c>
      <c r="W85" s="27" t="s">
        <v>41</v>
      </c>
      <c r="X85" s="27" t="s">
        <v>358</v>
      </c>
      <c r="Y85" s="31" t="s">
        <v>281</v>
      </c>
      <c r="Z85" s="54" t="s">
        <v>41</v>
      </c>
      <c r="AA85" s="27" t="s">
        <v>41</v>
      </c>
      <c r="AB85" s="32" t="s">
        <v>358</v>
      </c>
      <c r="AC85" s="31" t="s">
        <v>281</v>
      </c>
      <c r="AD85" s="56" t="s">
        <v>41</v>
      </c>
      <c r="AE85" s="48" t="s">
        <v>41</v>
      </c>
      <c r="AF85" s="32" t="s">
        <v>358</v>
      </c>
      <c r="AG85" s="31" t="s">
        <v>281</v>
      </c>
      <c r="AH85" s="56" t="s">
        <v>41</v>
      </c>
      <c r="AI85" s="48" t="s">
        <v>41</v>
      </c>
      <c r="AJ85" s="32" t="s">
        <v>358</v>
      </c>
      <c r="AK85" s="31" t="s">
        <v>281</v>
      </c>
      <c r="AL85" s="56" t="s">
        <v>41</v>
      </c>
      <c r="AM85" s="48" t="s">
        <v>41</v>
      </c>
      <c r="AN85" s="32" t="s">
        <v>358</v>
      </c>
      <c r="AO85" s="31" t="s">
        <v>281</v>
      </c>
      <c r="AP85" s="56" t="s">
        <v>41</v>
      </c>
      <c r="AQ85" s="48" t="s">
        <v>41</v>
      </c>
      <c r="AR85" s="32" t="s">
        <v>358</v>
      </c>
      <c r="AS85" s="31" t="s">
        <v>281</v>
      </c>
      <c r="AT85" s="56" t="s">
        <v>41</v>
      </c>
      <c r="AU85" s="48" t="s">
        <v>41</v>
      </c>
      <c r="AV85" s="32" t="s">
        <v>358</v>
      </c>
      <c r="AW85" s="31" t="s">
        <v>281</v>
      </c>
      <c r="AX85" s="56" t="s">
        <v>41</v>
      </c>
      <c r="AY85" s="48" t="s">
        <v>41</v>
      </c>
      <c r="AZ85" s="32" t="s">
        <v>358</v>
      </c>
      <c r="BA85" s="31" t="s">
        <v>281</v>
      </c>
      <c r="BB85" s="56" t="s">
        <v>41</v>
      </c>
      <c r="BC85" s="48" t="s">
        <v>41</v>
      </c>
      <c r="BD85" s="32" t="s">
        <v>358</v>
      </c>
      <c r="BE85" s="31" t="s">
        <v>281</v>
      </c>
      <c r="BF85" s="56" t="s">
        <v>41</v>
      </c>
      <c r="BG85" s="48" t="s">
        <v>41</v>
      </c>
      <c r="BH85" s="32" t="s">
        <v>358</v>
      </c>
      <c r="BI85" s="31" t="s">
        <v>281</v>
      </c>
      <c r="BJ85" s="56" t="s">
        <v>41</v>
      </c>
      <c r="BK85" s="48" t="s">
        <v>41</v>
      </c>
      <c r="BL85" s="32" t="s">
        <v>358</v>
      </c>
      <c r="BM85" s="31" t="s">
        <v>281</v>
      </c>
      <c r="BN85" s="32"/>
      <c r="BO85" s="32" t="s">
        <v>41</v>
      </c>
      <c r="BP85" s="32" t="s">
        <v>41</v>
      </c>
      <c r="BQ85" s="27" t="s">
        <v>41</v>
      </c>
      <c r="BR85" s="27" t="s">
        <v>41</v>
      </c>
      <c r="BS85" s="27" t="s">
        <v>41</v>
      </c>
      <c r="BT85" s="31">
        <f>Nombrecours</f>
        <v>10</v>
      </c>
      <c r="BU85" s="27">
        <f>COUNTIF(DonnéesDessin[[#This Row],[Réponse doodle 01]:[Présence MàN AC]],"Excusé")</f>
        <v>0</v>
      </c>
      <c r="BV85" s="27">
        <f>COUNTIF(DonnéesDessin[[#This Row],[Réponse doodle 01]:[Présence MàN AC]],"N-employé")</f>
        <v>12</v>
      </c>
      <c r="BW85" s="27">
        <f>DonnéesDessin[[#This Row],[Nombre de cours]]-DonnéesDessin[[#This Row],[Nombre excusé]]-DonnéesDessin[[#This Row],[Nombre N-employé]]</f>
        <v>-2</v>
      </c>
      <c r="BX85" s="33">
        <f>COUNTIF(DonnéesDessin[[#This Row],[Réponse doodle 01]:[Présence MàN AC]],"Présent")</f>
        <v>0</v>
      </c>
      <c r="BY85" s="31">
        <f>COUNTIF(DonnéesDessin[[#This Row],[Réponse doodle 01]:[Présence MàN AC]],"Inscrit")</f>
        <v>0</v>
      </c>
      <c r="BZ85" s="32">
        <f>3*DonnéesDessin[[#This Row],[Inscrit]]</f>
        <v>0</v>
      </c>
      <c r="CA85" s="32">
        <f>COUNTIF(DonnéesDessin[[#This Row],[Réponse doodle 01]:[Présence MàN AC]],"R pas nécessaire")</f>
        <v>0</v>
      </c>
      <c r="CB85" s="32">
        <f>SUM(3*DonnéesDessin[[#This Row],[R pas nécessaire]])</f>
        <v>0</v>
      </c>
      <c r="CC85" s="32">
        <f>COUNTIF(DonnéesDessin[[#This Row],[Réponse doodle 01]:[Présence MàN AC]],"Indisponible")</f>
        <v>0</v>
      </c>
      <c r="CD85" s="32">
        <f>2*DonnéesDessin[[#This Row],[Indisponible]]</f>
        <v>0</v>
      </c>
      <c r="CE85" s="32">
        <f>COUNTIF(DonnéesDessin[[#This Row],[Réponse doodle 01]:[Présence MàN AC]],"Ne peut s'inscrire")</f>
        <v>0</v>
      </c>
      <c r="CF85" s="32">
        <f>1*DonnéesDessin[[#This Row],[Ne peut s''inscrire]]</f>
        <v>0</v>
      </c>
      <c r="CG85" s="32">
        <f>COUNTIF(DonnéesDessin[[#This Row],[Réponse doodle 01]:[Présence MàN AC]],"Sans information")</f>
        <v>0</v>
      </c>
      <c r="CH85" s="32">
        <f>0*DonnéesDessin[[#This Row],[Sans information]]</f>
        <v>0</v>
      </c>
      <c r="CI85" s="32">
        <f>COUNTIF(DonnéesDessin[[#This Row],[Réponse doodle 01]:[Présence MàN AC]],"Présent")</f>
        <v>0</v>
      </c>
      <c r="CJ85" s="32">
        <f>2*DonnéesDessin[[#This Row],[Présent]]</f>
        <v>0</v>
      </c>
      <c r="CK85" s="32">
        <f>COUNTIF(DonnéesDessin[[#This Row],[Réponse doodle 01]:[Présence MàN AC]],"P pas nécessaire")</f>
        <v>0</v>
      </c>
      <c r="CL85" s="32">
        <f>2*DonnéesDessin[[#This Row],[P pas nécessaire]]</f>
        <v>0</v>
      </c>
      <c r="CM85" s="32">
        <f>COUNTIF(DonnéesDessin[[#This Row],[Réponse doodle 01]:[Présence MàN AC]],"Excusé")</f>
        <v>0</v>
      </c>
      <c r="CN85" s="32">
        <f>1*DonnéesDessin[[#This Row],[Excusé]]</f>
        <v>0</v>
      </c>
      <c r="CO85" s="32">
        <f>COUNTIF(DonnéesDessin[[#This Row],[Réponse doodle 01]:[Présence MàN AC]],"Pas présent")</f>
        <v>0</v>
      </c>
      <c r="CP85" s="32">
        <f>0*DonnéesDessin[[#This Row],[Pas présent]]</f>
        <v>0</v>
      </c>
      <c r="CQ85"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0</v>
      </c>
      <c r="CR85" s="31" t="s">
        <v>281</v>
      </c>
      <c r="CS85" s="77" t="s">
        <v>41</v>
      </c>
      <c r="CT85" s="56" t="s">
        <v>41</v>
      </c>
      <c r="CU85" s="56"/>
      <c r="CV85" s="81" t="s">
        <v>41</v>
      </c>
      <c r="CW85" s="81" t="s">
        <v>41</v>
      </c>
      <c r="CX85" s="77" t="s">
        <v>41</v>
      </c>
      <c r="CY85" s="77" t="s">
        <v>41</v>
      </c>
      <c r="CZ85" s="77" t="s">
        <v>41</v>
      </c>
      <c r="DA85" s="56" t="s">
        <v>358</v>
      </c>
      <c r="DB85" s="89" t="s">
        <v>41</v>
      </c>
    </row>
    <row r="86" spans="1:106" s="1" customFormat="1" ht="9">
      <c r="A86" s="35" t="s">
        <v>246</v>
      </c>
      <c r="B86" s="32"/>
      <c r="C86" s="32"/>
      <c r="D86" s="32"/>
      <c r="E86" s="36"/>
      <c r="F86" s="36"/>
      <c r="G86" s="32" t="s">
        <v>42</v>
      </c>
      <c r="H86" s="32"/>
      <c r="I86" s="48"/>
      <c r="J86" s="48"/>
      <c r="K86" s="41" t="s">
        <v>362</v>
      </c>
      <c r="L86" s="32">
        <f>DonnéesDessin[[#This Row],[PTS]]</f>
        <v>0</v>
      </c>
      <c r="M86" s="31" t="s">
        <v>52</v>
      </c>
      <c r="N86" s="27">
        <v>0</v>
      </c>
      <c r="O86" s="27" t="s">
        <v>45</v>
      </c>
      <c r="P86" s="27">
        <v>0</v>
      </c>
      <c r="Q86" s="27" t="s">
        <v>45</v>
      </c>
      <c r="R86" s="27">
        <v>0</v>
      </c>
      <c r="S86" s="27" t="s">
        <v>45</v>
      </c>
      <c r="T86" s="33">
        <v>0</v>
      </c>
      <c r="U86" s="31" t="s">
        <v>281</v>
      </c>
      <c r="V86" s="54" t="s">
        <v>41</v>
      </c>
      <c r="W86" s="27" t="s">
        <v>41</v>
      </c>
      <c r="X86" s="27" t="s">
        <v>358</v>
      </c>
      <c r="Y86" s="31" t="s">
        <v>281</v>
      </c>
      <c r="Z86" s="54" t="s">
        <v>41</v>
      </c>
      <c r="AA86" s="27" t="s">
        <v>41</v>
      </c>
      <c r="AB86" s="32" t="s">
        <v>358</v>
      </c>
      <c r="AC86" s="31" t="s">
        <v>281</v>
      </c>
      <c r="AD86" s="56" t="s">
        <v>41</v>
      </c>
      <c r="AE86" s="48" t="s">
        <v>41</v>
      </c>
      <c r="AF86" s="32" t="s">
        <v>358</v>
      </c>
      <c r="AG86" s="31" t="s">
        <v>281</v>
      </c>
      <c r="AH86" s="56" t="s">
        <v>41</v>
      </c>
      <c r="AI86" s="48" t="s">
        <v>41</v>
      </c>
      <c r="AJ86" s="32" t="s">
        <v>358</v>
      </c>
      <c r="AK86" s="31" t="s">
        <v>281</v>
      </c>
      <c r="AL86" s="56" t="s">
        <v>41</v>
      </c>
      <c r="AM86" s="48" t="s">
        <v>41</v>
      </c>
      <c r="AN86" s="32" t="s">
        <v>358</v>
      </c>
      <c r="AO86" s="31" t="s">
        <v>281</v>
      </c>
      <c r="AP86" s="56" t="s">
        <v>41</v>
      </c>
      <c r="AQ86" s="48" t="s">
        <v>41</v>
      </c>
      <c r="AR86" s="32" t="s">
        <v>358</v>
      </c>
      <c r="AS86" s="31" t="s">
        <v>281</v>
      </c>
      <c r="AT86" s="56" t="s">
        <v>41</v>
      </c>
      <c r="AU86" s="48" t="s">
        <v>41</v>
      </c>
      <c r="AV86" s="32" t="s">
        <v>358</v>
      </c>
      <c r="AW86" s="31" t="s">
        <v>281</v>
      </c>
      <c r="AX86" s="56" t="s">
        <v>41</v>
      </c>
      <c r="AY86" s="48" t="s">
        <v>41</v>
      </c>
      <c r="AZ86" s="32" t="s">
        <v>358</v>
      </c>
      <c r="BA86" s="31" t="s">
        <v>281</v>
      </c>
      <c r="BB86" s="56" t="s">
        <v>41</v>
      </c>
      <c r="BC86" s="48" t="s">
        <v>41</v>
      </c>
      <c r="BD86" s="32" t="s">
        <v>358</v>
      </c>
      <c r="BE86" s="31" t="s">
        <v>281</v>
      </c>
      <c r="BF86" s="56" t="s">
        <v>41</v>
      </c>
      <c r="BG86" s="48" t="s">
        <v>41</v>
      </c>
      <c r="BH86" s="32" t="s">
        <v>358</v>
      </c>
      <c r="BI86" s="31" t="s">
        <v>281</v>
      </c>
      <c r="BJ86" s="56" t="s">
        <v>41</v>
      </c>
      <c r="BK86" s="48" t="s">
        <v>41</v>
      </c>
      <c r="BL86" s="32" t="s">
        <v>358</v>
      </c>
      <c r="BM86" s="31" t="s">
        <v>281</v>
      </c>
      <c r="BN86" s="32"/>
      <c r="BO86" s="32" t="s">
        <v>41</v>
      </c>
      <c r="BP86" s="32" t="s">
        <v>41</v>
      </c>
      <c r="BQ86" s="27" t="s">
        <v>41</v>
      </c>
      <c r="BR86" s="27" t="s">
        <v>41</v>
      </c>
      <c r="BS86" s="27" t="s">
        <v>41</v>
      </c>
      <c r="BT86" s="31">
        <f>Nombrecours</f>
        <v>10</v>
      </c>
      <c r="BU86" s="27">
        <f>COUNTIF(DonnéesDessin[[#This Row],[Réponse doodle 01]:[Présence MàN AC]],"Excusé")</f>
        <v>0</v>
      </c>
      <c r="BV86" s="27">
        <f>COUNTIF(DonnéesDessin[[#This Row],[Réponse doodle 01]:[Présence MàN AC]],"N-employé")</f>
        <v>12</v>
      </c>
      <c r="BW86" s="27">
        <f>DonnéesDessin[[#This Row],[Nombre de cours]]-DonnéesDessin[[#This Row],[Nombre excusé]]-DonnéesDessin[[#This Row],[Nombre N-employé]]</f>
        <v>-2</v>
      </c>
      <c r="BX86" s="33">
        <f>COUNTIF(DonnéesDessin[[#This Row],[Réponse doodle 01]:[Présence MàN AC]],"Présent")</f>
        <v>0</v>
      </c>
      <c r="BY86" s="31">
        <f>COUNTIF(DonnéesDessin[[#This Row],[Réponse doodle 01]:[Présence MàN AC]],"Inscrit")</f>
        <v>0</v>
      </c>
      <c r="BZ86" s="32">
        <f>3*DonnéesDessin[[#This Row],[Inscrit]]</f>
        <v>0</v>
      </c>
      <c r="CA86" s="32">
        <f>COUNTIF(DonnéesDessin[[#This Row],[Réponse doodle 01]:[Présence MàN AC]],"R pas nécessaire")</f>
        <v>0</v>
      </c>
      <c r="CB86" s="32">
        <f>SUM(3*DonnéesDessin[[#This Row],[R pas nécessaire]])</f>
        <v>0</v>
      </c>
      <c r="CC86" s="32">
        <f>COUNTIF(DonnéesDessin[[#This Row],[Réponse doodle 01]:[Présence MàN AC]],"Indisponible")</f>
        <v>0</v>
      </c>
      <c r="CD86" s="32">
        <f>2*DonnéesDessin[[#This Row],[Indisponible]]</f>
        <v>0</v>
      </c>
      <c r="CE86" s="32">
        <f>COUNTIF(DonnéesDessin[[#This Row],[Réponse doodle 01]:[Présence MàN AC]],"Ne peut s'inscrire")</f>
        <v>0</v>
      </c>
      <c r="CF86" s="32">
        <f>1*DonnéesDessin[[#This Row],[Ne peut s''inscrire]]</f>
        <v>0</v>
      </c>
      <c r="CG86" s="32">
        <f>COUNTIF(DonnéesDessin[[#This Row],[Réponse doodle 01]:[Présence MàN AC]],"Sans information")</f>
        <v>0</v>
      </c>
      <c r="CH86" s="32">
        <f>0*DonnéesDessin[[#This Row],[Sans information]]</f>
        <v>0</v>
      </c>
      <c r="CI86" s="32">
        <f>COUNTIF(DonnéesDessin[[#This Row],[Réponse doodle 01]:[Présence MàN AC]],"Présent")</f>
        <v>0</v>
      </c>
      <c r="CJ86" s="32">
        <f>2*DonnéesDessin[[#This Row],[Présent]]</f>
        <v>0</v>
      </c>
      <c r="CK86" s="32">
        <f>COUNTIF(DonnéesDessin[[#This Row],[Réponse doodle 01]:[Présence MàN AC]],"P pas nécessaire")</f>
        <v>0</v>
      </c>
      <c r="CL86" s="32">
        <f>2*DonnéesDessin[[#This Row],[P pas nécessaire]]</f>
        <v>0</v>
      </c>
      <c r="CM86" s="32">
        <f>COUNTIF(DonnéesDessin[[#This Row],[Réponse doodle 01]:[Présence MàN AC]],"Excusé")</f>
        <v>0</v>
      </c>
      <c r="CN86" s="32">
        <f>1*DonnéesDessin[[#This Row],[Excusé]]</f>
        <v>0</v>
      </c>
      <c r="CO86" s="32">
        <f>COUNTIF(DonnéesDessin[[#This Row],[Réponse doodle 01]:[Présence MàN AC]],"Pas présent")</f>
        <v>0</v>
      </c>
      <c r="CP86" s="32">
        <f>0*DonnéesDessin[[#This Row],[Pas présent]]</f>
        <v>0</v>
      </c>
      <c r="CQ86"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0</v>
      </c>
      <c r="CR86" s="31" t="s">
        <v>281</v>
      </c>
      <c r="CS86" s="77" t="s">
        <v>41</v>
      </c>
      <c r="CT86" s="56" t="s">
        <v>41</v>
      </c>
      <c r="CU86" s="56"/>
      <c r="CV86" s="81" t="s">
        <v>41</v>
      </c>
      <c r="CW86" s="81" t="s">
        <v>41</v>
      </c>
      <c r="CX86" s="77" t="s">
        <v>41</v>
      </c>
      <c r="CY86" s="77" t="s">
        <v>41</v>
      </c>
      <c r="CZ86" s="77" t="s">
        <v>41</v>
      </c>
      <c r="DA86" s="56" t="s">
        <v>358</v>
      </c>
      <c r="DB86" s="89" t="s">
        <v>41</v>
      </c>
    </row>
    <row r="87" spans="1:106" s="1" customFormat="1" ht="9">
      <c r="A87" s="35" t="s">
        <v>246</v>
      </c>
      <c r="B87" s="32"/>
      <c r="C87" s="32"/>
      <c r="D87" s="32"/>
      <c r="E87" s="36"/>
      <c r="F87" s="36"/>
      <c r="G87" s="32" t="s">
        <v>42</v>
      </c>
      <c r="H87" s="32"/>
      <c r="I87" s="48"/>
      <c r="J87" s="48"/>
      <c r="K87" s="41" t="s">
        <v>362</v>
      </c>
      <c r="L87" s="32">
        <f>DonnéesDessin[[#This Row],[PTS]]</f>
        <v>0</v>
      </c>
      <c r="M87" s="31" t="s">
        <v>52</v>
      </c>
      <c r="N87" s="27">
        <v>0</v>
      </c>
      <c r="O87" s="27" t="s">
        <v>45</v>
      </c>
      <c r="P87" s="27">
        <v>0</v>
      </c>
      <c r="Q87" s="27" t="s">
        <v>45</v>
      </c>
      <c r="R87" s="27">
        <v>0</v>
      </c>
      <c r="S87" s="27" t="s">
        <v>45</v>
      </c>
      <c r="T87" s="33">
        <v>0</v>
      </c>
      <c r="U87" s="31" t="s">
        <v>281</v>
      </c>
      <c r="V87" s="54" t="s">
        <v>41</v>
      </c>
      <c r="W87" s="27" t="s">
        <v>41</v>
      </c>
      <c r="X87" s="27" t="s">
        <v>358</v>
      </c>
      <c r="Y87" s="31" t="s">
        <v>281</v>
      </c>
      <c r="Z87" s="54" t="s">
        <v>41</v>
      </c>
      <c r="AA87" s="27" t="s">
        <v>41</v>
      </c>
      <c r="AB87" s="32" t="s">
        <v>358</v>
      </c>
      <c r="AC87" s="31" t="s">
        <v>281</v>
      </c>
      <c r="AD87" s="56" t="s">
        <v>41</v>
      </c>
      <c r="AE87" s="48" t="s">
        <v>41</v>
      </c>
      <c r="AF87" s="32" t="s">
        <v>358</v>
      </c>
      <c r="AG87" s="31" t="s">
        <v>281</v>
      </c>
      <c r="AH87" s="56" t="s">
        <v>41</v>
      </c>
      <c r="AI87" s="48" t="s">
        <v>41</v>
      </c>
      <c r="AJ87" s="32" t="s">
        <v>358</v>
      </c>
      <c r="AK87" s="31" t="s">
        <v>281</v>
      </c>
      <c r="AL87" s="56" t="s">
        <v>41</v>
      </c>
      <c r="AM87" s="48" t="s">
        <v>41</v>
      </c>
      <c r="AN87" s="32" t="s">
        <v>358</v>
      </c>
      <c r="AO87" s="31" t="s">
        <v>281</v>
      </c>
      <c r="AP87" s="56" t="s">
        <v>41</v>
      </c>
      <c r="AQ87" s="48" t="s">
        <v>41</v>
      </c>
      <c r="AR87" s="32" t="s">
        <v>358</v>
      </c>
      <c r="AS87" s="31" t="s">
        <v>281</v>
      </c>
      <c r="AT87" s="56" t="s">
        <v>41</v>
      </c>
      <c r="AU87" s="48" t="s">
        <v>41</v>
      </c>
      <c r="AV87" s="32" t="s">
        <v>358</v>
      </c>
      <c r="AW87" s="31" t="s">
        <v>281</v>
      </c>
      <c r="AX87" s="56" t="s">
        <v>41</v>
      </c>
      <c r="AY87" s="48" t="s">
        <v>41</v>
      </c>
      <c r="AZ87" s="32" t="s">
        <v>358</v>
      </c>
      <c r="BA87" s="31" t="s">
        <v>281</v>
      </c>
      <c r="BB87" s="56" t="s">
        <v>41</v>
      </c>
      <c r="BC87" s="48" t="s">
        <v>41</v>
      </c>
      <c r="BD87" s="32" t="s">
        <v>358</v>
      </c>
      <c r="BE87" s="31" t="s">
        <v>281</v>
      </c>
      <c r="BF87" s="56" t="s">
        <v>41</v>
      </c>
      <c r="BG87" s="48" t="s">
        <v>41</v>
      </c>
      <c r="BH87" s="32" t="s">
        <v>358</v>
      </c>
      <c r="BI87" s="31" t="s">
        <v>281</v>
      </c>
      <c r="BJ87" s="56" t="s">
        <v>41</v>
      </c>
      <c r="BK87" s="48" t="s">
        <v>41</v>
      </c>
      <c r="BL87" s="32" t="s">
        <v>358</v>
      </c>
      <c r="BM87" s="31" t="s">
        <v>281</v>
      </c>
      <c r="BN87" s="32"/>
      <c r="BO87" s="32" t="s">
        <v>41</v>
      </c>
      <c r="BP87" s="32" t="s">
        <v>41</v>
      </c>
      <c r="BQ87" s="27" t="s">
        <v>41</v>
      </c>
      <c r="BR87" s="27" t="s">
        <v>41</v>
      </c>
      <c r="BS87" s="27" t="s">
        <v>41</v>
      </c>
      <c r="BT87" s="31">
        <f>Nombrecours</f>
        <v>10</v>
      </c>
      <c r="BU87" s="27">
        <f>COUNTIF(DonnéesDessin[[#This Row],[Réponse doodle 01]:[Présence MàN AC]],"Excusé")</f>
        <v>0</v>
      </c>
      <c r="BV87" s="27">
        <f>COUNTIF(DonnéesDessin[[#This Row],[Réponse doodle 01]:[Présence MàN AC]],"N-employé")</f>
        <v>12</v>
      </c>
      <c r="BW87" s="27">
        <f>DonnéesDessin[[#This Row],[Nombre de cours]]-DonnéesDessin[[#This Row],[Nombre excusé]]-DonnéesDessin[[#This Row],[Nombre N-employé]]</f>
        <v>-2</v>
      </c>
      <c r="BX87" s="33">
        <f>COUNTIF(DonnéesDessin[[#This Row],[Réponse doodle 01]:[Présence MàN AC]],"Présent")</f>
        <v>0</v>
      </c>
      <c r="BY87" s="31">
        <f>COUNTIF(DonnéesDessin[[#This Row],[Réponse doodle 01]:[Présence MàN AC]],"Inscrit")</f>
        <v>0</v>
      </c>
      <c r="BZ87" s="32">
        <f>3*DonnéesDessin[[#This Row],[Inscrit]]</f>
        <v>0</v>
      </c>
      <c r="CA87" s="32">
        <f>COUNTIF(DonnéesDessin[[#This Row],[Réponse doodle 01]:[Présence MàN AC]],"R pas nécessaire")</f>
        <v>0</v>
      </c>
      <c r="CB87" s="32">
        <f>SUM(3*DonnéesDessin[[#This Row],[R pas nécessaire]])</f>
        <v>0</v>
      </c>
      <c r="CC87" s="32">
        <f>COUNTIF(DonnéesDessin[[#This Row],[Réponse doodle 01]:[Présence MàN AC]],"Indisponible")</f>
        <v>0</v>
      </c>
      <c r="CD87" s="32">
        <f>2*DonnéesDessin[[#This Row],[Indisponible]]</f>
        <v>0</v>
      </c>
      <c r="CE87" s="32">
        <f>COUNTIF(DonnéesDessin[[#This Row],[Réponse doodle 01]:[Présence MàN AC]],"Ne peut s'inscrire")</f>
        <v>0</v>
      </c>
      <c r="CF87" s="32">
        <f>1*DonnéesDessin[[#This Row],[Ne peut s''inscrire]]</f>
        <v>0</v>
      </c>
      <c r="CG87" s="32">
        <f>COUNTIF(DonnéesDessin[[#This Row],[Réponse doodle 01]:[Présence MàN AC]],"Sans information")</f>
        <v>0</v>
      </c>
      <c r="CH87" s="32">
        <f>0*DonnéesDessin[[#This Row],[Sans information]]</f>
        <v>0</v>
      </c>
      <c r="CI87" s="32">
        <f>COUNTIF(DonnéesDessin[[#This Row],[Réponse doodle 01]:[Présence MàN AC]],"Présent")</f>
        <v>0</v>
      </c>
      <c r="CJ87" s="32">
        <f>2*DonnéesDessin[[#This Row],[Présent]]</f>
        <v>0</v>
      </c>
      <c r="CK87" s="32">
        <f>COUNTIF(DonnéesDessin[[#This Row],[Réponse doodle 01]:[Présence MàN AC]],"P pas nécessaire")</f>
        <v>0</v>
      </c>
      <c r="CL87" s="32">
        <f>2*DonnéesDessin[[#This Row],[P pas nécessaire]]</f>
        <v>0</v>
      </c>
      <c r="CM87" s="32">
        <f>COUNTIF(DonnéesDessin[[#This Row],[Réponse doodle 01]:[Présence MàN AC]],"Excusé")</f>
        <v>0</v>
      </c>
      <c r="CN87" s="32">
        <f>1*DonnéesDessin[[#This Row],[Excusé]]</f>
        <v>0</v>
      </c>
      <c r="CO87" s="32">
        <f>COUNTIF(DonnéesDessin[[#This Row],[Réponse doodle 01]:[Présence MàN AC]],"Pas présent")</f>
        <v>0</v>
      </c>
      <c r="CP87" s="32">
        <f>0*DonnéesDessin[[#This Row],[Pas présent]]</f>
        <v>0</v>
      </c>
      <c r="CQ87"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0</v>
      </c>
      <c r="CR87" s="31" t="s">
        <v>281</v>
      </c>
      <c r="CS87" s="77" t="s">
        <v>41</v>
      </c>
      <c r="CT87" s="56" t="s">
        <v>41</v>
      </c>
      <c r="CU87" s="56"/>
      <c r="CV87" s="81" t="s">
        <v>41</v>
      </c>
      <c r="CW87" s="81" t="s">
        <v>41</v>
      </c>
      <c r="CX87" s="77" t="s">
        <v>41</v>
      </c>
      <c r="CY87" s="77" t="s">
        <v>41</v>
      </c>
      <c r="CZ87" s="77" t="s">
        <v>41</v>
      </c>
      <c r="DA87" s="56" t="s">
        <v>358</v>
      </c>
      <c r="DB87" s="89" t="s">
        <v>41</v>
      </c>
    </row>
    <row r="88" spans="1:106" s="1" customFormat="1" ht="9">
      <c r="A88" s="35" t="s">
        <v>246</v>
      </c>
      <c r="B88" s="32"/>
      <c r="C88" s="32"/>
      <c r="D88" s="32"/>
      <c r="E88" s="36"/>
      <c r="F88" s="36"/>
      <c r="G88" s="32" t="s">
        <v>42</v>
      </c>
      <c r="H88" s="32"/>
      <c r="I88" s="48"/>
      <c r="J88" s="48"/>
      <c r="K88" s="41" t="s">
        <v>362</v>
      </c>
      <c r="L88" s="32">
        <f>DonnéesDessin[[#This Row],[PTS]]</f>
        <v>0</v>
      </c>
      <c r="M88" s="31" t="s">
        <v>52</v>
      </c>
      <c r="N88" s="27">
        <v>0</v>
      </c>
      <c r="O88" s="27" t="s">
        <v>45</v>
      </c>
      <c r="P88" s="27">
        <v>0</v>
      </c>
      <c r="Q88" s="27" t="s">
        <v>45</v>
      </c>
      <c r="R88" s="27">
        <v>0</v>
      </c>
      <c r="S88" s="27" t="s">
        <v>45</v>
      </c>
      <c r="T88" s="33">
        <v>0</v>
      </c>
      <c r="U88" s="31" t="s">
        <v>281</v>
      </c>
      <c r="V88" s="54" t="s">
        <v>41</v>
      </c>
      <c r="W88" s="27" t="s">
        <v>41</v>
      </c>
      <c r="X88" s="27" t="s">
        <v>358</v>
      </c>
      <c r="Y88" s="31" t="s">
        <v>281</v>
      </c>
      <c r="Z88" s="54" t="s">
        <v>41</v>
      </c>
      <c r="AA88" s="27" t="s">
        <v>41</v>
      </c>
      <c r="AB88" s="32" t="s">
        <v>358</v>
      </c>
      <c r="AC88" s="31" t="s">
        <v>281</v>
      </c>
      <c r="AD88" s="56" t="s">
        <v>41</v>
      </c>
      <c r="AE88" s="48" t="s">
        <v>41</v>
      </c>
      <c r="AF88" s="32" t="s">
        <v>358</v>
      </c>
      <c r="AG88" s="31" t="s">
        <v>281</v>
      </c>
      <c r="AH88" s="56" t="s">
        <v>41</v>
      </c>
      <c r="AI88" s="48" t="s">
        <v>41</v>
      </c>
      <c r="AJ88" s="32" t="s">
        <v>358</v>
      </c>
      <c r="AK88" s="31" t="s">
        <v>281</v>
      </c>
      <c r="AL88" s="56" t="s">
        <v>41</v>
      </c>
      <c r="AM88" s="48" t="s">
        <v>41</v>
      </c>
      <c r="AN88" s="32" t="s">
        <v>358</v>
      </c>
      <c r="AO88" s="31" t="s">
        <v>281</v>
      </c>
      <c r="AP88" s="56" t="s">
        <v>41</v>
      </c>
      <c r="AQ88" s="48" t="s">
        <v>41</v>
      </c>
      <c r="AR88" s="32" t="s">
        <v>358</v>
      </c>
      <c r="AS88" s="31" t="s">
        <v>281</v>
      </c>
      <c r="AT88" s="56" t="s">
        <v>41</v>
      </c>
      <c r="AU88" s="48" t="s">
        <v>41</v>
      </c>
      <c r="AV88" s="32" t="s">
        <v>358</v>
      </c>
      <c r="AW88" s="31" t="s">
        <v>281</v>
      </c>
      <c r="AX88" s="56" t="s">
        <v>41</v>
      </c>
      <c r="AY88" s="48" t="s">
        <v>41</v>
      </c>
      <c r="AZ88" s="32" t="s">
        <v>358</v>
      </c>
      <c r="BA88" s="31" t="s">
        <v>281</v>
      </c>
      <c r="BB88" s="56" t="s">
        <v>41</v>
      </c>
      <c r="BC88" s="48" t="s">
        <v>41</v>
      </c>
      <c r="BD88" s="32" t="s">
        <v>358</v>
      </c>
      <c r="BE88" s="31" t="s">
        <v>281</v>
      </c>
      <c r="BF88" s="56" t="s">
        <v>41</v>
      </c>
      <c r="BG88" s="48" t="s">
        <v>41</v>
      </c>
      <c r="BH88" s="32" t="s">
        <v>358</v>
      </c>
      <c r="BI88" s="31" t="s">
        <v>281</v>
      </c>
      <c r="BJ88" s="56" t="s">
        <v>41</v>
      </c>
      <c r="BK88" s="48" t="s">
        <v>41</v>
      </c>
      <c r="BL88" s="32" t="s">
        <v>358</v>
      </c>
      <c r="BM88" s="31" t="s">
        <v>281</v>
      </c>
      <c r="BN88" s="32"/>
      <c r="BO88" s="32" t="s">
        <v>41</v>
      </c>
      <c r="BP88" s="32" t="s">
        <v>41</v>
      </c>
      <c r="BQ88" s="27" t="s">
        <v>41</v>
      </c>
      <c r="BR88" s="27" t="s">
        <v>41</v>
      </c>
      <c r="BS88" s="27" t="s">
        <v>41</v>
      </c>
      <c r="BT88" s="31">
        <f>Nombrecours</f>
        <v>10</v>
      </c>
      <c r="BU88" s="27">
        <f>COUNTIF(DonnéesDessin[[#This Row],[Réponse doodle 01]:[Présence MàN AC]],"Excusé")</f>
        <v>0</v>
      </c>
      <c r="BV88" s="27">
        <f>COUNTIF(DonnéesDessin[[#This Row],[Réponse doodle 01]:[Présence MàN AC]],"N-employé")</f>
        <v>12</v>
      </c>
      <c r="BW88" s="27">
        <f>DonnéesDessin[[#This Row],[Nombre de cours]]-DonnéesDessin[[#This Row],[Nombre excusé]]-DonnéesDessin[[#This Row],[Nombre N-employé]]</f>
        <v>-2</v>
      </c>
      <c r="BX88" s="33">
        <f>COUNTIF(DonnéesDessin[[#This Row],[Réponse doodle 01]:[Présence MàN AC]],"Présent")</f>
        <v>0</v>
      </c>
      <c r="BY88" s="31">
        <f>COUNTIF(DonnéesDessin[[#This Row],[Réponse doodle 01]:[Présence MàN AC]],"Inscrit")</f>
        <v>0</v>
      </c>
      <c r="BZ88" s="32">
        <f>3*DonnéesDessin[[#This Row],[Inscrit]]</f>
        <v>0</v>
      </c>
      <c r="CA88" s="32">
        <f>COUNTIF(DonnéesDessin[[#This Row],[Réponse doodle 01]:[Présence MàN AC]],"R pas nécessaire")</f>
        <v>0</v>
      </c>
      <c r="CB88" s="32">
        <f>SUM(3*DonnéesDessin[[#This Row],[R pas nécessaire]])</f>
        <v>0</v>
      </c>
      <c r="CC88" s="32">
        <f>COUNTIF(DonnéesDessin[[#This Row],[Réponse doodle 01]:[Présence MàN AC]],"Indisponible")</f>
        <v>0</v>
      </c>
      <c r="CD88" s="32">
        <f>2*DonnéesDessin[[#This Row],[Indisponible]]</f>
        <v>0</v>
      </c>
      <c r="CE88" s="32">
        <f>COUNTIF(DonnéesDessin[[#This Row],[Réponse doodle 01]:[Présence MàN AC]],"Ne peut s'inscrire")</f>
        <v>0</v>
      </c>
      <c r="CF88" s="32">
        <f>1*DonnéesDessin[[#This Row],[Ne peut s''inscrire]]</f>
        <v>0</v>
      </c>
      <c r="CG88" s="32">
        <f>COUNTIF(DonnéesDessin[[#This Row],[Réponse doodle 01]:[Présence MàN AC]],"Sans information")</f>
        <v>0</v>
      </c>
      <c r="CH88" s="32">
        <f>0*DonnéesDessin[[#This Row],[Sans information]]</f>
        <v>0</v>
      </c>
      <c r="CI88" s="32">
        <f>COUNTIF(DonnéesDessin[[#This Row],[Réponse doodle 01]:[Présence MàN AC]],"Présent")</f>
        <v>0</v>
      </c>
      <c r="CJ88" s="32">
        <f>2*DonnéesDessin[[#This Row],[Présent]]</f>
        <v>0</v>
      </c>
      <c r="CK88" s="32">
        <f>COUNTIF(DonnéesDessin[[#This Row],[Réponse doodle 01]:[Présence MàN AC]],"P pas nécessaire")</f>
        <v>0</v>
      </c>
      <c r="CL88" s="32">
        <f>2*DonnéesDessin[[#This Row],[P pas nécessaire]]</f>
        <v>0</v>
      </c>
      <c r="CM88" s="32">
        <f>COUNTIF(DonnéesDessin[[#This Row],[Réponse doodle 01]:[Présence MàN AC]],"Excusé")</f>
        <v>0</v>
      </c>
      <c r="CN88" s="32">
        <f>1*DonnéesDessin[[#This Row],[Excusé]]</f>
        <v>0</v>
      </c>
      <c r="CO88" s="32">
        <f>COUNTIF(DonnéesDessin[[#This Row],[Réponse doodle 01]:[Présence MàN AC]],"Pas présent")</f>
        <v>0</v>
      </c>
      <c r="CP88" s="32">
        <f>0*DonnéesDessin[[#This Row],[Pas présent]]</f>
        <v>0</v>
      </c>
      <c r="CQ88"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0</v>
      </c>
      <c r="CR88" s="31" t="s">
        <v>281</v>
      </c>
      <c r="CS88" s="77" t="s">
        <v>41</v>
      </c>
      <c r="CT88" s="56" t="s">
        <v>41</v>
      </c>
      <c r="CU88" s="56"/>
      <c r="CV88" s="81" t="s">
        <v>41</v>
      </c>
      <c r="CW88" s="81" t="s">
        <v>41</v>
      </c>
      <c r="CX88" s="77" t="s">
        <v>41</v>
      </c>
      <c r="CY88" s="77" t="s">
        <v>41</v>
      </c>
      <c r="CZ88" s="77" t="s">
        <v>41</v>
      </c>
      <c r="DA88" s="56" t="s">
        <v>358</v>
      </c>
      <c r="DB88" s="89" t="s">
        <v>41</v>
      </c>
    </row>
    <row r="89" spans="1:106" s="1" customFormat="1" ht="9">
      <c r="A89" s="35" t="s">
        <v>246</v>
      </c>
      <c r="B89" s="32"/>
      <c r="C89" s="32"/>
      <c r="D89" s="32"/>
      <c r="E89" s="36"/>
      <c r="F89" s="36"/>
      <c r="G89" s="32" t="s">
        <v>42</v>
      </c>
      <c r="H89" s="32"/>
      <c r="I89" s="48"/>
      <c r="J89" s="48"/>
      <c r="K89" s="41" t="s">
        <v>362</v>
      </c>
      <c r="L89" s="32">
        <f>DonnéesDessin[[#This Row],[PTS]]</f>
        <v>0</v>
      </c>
      <c r="M89" s="31" t="s">
        <v>52</v>
      </c>
      <c r="N89" s="27">
        <v>0</v>
      </c>
      <c r="O89" s="27" t="s">
        <v>45</v>
      </c>
      <c r="P89" s="27">
        <v>0</v>
      </c>
      <c r="Q89" s="27" t="s">
        <v>45</v>
      </c>
      <c r="R89" s="27">
        <v>0</v>
      </c>
      <c r="S89" s="27" t="s">
        <v>45</v>
      </c>
      <c r="T89" s="33">
        <v>0</v>
      </c>
      <c r="U89" s="31" t="s">
        <v>281</v>
      </c>
      <c r="V89" s="54" t="s">
        <v>41</v>
      </c>
      <c r="W89" s="27" t="s">
        <v>41</v>
      </c>
      <c r="X89" s="27" t="s">
        <v>358</v>
      </c>
      <c r="Y89" s="31" t="s">
        <v>281</v>
      </c>
      <c r="Z89" s="54" t="s">
        <v>41</v>
      </c>
      <c r="AA89" s="27" t="s">
        <v>41</v>
      </c>
      <c r="AB89" s="32" t="s">
        <v>358</v>
      </c>
      <c r="AC89" s="31" t="s">
        <v>281</v>
      </c>
      <c r="AD89" s="56" t="s">
        <v>41</v>
      </c>
      <c r="AE89" s="48" t="s">
        <v>41</v>
      </c>
      <c r="AF89" s="32" t="s">
        <v>358</v>
      </c>
      <c r="AG89" s="31" t="s">
        <v>281</v>
      </c>
      <c r="AH89" s="56" t="s">
        <v>41</v>
      </c>
      <c r="AI89" s="48" t="s">
        <v>41</v>
      </c>
      <c r="AJ89" s="32" t="s">
        <v>358</v>
      </c>
      <c r="AK89" s="31" t="s">
        <v>281</v>
      </c>
      <c r="AL89" s="56" t="s">
        <v>41</v>
      </c>
      <c r="AM89" s="48" t="s">
        <v>41</v>
      </c>
      <c r="AN89" s="32" t="s">
        <v>358</v>
      </c>
      <c r="AO89" s="31" t="s">
        <v>281</v>
      </c>
      <c r="AP89" s="56" t="s">
        <v>41</v>
      </c>
      <c r="AQ89" s="48" t="s">
        <v>41</v>
      </c>
      <c r="AR89" s="32" t="s">
        <v>358</v>
      </c>
      <c r="AS89" s="31" t="s">
        <v>281</v>
      </c>
      <c r="AT89" s="56" t="s">
        <v>41</v>
      </c>
      <c r="AU89" s="48" t="s">
        <v>41</v>
      </c>
      <c r="AV89" s="32" t="s">
        <v>358</v>
      </c>
      <c r="AW89" s="31" t="s">
        <v>281</v>
      </c>
      <c r="AX89" s="56" t="s">
        <v>41</v>
      </c>
      <c r="AY89" s="48" t="s">
        <v>41</v>
      </c>
      <c r="AZ89" s="32" t="s">
        <v>358</v>
      </c>
      <c r="BA89" s="31" t="s">
        <v>281</v>
      </c>
      <c r="BB89" s="56" t="s">
        <v>41</v>
      </c>
      <c r="BC89" s="48" t="s">
        <v>41</v>
      </c>
      <c r="BD89" s="32" t="s">
        <v>358</v>
      </c>
      <c r="BE89" s="31" t="s">
        <v>281</v>
      </c>
      <c r="BF89" s="56" t="s">
        <v>41</v>
      </c>
      <c r="BG89" s="48" t="s">
        <v>41</v>
      </c>
      <c r="BH89" s="32" t="s">
        <v>358</v>
      </c>
      <c r="BI89" s="31" t="s">
        <v>281</v>
      </c>
      <c r="BJ89" s="56" t="s">
        <v>41</v>
      </c>
      <c r="BK89" s="48" t="s">
        <v>41</v>
      </c>
      <c r="BL89" s="32" t="s">
        <v>358</v>
      </c>
      <c r="BM89" s="31" t="s">
        <v>281</v>
      </c>
      <c r="BN89" s="32"/>
      <c r="BO89" s="32" t="s">
        <v>41</v>
      </c>
      <c r="BP89" s="32" t="s">
        <v>41</v>
      </c>
      <c r="BQ89" s="27" t="s">
        <v>41</v>
      </c>
      <c r="BR89" s="27" t="s">
        <v>41</v>
      </c>
      <c r="BS89" s="27" t="s">
        <v>41</v>
      </c>
      <c r="BT89" s="31">
        <f>Nombrecours</f>
        <v>10</v>
      </c>
      <c r="BU89" s="27">
        <f>COUNTIF(DonnéesDessin[[#This Row],[Réponse doodle 01]:[Présence MàN AC]],"Excusé")</f>
        <v>0</v>
      </c>
      <c r="BV89" s="27">
        <f>COUNTIF(DonnéesDessin[[#This Row],[Réponse doodle 01]:[Présence MàN AC]],"N-employé")</f>
        <v>12</v>
      </c>
      <c r="BW89" s="27">
        <f>DonnéesDessin[[#This Row],[Nombre de cours]]-DonnéesDessin[[#This Row],[Nombre excusé]]-DonnéesDessin[[#This Row],[Nombre N-employé]]</f>
        <v>-2</v>
      </c>
      <c r="BX89" s="33">
        <f>COUNTIF(DonnéesDessin[[#This Row],[Réponse doodle 01]:[Présence MàN AC]],"Présent")</f>
        <v>0</v>
      </c>
      <c r="BY89" s="31">
        <f>COUNTIF(DonnéesDessin[[#This Row],[Réponse doodle 01]:[Présence MàN AC]],"Inscrit")</f>
        <v>0</v>
      </c>
      <c r="BZ89" s="32">
        <f>3*DonnéesDessin[[#This Row],[Inscrit]]</f>
        <v>0</v>
      </c>
      <c r="CA89" s="32">
        <f>COUNTIF(DonnéesDessin[[#This Row],[Réponse doodle 01]:[Présence MàN AC]],"R pas nécessaire")</f>
        <v>0</v>
      </c>
      <c r="CB89" s="32">
        <f>SUM(3*DonnéesDessin[[#This Row],[R pas nécessaire]])</f>
        <v>0</v>
      </c>
      <c r="CC89" s="32">
        <f>COUNTIF(DonnéesDessin[[#This Row],[Réponse doodle 01]:[Présence MàN AC]],"Indisponible")</f>
        <v>0</v>
      </c>
      <c r="CD89" s="32">
        <f>2*DonnéesDessin[[#This Row],[Indisponible]]</f>
        <v>0</v>
      </c>
      <c r="CE89" s="32">
        <f>COUNTIF(DonnéesDessin[[#This Row],[Réponse doodle 01]:[Présence MàN AC]],"Ne peut s'inscrire")</f>
        <v>0</v>
      </c>
      <c r="CF89" s="32">
        <f>1*DonnéesDessin[[#This Row],[Ne peut s''inscrire]]</f>
        <v>0</v>
      </c>
      <c r="CG89" s="32">
        <f>COUNTIF(DonnéesDessin[[#This Row],[Réponse doodle 01]:[Présence MàN AC]],"Sans information")</f>
        <v>0</v>
      </c>
      <c r="CH89" s="32">
        <f>0*DonnéesDessin[[#This Row],[Sans information]]</f>
        <v>0</v>
      </c>
      <c r="CI89" s="32">
        <f>COUNTIF(DonnéesDessin[[#This Row],[Réponse doodle 01]:[Présence MàN AC]],"Présent")</f>
        <v>0</v>
      </c>
      <c r="CJ89" s="32">
        <f>2*DonnéesDessin[[#This Row],[Présent]]</f>
        <v>0</v>
      </c>
      <c r="CK89" s="32">
        <f>COUNTIF(DonnéesDessin[[#This Row],[Réponse doodle 01]:[Présence MàN AC]],"P pas nécessaire")</f>
        <v>0</v>
      </c>
      <c r="CL89" s="32">
        <f>2*DonnéesDessin[[#This Row],[P pas nécessaire]]</f>
        <v>0</v>
      </c>
      <c r="CM89" s="32">
        <f>COUNTIF(DonnéesDessin[[#This Row],[Réponse doodle 01]:[Présence MàN AC]],"Excusé")</f>
        <v>0</v>
      </c>
      <c r="CN89" s="32">
        <f>1*DonnéesDessin[[#This Row],[Excusé]]</f>
        <v>0</v>
      </c>
      <c r="CO89" s="32">
        <f>COUNTIF(DonnéesDessin[[#This Row],[Réponse doodle 01]:[Présence MàN AC]],"Pas présent")</f>
        <v>0</v>
      </c>
      <c r="CP89" s="32">
        <f>0*DonnéesDessin[[#This Row],[Pas présent]]</f>
        <v>0</v>
      </c>
      <c r="CQ89"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0</v>
      </c>
      <c r="CR89" s="31" t="s">
        <v>281</v>
      </c>
      <c r="CS89" s="77" t="s">
        <v>41</v>
      </c>
      <c r="CT89" s="56" t="s">
        <v>41</v>
      </c>
      <c r="CU89" s="56"/>
      <c r="CV89" s="81" t="s">
        <v>41</v>
      </c>
      <c r="CW89" s="81" t="s">
        <v>41</v>
      </c>
      <c r="CX89" s="77" t="s">
        <v>41</v>
      </c>
      <c r="CY89" s="77" t="s">
        <v>41</v>
      </c>
      <c r="CZ89" s="77" t="s">
        <v>41</v>
      </c>
      <c r="DA89" s="56" t="s">
        <v>358</v>
      </c>
      <c r="DB89" s="89" t="s">
        <v>41</v>
      </c>
    </row>
    <row r="90" spans="1:106" s="1" customFormat="1" ht="9">
      <c r="A90" s="35" t="s">
        <v>246</v>
      </c>
      <c r="B90" s="32"/>
      <c r="C90" s="32"/>
      <c r="D90" s="32"/>
      <c r="E90" s="36"/>
      <c r="F90" s="36"/>
      <c r="G90" s="32" t="s">
        <v>42</v>
      </c>
      <c r="H90" s="32"/>
      <c r="I90" s="48"/>
      <c r="J90" s="48"/>
      <c r="K90" s="41" t="s">
        <v>362</v>
      </c>
      <c r="L90" s="32">
        <f>DonnéesDessin[[#This Row],[PTS]]</f>
        <v>0</v>
      </c>
      <c r="M90" s="31" t="s">
        <v>52</v>
      </c>
      <c r="N90" s="27">
        <v>0</v>
      </c>
      <c r="O90" s="27" t="s">
        <v>45</v>
      </c>
      <c r="P90" s="27">
        <v>0</v>
      </c>
      <c r="Q90" s="27" t="s">
        <v>45</v>
      </c>
      <c r="R90" s="27">
        <v>0</v>
      </c>
      <c r="S90" s="27" t="s">
        <v>45</v>
      </c>
      <c r="T90" s="33">
        <v>0</v>
      </c>
      <c r="U90" s="31" t="s">
        <v>281</v>
      </c>
      <c r="V90" s="54" t="s">
        <v>41</v>
      </c>
      <c r="W90" s="27" t="s">
        <v>41</v>
      </c>
      <c r="X90" s="27" t="s">
        <v>358</v>
      </c>
      <c r="Y90" s="31" t="s">
        <v>281</v>
      </c>
      <c r="Z90" s="54" t="s">
        <v>41</v>
      </c>
      <c r="AA90" s="27" t="s">
        <v>41</v>
      </c>
      <c r="AB90" s="32" t="s">
        <v>358</v>
      </c>
      <c r="AC90" s="31" t="s">
        <v>281</v>
      </c>
      <c r="AD90" s="56" t="s">
        <v>41</v>
      </c>
      <c r="AE90" s="48" t="s">
        <v>41</v>
      </c>
      <c r="AF90" s="32" t="s">
        <v>358</v>
      </c>
      <c r="AG90" s="31" t="s">
        <v>281</v>
      </c>
      <c r="AH90" s="56" t="s">
        <v>41</v>
      </c>
      <c r="AI90" s="48" t="s">
        <v>41</v>
      </c>
      <c r="AJ90" s="32" t="s">
        <v>358</v>
      </c>
      <c r="AK90" s="31" t="s">
        <v>281</v>
      </c>
      <c r="AL90" s="56" t="s">
        <v>41</v>
      </c>
      <c r="AM90" s="48" t="s">
        <v>41</v>
      </c>
      <c r="AN90" s="32" t="s">
        <v>358</v>
      </c>
      <c r="AO90" s="31" t="s">
        <v>281</v>
      </c>
      <c r="AP90" s="56" t="s">
        <v>41</v>
      </c>
      <c r="AQ90" s="48" t="s">
        <v>41</v>
      </c>
      <c r="AR90" s="32" t="s">
        <v>358</v>
      </c>
      <c r="AS90" s="31" t="s">
        <v>281</v>
      </c>
      <c r="AT90" s="56" t="s">
        <v>41</v>
      </c>
      <c r="AU90" s="48" t="s">
        <v>41</v>
      </c>
      <c r="AV90" s="32" t="s">
        <v>358</v>
      </c>
      <c r="AW90" s="31" t="s">
        <v>281</v>
      </c>
      <c r="AX90" s="56" t="s">
        <v>41</v>
      </c>
      <c r="AY90" s="48" t="s">
        <v>41</v>
      </c>
      <c r="AZ90" s="32" t="s">
        <v>358</v>
      </c>
      <c r="BA90" s="31" t="s">
        <v>281</v>
      </c>
      <c r="BB90" s="56" t="s">
        <v>41</v>
      </c>
      <c r="BC90" s="48" t="s">
        <v>41</v>
      </c>
      <c r="BD90" s="32" t="s">
        <v>358</v>
      </c>
      <c r="BE90" s="31" t="s">
        <v>281</v>
      </c>
      <c r="BF90" s="56" t="s">
        <v>41</v>
      </c>
      <c r="BG90" s="48" t="s">
        <v>41</v>
      </c>
      <c r="BH90" s="32" t="s">
        <v>358</v>
      </c>
      <c r="BI90" s="31" t="s">
        <v>281</v>
      </c>
      <c r="BJ90" s="56" t="s">
        <v>41</v>
      </c>
      <c r="BK90" s="48" t="s">
        <v>41</v>
      </c>
      <c r="BL90" s="32" t="s">
        <v>358</v>
      </c>
      <c r="BM90" s="31" t="s">
        <v>281</v>
      </c>
      <c r="BN90" s="32"/>
      <c r="BO90" s="32" t="s">
        <v>41</v>
      </c>
      <c r="BP90" s="32" t="s">
        <v>41</v>
      </c>
      <c r="BQ90" s="27" t="s">
        <v>41</v>
      </c>
      <c r="BR90" s="27" t="s">
        <v>41</v>
      </c>
      <c r="BS90" s="27" t="s">
        <v>41</v>
      </c>
      <c r="BT90" s="31">
        <f>Nombrecours</f>
        <v>10</v>
      </c>
      <c r="BU90" s="27">
        <f>COUNTIF(DonnéesDessin[[#This Row],[Réponse doodle 01]:[Présence MàN AC]],"Excusé")</f>
        <v>0</v>
      </c>
      <c r="BV90" s="27">
        <f>COUNTIF(DonnéesDessin[[#This Row],[Réponse doodle 01]:[Présence MàN AC]],"N-employé")</f>
        <v>12</v>
      </c>
      <c r="BW90" s="27">
        <f>DonnéesDessin[[#This Row],[Nombre de cours]]-DonnéesDessin[[#This Row],[Nombre excusé]]-DonnéesDessin[[#This Row],[Nombre N-employé]]</f>
        <v>-2</v>
      </c>
      <c r="BX90" s="33">
        <f>COUNTIF(DonnéesDessin[[#This Row],[Réponse doodle 01]:[Présence MàN AC]],"Présent")</f>
        <v>0</v>
      </c>
      <c r="BY90" s="31">
        <f>COUNTIF(DonnéesDessin[[#This Row],[Réponse doodle 01]:[Présence MàN AC]],"Inscrit")</f>
        <v>0</v>
      </c>
      <c r="BZ90" s="32">
        <f>3*DonnéesDessin[[#This Row],[Inscrit]]</f>
        <v>0</v>
      </c>
      <c r="CA90" s="32">
        <f>COUNTIF(DonnéesDessin[[#This Row],[Réponse doodle 01]:[Présence MàN AC]],"R pas nécessaire")</f>
        <v>0</v>
      </c>
      <c r="CB90" s="32">
        <f>SUM(3*DonnéesDessin[[#This Row],[R pas nécessaire]])</f>
        <v>0</v>
      </c>
      <c r="CC90" s="32">
        <f>COUNTIF(DonnéesDessin[[#This Row],[Réponse doodle 01]:[Présence MàN AC]],"Indisponible")</f>
        <v>0</v>
      </c>
      <c r="CD90" s="32">
        <f>2*DonnéesDessin[[#This Row],[Indisponible]]</f>
        <v>0</v>
      </c>
      <c r="CE90" s="32">
        <f>COUNTIF(DonnéesDessin[[#This Row],[Réponse doodle 01]:[Présence MàN AC]],"Ne peut s'inscrire")</f>
        <v>0</v>
      </c>
      <c r="CF90" s="32">
        <f>1*DonnéesDessin[[#This Row],[Ne peut s''inscrire]]</f>
        <v>0</v>
      </c>
      <c r="CG90" s="32">
        <f>COUNTIF(DonnéesDessin[[#This Row],[Réponse doodle 01]:[Présence MàN AC]],"Sans information")</f>
        <v>0</v>
      </c>
      <c r="CH90" s="32">
        <f>0*DonnéesDessin[[#This Row],[Sans information]]</f>
        <v>0</v>
      </c>
      <c r="CI90" s="32">
        <f>COUNTIF(DonnéesDessin[[#This Row],[Réponse doodle 01]:[Présence MàN AC]],"Présent")</f>
        <v>0</v>
      </c>
      <c r="CJ90" s="32">
        <f>2*DonnéesDessin[[#This Row],[Présent]]</f>
        <v>0</v>
      </c>
      <c r="CK90" s="32">
        <f>COUNTIF(DonnéesDessin[[#This Row],[Réponse doodle 01]:[Présence MàN AC]],"P pas nécessaire")</f>
        <v>0</v>
      </c>
      <c r="CL90" s="32">
        <f>2*DonnéesDessin[[#This Row],[P pas nécessaire]]</f>
        <v>0</v>
      </c>
      <c r="CM90" s="32">
        <f>COUNTIF(DonnéesDessin[[#This Row],[Réponse doodle 01]:[Présence MàN AC]],"Excusé")</f>
        <v>0</v>
      </c>
      <c r="CN90" s="32">
        <f>1*DonnéesDessin[[#This Row],[Excusé]]</f>
        <v>0</v>
      </c>
      <c r="CO90" s="32">
        <f>COUNTIF(DonnéesDessin[[#This Row],[Réponse doodle 01]:[Présence MàN AC]],"Pas présent")</f>
        <v>0</v>
      </c>
      <c r="CP90" s="32">
        <f>0*DonnéesDessin[[#This Row],[Pas présent]]</f>
        <v>0</v>
      </c>
      <c r="CQ90"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0</v>
      </c>
      <c r="CR90" s="31" t="s">
        <v>281</v>
      </c>
      <c r="CS90" s="77" t="s">
        <v>41</v>
      </c>
      <c r="CT90" s="56" t="s">
        <v>41</v>
      </c>
      <c r="CU90" s="56"/>
      <c r="CV90" s="81" t="s">
        <v>41</v>
      </c>
      <c r="CW90" s="81" t="s">
        <v>41</v>
      </c>
      <c r="CX90" s="77" t="s">
        <v>41</v>
      </c>
      <c r="CY90" s="77" t="s">
        <v>41</v>
      </c>
      <c r="CZ90" s="77" t="s">
        <v>41</v>
      </c>
      <c r="DA90" s="56" t="s">
        <v>358</v>
      </c>
      <c r="DB90" s="89" t="s">
        <v>41</v>
      </c>
    </row>
    <row r="91" spans="1:106" s="1" customFormat="1" ht="9">
      <c r="A91" s="35" t="s">
        <v>246</v>
      </c>
      <c r="B91" s="32"/>
      <c r="C91" s="32"/>
      <c r="D91" s="32"/>
      <c r="E91" s="36"/>
      <c r="F91" s="36"/>
      <c r="G91" s="32" t="s">
        <v>42</v>
      </c>
      <c r="H91" s="32"/>
      <c r="I91" s="48"/>
      <c r="J91" s="48"/>
      <c r="K91" s="41" t="s">
        <v>362</v>
      </c>
      <c r="L91" s="32">
        <f>DonnéesDessin[[#This Row],[PTS]]</f>
        <v>0</v>
      </c>
      <c r="M91" s="31" t="s">
        <v>52</v>
      </c>
      <c r="N91" s="27">
        <v>0</v>
      </c>
      <c r="O91" s="27" t="s">
        <v>45</v>
      </c>
      <c r="P91" s="27">
        <v>0</v>
      </c>
      <c r="Q91" s="27" t="s">
        <v>45</v>
      </c>
      <c r="R91" s="27">
        <v>0</v>
      </c>
      <c r="S91" s="27" t="s">
        <v>45</v>
      </c>
      <c r="T91" s="33">
        <v>0</v>
      </c>
      <c r="U91" s="31" t="s">
        <v>281</v>
      </c>
      <c r="V91" s="54" t="s">
        <v>41</v>
      </c>
      <c r="W91" s="27" t="s">
        <v>41</v>
      </c>
      <c r="X91" s="27" t="s">
        <v>358</v>
      </c>
      <c r="Y91" s="31" t="s">
        <v>281</v>
      </c>
      <c r="Z91" s="54" t="s">
        <v>41</v>
      </c>
      <c r="AA91" s="27" t="s">
        <v>41</v>
      </c>
      <c r="AB91" s="32" t="s">
        <v>358</v>
      </c>
      <c r="AC91" s="31" t="s">
        <v>281</v>
      </c>
      <c r="AD91" s="56" t="s">
        <v>41</v>
      </c>
      <c r="AE91" s="48" t="s">
        <v>41</v>
      </c>
      <c r="AF91" s="32" t="s">
        <v>358</v>
      </c>
      <c r="AG91" s="31" t="s">
        <v>281</v>
      </c>
      <c r="AH91" s="56" t="s">
        <v>41</v>
      </c>
      <c r="AI91" s="48" t="s">
        <v>41</v>
      </c>
      <c r="AJ91" s="32" t="s">
        <v>358</v>
      </c>
      <c r="AK91" s="31" t="s">
        <v>281</v>
      </c>
      <c r="AL91" s="56" t="s">
        <v>41</v>
      </c>
      <c r="AM91" s="48" t="s">
        <v>41</v>
      </c>
      <c r="AN91" s="32" t="s">
        <v>358</v>
      </c>
      <c r="AO91" s="31" t="s">
        <v>281</v>
      </c>
      <c r="AP91" s="56" t="s">
        <v>41</v>
      </c>
      <c r="AQ91" s="48" t="s">
        <v>41</v>
      </c>
      <c r="AR91" s="32" t="s">
        <v>358</v>
      </c>
      <c r="AS91" s="31" t="s">
        <v>281</v>
      </c>
      <c r="AT91" s="56" t="s">
        <v>41</v>
      </c>
      <c r="AU91" s="48" t="s">
        <v>41</v>
      </c>
      <c r="AV91" s="32" t="s">
        <v>358</v>
      </c>
      <c r="AW91" s="31" t="s">
        <v>281</v>
      </c>
      <c r="AX91" s="56" t="s">
        <v>41</v>
      </c>
      <c r="AY91" s="48" t="s">
        <v>41</v>
      </c>
      <c r="AZ91" s="32" t="s">
        <v>358</v>
      </c>
      <c r="BA91" s="31" t="s">
        <v>281</v>
      </c>
      <c r="BB91" s="56" t="s">
        <v>41</v>
      </c>
      <c r="BC91" s="48" t="s">
        <v>41</v>
      </c>
      <c r="BD91" s="32" t="s">
        <v>358</v>
      </c>
      <c r="BE91" s="31" t="s">
        <v>281</v>
      </c>
      <c r="BF91" s="56" t="s">
        <v>41</v>
      </c>
      <c r="BG91" s="48" t="s">
        <v>41</v>
      </c>
      <c r="BH91" s="32" t="s">
        <v>358</v>
      </c>
      <c r="BI91" s="31" t="s">
        <v>281</v>
      </c>
      <c r="BJ91" s="56" t="s">
        <v>41</v>
      </c>
      <c r="BK91" s="48" t="s">
        <v>41</v>
      </c>
      <c r="BL91" s="32" t="s">
        <v>358</v>
      </c>
      <c r="BM91" s="31" t="s">
        <v>281</v>
      </c>
      <c r="BN91" s="32"/>
      <c r="BO91" s="32" t="s">
        <v>41</v>
      </c>
      <c r="BP91" s="32" t="s">
        <v>41</v>
      </c>
      <c r="BQ91" s="27" t="s">
        <v>41</v>
      </c>
      <c r="BR91" s="27" t="s">
        <v>41</v>
      </c>
      <c r="BS91" s="27" t="s">
        <v>41</v>
      </c>
      <c r="BT91" s="31">
        <f>Nombrecours</f>
        <v>10</v>
      </c>
      <c r="BU91" s="27">
        <f>COUNTIF(DonnéesDessin[[#This Row],[Réponse doodle 01]:[Présence MàN AC]],"Excusé")</f>
        <v>0</v>
      </c>
      <c r="BV91" s="27">
        <f>COUNTIF(DonnéesDessin[[#This Row],[Réponse doodle 01]:[Présence MàN AC]],"N-employé")</f>
        <v>12</v>
      </c>
      <c r="BW91" s="27">
        <f>DonnéesDessin[[#This Row],[Nombre de cours]]-DonnéesDessin[[#This Row],[Nombre excusé]]-DonnéesDessin[[#This Row],[Nombre N-employé]]</f>
        <v>-2</v>
      </c>
      <c r="BX91" s="33">
        <f>COUNTIF(DonnéesDessin[[#This Row],[Réponse doodle 01]:[Présence MàN AC]],"Présent")</f>
        <v>0</v>
      </c>
      <c r="BY91" s="31">
        <f>COUNTIF(DonnéesDessin[[#This Row],[Réponse doodle 01]:[Présence MàN AC]],"Inscrit")</f>
        <v>0</v>
      </c>
      <c r="BZ91" s="32">
        <f>3*DonnéesDessin[[#This Row],[Inscrit]]</f>
        <v>0</v>
      </c>
      <c r="CA91" s="32">
        <f>COUNTIF(DonnéesDessin[[#This Row],[Réponse doodle 01]:[Présence MàN AC]],"R pas nécessaire")</f>
        <v>0</v>
      </c>
      <c r="CB91" s="32">
        <f>SUM(3*DonnéesDessin[[#This Row],[R pas nécessaire]])</f>
        <v>0</v>
      </c>
      <c r="CC91" s="32">
        <f>COUNTIF(DonnéesDessin[[#This Row],[Réponse doodle 01]:[Présence MàN AC]],"Indisponible")</f>
        <v>0</v>
      </c>
      <c r="CD91" s="32">
        <f>2*DonnéesDessin[[#This Row],[Indisponible]]</f>
        <v>0</v>
      </c>
      <c r="CE91" s="32">
        <f>COUNTIF(DonnéesDessin[[#This Row],[Réponse doodle 01]:[Présence MàN AC]],"Ne peut s'inscrire")</f>
        <v>0</v>
      </c>
      <c r="CF91" s="32">
        <f>1*DonnéesDessin[[#This Row],[Ne peut s''inscrire]]</f>
        <v>0</v>
      </c>
      <c r="CG91" s="32">
        <f>COUNTIF(DonnéesDessin[[#This Row],[Réponse doodle 01]:[Présence MàN AC]],"Sans information")</f>
        <v>0</v>
      </c>
      <c r="CH91" s="32">
        <f>0*DonnéesDessin[[#This Row],[Sans information]]</f>
        <v>0</v>
      </c>
      <c r="CI91" s="32">
        <f>COUNTIF(DonnéesDessin[[#This Row],[Réponse doodle 01]:[Présence MàN AC]],"Présent")</f>
        <v>0</v>
      </c>
      <c r="CJ91" s="32">
        <f>2*DonnéesDessin[[#This Row],[Présent]]</f>
        <v>0</v>
      </c>
      <c r="CK91" s="32">
        <f>COUNTIF(DonnéesDessin[[#This Row],[Réponse doodle 01]:[Présence MàN AC]],"P pas nécessaire")</f>
        <v>0</v>
      </c>
      <c r="CL91" s="32">
        <f>2*DonnéesDessin[[#This Row],[P pas nécessaire]]</f>
        <v>0</v>
      </c>
      <c r="CM91" s="32">
        <f>COUNTIF(DonnéesDessin[[#This Row],[Réponse doodle 01]:[Présence MàN AC]],"Excusé")</f>
        <v>0</v>
      </c>
      <c r="CN91" s="32">
        <f>1*DonnéesDessin[[#This Row],[Excusé]]</f>
        <v>0</v>
      </c>
      <c r="CO91" s="32">
        <f>COUNTIF(DonnéesDessin[[#This Row],[Réponse doodle 01]:[Présence MàN AC]],"Pas présent")</f>
        <v>0</v>
      </c>
      <c r="CP91" s="32">
        <f>0*DonnéesDessin[[#This Row],[Pas présent]]</f>
        <v>0</v>
      </c>
      <c r="CQ91"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0</v>
      </c>
      <c r="CR91" s="31" t="s">
        <v>281</v>
      </c>
      <c r="CS91" s="77" t="s">
        <v>41</v>
      </c>
      <c r="CT91" s="56" t="s">
        <v>41</v>
      </c>
      <c r="CU91" s="56"/>
      <c r="CV91" s="81" t="s">
        <v>41</v>
      </c>
      <c r="CW91" s="81" t="s">
        <v>41</v>
      </c>
      <c r="CX91" s="77" t="s">
        <v>41</v>
      </c>
      <c r="CY91" s="77" t="s">
        <v>41</v>
      </c>
      <c r="CZ91" s="77" t="s">
        <v>41</v>
      </c>
      <c r="DA91" s="56" t="s">
        <v>358</v>
      </c>
      <c r="DB91" s="89" t="s">
        <v>41</v>
      </c>
    </row>
    <row r="92" spans="1:106" s="1" customFormat="1" ht="9">
      <c r="A92" s="35" t="s">
        <v>246</v>
      </c>
      <c r="B92" s="32"/>
      <c r="C92" s="32"/>
      <c r="D92" s="32"/>
      <c r="E92" s="36"/>
      <c r="F92" s="36"/>
      <c r="G92" s="32" t="s">
        <v>42</v>
      </c>
      <c r="H92" s="32"/>
      <c r="I92" s="48"/>
      <c r="J92" s="48"/>
      <c r="K92" s="41" t="s">
        <v>362</v>
      </c>
      <c r="L92" s="32">
        <f>DonnéesDessin[[#This Row],[PTS]]</f>
        <v>0</v>
      </c>
      <c r="M92" s="31" t="s">
        <v>52</v>
      </c>
      <c r="N92" s="27">
        <v>0</v>
      </c>
      <c r="O92" s="27" t="s">
        <v>45</v>
      </c>
      <c r="P92" s="27">
        <v>0</v>
      </c>
      <c r="Q92" s="27" t="s">
        <v>45</v>
      </c>
      <c r="R92" s="27">
        <v>0</v>
      </c>
      <c r="S92" s="27" t="s">
        <v>45</v>
      </c>
      <c r="T92" s="33">
        <v>0</v>
      </c>
      <c r="U92" s="31" t="s">
        <v>281</v>
      </c>
      <c r="V92" s="54" t="s">
        <v>41</v>
      </c>
      <c r="W92" s="27" t="s">
        <v>41</v>
      </c>
      <c r="X92" s="27" t="s">
        <v>358</v>
      </c>
      <c r="Y92" s="31" t="s">
        <v>281</v>
      </c>
      <c r="Z92" s="54" t="s">
        <v>41</v>
      </c>
      <c r="AA92" s="27" t="s">
        <v>41</v>
      </c>
      <c r="AB92" s="32" t="s">
        <v>358</v>
      </c>
      <c r="AC92" s="31" t="s">
        <v>281</v>
      </c>
      <c r="AD92" s="56" t="s">
        <v>41</v>
      </c>
      <c r="AE92" s="48" t="s">
        <v>41</v>
      </c>
      <c r="AF92" s="32" t="s">
        <v>358</v>
      </c>
      <c r="AG92" s="31" t="s">
        <v>281</v>
      </c>
      <c r="AH92" s="56" t="s">
        <v>41</v>
      </c>
      <c r="AI92" s="48" t="s">
        <v>41</v>
      </c>
      <c r="AJ92" s="32" t="s">
        <v>358</v>
      </c>
      <c r="AK92" s="31" t="s">
        <v>281</v>
      </c>
      <c r="AL92" s="56" t="s">
        <v>41</v>
      </c>
      <c r="AM92" s="48" t="s">
        <v>41</v>
      </c>
      <c r="AN92" s="32" t="s">
        <v>358</v>
      </c>
      <c r="AO92" s="31" t="s">
        <v>281</v>
      </c>
      <c r="AP92" s="56" t="s">
        <v>41</v>
      </c>
      <c r="AQ92" s="48" t="s">
        <v>41</v>
      </c>
      <c r="AR92" s="32" t="s">
        <v>358</v>
      </c>
      <c r="AS92" s="31" t="s">
        <v>281</v>
      </c>
      <c r="AT92" s="56" t="s">
        <v>41</v>
      </c>
      <c r="AU92" s="48" t="s">
        <v>41</v>
      </c>
      <c r="AV92" s="32" t="s">
        <v>358</v>
      </c>
      <c r="AW92" s="31" t="s">
        <v>281</v>
      </c>
      <c r="AX92" s="56" t="s">
        <v>41</v>
      </c>
      <c r="AY92" s="48" t="s">
        <v>41</v>
      </c>
      <c r="AZ92" s="32" t="s">
        <v>358</v>
      </c>
      <c r="BA92" s="31" t="s">
        <v>281</v>
      </c>
      <c r="BB92" s="56" t="s">
        <v>41</v>
      </c>
      <c r="BC92" s="48" t="s">
        <v>41</v>
      </c>
      <c r="BD92" s="32" t="s">
        <v>358</v>
      </c>
      <c r="BE92" s="31" t="s">
        <v>281</v>
      </c>
      <c r="BF92" s="56" t="s">
        <v>41</v>
      </c>
      <c r="BG92" s="48" t="s">
        <v>41</v>
      </c>
      <c r="BH92" s="32" t="s">
        <v>358</v>
      </c>
      <c r="BI92" s="31" t="s">
        <v>281</v>
      </c>
      <c r="BJ92" s="56" t="s">
        <v>41</v>
      </c>
      <c r="BK92" s="48" t="s">
        <v>41</v>
      </c>
      <c r="BL92" s="32" t="s">
        <v>358</v>
      </c>
      <c r="BM92" s="31" t="s">
        <v>281</v>
      </c>
      <c r="BN92" s="32"/>
      <c r="BO92" s="32" t="s">
        <v>41</v>
      </c>
      <c r="BP92" s="32" t="s">
        <v>41</v>
      </c>
      <c r="BQ92" s="27" t="s">
        <v>41</v>
      </c>
      <c r="BR92" s="27" t="s">
        <v>41</v>
      </c>
      <c r="BS92" s="27" t="s">
        <v>41</v>
      </c>
      <c r="BT92" s="31">
        <f>Nombrecours</f>
        <v>10</v>
      </c>
      <c r="BU92" s="27">
        <f>COUNTIF(DonnéesDessin[[#This Row],[Réponse doodle 01]:[Présence MàN AC]],"Excusé")</f>
        <v>0</v>
      </c>
      <c r="BV92" s="27">
        <f>COUNTIF(DonnéesDessin[[#This Row],[Réponse doodle 01]:[Présence MàN AC]],"N-employé")</f>
        <v>12</v>
      </c>
      <c r="BW92" s="27">
        <f>DonnéesDessin[[#This Row],[Nombre de cours]]-DonnéesDessin[[#This Row],[Nombre excusé]]-DonnéesDessin[[#This Row],[Nombre N-employé]]</f>
        <v>-2</v>
      </c>
      <c r="BX92" s="33">
        <f>COUNTIF(DonnéesDessin[[#This Row],[Réponse doodle 01]:[Présence MàN AC]],"Présent")</f>
        <v>0</v>
      </c>
      <c r="BY92" s="31">
        <f>COUNTIF(DonnéesDessin[[#This Row],[Réponse doodle 01]:[Présence MàN AC]],"Inscrit")</f>
        <v>0</v>
      </c>
      <c r="BZ92" s="32">
        <f>3*DonnéesDessin[[#This Row],[Inscrit]]</f>
        <v>0</v>
      </c>
      <c r="CA92" s="32">
        <f>COUNTIF(DonnéesDessin[[#This Row],[Réponse doodle 01]:[Présence MàN AC]],"R pas nécessaire")</f>
        <v>0</v>
      </c>
      <c r="CB92" s="32">
        <f>SUM(3*DonnéesDessin[[#This Row],[R pas nécessaire]])</f>
        <v>0</v>
      </c>
      <c r="CC92" s="32">
        <f>COUNTIF(DonnéesDessin[[#This Row],[Réponse doodle 01]:[Présence MàN AC]],"Indisponible")</f>
        <v>0</v>
      </c>
      <c r="CD92" s="32">
        <f>2*DonnéesDessin[[#This Row],[Indisponible]]</f>
        <v>0</v>
      </c>
      <c r="CE92" s="32">
        <f>COUNTIF(DonnéesDessin[[#This Row],[Réponse doodle 01]:[Présence MàN AC]],"Ne peut s'inscrire")</f>
        <v>0</v>
      </c>
      <c r="CF92" s="32">
        <f>1*DonnéesDessin[[#This Row],[Ne peut s''inscrire]]</f>
        <v>0</v>
      </c>
      <c r="CG92" s="32">
        <f>COUNTIF(DonnéesDessin[[#This Row],[Réponse doodle 01]:[Présence MàN AC]],"Sans information")</f>
        <v>0</v>
      </c>
      <c r="CH92" s="32">
        <f>0*DonnéesDessin[[#This Row],[Sans information]]</f>
        <v>0</v>
      </c>
      <c r="CI92" s="32">
        <f>COUNTIF(DonnéesDessin[[#This Row],[Réponse doodle 01]:[Présence MàN AC]],"Présent")</f>
        <v>0</v>
      </c>
      <c r="CJ92" s="32">
        <f>2*DonnéesDessin[[#This Row],[Présent]]</f>
        <v>0</v>
      </c>
      <c r="CK92" s="32">
        <f>COUNTIF(DonnéesDessin[[#This Row],[Réponse doodle 01]:[Présence MàN AC]],"P pas nécessaire")</f>
        <v>0</v>
      </c>
      <c r="CL92" s="32">
        <f>2*DonnéesDessin[[#This Row],[P pas nécessaire]]</f>
        <v>0</v>
      </c>
      <c r="CM92" s="32">
        <f>COUNTIF(DonnéesDessin[[#This Row],[Réponse doodle 01]:[Présence MàN AC]],"Excusé")</f>
        <v>0</v>
      </c>
      <c r="CN92" s="32">
        <f>1*DonnéesDessin[[#This Row],[Excusé]]</f>
        <v>0</v>
      </c>
      <c r="CO92" s="32">
        <f>COUNTIF(DonnéesDessin[[#This Row],[Réponse doodle 01]:[Présence MàN AC]],"Pas présent")</f>
        <v>0</v>
      </c>
      <c r="CP92" s="32">
        <f>0*DonnéesDessin[[#This Row],[Pas présent]]</f>
        <v>0</v>
      </c>
      <c r="CQ92"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0</v>
      </c>
      <c r="CR92" s="31" t="s">
        <v>281</v>
      </c>
      <c r="CS92" s="77" t="s">
        <v>41</v>
      </c>
      <c r="CT92" s="56" t="s">
        <v>41</v>
      </c>
      <c r="CU92" s="56"/>
      <c r="CV92" s="81" t="s">
        <v>41</v>
      </c>
      <c r="CW92" s="81" t="s">
        <v>41</v>
      </c>
      <c r="CX92" s="77" t="s">
        <v>41</v>
      </c>
      <c r="CY92" s="77" t="s">
        <v>41</v>
      </c>
      <c r="CZ92" s="77" t="s">
        <v>41</v>
      </c>
      <c r="DA92" s="56" t="s">
        <v>358</v>
      </c>
      <c r="DB92" s="89" t="s">
        <v>41</v>
      </c>
    </row>
    <row r="93" spans="1:106" s="1" customFormat="1" ht="9">
      <c r="A93" s="35" t="s">
        <v>246</v>
      </c>
      <c r="B93" s="32"/>
      <c r="C93" s="32"/>
      <c r="D93" s="32"/>
      <c r="E93" s="36"/>
      <c r="F93" s="36"/>
      <c r="G93" s="32" t="s">
        <v>42</v>
      </c>
      <c r="H93" s="32"/>
      <c r="I93" s="48"/>
      <c r="J93" s="48"/>
      <c r="K93" s="41" t="s">
        <v>362</v>
      </c>
      <c r="L93" s="32">
        <f>DonnéesDessin[[#This Row],[PTS]]</f>
        <v>0</v>
      </c>
      <c r="M93" s="31" t="s">
        <v>52</v>
      </c>
      <c r="N93" s="27">
        <v>0</v>
      </c>
      <c r="O93" s="27" t="s">
        <v>45</v>
      </c>
      <c r="P93" s="27">
        <v>0</v>
      </c>
      <c r="Q93" s="27" t="s">
        <v>45</v>
      </c>
      <c r="R93" s="27">
        <v>0</v>
      </c>
      <c r="S93" s="27" t="s">
        <v>45</v>
      </c>
      <c r="T93" s="33">
        <v>0</v>
      </c>
      <c r="U93" s="31" t="s">
        <v>281</v>
      </c>
      <c r="V93" s="54" t="s">
        <v>41</v>
      </c>
      <c r="W93" s="27" t="s">
        <v>41</v>
      </c>
      <c r="X93" s="27" t="s">
        <v>358</v>
      </c>
      <c r="Y93" s="31" t="s">
        <v>281</v>
      </c>
      <c r="Z93" s="54" t="s">
        <v>41</v>
      </c>
      <c r="AA93" s="27" t="s">
        <v>41</v>
      </c>
      <c r="AB93" s="32" t="s">
        <v>358</v>
      </c>
      <c r="AC93" s="31" t="s">
        <v>281</v>
      </c>
      <c r="AD93" s="56" t="s">
        <v>41</v>
      </c>
      <c r="AE93" s="48" t="s">
        <v>41</v>
      </c>
      <c r="AF93" s="32" t="s">
        <v>358</v>
      </c>
      <c r="AG93" s="31" t="s">
        <v>281</v>
      </c>
      <c r="AH93" s="56" t="s">
        <v>41</v>
      </c>
      <c r="AI93" s="48" t="s">
        <v>41</v>
      </c>
      <c r="AJ93" s="32" t="s">
        <v>358</v>
      </c>
      <c r="AK93" s="31" t="s">
        <v>281</v>
      </c>
      <c r="AL93" s="56" t="s">
        <v>41</v>
      </c>
      <c r="AM93" s="48" t="s">
        <v>41</v>
      </c>
      <c r="AN93" s="32" t="s">
        <v>358</v>
      </c>
      <c r="AO93" s="31" t="s">
        <v>281</v>
      </c>
      <c r="AP93" s="56" t="s">
        <v>41</v>
      </c>
      <c r="AQ93" s="48" t="s">
        <v>41</v>
      </c>
      <c r="AR93" s="32" t="s">
        <v>358</v>
      </c>
      <c r="AS93" s="31" t="s">
        <v>281</v>
      </c>
      <c r="AT93" s="56" t="s">
        <v>41</v>
      </c>
      <c r="AU93" s="48" t="s">
        <v>41</v>
      </c>
      <c r="AV93" s="32" t="s">
        <v>358</v>
      </c>
      <c r="AW93" s="31" t="s">
        <v>281</v>
      </c>
      <c r="AX93" s="56" t="s">
        <v>41</v>
      </c>
      <c r="AY93" s="48" t="s">
        <v>41</v>
      </c>
      <c r="AZ93" s="32" t="s">
        <v>358</v>
      </c>
      <c r="BA93" s="31" t="s">
        <v>281</v>
      </c>
      <c r="BB93" s="56" t="s">
        <v>41</v>
      </c>
      <c r="BC93" s="48" t="s">
        <v>41</v>
      </c>
      <c r="BD93" s="32" t="s">
        <v>358</v>
      </c>
      <c r="BE93" s="31" t="s">
        <v>281</v>
      </c>
      <c r="BF93" s="56" t="s">
        <v>41</v>
      </c>
      <c r="BG93" s="48" t="s">
        <v>41</v>
      </c>
      <c r="BH93" s="32" t="s">
        <v>358</v>
      </c>
      <c r="BI93" s="31" t="s">
        <v>281</v>
      </c>
      <c r="BJ93" s="56" t="s">
        <v>41</v>
      </c>
      <c r="BK93" s="48" t="s">
        <v>41</v>
      </c>
      <c r="BL93" s="32" t="s">
        <v>358</v>
      </c>
      <c r="BM93" s="31" t="s">
        <v>281</v>
      </c>
      <c r="BN93" s="32"/>
      <c r="BO93" s="32" t="s">
        <v>41</v>
      </c>
      <c r="BP93" s="32" t="s">
        <v>41</v>
      </c>
      <c r="BQ93" s="27" t="s">
        <v>41</v>
      </c>
      <c r="BR93" s="27" t="s">
        <v>41</v>
      </c>
      <c r="BS93" s="27" t="s">
        <v>41</v>
      </c>
      <c r="BT93" s="31">
        <f>Nombrecours</f>
        <v>10</v>
      </c>
      <c r="BU93" s="27">
        <f>COUNTIF(DonnéesDessin[[#This Row],[Réponse doodle 01]:[Présence MàN AC]],"Excusé")</f>
        <v>0</v>
      </c>
      <c r="BV93" s="27">
        <f>COUNTIF(DonnéesDessin[[#This Row],[Réponse doodle 01]:[Présence MàN AC]],"N-employé")</f>
        <v>12</v>
      </c>
      <c r="BW93" s="27">
        <f>DonnéesDessin[[#This Row],[Nombre de cours]]-DonnéesDessin[[#This Row],[Nombre excusé]]-DonnéesDessin[[#This Row],[Nombre N-employé]]</f>
        <v>-2</v>
      </c>
      <c r="BX93" s="33">
        <f>COUNTIF(DonnéesDessin[[#This Row],[Réponse doodle 01]:[Présence MàN AC]],"Présent")</f>
        <v>0</v>
      </c>
      <c r="BY93" s="31">
        <f>COUNTIF(DonnéesDessin[[#This Row],[Réponse doodle 01]:[Présence MàN AC]],"Inscrit")</f>
        <v>0</v>
      </c>
      <c r="BZ93" s="32">
        <f>3*DonnéesDessin[[#This Row],[Inscrit]]</f>
        <v>0</v>
      </c>
      <c r="CA93" s="32">
        <f>COUNTIF(DonnéesDessin[[#This Row],[Réponse doodle 01]:[Présence MàN AC]],"R pas nécessaire")</f>
        <v>0</v>
      </c>
      <c r="CB93" s="32">
        <f>SUM(3*DonnéesDessin[[#This Row],[R pas nécessaire]])</f>
        <v>0</v>
      </c>
      <c r="CC93" s="32">
        <f>COUNTIF(DonnéesDessin[[#This Row],[Réponse doodle 01]:[Présence MàN AC]],"Indisponible")</f>
        <v>0</v>
      </c>
      <c r="CD93" s="32">
        <f>2*DonnéesDessin[[#This Row],[Indisponible]]</f>
        <v>0</v>
      </c>
      <c r="CE93" s="32">
        <f>COUNTIF(DonnéesDessin[[#This Row],[Réponse doodle 01]:[Présence MàN AC]],"Ne peut s'inscrire")</f>
        <v>0</v>
      </c>
      <c r="CF93" s="32">
        <f>1*DonnéesDessin[[#This Row],[Ne peut s''inscrire]]</f>
        <v>0</v>
      </c>
      <c r="CG93" s="32">
        <f>COUNTIF(DonnéesDessin[[#This Row],[Réponse doodle 01]:[Présence MàN AC]],"Sans information")</f>
        <v>0</v>
      </c>
      <c r="CH93" s="32">
        <f>0*DonnéesDessin[[#This Row],[Sans information]]</f>
        <v>0</v>
      </c>
      <c r="CI93" s="32">
        <f>COUNTIF(DonnéesDessin[[#This Row],[Réponse doodle 01]:[Présence MàN AC]],"Présent")</f>
        <v>0</v>
      </c>
      <c r="CJ93" s="32">
        <f>2*DonnéesDessin[[#This Row],[Présent]]</f>
        <v>0</v>
      </c>
      <c r="CK93" s="32">
        <f>COUNTIF(DonnéesDessin[[#This Row],[Réponse doodle 01]:[Présence MàN AC]],"P pas nécessaire")</f>
        <v>0</v>
      </c>
      <c r="CL93" s="32">
        <f>2*DonnéesDessin[[#This Row],[P pas nécessaire]]</f>
        <v>0</v>
      </c>
      <c r="CM93" s="32">
        <f>COUNTIF(DonnéesDessin[[#This Row],[Réponse doodle 01]:[Présence MàN AC]],"Excusé")</f>
        <v>0</v>
      </c>
      <c r="CN93" s="32">
        <f>1*DonnéesDessin[[#This Row],[Excusé]]</f>
        <v>0</v>
      </c>
      <c r="CO93" s="32">
        <f>COUNTIF(DonnéesDessin[[#This Row],[Réponse doodle 01]:[Présence MàN AC]],"Pas présent")</f>
        <v>0</v>
      </c>
      <c r="CP93" s="32">
        <f>0*DonnéesDessin[[#This Row],[Pas présent]]</f>
        <v>0</v>
      </c>
      <c r="CQ93"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0</v>
      </c>
      <c r="CR93" s="31" t="s">
        <v>281</v>
      </c>
      <c r="CS93" s="77" t="s">
        <v>41</v>
      </c>
      <c r="CT93" s="56" t="s">
        <v>41</v>
      </c>
      <c r="CU93" s="56"/>
      <c r="CV93" s="81" t="s">
        <v>41</v>
      </c>
      <c r="CW93" s="81" t="s">
        <v>41</v>
      </c>
      <c r="CX93" s="77" t="s">
        <v>41</v>
      </c>
      <c r="CY93" s="77" t="s">
        <v>41</v>
      </c>
      <c r="CZ93" s="77" t="s">
        <v>41</v>
      </c>
      <c r="DA93" s="56" t="s">
        <v>358</v>
      </c>
      <c r="DB93" s="89" t="s">
        <v>41</v>
      </c>
    </row>
    <row r="94" spans="1:106" s="1" customFormat="1" ht="9">
      <c r="A94" s="35" t="s">
        <v>246</v>
      </c>
      <c r="B94" s="32"/>
      <c r="C94" s="32"/>
      <c r="D94" s="32"/>
      <c r="E94" s="36"/>
      <c r="F94" s="36"/>
      <c r="G94" s="32" t="s">
        <v>42</v>
      </c>
      <c r="H94" s="32"/>
      <c r="I94" s="48"/>
      <c r="J94" s="48"/>
      <c r="K94" s="41" t="s">
        <v>362</v>
      </c>
      <c r="L94" s="32">
        <f>DonnéesDessin[[#This Row],[PTS]]</f>
        <v>0</v>
      </c>
      <c r="M94" s="31" t="s">
        <v>52</v>
      </c>
      <c r="N94" s="27">
        <v>0</v>
      </c>
      <c r="O94" s="27" t="s">
        <v>45</v>
      </c>
      <c r="P94" s="27">
        <v>0</v>
      </c>
      <c r="Q94" s="27" t="s">
        <v>45</v>
      </c>
      <c r="R94" s="27">
        <v>0</v>
      </c>
      <c r="S94" s="27" t="s">
        <v>45</v>
      </c>
      <c r="T94" s="33">
        <v>0</v>
      </c>
      <c r="U94" s="31" t="s">
        <v>281</v>
      </c>
      <c r="V94" s="54" t="s">
        <v>41</v>
      </c>
      <c r="W94" s="27" t="s">
        <v>41</v>
      </c>
      <c r="X94" s="27" t="s">
        <v>358</v>
      </c>
      <c r="Y94" s="31" t="s">
        <v>281</v>
      </c>
      <c r="Z94" s="54" t="s">
        <v>41</v>
      </c>
      <c r="AA94" s="27" t="s">
        <v>41</v>
      </c>
      <c r="AB94" s="32" t="s">
        <v>358</v>
      </c>
      <c r="AC94" s="31" t="s">
        <v>281</v>
      </c>
      <c r="AD94" s="56" t="s">
        <v>41</v>
      </c>
      <c r="AE94" s="48" t="s">
        <v>41</v>
      </c>
      <c r="AF94" s="32" t="s">
        <v>358</v>
      </c>
      <c r="AG94" s="31" t="s">
        <v>281</v>
      </c>
      <c r="AH94" s="56" t="s">
        <v>41</v>
      </c>
      <c r="AI94" s="48" t="s">
        <v>41</v>
      </c>
      <c r="AJ94" s="32" t="s">
        <v>358</v>
      </c>
      <c r="AK94" s="31" t="s">
        <v>281</v>
      </c>
      <c r="AL94" s="56" t="s">
        <v>41</v>
      </c>
      <c r="AM94" s="48" t="s">
        <v>41</v>
      </c>
      <c r="AN94" s="32" t="s">
        <v>358</v>
      </c>
      <c r="AO94" s="31" t="s">
        <v>281</v>
      </c>
      <c r="AP94" s="56" t="s">
        <v>41</v>
      </c>
      <c r="AQ94" s="48" t="s">
        <v>41</v>
      </c>
      <c r="AR94" s="32" t="s">
        <v>358</v>
      </c>
      <c r="AS94" s="31" t="s">
        <v>281</v>
      </c>
      <c r="AT94" s="56" t="s">
        <v>41</v>
      </c>
      <c r="AU94" s="48" t="s">
        <v>41</v>
      </c>
      <c r="AV94" s="32" t="s">
        <v>358</v>
      </c>
      <c r="AW94" s="31" t="s">
        <v>281</v>
      </c>
      <c r="AX94" s="56" t="s">
        <v>41</v>
      </c>
      <c r="AY94" s="48" t="s">
        <v>41</v>
      </c>
      <c r="AZ94" s="32" t="s">
        <v>358</v>
      </c>
      <c r="BA94" s="31" t="s">
        <v>281</v>
      </c>
      <c r="BB94" s="56" t="s">
        <v>41</v>
      </c>
      <c r="BC94" s="48" t="s">
        <v>41</v>
      </c>
      <c r="BD94" s="32" t="s">
        <v>358</v>
      </c>
      <c r="BE94" s="31" t="s">
        <v>281</v>
      </c>
      <c r="BF94" s="56" t="s">
        <v>41</v>
      </c>
      <c r="BG94" s="48" t="s">
        <v>41</v>
      </c>
      <c r="BH94" s="32" t="s">
        <v>358</v>
      </c>
      <c r="BI94" s="31" t="s">
        <v>281</v>
      </c>
      <c r="BJ94" s="56" t="s">
        <v>41</v>
      </c>
      <c r="BK94" s="48" t="s">
        <v>41</v>
      </c>
      <c r="BL94" s="32" t="s">
        <v>358</v>
      </c>
      <c r="BM94" s="31" t="s">
        <v>281</v>
      </c>
      <c r="BN94" s="32"/>
      <c r="BO94" s="32" t="s">
        <v>41</v>
      </c>
      <c r="BP94" s="32" t="s">
        <v>41</v>
      </c>
      <c r="BQ94" s="27" t="s">
        <v>41</v>
      </c>
      <c r="BR94" s="27" t="s">
        <v>41</v>
      </c>
      <c r="BS94" s="27" t="s">
        <v>41</v>
      </c>
      <c r="BT94" s="31">
        <f>Nombrecours</f>
        <v>10</v>
      </c>
      <c r="BU94" s="27">
        <f>COUNTIF(DonnéesDessin[[#This Row],[Réponse doodle 01]:[Présence MàN AC]],"Excusé")</f>
        <v>0</v>
      </c>
      <c r="BV94" s="27">
        <f>COUNTIF(DonnéesDessin[[#This Row],[Réponse doodle 01]:[Présence MàN AC]],"N-employé")</f>
        <v>12</v>
      </c>
      <c r="BW94" s="27">
        <f>DonnéesDessin[[#This Row],[Nombre de cours]]-DonnéesDessin[[#This Row],[Nombre excusé]]-DonnéesDessin[[#This Row],[Nombre N-employé]]</f>
        <v>-2</v>
      </c>
      <c r="BX94" s="33">
        <f>COUNTIF(DonnéesDessin[[#This Row],[Réponse doodle 01]:[Présence MàN AC]],"Présent")</f>
        <v>0</v>
      </c>
      <c r="BY94" s="31">
        <f>COUNTIF(DonnéesDessin[[#This Row],[Réponse doodle 01]:[Présence MàN AC]],"Inscrit")</f>
        <v>0</v>
      </c>
      <c r="BZ94" s="32">
        <f>3*DonnéesDessin[[#This Row],[Inscrit]]</f>
        <v>0</v>
      </c>
      <c r="CA94" s="32">
        <f>COUNTIF(DonnéesDessin[[#This Row],[Réponse doodle 01]:[Présence MàN AC]],"R pas nécessaire")</f>
        <v>0</v>
      </c>
      <c r="CB94" s="32">
        <f>SUM(3*DonnéesDessin[[#This Row],[R pas nécessaire]])</f>
        <v>0</v>
      </c>
      <c r="CC94" s="32">
        <f>COUNTIF(DonnéesDessin[[#This Row],[Réponse doodle 01]:[Présence MàN AC]],"Indisponible")</f>
        <v>0</v>
      </c>
      <c r="CD94" s="32">
        <f>2*DonnéesDessin[[#This Row],[Indisponible]]</f>
        <v>0</v>
      </c>
      <c r="CE94" s="32">
        <f>COUNTIF(DonnéesDessin[[#This Row],[Réponse doodle 01]:[Présence MàN AC]],"Ne peut s'inscrire")</f>
        <v>0</v>
      </c>
      <c r="CF94" s="32">
        <f>1*DonnéesDessin[[#This Row],[Ne peut s''inscrire]]</f>
        <v>0</v>
      </c>
      <c r="CG94" s="32">
        <f>COUNTIF(DonnéesDessin[[#This Row],[Réponse doodle 01]:[Présence MàN AC]],"Sans information")</f>
        <v>0</v>
      </c>
      <c r="CH94" s="32">
        <f>0*DonnéesDessin[[#This Row],[Sans information]]</f>
        <v>0</v>
      </c>
      <c r="CI94" s="32">
        <f>COUNTIF(DonnéesDessin[[#This Row],[Réponse doodle 01]:[Présence MàN AC]],"Présent")</f>
        <v>0</v>
      </c>
      <c r="CJ94" s="32">
        <f>2*DonnéesDessin[[#This Row],[Présent]]</f>
        <v>0</v>
      </c>
      <c r="CK94" s="32">
        <f>COUNTIF(DonnéesDessin[[#This Row],[Réponse doodle 01]:[Présence MàN AC]],"P pas nécessaire")</f>
        <v>0</v>
      </c>
      <c r="CL94" s="32">
        <f>2*DonnéesDessin[[#This Row],[P pas nécessaire]]</f>
        <v>0</v>
      </c>
      <c r="CM94" s="32">
        <f>COUNTIF(DonnéesDessin[[#This Row],[Réponse doodle 01]:[Présence MàN AC]],"Excusé")</f>
        <v>0</v>
      </c>
      <c r="CN94" s="32">
        <f>1*DonnéesDessin[[#This Row],[Excusé]]</f>
        <v>0</v>
      </c>
      <c r="CO94" s="32">
        <f>COUNTIF(DonnéesDessin[[#This Row],[Réponse doodle 01]:[Présence MàN AC]],"Pas présent")</f>
        <v>0</v>
      </c>
      <c r="CP94" s="32">
        <f>0*DonnéesDessin[[#This Row],[Pas présent]]</f>
        <v>0</v>
      </c>
      <c r="CQ94"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0</v>
      </c>
      <c r="CR94" s="31" t="s">
        <v>281</v>
      </c>
      <c r="CS94" s="77" t="s">
        <v>41</v>
      </c>
      <c r="CT94" s="56" t="s">
        <v>41</v>
      </c>
      <c r="CU94" s="56"/>
      <c r="CV94" s="81" t="s">
        <v>41</v>
      </c>
      <c r="CW94" s="81" t="s">
        <v>41</v>
      </c>
      <c r="CX94" s="77" t="s">
        <v>41</v>
      </c>
      <c r="CY94" s="77" t="s">
        <v>41</v>
      </c>
      <c r="CZ94" s="77" t="s">
        <v>41</v>
      </c>
      <c r="DA94" s="56" t="s">
        <v>358</v>
      </c>
      <c r="DB94" s="89" t="s">
        <v>41</v>
      </c>
    </row>
    <row r="95" spans="1:106" s="1" customFormat="1" ht="9">
      <c r="A95" s="35" t="s">
        <v>246</v>
      </c>
      <c r="B95" s="32"/>
      <c r="C95" s="32"/>
      <c r="D95" s="32"/>
      <c r="E95" s="36"/>
      <c r="F95" s="36"/>
      <c r="G95" s="32" t="s">
        <v>42</v>
      </c>
      <c r="H95" s="32"/>
      <c r="I95" s="48"/>
      <c r="J95" s="48"/>
      <c r="K95" s="41" t="s">
        <v>362</v>
      </c>
      <c r="L95" s="32">
        <f>DonnéesDessin[[#This Row],[PTS]]</f>
        <v>0</v>
      </c>
      <c r="M95" s="31" t="s">
        <v>52</v>
      </c>
      <c r="N95" s="27">
        <v>0</v>
      </c>
      <c r="O95" s="27" t="s">
        <v>45</v>
      </c>
      <c r="P95" s="27">
        <v>0</v>
      </c>
      <c r="Q95" s="27" t="s">
        <v>45</v>
      </c>
      <c r="R95" s="27">
        <v>0</v>
      </c>
      <c r="S95" s="27" t="s">
        <v>45</v>
      </c>
      <c r="T95" s="33">
        <v>0</v>
      </c>
      <c r="U95" s="31" t="s">
        <v>281</v>
      </c>
      <c r="V95" s="54" t="s">
        <v>41</v>
      </c>
      <c r="W95" s="27" t="s">
        <v>41</v>
      </c>
      <c r="X95" s="27" t="s">
        <v>358</v>
      </c>
      <c r="Y95" s="31" t="s">
        <v>281</v>
      </c>
      <c r="Z95" s="54" t="s">
        <v>41</v>
      </c>
      <c r="AA95" s="27" t="s">
        <v>41</v>
      </c>
      <c r="AB95" s="32" t="s">
        <v>358</v>
      </c>
      <c r="AC95" s="31" t="s">
        <v>281</v>
      </c>
      <c r="AD95" s="56" t="s">
        <v>41</v>
      </c>
      <c r="AE95" s="48" t="s">
        <v>41</v>
      </c>
      <c r="AF95" s="32" t="s">
        <v>358</v>
      </c>
      <c r="AG95" s="31" t="s">
        <v>281</v>
      </c>
      <c r="AH95" s="56" t="s">
        <v>41</v>
      </c>
      <c r="AI95" s="48" t="s">
        <v>41</v>
      </c>
      <c r="AJ95" s="32" t="s">
        <v>358</v>
      </c>
      <c r="AK95" s="31" t="s">
        <v>281</v>
      </c>
      <c r="AL95" s="56" t="s">
        <v>41</v>
      </c>
      <c r="AM95" s="48" t="s">
        <v>41</v>
      </c>
      <c r="AN95" s="32" t="s">
        <v>358</v>
      </c>
      <c r="AO95" s="31" t="s">
        <v>281</v>
      </c>
      <c r="AP95" s="56" t="s">
        <v>41</v>
      </c>
      <c r="AQ95" s="48" t="s">
        <v>41</v>
      </c>
      <c r="AR95" s="32" t="s">
        <v>358</v>
      </c>
      <c r="AS95" s="31" t="s">
        <v>281</v>
      </c>
      <c r="AT95" s="56" t="s">
        <v>41</v>
      </c>
      <c r="AU95" s="48" t="s">
        <v>41</v>
      </c>
      <c r="AV95" s="32" t="s">
        <v>358</v>
      </c>
      <c r="AW95" s="31" t="s">
        <v>281</v>
      </c>
      <c r="AX95" s="56" t="s">
        <v>41</v>
      </c>
      <c r="AY95" s="48" t="s">
        <v>41</v>
      </c>
      <c r="AZ95" s="32" t="s">
        <v>358</v>
      </c>
      <c r="BA95" s="31" t="s">
        <v>281</v>
      </c>
      <c r="BB95" s="56" t="s">
        <v>41</v>
      </c>
      <c r="BC95" s="48" t="s">
        <v>41</v>
      </c>
      <c r="BD95" s="32" t="s">
        <v>358</v>
      </c>
      <c r="BE95" s="31" t="s">
        <v>281</v>
      </c>
      <c r="BF95" s="56" t="s">
        <v>41</v>
      </c>
      <c r="BG95" s="48" t="s">
        <v>41</v>
      </c>
      <c r="BH95" s="32" t="s">
        <v>358</v>
      </c>
      <c r="BI95" s="31" t="s">
        <v>281</v>
      </c>
      <c r="BJ95" s="56" t="s">
        <v>41</v>
      </c>
      <c r="BK95" s="48" t="s">
        <v>41</v>
      </c>
      <c r="BL95" s="32" t="s">
        <v>358</v>
      </c>
      <c r="BM95" s="31" t="s">
        <v>281</v>
      </c>
      <c r="BN95" s="32"/>
      <c r="BO95" s="32" t="s">
        <v>41</v>
      </c>
      <c r="BP95" s="32" t="s">
        <v>41</v>
      </c>
      <c r="BQ95" s="27" t="s">
        <v>41</v>
      </c>
      <c r="BR95" s="27" t="s">
        <v>41</v>
      </c>
      <c r="BS95" s="27" t="s">
        <v>41</v>
      </c>
      <c r="BT95" s="31">
        <f>Nombrecours</f>
        <v>10</v>
      </c>
      <c r="BU95" s="27">
        <f>COUNTIF(DonnéesDessin[[#This Row],[Réponse doodle 01]:[Présence MàN AC]],"Excusé")</f>
        <v>0</v>
      </c>
      <c r="BV95" s="27">
        <f>COUNTIF(DonnéesDessin[[#This Row],[Réponse doodle 01]:[Présence MàN AC]],"N-employé")</f>
        <v>12</v>
      </c>
      <c r="BW95" s="27">
        <f>DonnéesDessin[[#This Row],[Nombre de cours]]-DonnéesDessin[[#This Row],[Nombre excusé]]-DonnéesDessin[[#This Row],[Nombre N-employé]]</f>
        <v>-2</v>
      </c>
      <c r="BX95" s="33">
        <f>COUNTIF(DonnéesDessin[[#This Row],[Réponse doodle 01]:[Présence MàN AC]],"Présent")</f>
        <v>0</v>
      </c>
      <c r="BY95" s="31">
        <f>COUNTIF(DonnéesDessin[[#This Row],[Réponse doodle 01]:[Présence MàN AC]],"Inscrit")</f>
        <v>0</v>
      </c>
      <c r="BZ95" s="32">
        <f>3*DonnéesDessin[[#This Row],[Inscrit]]</f>
        <v>0</v>
      </c>
      <c r="CA95" s="32">
        <f>COUNTIF(DonnéesDessin[[#This Row],[Réponse doodle 01]:[Présence MàN AC]],"R pas nécessaire")</f>
        <v>0</v>
      </c>
      <c r="CB95" s="32">
        <f>SUM(3*DonnéesDessin[[#This Row],[R pas nécessaire]])</f>
        <v>0</v>
      </c>
      <c r="CC95" s="32">
        <f>COUNTIF(DonnéesDessin[[#This Row],[Réponse doodle 01]:[Présence MàN AC]],"Indisponible")</f>
        <v>0</v>
      </c>
      <c r="CD95" s="32">
        <f>2*DonnéesDessin[[#This Row],[Indisponible]]</f>
        <v>0</v>
      </c>
      <c r="CE95" s="32">
        <f>COUNTIF(DonnéesDessin[[#This Row],[Réponse doodle 01]:[Présence MàN AC]],"Ne peut s'inscrire")</f>
        <v>0</v>
      </c>
      <c r="CF95" s="32">
        <f>1*DonnéesDessin[[#This Row],[Ne peut s''inscrire]]</f>
        <v>0</v>
      </c>
      <c r="CG95" s="32">
        <f>COUNTIF(DonnéesDessin[[#This Row],[Réponse doodle 01]:[Présence MàN AC]],"Sans information")</f>
        <v>0</v>
      </c>
      <c r="CH95" s="32">
        <f>0*DonnéesDessin[[#This Row],[Sans information]]</f>
        <v>0</v>
      </c>
      <c r="CI95" s="32">
        <f>COUNTIF(DonnéesDessin[[#This Row],[Réponse doodle 01]:[Présence MàN AC]],"Présent")</f>
        <v>0</v>
      </c>
      <c r="CJ95" s="32">
        <f>2*DonnéesDessin[[#This Row],[Présent]]</f>
        <v>0</v>
      </c>
      <c r="CK95" s="32">
        <f>COUNTIF(DonnéesDessin[[#This Row],[Réponse doodle 01]:[Présence MàN AC]],"P pas nécessaire")</f>
        <v>0</v>
      </c>
      <c r="CL95" s="32">
        <f>2*DonnéesDessin[[#This Row],[P pas nécessaire]]</f>
        <v>0</v>
      </c>
      <c r="CM95" s="32">
        <f>COUNTIF(DonnéesDessin[[#This Row],[Réponse doodle 01]:[Présence MàN AC]],"Excusé")</f>
        <v>0</v>
      </c>
      <c r="CN95" s="32">
        <f>1*DonnéesDessin[[#This Row],[Excusé]]</f>
        <v>0</v>
      </c>
      <c r="CO95" s="32">
        <f>COUNTIF(DonnéesDessin[[#This Row],[Réponse doodle 01]:[Présence MàN AC]],"Pas présent")</f>
        <v>0</v>
      </c>
      <c r="CP95" s="32">
        <f>0*DonnéesDessin[[#This Row],[Pas présent]]</f>
        <v>0</v>
      </c>
      <c r="CQ95"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0</v>
      </c>
      <c r="CR95" s="31" t="s">
        <v>281</v>
      </c>
      <c r="CS95" s="77" t="s">
        <v>41</v>
      </c>
      <c r="CT95" s="56" t="s">
        <v>41</v>
      </c>
      <c r="CU95" s="56"/>
      <c r="CV95" s="81" t="s">
        <v>41</v>
      </c>
      <c r="CW95" s="81" t="s">
        <v>41</v>
      </c>
      <c r="CX95" s="77" t="s">
        <v>41</v>
      </c>
      <c r="CY95" s="77" t="s">
        <v>41</v>
      </c>
      <c r="CZ95" s="77" t="s">
        <v>41</v>
      </c>
      <c r="DA95" s="56" t="s">
        <v>358</v>
      </c>
      <c r="DB95" s="89" t="s">
        <v>41</v>
      </c>
    </row>
    <row r="96" spans="1:106" s="1" customFormat="1" ht="9">
      <c r="A96" s="35" t="s">
        <v>246</v>
      </c>
      <c r="B96" s="32"/>
      <c r="C96" s="32"/>
      <c r="D96" s="32"/>
      <c r="E96" s="36"/>
      <c r="F96" s="36"/>
      <c r="G96" s="32" t="s">
        <v>42</v>
      </c>
      <c r="H96" s="32"/>
      <c r="I96" s="48"/>
      <c r="J96" s="48"/>
      <c r="K96" s="41" t="s">
        <v>362</v>
      </c>
      <c r="L96" s="32">
        <f>DonnéesDessin[[#This Row],[PTS]]</f>
        <v>0</v>
      </c>
      <c r="M96" s="31" t="s">
        <v>52</v>
      </c>
      <c r="N96" s="27">
        <v>0</v>
      </c>
      <c r="O96" s="27" t="s">
        <v>45</v>
      </c>
      <c r="P96" s="27">
        <v>0</v>
      </c>
      <c r="Q96" s="27" t="s">
        <v>45</v>
      </c>
      <c r="R96" s="27">
        <v>0</v>
      </c>
      <c r="S96" s="27" t="s">
        <v>45</v>
      </c>
      <c r="T96" s="33">
        <v>0</v>
      </c>
      <c r="U96" s="31" t="s">
        <v>281</v>
      </c>
      <c r="V96" s="54" t="s">
        <v>41</v>
      </c>
      <c r="W96" s="27" t="s">
        <v>41</v>
      </c>
      <c r="X96" s="27" t="s">
        <v>358</v>
      </c>
      <c r="Y96" s="31" t="s">
        <v>281</v>
      </c>
      <c r="Z96" s="54" t="s">
        <v>41</v>
      </c>
      <c r="AA96" s="27" t="s">
        <v>41</v>
      </c>
      <c r="AB96" s="32" t="s">
        <v>358</v>
      </c>
      <c r="AC96" s="31" t="s">
        <v>281</v>
      </c>
      <c r="AD96" s="56" t="s">
        <v>41</v>
      </c>
      <c r="AE96" s="48" t="s">
        <v>41</v>
      </c>
      <c r="AF96" s="32" t="s">
        <v>358</v>
      </c>
      <c r="AG96" s="31" t="s">
        <v>281</v>
      </c>
      <c r="AH96" s="56" t="s">
        <v>41</v>
      </c>
      <c r="AI96" s="48" t="s">
        <v>41</v>
      </c>
      <c r="AJ96" s="32" t="s">
        <v>358</v>
      </c>
      <c r="AK96" s="31" t="s">
        <v>281</v>
      </c>
      <c r="AL96" s="56" t="s">
        <v>41</v>
      </c>
      <c r="AM96" s="48" t="s">
        <v>41</v>
      </c>
      <c r="AN96" s="32" t="s">
        <v>358</v>
      </c>
      <c r="AO96" s="31" t="s">
        <v>281</v>
      </c>
      <c r="AP96" s="56" t="s">
        <v>41</v>
      </c>
      <c r="AQ96" s="48" t="s">
        <v>41</v>
      </c>
      <c r="AR96" s="32" t="s">
        <v>358</v>
      </c>
      <c r="AS96" s="31" t="s">
        <v>281</v>
      </c>
      <c r="AT96" s="56" t="s">
        <v>41</v>
      </c>
      <c r="AU96" s="48" t="s">
        <v>41</v>
      </c>
      <c r="AV96" s="32" t="s">
        <v>358</v>
      </c>
      <c r="AW96" s="31" t="s">
        <v>281</v>
      </c>
      <c r="AX96" s="56" t="s">
        <v>41</v>
      </c>
      <c r="AY96" s="48" t="s">
        <v>41</v>
      </c>
      <c r="AZ96" s="32" t="s">
        <v>358</v>
      </c>
      <c r="BA96" s="31" t="s">
        <v>281</v>
      </c>
      <c r="BB96" s="56" t="s">
        <v>41</v>
      </c>
      <c r="BC96" s="48" t="s">
        <v>41</v>
      </c>
      <c r="BD96" s="32" t="s">
        <v>358</v>
      </c>
      <c r="BE96" s="31" t="s">
        <v>281</v>
      </c>
      <c r="BF96" s="56" t="s">
        <v>41</v>
      </c>
      <c r="BG96" s="48" t="s">
        <v>41</v>
      </c>
      <c r="BH96" s="32" t="s">
        <v>358</v>
      </c>
      <c r="BI96" s="31" t="s">
        <v>281</v>
      </c>
      <c r="BJ96" s="56" t="s">
        <v>41</v>
      </c>
      <c r="BK96" s="48" t="s">
        <v>41</v>
      </c>
      <c r="BL96" s="32" t="s">
        <v>358</v>
      </c>
      <c r="BM96" s="31" t="s">
        <v>281</v>
      </c>
      <c r="BN96" s="32"/>
      <c r="BO96" s="32" t="s">
        <v>41</v>
      </c>
      <c r="BP96" s="32" t="s">
        <v>41</v>
      </c>
      <c r="BQ96" s="27" t="s">
        <v>41</v>
      </c>
      <c r="BR96" s="27" t="s">
        <v>41</v>
      </c>
      <c r="BS96" s="27" t="s">
        <v>41</v>
      </c>
      <c r="BT96" s="31">
        <f>Nombrecours</f>
        <v>10</v>
      </c>
      <c r="BU96" s="27">
        <f>COUNTIF(DonnéesDessin[[#This Row],[Réponse doodle 01]:[Présence MàN AC]],"Excusé")</f>
        <v>0</v>
      </c>
      <c r="BV96" s="27">
        <f>COUNTIF(DonnéesDessin[[#This Row],[Réponse doodle 01]:[Présence MàN AC]],"N-employé")</f>
        <v>12</v>
      </c>
      <c r="BW96" s="27">
        <f>DonnéesDessin[[#This Row],[Nombre de cours]]-DonnéesDessin[[#This Row],[Nombre excusé]]-DonnéesDessin[[#This Row],[Nombre N-employé]]</f>
        <v>-2</v>
      </c>
      <c r="BX96" s="33">
        <f>COUNTIF(DonnéesDessin[[#This Row],[Réponse doodle 01]:[Présence MàN AC]],"Présent")</f>
        <v>0</v>
      </c>
      <c r="BY96" s="31">
        <f>COUNTIF(DonnéesDessin[[#This Row],[Réponse doodle 01]:[Présence MàN AC]],"Inscrit")</f>
        <v>0</v>
      </c>
      <c r="BZ96" s="32">
        <f>3*DonnéesDessin[[#This Row],[Inscrit]]</f>
        <v>0</v>
      </c>
      <c r="CA96" s="32">
        <f>COUNTIF(DonnéesDessin[[#This Row],[Réponse doodle 01]:[Présence MàN AC]],"R pas nécessaire")</f>
        <v>0</v>
      </c>
      <c r="CB96" s="32">
        <f>SUM(3*DonnéesDessin[[#This Row],[R pas nécessaire]])</f>
        <v>0</v>
      </c>
      <c r="CC96" s="32">
        <f>COUNTIF(DonnéesDessin[[#This Row],[Réponse doodle 01]:[Présence MàN AC]],"Indisponible")</f>
        <v>0</v>
      </c>
      <c r="CD96" s="32">
        <f>2*DonnéesDessin[[#This Row],[Indisponible]]</f>
        <v>0</v>
      </c>
      <c r="CE96" s="32">
        <f>COUNTIF(DonnéesDessin[[#This Row],[Réponse doodle 01]:[Présence MàN AC]],"Ne peut s'inscrire")</f>
        <v>0</v>
      </c>
      <c r="CF96" s="32">
        <f>1*DonnéesDessin[[#This Row],[Ne peut s''inscrire]]</f>
        <v>0</v>
      </c>
      <c r="CG96" s="32">
        <f>COUNTIF(DonnéesDessin[[#This Row],[Réponse doodle 01]:[Présence MàN AC]],"Sans information")</f>
        <v>0</v>
      </c>
      <c r="CH96" s="32">
        <f>0*DonnéesDessin[[#This Row],[Sans information]]</f>
        <v>0</v>
      </c>
      <c r="CI96" s="32">
        <f>COUNTIF(DonnéesDessin[[#This Row],[Réponse doodle 01]:[Présence MàN AC]],"Présent")</f>
        <v>0</v>
      </c>
      <c r="CJ96" s="32">
        <f>2*DonnéesDessin[[#This Row],[Présent]]</f>
        <v>0</v>
      </c>
      <c r="CK96" s="32">
        <f>COUNTIF(DonnéesDessin[[#This Row],[Réponse doodle 01]:[Présence MàN AC]],"P pas nécessaire")</f>
        <v>0</v>
      </c>
      <c r="CL96" s="32">
        <f>2*DonnéesDessin[[#This Row],[P pas nécessaire]]</f>
        <v>0</v>
      </c>
      <c r="CM96" s="32">
        <f>COUNTIF(DonnéesDessin[[#This Row],[Réponse doodle 01]:[Présence MàN AC]],"Excusé")</f>
        <v>0</v>
      </c>
      <c r="CN96" s="32">
        <f>1*DonnéesDessin[[#This Row],[Excusé]]</f>
        <v>0</v>
      </c>
      <c r="CO96" s="32">
        <f>COUNTIF(DonnéesDessin[[#This Row],[Réponse doodle 01]:[Présence MàN AC]],"Pas présent")</f>
        <v>0</v>
      </c>
      <c r="CP96" s="32">
        <f>0*DonnéesDessin[[#This Row],[Pas présent]]</f>
        <v>0</v>
      </c>
      <c r="CQ96"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0</v>
      </c>
      <c r="CR96" s="31" t="s">
        <v>281</v>
      </c>
      <c r="CS96" s="77" t="s">
        <v>41</v>
      </c>
      <c r="CT96" s="56" t="s">
        <v>41</v>
      </c>
      <c r="CU96" s="56"/>
      <c r="CV96" s="81" t="s">
        <v>41</v>
      </c>
      <c r="CW96" s="81" t="s">
        <v>41</v>
      </c>
      <c r="CX96" s="77" t="s">
        <v>41</v>
      </c>
      <c r="CY96" s="77" t="s">
        <v>41</v>
      </c>
      <c r="CZ96" s="77" t="s">
        <v>41</v>
      </c>
      <c r="DA96" s="56" t="s">
        <v>358</v>
      </c>
      <c r="DB96" s="89" t="s">
        <v>41</v>
      </c>
    </row>
    <row r="97" spans="1:106" s="1" customFormat="1" ht="9">
      <c r="A97" s="35" t="s">
        <v>246</v>
      </c>
      <c r="B97" s="32"/>
      <c r="C97" s="32"/>
      <c r="D97" s="32"/>
      <c r="E97" s="36"/>
      <c r="F97" s="36"/>
      <c r="G97" s="32" t="s">
        <v>42</v>
      </c>
      <c r="H97" s="32"/>
      <c r="I97" s="48"/>
      <c r="J97" s="48"/>
      <c r="K97" s="41" t="s">
        <v>362</v>
      </c>
      <c r="L97" s="32">
        <f>DonnéesDessin[[#This Row],[PTS]]</f>
        <v>0</v>
      </c>
      <c r="M97" s="31" t="s">
        <v>52</v>
      </c>
      <c r="N97" s="27">
        <v>0</v>
      </c>
      <c r="O97" s="27" t="s">
        <v>45</v>
      </c>
      <c r="P97" s="27">
        <v>0</v>
      </c>
      <c r="Q97" s="27" t="s">
        <v>45</v>
      </c>
      <c r="R97" s="27">
        <v>0</v>
      </c>
      <c r="S97" s="27" t="s">
        <v>45</v>
      </c>
      <c r="T97" s="33">
        <v>0</v>
      </c>
      <c r="U97" s="31" t="s">
        <v>281</v>
      </c>
      <c r="V97" s="54" t="s">
        <v>41</v>
      </c>
      <c r="W97" s="27" t="s">
        <v>41</v>
      </c>
      <c r="X97" s="27" t="s">
        <v>358</v>
      </c>
      <c r="Y97" s="31" t="s">
        <v>281</v>
      </c>
      <c r="Z97" s="54" t="s">
        <v>41</v>
      </c>
      <c r="AA97" s="27" t="s">
        <v>41</v>
      </c>
      <c r="AB97" s="32" t="s">
        <v>358</v>
      </c>
      <c r="AC97" s="31" t="s">
        <v>281</v>
      </c>
      <c r="AD97" s="56" t="s">
        <v>41</v>
      </c>
      <c r="AE97" s="48" t="s">
        <v>41</v>
      </c>
      <c r="AF97" s="32" t="s">
        <v>358</v>
      </c>
      <c r="AG97" s="31" t="s">
        <v>281</v>
      </c>
      <c r="AH97" s="56" t="s">
        <v>41</v>
      </c>
      <c r="AI97" s="48" t="s">
        <v>41</v>
      </c>
      <c r="AJ97" s="32" t="s">
        <v>358</v>
      </c>
      <c r="AK97" s="31" t="s">
        <v>281</v>
      </c>
      <c r="AL97" s="56" t="s">
        <v>41</v>
      </c>
      <c r="AM97" s="48" t="s">
        <v>41</v>
      </c>
      <c r="AN97" s="32" t="s">
        <v>358</v>
      </c>
      <c r="AO97" s="31" t="s">
        <v>281</v>
      </c>
      <c r="AP97" s="56" t="s">
        <v>41</v>
      </c>
      <c r="AQ97" s="48" t="s">
        <v>41</v>
      </c>
      <c r="AR97" s="32" t="s">
        <v>358</v>
      </c>
      <c r="AS97" s="31" t="s">
        <v>281</v>
      </c>
      <c r="AT97" s="56" t="s">
        <v>41</v>
      </c>
      <c r="AU97" s="48" t="s">
        <v>41</v>
      </c>
      <c r="AV97" s="32" t="s">
        <v>358</v>
      </c>
      <c r="AW97" s="31" t="s">
        <v>281</v>
      </c>
      <c r="AX97" s="56" t="s">
        <v>41</v>
      </c>
      <c r="AY97" s="48" t="s">
        <v>41</v>
      </c>
      <c r="AZ97" s="32" t="s">
        <v>358</v>
      </c>
      <c r="BA97" s="31" t="s">
        <v>281</v>
      </c>
      <c r="BB97" s="56" t="s">
        <v>41</v>
      </c>
      <c r="BC97" s="48" t="s">
        <v>41</v>
      </c>
      <c r="BD97" s="32" t="s">
        <v>358</v>
      </c>
      <c r="BE97" s="31" t="s">
        <v>281</v>
      </c>
      <c r="BF97" s="56" t="s">
        <v>41</v>
      </c>
      <c r="BG97" s="48" t="s">
        <v>41</v>
      </c>
      <c r="BH97" s="32" t="s">
        <v>358</v>
      </c>
      <c r="BI97" s="31" t="s">
        <v>281</v>
      </c>
      <c r="BJ97" s="56" t="s">
        <v>41</v>
      </c>
      <c r="BK97" s="48" t="s">
        <v>41</v>
      </c>
      <c r="BL97" s="32" t="s">
        <v>358</v>
      </c>
      <c r="BM97" s="31" t="s">
        <v>281</v>
      </c>
      <c r="BN97" s="32"/>
      <c r="BO97" s="32" t="s">
        <v>41</v>
      </c>
      <c r="BP97" s="32" t="s">
        <v>41</v>
      </c>
      <c r="BQ97" s="27" t="s">
        <v>41</v>
      </c>
      <c r="BR97" s="27" t="s">
        <v>41</v>
      </c>
      <c r="BS97" s="27" t="s">
        <v>41</v>
      </c>
      <c r="BT97" s="31">
        <f>Nombrecours</f>
        <v>10</v>
      </c>
      <c r="BU97" s="27">
        <f>COUNTIF(DonnéesDessin[[#This Row],[Réponse doodle 01]:[Présence MàN AC]],"Excusé")</f>
        <v>0</v>
      </c>
      <c r="BV97" s="27">
        <f>COUNTIF(DonnéesDessin[[#This Row],[Réponse doodle 01]:[Présence MàN AC]],"N-employé")</f>
        <v>12</v>
      </c>
      <c r="BW97" s="27">
        <f>DonnéesDessin[[#This Row],[Nombre de cours]]-DonnéesDessin[[#This Row],[Nombre excusé]]-DonnéesDessin[[#This Row],[Nombre N-employé]]</f>
        <v>-2</v>
      </c>
      <c r="BX97" s="33">
        <f>COUNTIF(DonnéesDessin[[#This Row],[Réponse doodle 01]:[Présence MàN AC]],"Présent")</f>
        <v>0</v>
      </c>
      <c r="BY97" s="31">
        <f>COUNTIF(DonnéesDessin[[#This Row],[Réponse doodle 01]:[Présence MàN AC]],"Inscrit")</f>
        <v>0</v>
      </c>
      <c r="BZ97" s="32">
        <f>3*DonnéesDessin[[#This Row],[Inscrit]]</f>
        <v>0</v>
      </c>
      <c r="CA97" s="32">
        <f>COUNTIF(DonnéesDessin[[#This Row],[Réponse doodle 01]:[Présence MàN AC]],"R pas nécessaire")</f>
        <v>0</v>
      </c>
      <c r="CB97" s="32">
        <f>SUM(3*DonnéesDessin[[#This Row],[R pas nécessaire]])</f>
        <v>0</v>
      </c>
      <c r="CC97" s="32">
        <f>COUNTIF(DonnéesDessin[[#This Row],[Réponse doodle 01]:[Présence MàN AC]],"Indisponible")</f>
        <v>0</v>
      </c>
      <c r="CD97" s="32">
        <f>2*DonnéesDessin[[#This Row],[Indisponible]]</f>
        <v>0</v>
      </c>
      <c r="CE97" s="32">
        <f>COUNTIF(DonnéesDessin[[#This Row],[Réponse doodle 01]:[Présence MàN AC]],"Ne peut s'inscrire")</f>
        <v>0</v>
      </c>
      <c r="CF97" s="32">
        <f>1*DonnéesDessin[[#This Row],[Ne peut s''inscrire]]</f>
        <v>0</v>
      </c>
      <c r="CG97" s="32">
        <f>COUNTIF(DonnéesDessin[[#This Row],[Réponse doodle 01]:[Présence MàN AC]],"Sans information")</f>
        <v>0</v>
      </c>
      <c r="CH97" s="32">
        <f>0*DonnéesDessin[[#This Row],[Sans information]]</f>
        <v>0</v>
      </c>
      <c r="CI97" s="32">
        <f>COUNTIF(DonnéesDessin[[#This Row],[Réponse doodle 01]:[Présence MàN AC]],"Présent")</f>
        <v>0</v>
      </c>
      <c r="CJ97" s="32">
        <f>2*DonnéesDessin[[#This Row],[Présent]]</f>
        <v>0</v>
      </c>
      <c r="CK97" s="32">
        <f>COUNTIF(DonnéesDessin[[#This Row],[Réponse doodle 01]:[Présence MàN AC]],"P pas nécessaire")</f>
        <v>0</v>
      </c>
      <c r="CL97" s="32">
        <f>2*DonnéesDessin[[#This Row],[P pas nécessaire]]</f>
        <v>0</v>
      </c>
      <c r="CM97" s="32">
        <f>COUNTIF(DonnéesDessin[[#This Row],[Réponse doodle 01]:[Présence MàN AC]],"Excusé")</f>
        <v>0</v>
      </c>
      <c r="CN97" s="32">
        <f>1*DonnéesDessin[[#This Row],[Excusé]]</f>
        <v>0</v>
      </c>
      <c r="CO97" s="32">
        <f>COUNTIF(DonnéesDessin[[#This Row],[Réponse doodle 01]:[Présence MàN AC]],"Pas présent")</f>
        <v>0</v>
      </c>
      <c r="CP97" s="32">
        <f>0*DonnéesDessin[[#This Row],[Pas présent]]</f>
        <v>0</v>
      </c>
      <c r="CQ97"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0</v>
      </c>
      <c r="CR97" s="31" t="s">
        <v>281</v>
      </c>
      <c r="CS97" s="77" t="s">
        <v>41</v>
      </c>
      <c r="CT97" s="56" t="s">
        <v>41</v>
      </c>
      <c r="CU97" s="56"/>
      <c r="CV97" s="81" t="s">
        <v>41</v>
      </c>
      <c r="CW97" s="81" t="s">
        <v>41</v>
      </c>
      <c r="CX97" s="77" t="s">
        <v>41</v>
      </c>
      <c r="CY97" s="77" t="s">
        <v>41</v>
      </c>
      <c r="CZ97" s="77" t="s">
        <v>41</v>
      </c>
      <c r="DA97" s="56" t="s">
        <v>358</v>
      </c>
      <c r="DB97" s="89" t="s">
        <v>41</v>
      </c>
    </row>
    <row r="98" spans="1:106" s="1" customFormat="1" ht="9">
      <c r="A98" s="35" t="s">
        <v>246</v>
      </c>
      <c r="B98" s="32"/>
      <c r="C98" s="32"/>
      <c r="D98" s="32"/>
      <c r="E98" s="36"/>
      <c r="F98" s="36"/>
      <c r="G98" s="32" t="s">
        <v>42</v>
      </c>
      <c r="H98" s="32"/>
      <c r="I98" s="48"/>
      <c r="J98" s="48"/>
      <c r="K98" s="41" t="s">
        <v>362</v>
      </c>
      <c r="L98" s="32">
        <f>DonnéesDessin[[#This Row],[PTS]]</f>
        <v>0</v>
      </c>
      <c r="M98" s="31" t="s">
        <v>52</v>
      </c>
      <c r="N98" s="27">
        <v>0</v>
      </c>
      <c r="O98" s="27" t="s">
        <v>45</v>
      </c>
      <c r="P98" s="27">
        <v>0</v>
      </c>
      <c r="Q98" s="27" t="s">
        <v>45</v>
      </c>
      <c r="R98" s="27">
        <v>0</v>
      </c>
      <c r="S98" s="27" t="s">
        <v>45</v>
      </c>
      <c r="T98" s="33">
        <v>0</v>
      </c>
      <c r="U98" s="31" t="s">
        <v>281</v>
      </c>
      <c r="V98" s="54" t="s">
        <v>41</v>
      </c>
      <c r="W98" s="27" t="s">
        <v>41</v>
      </c>
      <c r="X98" s="27" t="s">
        <v>358</v>
      </c>
      <c r="Y98" s="31" t="s">
        <v>281</v>
      </c>
      <c r="Z98" s="54" t="s">
        <v>41</v>
      </c>
      <c r="AA98" s="27" t="s">
        <v>41</v>
      </c>
      <c r="AB98" s="32" t="s">
        <v>358</v>
      </c>
      <c r="AC98" s="31" t="s">
        <v>281</v>
      </c>
      <c r="AD98" s="56" t="s">
        <v>41</v>
      </c>
      <c r="AE98" s="48" t="s">
        <v>41</v>
      </c>
      <c r="AF98" s="32" t="s">
        <v>358</v>
      </c>
      <c r="AG98" s="31" t="s">
        <v>281</v>
      </c>
      <c r="AH98" s="56" t="s">
        <v>41</v>
      </c>
      <c r="AI98" s="48" t="s">
        <v>41</v>
      </c>
      <c r="AJ98" s="32" t="s">
        <v>358</v>
      </c>
      <c r="AK98" s="31" t="s">
        <v>281</v>
      </c>
      <c r="AL98" s="56" t="s">
        <v>41</v>
      </c>
      <c r="AM98" s="48" t="s">
        <v>41</v>
      </c>
      <c r="AN98" s="32" t="s">
        <v>358</v>
      </c>
      <c r="AO98" s="31" t="s">
        <v>281</v>
      </c>
      <c r="AP98" s="56" t="s">
        <v>41</v>
      </c>
      <c r="AQ98" s="48" t="s">
        <v>41</v>
      </c>
      <c r="AR98" s="32" t="s">
        <v>358</v>
      </c>
      <c r="AS98" s="31" t="s">
        <v>281</v>
      </c>
      <c r="AT98" s="56" t="s">
        <v>41</v>
      </c>
      <c r="AU98" s="48" t="s">
        <v>41</v>
      </c>
      <c r="AV98" s="32" t="s">
        <v>358</v>
      </c>
      <c r="AW98" s="31" t="s">
        <v>281</v>
      </c>
      <c r="AX98" s="56" t="s">
        <v>41</v>
      </c>
      <c r="AY98" s="48" t="s">
        <v>41</v>
      </c>
      <c r="AZ98" s="32" t="s">
        <v>358</v>
      </c>
      <c r="BA98" s="31" t="s">
        <v>281</v>
      </c>
      <c r="BB98" s="56" t="s">
        <v>41</v>
      </c>
      <c r="BC98" s="48" t="s">
        <v>41</v>
      </c>
      <c r="BD98" s="32" t="s">
        <v>358</v>
      </c>
      <c r="BE98" s="31" t="s">
        <v>281</v>
      </c>
      <c r="BF98" s="56" t="s">
        <v>41</v>
      </c>
      <c r="BG98" s="48" t="s">
        <v>41</v>
      </c>
      <c r="BH98" s="32" t="s">
        <v>358</v>
      </c>
      <c r="BI98" s="31" t="s">
        <v>281</v>
      </c>
      <c r="BJ98" s="56" t="s">
        <v>41</v>
      </c>
      <c r="BK98" s="48" t="s">
        <v>41</v>
      </c>
      <c r="BL98" s="32" t="s">
        <v>358</v>
      </c>
      <c r="BM98" s="31" t="s">
        <v>281</v>
      </c>
      <c r="BN98" s="32"/>
      <c r="BO98" s="32" t="s">
        <v>41</v>
      </c>
      <c r="BP98" s="32" t="s">
        <v>41</v>
      </c>
      <c r="BQ98" s="27" t="s">
        <v>41</v>
      </c>
      <c r="BR98" s="27" t="s">
        <v>41</v>
      </c>
      <c r="BS98" s="27" t="s">
        <v>41</v>
      </c>
      <c r="BT98" s="31">
        <f>Nombrecours</f>
        <v>10</v>
      </c>
      <c r="BU98" s="27">
        <f>COUNTIF(DonnéesDessin[[#This Row],[Réponse doodle 01]:[Présence MàN AC]],"Excusé")</f>
        <v>0</v>
      </c>
      <c r="BV98" s="27">
        <f>COUNTIF(DonnéesDessin[[#This Row],[Réponse doodle 01]:[Présence MàN AC]],"N-employé")</f>
        <v>12</v>
      </c>
      <c r="BW98" s="27">
        <f>DonnéesDessin[[#This Row],[Nombre de cours]]-DonnéesDessin[[#This Row],[Nombre excusé]]-DonnéesDessin[[#This Row],[Nombre N-employé]]</f>
        <v>-2</v>
      </c>
      <c r="BX98" s="33">
        <f>COUNTIF(DonnéesDessin[[#This Row],[Réponse doodle 01]:[Présence MàN AC]],"Présent")</f>
        <v>0</v>
      </c>
      <c r="BY98" s="31">
        <f>COUNTIF(DonnéesDessin[[#This Row],[Réponse doodle 01]:[Présence MàN AC]],"Inscrit")</f>
        <v>0</v>
      </c>
      <c r="BZ98" s="32">
        <f>3*DonnéesDessin[[#This Row],[Inscrit]]</f>
        <v>0</v>
      </c>
      <c r="CA98" s="32">
        <f>COUNTIF(DonnéesDessin[[#This Row],[Réponse doodle 01]:[Présence MàN AC]],"R pas nécessaire")</f>
        <v>0</v>
      </c>
      <c r="CB98" s="32">
        <f>SUM(3*DonnéesDessin[[#This Row],[R pas nécessaire]])</f>
        <v>0</v>
      </c>
      <c r="CC98" s="32">
        <f>COUNTIF(DonnéesDessin[[#This Row],[Réponse doodle 01]:[Présence MàN AC]],"Indisponible")</f>
        <v>0</v>
      </c>
      <c r="CD98" s="32">
        <f>2*DonnéesDessin[[#This Row],[Indisponible]]</f>
        <v>0</v>
      </c>
      <c r="CE98" s="32">
        <f>COUNTIF(DonnéesDessin[[#This Row],[Réponse doodle 01]:[Présence MàN AC]],"Ne peut s'inscrire")</f>
        <v>0</v>
      </c>
      <c r="CF98" s="32">
        <f>1*DonnéesDessin[[#This Row],[Ne peut s''inscrire]]</f>
        <v>0</v>
      </c>
      <c r="CG98" s="32">
        <f>COUNTIF(DonnéesDessin[[#This Row],[Réponse doodle 01]:[Présence MàN AC]],"Sans information")</f>
        <v>0</v>
      </c>
      <c r="CH98" s="32">
        <f>0*DonnéesDessin[[#This Row],[Sans information]]</f>
        <v>0</v>
      </c>
      <c r="CI98" s="32">
        <f>COUNTIF(DonnéesDessin[[#This Row],[Réponse doodle 01]:[Présence MàN AC]],"Présent")</f>
        <v>0</v>
      </c>
      <c r="CJ98" s="32">
        <f>2*DonnéesDessin[[#This Row],[Présent]]</f>
        <v>0</v>
      </c>
      <c r="CK98" s="32">
        <f>COUNTIF(DonnéesDessin[[#This Row],[Réponse doodle 01]:[Présence MàN AC]],"P pas nécessaire")</f>
        <v>0</v>
      </c>
      <c r="CL98" s="32">
        <f>2*DonnéesDessin[[#This Row],[P pas nécessaire]]</f>
        <v>0</v>
      </c>
      <c r="CM98" s="32">
        <f>COUNTIF(DonnéesDessin[[#This Row],[Réponse doodle 01]:[Présence MàN AC]],"Excusé")</f>
        <v>0</v>
      </c>
      <c r="CN98" s="32">
        <f>1*DonnéesDessin[[#This Row],[Excusé]]</f>
        <v>0</v>
      </c>
      <c r="CO98" s="32">
        <f>COUNTIF(DonnéesDessin[[#This Row],[Réponse doodle 01]:[Présence MàN AC]],"Pas présent")</f>
        <v>0</v>
      </c>
      <c r="CP98" s="32">
        <f>0*DonnéesDessin[[#This Row],[Pas présent]]</f>
        <v>0</v>
      </c>
      <c r="CQ98"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0</v>
      </c>
      <c r="CR98" s="31" t="s">
        <v>281</v>
      </c>
      <c r="CS98" s="77" t="s">
        <v>41</v>
      </c>
      <c r="CT98" s="56" t="s">
        <v>41</v>
      </c>
      <c r="CU98" s="56"/>
      <c r="CV98" s="81" t="s">
        <v>41</v>
      </c>
      <c r="CW98" s="81" t="s">
        <v>41</v>
      </c>
      <c r="CX98" s="77" t="s">
        <v>41</v>
      </c>
      <c r="CY98" s="77" t="s">
        <v>41</v>
      </c>
      <c r="CZ98" s="77" t="s">
        <v>41</v>
      </c>
      <c r="DA98" s="56" t="s">
        <v>358</v>
      </c>
      <c r="DB98" s="89" t="s">
        <v>41</v>
      </c>
    </row>
    <row r="99" spans="1:106" s="1" customFormat="1" ht="9">
      <c r="A99" s="35" t="s">
        <v>246</v>
      </c>
      <c r="B99" s="32"/>
      <c r="C99" s="32"/>
      <c r="D99" s="32"/>
      <c r="E99" s="36"/>
      <c r="F99" s="36"/>
      <c r="G99" s="32" t="s">
        <v>42</v>
      </c>
      <c r="H99" s="32"/>
      <c r="I99" s="48"/>
      <c r="J99" s="48"/>
      <c r="K99" s="41" t="s">
        <v>362</v>
      </c>
      <c r="L99" s="32">
        <f>DonnéesDessin[[#This Row],[PTS]]</f>
        <v>0</v>
      </c>
      <c r="M99" s="31" t="s">
        <v>52</v>
      </c>
      <c r="N99" s="27">
        <v>0</v>
      </c>
      <c r="O99" s="27" t="s">
        <v>45</v>
      </c>
      <c r="P99" s="27">
        <v>0</v>
      </c>
      <c r="Q99" s="27" t="s">
        <v>45</v>
      </c>
      <c r="R99" s="27">
        <v>0</v>
      </c>
      <c r="S99" s="27" t="s">
        <v>45</v>
      </c>
      <c r="T99" s="33">
        <v>0</v>
      </c>
      <c r="U99" s="31" t="s">
        <v>281</v>
      </c>
      <c r="V99" s="54" t="s">
        <v>41</v>
      </c>
      <c r="W99" s="27" t="s">
        <v>41</v>
      </c>
      <c r="X99" s="27" t="s">
        <v>358</v>
      </c>
      <c r="Y99" s="31" t="s">
        <v>281</v>
      </c>
      <c r="Z99" s="54" t="s">
        <v>41</v>
      </c>
      <c r="AA99" s="27" t="s">
        <v>41</v>
      </c>
      <c r="AB99" s="32" t="s">
        <v>358</v>
      </c>
      <c r="AC99" s="31" t="s">
        <v>281</v>
      </c>
      <c r="AD99" s="56" t="s">
        <v>41</v>
      </c>
      <c r="AE99" s="48" t="s">
        <v>41</v>
      </c>
      <c r="AF99" s="32" t="s">
        <v>358</v>
      </c>
      <c r="AG99" s="31" t="s">
        <v>281</v>
      </c>
      <c r="AH99" s="56" t="s">
        <v>41</v>
      </c>
      <c r="AI99" s="48" t="s">
        <v>41</v>
      </c>
      <c r="AJ99" s="32" t="s">
        <v>358</v>
      </c>
      <c r="AK99" s="31" t="s">
        <v>281</v>
      </c>
      <c r="AL99" s="56" t="s">
        <v>41</v>
      </c>
      <c r="AM99" s="48" t="s">
        <v>41</v>
      </c>
      <c r="AN99" s="32" t="s">
        <v>358</v>
      </c>
      <c r="AO99" s="31" t="s">
        <v>281</v>
      </c>
      <c r="AP99" s="56" t="s">
        <v>41</v>
      </c>
      <c r="AQ99" s="48" t="s">
        <v>41</v>
      </c>
      <c r="AR99" s="32" t="s">
        <v>358</v>
      </c>
      <c r="AS99" s="31" t="s">
        <v>281</v>
      </c>
      <c r="AT99" s="56" t="s">
        <v>41</v>
      </c>
      <c r="AU99" s="48" t="s">
        <v>41</v>
      </c>
      <c r="AV99" s="32" t="s">
        <v>358</v>
      </c>
      <c r="AW99" s="31" t="s">
        <v>281</v>
      </c>
      <c r="AX99" s="56" t="s">
        <v>41</v>
      </c>
      <c r="AY99" s="48" t="s">
        <v>41</v>
      </c>
      <c r="AZ99" s="32" t="s">
        <v>358</v>
      </c>
      <c r="BA99" s="31" t="s">
        <v>281</v>
      </c>
      <c r="BB99" s="56" t="s">
        <v>41</v>
      </c>
      <c r="BC99" s="48" t="s">
        <v>41</v>
      </c>
      <c r="BD99" s="32" t="s">
        <v>358</v>
      </c>
      <c r="BE99" s="31" t="s">
        <v>281</v>
      </c>
      <c r="BF99" s="56" t="s">
        <v>41</v>
      </c>
      <c r="BG99" s="48" t="s">
        <v>41</v>
      </c>
      <c r="BH99" s="32" t="s">
        <v>358</v>
      </c>
      <c r="BI99" s="31" t="s">
        <v>281</v>
      </c>
      <c r="BJ99" s="56" t="s">
        <v>41</v>
      </c>
      <c r="BK99" s="48" t="s">
        <v>41</v>
      </c>
      <c r="BL99" s="32" t="s">
        <v>358</v>
      </c>
      <c r="BM99" s="31" t="s">
        <v>281</v>
      </c>
      <c r="BN99" s="32"/>
      <c r="BO99" s="32" t="s">
        <v>41</v>
      </c>
      <c r="BP99" s="32" t="s">
        <v>41</v>
      </c>
      <c r="BQ99" s="27" t="s">
        <v>41</v>
      </c>
      <c r="BR99" s="27" t="s">
        <v>41</v>
      </c>
      <c r="BS99" s="27" t="s">
        <v>41</v>
      </c>
      <c r="BT99" s="31">
        <f>Nombrecours</f>
        <v>10</v>
      </c>
      <c r="BU99" s="27">
        <f>COUNTIF(DonnéesDessin[[#This Row],[Réponse doodle 01]:[Présence MàN AC]],"Excusé")</f>
        <v>0</v>
      </c>
      <c r="BV99" s="27">
        <f>COUNTIF(DonnéesDessin[[#This Row],[Réponse doodle 01]:[Présence MàN AC]],"N-employé")</f>
        <v>12</v>
      </c>
      <c r="BW99" s="27">
        <f>DonnéesDessin[[#This Row],[Nombre de cours]]-DonnéesDessin[[#This Row],[Nombre excusé]]-DonnéesDessin[[#This Row],[Nombre N-employé]]</f>
        <v>-2</v>
      </c>
      <c r="BX99" s="33">
        <f>COUNTIF(DonnéesDessin[[#This Row],[Réponse doodle 01]:[Présence MàN AC]],"Présent")</f>
        <v>0</v>
      </c>
      <c r="BY99" s="31">
        <f>COUNTIF(DonnéesDessin[[#This Row],[Réponse doodle 01]:[Présence MàN AC]],"Inscrit")</f>
        <v>0</v>
      </c>
      <c r="BZ99" s="32">
        <f>3*DonnéesDessin[[#This Row],[Inscrit]]</f>
        <v>0</v>
      </c>
      <c r="CA99" s="32">
        <f>COUNTIF(DonnéesDessin[[#This Row],[Réponse doodle 01]:[Présence MàN AC]],"R pas nécessaire")</f>
        <v>0</v>
      </c>
      <c r="CB99" s="32">
        <f>SUM(3*DonnéesDessin[[#This Row],[R pas nécessaire]])</f>
        <v>0</v>
      </c>
      <c r="CC99" s="32">
        <f>COUNTIF(DonnéesDessin[[#This Row],[Réponse doodle 01]:[Présence MàN AC]],"Indisponible")</f>
        <v>0</v>
      </c>
      <c r="CD99" s="32">
        <f>2*DonnéesDessin[[#This Row],[Indisponible]]</f>
        <v>0</v>
      </c>
      <c r="CE99" s="32">
        <f>COUNTIF(DonnéesDessin[[#This Row],[Réponse doodle 01]:[Présence MàN AC]],"Ne peut s'inscrire")</f>
        <v>0</v>
      </c>
      <c r="CF99" s="32">
        <f>1*DonnéesDessin[[#This Row],[Ne peut s''inscrire]]</f>
        <v>0</v>
      </c>
      <c r="CG99" s="32">
        <f>COUNTIF(DonnéesDessin[[#This Row],[Réponse doodle 01]:[Présence MàN AC]],"Sans information")</f>
        <v>0</v>
      </c>
      <c r="CH99" s="32">
        <f>0*DonnéesDessin[[#This Row],[Sans information]]</f>
        <v>0</v>
      </c>
      <c r="CI99" s="32">
        <f>COUNTIF(DonnéesDessin[[#This Row],[Réponse doodle 01]:[Présence MàN AC]],"Présent")</f>
        <v>0</v>
      </c>
      <c r="CJ99" s="32">
        <f>2*DonnéesDessin[[#This Row],[Présent]]</f>
        <v>0</v>
      </c>
      <c r="CK99" s="32">
        <f>COUNTIF(DonnéesDessin[[#This Row],[Réponse doodle 01]:[Présence MàN AC]],"P pas nécessaire")</f>
        <v>0</v>
      </c>
      <c r="CL99" s="32">
        <f>2*DonnéesDessin[[#This Row],[P pas nécessaire]]</f>
        <v>0</v>
      </c>
      <c r="CM99" s="32">
        <f>COUNTIF(DonnéesDessin[[#This Row],[Réponse doodle 01]:[Présence MàN AC]],"Excusé")</f>
        <v>0</v>
      </c>
      <c r="CN99" s="32">
        <f>1*DonnéesDessin[[#This Row],[Excusé]]</f>
        <v>0</v>
      </c>
      <c r="CO99" s="32">
        <f>COUNTIF(DonnéesDessin[[#This Row],[Réponse doodle 01]:[Présence MàN AC]],"Pas présent")</f>
        <v>0</v>
      </c>
      <c r="CP99" s="32">
        <f>0*DonnéesDessin[[#This Row],[Pas présent]]</f>
        <v>0</v>
      </c>
      <c r="CQ99" s="33">
        <f>DonnéesDessin[[#This Row],[PTS "Inscrit" (3)]]+DonnéesDessin[[#This Row],[Pts "R pas nécessaire" (3)]]+DonnéesDessin[[#This Row],[PTS "Indisponible" (2)]]+DonnéesDessin[[#This Row],[PTS "Ne peut s''inscrire" (1)]]+DonnéesDessin[[#This Row],[PTS "Sans information" (0)]]+DonnéesDessin[[#This Row],[PTS "Présent" (2)]]+DonnéesDessin[[#This Row],[Pts "P pas nécessaire" (2)]]+DonnéesDessin[[#This Row],[PTS "Excusé" (1)]]+DonnéesDessin[[#This Row],[PTS "Pas présent" (0)]]</f>
        <v>0</v>
      </c>
      <c r="CR99" s="31" t="s">
        <v>281</v>
      </c>
      <c r="CS99" s="77" t="s">
        <v>41</v>
      </c>
      <c r="CT99" s="56" t="s">
        <v>41</v>
      </c>
      <c r="CU99" s="56"/>
      <c r="CV99" s="81" t="s">
        <v>41</v>
      </c>
      <c r="CW99" s="81" t="s">
        <v>41</v>
      </c>
      <c r="CX99" s="77" t="s">
        <v>41</v>
      </c>
      <c r="CY99" s="77" t="s">
        <v>41</v>
      </c>
      <c r="CZ99" s="77" t="s">
        <v>41</v>
      </c>
      <c r="DA99" s="56" t="s">
        <v>358</v>
      </c>
      <c r="DB99" s="89" t="s">
        <v>41</v>
      </c>
    </row>
    <row r="100" spans="1:106" s="1" customFormat="1" ht="9">
      <c r="A100" s="29">
        <f>SUBTOTAL(103,DonnéesDessin[Clé])</f>
        <v>96</v>
      </c>
      <c r="B100" s="27"/>
      <c r="C100" s="27"/>
      <c r="D100" s="27"/>
      <c r="E100" s="27"/>
      <c r="F100" s="27"/>
      <c r="G100" s="27"/>
      <c r="H100" s="27"/>
      <c r="I100" s="27"/>
      <c r="J100" s="27"/>
      <c r="K100" s="30"/>
      <c r="L100" s="27"/>
      <c r="M100" s="31"/>
      <c r="N100" s="27"/>
      <c r="O100" s="27"/>
      <c r="P100" s="27"/>
      <c r="Q100" s="27"/>
      <c r="R100" s="27"/>
      <c r="S100" s="27"/>
      <c r="T100" s="33"/>
      <c r="U100" s="31">
        <f>SUBTOTAL(103,DonnéesDessin[Réponse doodle 01])</f>
        <v>96</v>
      </c>
      <c r="V100" s="27"/>
      <c r="W100" s="27"/>
      <c r="X100" s="27"/>
      <c r="Y100" s="31"/>
      <c r="Z100" s="27"/>
      <c r="AA100" s="27"/>
      <c r="AB100" s="33"/>
      <c r="AC100" s="31"/>
      <c r="AD100" s="27"/>
      <c r="AE100" s="27"/>
      <c r="AF100" s="33"/>
      <c r="AG100" s="31"/>
      <c r="AH100" s="27"/>
      <c r="AI100" s="27"/>
      <c r="AJ100" s="33"/>
      <c r="AK100" s="31"/>
      <c r="AL100" s="27"/>
      <c r="AM100" s="27"/>
      <c r="AN100" s="33"/>
      <c r="AO100" s="31"/>
      <c r="AP100" s="27"/>
      <c r="AQ100" s="27"/>
      <c r="AR100" s="33"/>
      <c r="AS100" s="31"/>
      <c r="AT100" s="27"/>
      <c r="AU100" s="27"/>
      <c r="AV100" s="33"/>
      <c r="AW100" s="31">
        <f>SUBTOTAL(103,DonnéesDessin[Réponse doodle 08])</f>
        <v>96</v>
      </c>
      <c r="AX100" s="27"/>
      <c r="AY100" s="27"/>
      <c r="AZ100" s="33"/>
      <c r="BA100" s="31"/>
      <c r="BB100" s="27"/>
      <c r="BC100" s="27"/>
      <c r="BD100" s="33"/>
      <c r="BE100" s="31"/>
      <c r="BF100" s="27"/>
      <c r="BG100" s="27"/>
      <c r="BH100" s="33"/>
      <c r="BI100" s="7"/>
      <c r="BJ100" s="7"/>
      <c r="BK100" s="7"/>
      <c r="BL100" s="7"/>
      <c r="BM100" s="7"/>
      <c r="BN100" s="7"/>
      <c r="BO100" s="7"/>
      <c r="BP100" s="7"/>
      <c r="BQ100" s="7"/>
      <c r="BR100" s="7">
        <f>SUBTOTAL(103,DonnéesDessin[Heure MàN AC])</f>
        <v>96</v>
      </c>
      <c r="BS100" s="7">
        <f>SUBTOTAL(109,DonnéesDessin[Présence MàN AC])</f>
        <v>0</v>
      </c>
      <c r="BT100" s="37"/>
      <c r="BU100" s="7"/>
      <c r="BV100" s="7"/>
      <c r="BW100" s="7"/>
      <c r="BX100" s="34"/>
      <c r="BY100" s="37"/>
      <c r="BZ100" s="7"/>
      <c r="CA100" s="7"/>
      <c r="CB100" s="7"/>
      <c r="CC100" s="7"/>
      <c r="CD100" s="7"/>
      <c r="CE100" s="7"/>
      <c r="CF100" s="7"/>
      <c r="CG100" s="7"/>
      <c r="CH100" s="7"/>
      <c r="CI100" s="7"/>
      <c r="CJ100" s="7"/>
      <c r="CK100" s="7"/>
      <c r="CL100" s="7"/>
      <c r="CM100" s="7"/>
      <c r="CN100" s="7"/>
      <c r="CO100" s="7"/>
      <c r="CP100" s="7"/>
      <c r="CQ100" s="33"/>
      <c r="CR100" s="31"/>
      <c r="CS100" s="32"/>
      <c r="CT100" s="7"/>
      <c r="CU100" s="7"/>
      <c r="CV100" s="82"/>
      <c r="CW100" s="82"/>
      <c r="CX100" s="82"/>
      <c r="CY100" s="82"/>
      <c r="CZ100" s="82"/>
      <c r="DA100" s="7"/>
      <c r="DB100" s="89"/>
    </row>
    <row r="101" spans="1:106" s="1" customFormat="1" ht="9">
      <c r="A101" s="19" t="s">
        <v>56</v>
      </c>
      <c r="B101" s="19">
        <f>COUNTIF(DonnéesDessin[Référent],"Anita")</f>
        <v>13</v>
      </c>
      <c r="C101" s="19"/>
      <c r="D101" s="19"/>
      <c r="E101" s="19"/>
      <c r="F101" s="19"/>
      <c r="G101" s="19"/>
      <c r="H101" s="19"/>
      <c r="I101" s="19"/>
      <c r="J101" s="19"/>
      <c r="K101" s="30"/>
      <c r="L101" s="19"/>
      <c r="M101" s="19"/>
      <c r="N101" s="19"/>
      <c r="O101" s="19"/>
      <c r="P101" s="19"/>
      <c r="Q101" s="19"/>
      <c r="R101" s="19"/>
      <c r="S101" s="19"/>
      <c r="T101" s="19"/>
      <c r="U101" s="19"/>
      <c r="V101" s="19"/>
      <c r="W101" s="19"/>
      <c r="X101" s="19"/>
      <c r="Y101" s="19"/>
      <c r="Z101" s="19"/>
      <c r="AA101" s="19"/>
      <c r="AB101" s="19"/>
      <c r="AC101" s="19"/>
      <c r="AD101" s="19"/>
      <c r="AE101" s="19"/>
      <c r="AF101" s="19"/>
      <c r="AG101" s="19"/>
      <c r="AH101" s="19"/>
      <c r="AI101" s="19"/>
      <c r="AJ101" s="19"/>
      <c r="AK101" s="19"/>
      <c r="AL101" s="19"/>
      <c r="AM101" s="19"/>
      <c r="AN101" s="19"/>
      <c r="AO101" s="19"/>
      <c r="AP101" s="19"/>
      <c r="AQ101" s="19"/>
      <c r="AR101" s="19"/>
      <c r="AS101" s="19"/>
      <c r="AT101" s="19"/>
      <c r="AU101" s="19"/>
      <c r="AV101" s="19"/>
      <c r="AW101" s="19"/>
      <c r="AX101" s="19"/>
      <c r="AY101" s="19"/>
      <c r="AZ101" s="19"/>
      <c r="BA101" s="19"/>
      <c r="BB101" s="19"/>
      <c r="BC101" s="19"/>
      <c r="BD101" s="19"/>
      <c r="BE101" s="19"/>
      <c r="BF101" s="19"/>
      <c r="BG101" s="19"/>
      <c r="BH101" s="19"/>
      <c r="CQ101" s="19"/>
      <c r="CR101" s="19"/>
      <c r="CS101" s="19"/>
      <c r="DB101" s="91"/>
    </row>
    <row r="102" spans="1:106" s="1" customFormat="1" ht="9">
      <c r="A102" s="19" t="s">
        <v>75</v>
      </c>
      <c r="B102" s="19">
        <f>COUNTIF(DonnéesDessin[Référent],"Benoît")</f>
        <v>14</v>
      </c>
      <c r="C102" s="19"/>
      <c r="D102" s="19"/>
      <c r="E102" s="19"/>
      <c r="F102" s="19"/>
      <c r="G102" s="19"/>
      <c r="H102" s="19"/>
      <c r="I102" s="19"/>
      <c r="J102" s="19"/>
      <c r="K102" s="30"/>
      <c r="L102" s="19"/>
      <c r="M102" s="19"/>
      <c r="N102" s="19"/>
      <c r="O102" s="19"/>
      <c r="P102" s="19"/>
      <c r="Q102" s="19"/>
      <c r="R102" s="19"/>
      <c r="S102" s="19"/>
      <c r="T102" s="19"/>
      <c r="U102" s="19"/>
      <c r="V102" s="19"/>
      <c r="W102" s="19"/>
      <c r="X102" s="19"/>
      <c r="Y102" s="19"/>
      <c r="Z102" s="19"/>
      <c r="AA102" s="19"/>
      <c r="AB102" s="19"/>
      <c r="AC102" s="19"/>
      <c r="AD102" s="19"/>
      <c r="AE102" s="19"/>
      <c r="AF102" s="19"/>
      <c r="AG102" s="19"/>
      <c r="AH102" s="19"/>
      <c r="AI102" s="19"/>
      <c r="AJ102" s="19"/>
      <c r="AK102" s="19"/>
      <c r="AL102" s="19"/>
      <c r="AM102" s="19"/>
      <c r="AN102" s="19"/>
      <c r="AO102" s="19"/>
      <c r="AP102" s="19"/>
      <c r="AQ102" s="19"/>
      <c r="AR102" s="19"/>
      <c r="AS102" s="19"/>
      <c r="AT102" s="19"/>
      <c r="AU102" s="19"/>
      <c r="AV102" s="19"/>
      <c r="AW102" s="19"/>
      <c r="AX102" s="19"/>
      <c r="AY102" s="19"/>
      <c r="AZ102" s="19"/>
      <c r="BA102" s="19"/>
      <c r="BB102" s="19"/>
      <c r="BC102" s="19"/>
      <c r="BD102" s="19"/>
      <c r="BE102" s="19"/>
      <c r="BF102" s="19"/>
      <c r="BG102" s="19"/>
      <c r="BH102" s="19"/>
      <c r="CQ102" s="19"/>
      <c r="CR102" s="19"/>
      <c r="CS102" s="19"/>
      <c r="DB102" s="91"/>
    </row>
    <row r="103" spans="1:106" s="1" customFormat="1" ht="9">
      <c r="A103" s="19" t="s">
        <v>95</v>
      </c>
      <c r="B103" s="19">
        <f>COUNTIF(DonnéesDessin[Référent],"Chiara")</f>
        <v>5</v>
      </c>
      <c r="C103" s="19"/>
      <c r="D103" s="19"/>
      <c r="E103" s="19"/>
      <c r="F103" s="19"/>
      <c r="G103" s="19"/>
      <c r="H103" s="19"/>
      <c r="I103" s="19"/>
      <c r="J103" s="19"/>
      <c r="K103" s="30"/>
      <c r="L103" s="19"/>
      <c r="M103" s="19"/>
      <c r="N103" s="19"/>
      <c r="O103" s="19"/>
      <c r="P103" s="19"/>
      <c r="Q103" s="19"/>
      <c r="R103" s="19"/>
      <c r="S103" s="19"/>
      <c r="T103" s="19"/>
      <c r="U103" s="19"/>
      <c r="V103" s="19"/>
      <c r="W103" s="19"/>
      <c r="X103" s="19"/>
      <c r="Y103" s="19"/>
      <c r="Z103" s="19"/>
      <c r="AA103" s="19"/>
      <c r="AB103" s="19"/>
      <c r="AC103" s="19"/>
      <c r="AD103" s="19"/>
      <c r="AE103" s="19"/>
      <c r="AF103" s="19"/>
      <c r="AG103" s="19"/>
      <c r="AH103" s="19"/>
      <c r="AI103" s="19"/>
      <c r="AJ103" s="19"/>
      <c r="AK103" s="19"/>
      <c r="AL103" s="19"/>
      <c r="AM103" s="19"/>
      <c r="AN103" s="19"/>
      <c r="AO103" s="19"/>
      <c r="AP103" s="19"/>
      <c r="AQ103" s="19"/>
      <c r="AR103" s="19"/>
      <c r="AS103" s="19"/>
      <c r="AT103" s="19"/>
      <c r="AU103" s="19"/>
      <c r="AV103" s="19"/>
      <c r="AW103" s="19"/>
      <c r="AX103" s="19"/>
      <c r="AY103" s="19"/>
      <c r="AZ103" s="19"/>
      <c r="BA103" s="19"/>
      <c r="BB103" s="19"/>
      <c r="BC103" s="19"/>
      <c r="BD103" s="19"/>
      <c r="BE103" s="19"/>
      <c r="BF103" s="19"/>
      <c r="BG103" s="19"/>
      <c r="BH103" s="19"/>
      <c r="BM103" s="3"/>
      <c r="CQ103" s="19"/>
      <c r="CR103" s="19"/>
      <c r="CS103" s="19"/>
      <c r="DB103" s="91"/>
    </row>
    <row r="104" spans="1:106" s="1" customFormat="1" ht="9">
      <c r="A104" s="19" t="s">
        <v>90</v>
      </c>
      <c r="B104" s="19">
        <f>COUNTIF(DonnéesDessin[Référent],"Fabrice")</f>
        <v>8</v>
      </c>
      <c r="C104" s="19"/>
      <c r="D104" s="19"/>
      <c r="E104" s="19"/>
      <c r="F104" s="19"/>
      <c r="G104" s="19"/>
      <c r="H104" s="19"/>
      <c r="I104" s="19"/>
      <c r="J104" s="19"/>
      <c r="K104" s="30"/>
      <c r="L104" s="19"/>
      <c r="M104" s="19"/>
      <c r="N104" s="19"/>
      <c r="O104" s="19"/>
      <c r="P104" s="19"/>
      <c r="Q104" s="19"/>
      <c r="R104" s="19"/>
      <c r="S104" s="19"/>
      <c r="T104" s="19"/>
      <c r="U104" s="19"/>
      <c r="V104" s="19"/>
      <c r="W104" s="19"/>
      <c r="X104" s="19"/>
      <c r="Y104" s="19"/>
      <c r="Z104" s="19"/>
      <c r="AA104" s="19"/>
      <c r="AB104" s="19"/>
      <c r="AC104" s="19"/>
      <c r="AD104" s="19"/>
      <c r="AE104" s="19"/>
      <c r="AF104" s="19"/>
      <c r="AG104" s="19"/>
      <c r="AH104" s="19"/>
      <c r="AI104" s="19"/>
      <c r="AJ104" s="19"/>
      <c r="AK104" s="19"/>
      <c r="AL104" s="19"/>
      <c r="AM104" s="19"/>
      <c r="AN104" s="19"/>
      <c r="AO104" s="19"/>
      <c r="AP104" s="19"/>
      <c r="AQ104" s="19"/>
      <c r="AR104" s="19"/>
      <c r="AS104" s="19"/>
      <c r="AT104" s="19"/>
      <c r="AU104" s="19"/>
      <c r="AV104" s="19"/>
      <c r="AW104" s="19"/>
      <c r="AX104" s="19"/>
      <c r="AY104" s="19"/>
      <c r="AZ104" s="19"/>
      <c r="BA104" s="19"/>
      <c r="BB104" s="19"/>
      <c r="BC104" s="19"/>
      <c r="BD104" s="19"/>
      <c r="BE104" s="19"/>
      <c r="BF104" s="19"/>
      <c r="BG104" s="19"/>
      <c r="BH104" s="19"/>
      <c r="CQ104" s="19"/>
      <c r="CR104" s="19"/>
      <c r="CS104" s="19"/>
      <c r="DB104" s="91"/>
    </row>
    <row r="105" spans="1:106" s="1" customFormat="1" ht="9">
      <c r="A105" s="19" t="s">
        <v>50</v>
      </c>
      <c r="B105" s="19">
        <f>COUNTIF(DonnéesDessin[Référent],"Miguel")</f>
        <v>10</v>
      </c>
      <c r="C105" s="19"/>
      <c r="D105" s="19"/>
      <c r="E105" s="19"/>
      <c r="F105" s="19"/>
      <c r="G105" s="19"/>
      <c r="H105" s="19"/>
      <c r="I105" s="19"/>
      <c r="J105" s="19"/>
      <c r="K105" s="30"/>
      <c r="L105" s="19"/>
      <c r="M105" s="19"/>
      <c r="N105" s="19"/>
      <c r="O105" s="19"/>
      <c r="P105" s="19"/>
      <c r="Q105" s="19"/>
      <c r="R105" s="19"/>
      <c r="S105" s="19"/>
      <c r="T105" s="19"/>
      <c r="U105" s="19"/>
      <c r="V105" s="19"/>
      <c r="W105" s="19"/>
      <c r="X105" s="19"/>
      <c r="Y105" s="19"/>
      <c r="Z105" s="19"/>
      <c r="AA105" s="19"/>
      <c r="AB105" s="19"/>
      <c r="AC105" s="19"/>
      <c r="AD105" s="19"/>
      <c r="AE105" s="19"/>
      <c r="AF105" s="19"/>
      <c r="AG105" s="19"/>
      <c r="AH105" s="19"/>
      <c r="AI105" s="19"/>
      <c r="AJ105" s="19"/>
      <c r="AK105" s="19"/>
      <c r="AL105" s="19"/>
      <c r="AM105" s="19"/>
      <c r="AN105" s="19"/>
      <c r="AO105" s="19"/>
      <c r="AP105" s="19"/>
      <c r="AQ105" s="19"/>
      <c r="AR105" s="19"/>
      <c r="AS105" s="19"/>
      <c r="AT105" s="19"/>
      <c r="AU105" s="19"/>
      <c r="AV105" s="19"/>
      <c r="AW105" s="19"/>
      <c r="AX105" s="19"/>
      <c r="AY105" s="19"/>
      <c r="AZ105" s="19"/>
      <c r="BA105" s="19"/>
      <c r="BB105" s="19"/>
      <c r="BC105" s="19"/>
      <c r="BD105" s="19"/>
      <c r="BE105" s="19"/>
      <c r="BF105" s="19"/>
      <c r="BG105" s="19"/>
      <c r="BH105" s="19"/>
      <c r="CQ105" s="19"/>
      <c r="CR105" s="19"/>
      <c r="CS105" s="19"/>
      <c r="DB105" s="91"/>
    </row>
    <row r="106" spans="1:106" s="1" customFormat="1" ht="9">
      <c r="A106" s="19" t="s">
        <v>79</v>
      </c>
      <c r="B106" s="19">
        <f>COUNTIF(DonnéesDessin[Référent],"Patrick")</f>
        <v>0</v>
      </c>
      <c r="C106" s="19"/>
      <c r="D106" s="19"/>
      <c r="E106" s="19"/>
      <c r="F106" s="19"/>
      <c r="G106" s="19"/>
      <c r="H106" s="19"/>
      <c r="I106" s="19"/>
      <c r="J106" s="19"/>
      <c r="K106" s="30"/>
      <c r="L106" s="19"/>
      <c r="M106" s="19"/>
      <c r="N106" s="19"/>
      <c r="O106" s="19"/>
      <c r="P106" s="19"/>
      <c r="Q106" s="19"/>
      <c r="R106" s="19"/>
      <c r="S106" s="19"/>
      <c r="T106" s="19"/>
      <c r="U106" s="19"/>
      <c r="V106" s="19"/>
      <c r="W106" s="19"/>
      <c r="X106" s="19"/>
      <c r="Y106" s="19"/>
      <c r="Z106" s="19"/>
      <c r="AA106" s="19"/>
      <c r="AB106" s="19"/>
      <c r="AC106" s="19"/>
      <c r="AD106" s="19"/>
      <c r="AE106" s="19"/>
      <c r="AF106" s="19"/>
      <c r="AG106" s="19"/>
      <c r="AH106" s="19"/>
      <c r="AI106" s="19"/>
      <c r="AJ106" s="19"/>
      <c r="AK106" s="19"/>
      <c r="AL106" s="19"/>
      <c r="AM106" s="19"/>
      <c r="AN106" s="19"/>
      <c r="AO106" s="19"/>
      <c r="AP106" s="19"/>
      <c r="AQ106" s="19"/>
      <c r="AR106" s="19"/>
      <c r="AS106" s="19"/>
      <c r="AT106" s="19"/>
      <c r="AU106" s="19"/>
      <c r="AV106" s="19"/>
      <c r="AW106" s="19"/>
      <c r="AX106" s="19"/>
      <c r="AY106" s="19"/>
      <c r="AZ106" s="19"/>
      <c r="BA106" s="19"/>
      <c r="BB106" s="19"/>
      <c r="BC106" s="19"/>
      <c r="BD106" s="19"/>
      <c r="BE106" s="19"/>
      <c r="BF106" s="19"/>
      <c r="BG106" s="19"/>
      <c r="BH106" s="19"/>
      <c r="CQ106" s="19"/>
      <c r="CR106" s="19"/>
      <c r="CS106" s="19"/>
      <c r="DB106" s="91"/>
    </row>
    <row r="107" spans="1:106" s="1" customFormat="1" ht="9">
      <c r="A107" s="19" t="s">
        <v>421</v>
      </c>
      <c r="B107" s="19">
        <f>COUNTIF(DonnéesDessin[Référent],"")</f>
        <v>16</v>
      </c>
      <c r="C107" s="19"/>
      <c r="D107" s="19"/>
      <c r="E107" s="19"/>
      <c r="F107" s="19"/>
      <c r="G107" s="19"/>
      <c r="H107" s="19"/>
      <c r="I107" s="19"/>
      <c r="J107" s="19"/>
      <c r="K107" s="30"/>
      <c r="L107" s="19"/>
      <c r="M107" s="19"/>
      <c r="N107" s="19"/>
      <c r="O107" s="19"/>
      <c r="P107" s="19"/>
      <c r="Q107" s="19"/>
      <c r="R107" s="19"/>
      <c r="S107" s="19"/>
      <c r="T107" s="19"/>
      <c r="U107" s="19"/>
      <c r="V107" s="19"/>
      <c r="W107" s="19"/>
      <c r="X107" s="19"/>
      <c r="Y107" s="19"/>
      <c r="Z107" s="19"/>
      <c r="AA107" s="19"/>
      <c r="AB107" s="19"/>
      <c r="AC107" s="19"/>
      <c r="AD107" s="19"/>
      <c r="AE107" s="19"/>
      <c r="AF107" s="19"/>
      <c r="AG107" s="19"/>
      <c r="AH107" s="19"/>
      <c r="AI107" s="19"/>
      <c r="AJ107" s="19"/>
      <c r="AK107" s="19"/>
      <c r="AL107" s="19"/>
      <c r="AM107" s="19"/>
      <c r="AN107" s="19"/>
      <c r="AO107" s="19"/>
      <c r="AP107" s="19"/>
      <c r="AQ107" s="19"/>
      <c r="AR107" s="19"/>
      <c r="AS107" s="19"/>
      <c r="AT107" s="19"/>
      <c r="AU107" s="19"/>
      <c r="AV107" s="19"/>
      <c r="AW107" s="19"/>
      <c r="AX107" s="19"/>
      <c r="AY107" s="19"/>
      <c r="AZ107" s="19"/>
      <c r="BA107" s="19"/>
      <c r="BB107" s="19"/>
      <c r="BC107" s="19"/>
      <c r="BD107" s="19"/>
      <c r="BE107" s="19"/>
      <c r="BF107" s="19"/>
      <c r="BG107" s="19"/>
      <c r="BH107" s="19"/>
      <c r="CQ107" s="19"/>
      <c r="CR107" s="19"/>
      <c r="CS107" s="19"/>
      <c r="DB107" s="91"/>
    </row>
    <row r="108" spans="1:106" s="1" customFormat="1" ht="9">
      <c r="A108" s="19"/>
      <c r="B108" s="19"/>
      <c r="C108" s="19"/>
      <c r="D108" s="19"/>
      <c r="E108" s="19"/>
      <c r="F108" s="19"/>
      <c r="G108" s="19"/>
      <c r="H108" s="19"/>
      <c r="I108" s="19"/>
      <c r="J108" s="19"/>
      <c r="K108" s="30"/>
      <c r="L108" s="19"/>
      <c r="M108" s="19"/>
      <c r="N108" s="19"/>
      <c r="O108" s="19"/>
      <c r="P108" s="19"/>
      <c r="Q108" s="19"/>
      <c r="R108" s="19"/>
      <c r="S108" s="19"/>
      <c r="T108" s="19"/>
      <c r="U108" s="19"/>
      <c r="V108" s="19"/>
      <c r="W108" s="19"/>
      <c r="X108" s="19"/>
      <c r="Y108" s="19"/>
      <c r="Z108" s="19"/>
      <c r="AA108" s="19"/>
      <c r="AB108" s="19"/>
      <c r="AC108" s="19"/>
      <c r="AD108" s="19"/>
      <c r="AE108" s="19"/>
      <c r="AF108" s="19"/>
      <c r="AG108" s="19"/>
      <c r="AH108" s="19"/>
      <c r="AI108" s="19"/>
      <c r="AJ108" s="19"/>
      <c r="AK108" s="19"/>
      <c r="AL108" s="19"/>
      <c r="AM108" s="19"/>
      <c r="AN108" s="19"/>
      <c r="AO108" s="19"/>
      <c r="AP108" s="19"/>
      <c r="AQ108" s="19"/>
      <c r="AR108" s="19"/>
      <c r="AS108" s="19"/>
      <c r="AT108" s="19"/>
      <c r="AU108" s="19"/>
      <c r="AV108" s="19"/>
      <c r="AW108" s="19"/>
      <c r="AX108" s="19"/>
      <c r="AY108" s="19"/>
      <c r="AZ108" s="19"/>
      <c r="BA108" s="19"/>
      <c r="BB108" s="19"/>
      <c r="BC108" s="19"/>
      <c r="BD108" s="19"/>
      <c r="BE108" s="19"/>
      <c r="BF108" s="19"/>
      <c r="BG108" s="19"/>
      <c r="BH108" s="19"/>
      <c r="CQ108" s="19"/>
      <c r="CR108" s="19"/>
      <c r="CS108" s="19"/>
      <c r="DB108" s="91"/>
    </row>
    <row r="109" spans="1:106" s="1" customFormat="1" ht="9">
      <c r="A109" s="19"/>
      <c r="B109" s="19"/>
      <c r="C109" s="19"/>
      <c r="D109" s="19"/>
      <c r="E109" s="19"/>
      <c r="F109" s="19"/>
      <c r="G109" s="19"/>
      <c r="H109" s="19"/>
      <c r="I109" s="19"/>
      <c r="J109" s="19"/>
      <c r="K109" s="30"/>
      <c r="L109" s="19"/>
      <c r="M109" s="19"/>
      <c r="N109" s="19"/>
      <c r="O109" s="19"/>
      <c r="P109" s="19"/>
      <c r="Q109" s="19"/>
      <c r="R109" s="19"/>
      <c r="S109" s="19"/>
      <c r="T109" s="19"/>
      <c r="U109" s="19"/>
      <c r="V109" s="19"/>
      <c r="W109" s="19"/>
      <c r="X109" s="19"/>
      <c r="Y109" s="19"/>
      <c r="Z109" s="19"/>
      <c r="AA109" s="19"/>
      <c r="AB109" s="19"/>
      <c r="AC109" s="19"/>
      <c r="AD109" s="19"/>
      <c r="AE109" s="19"/>
      <c r="AF109" s="19"/>
      <c r="AG109" s="19"/>
      <c r="AH109" s="19"/>
      <c r="AI109" s="19"/>
      <c r="AJ109" s="19"/>
      <c r="AK109" s="19"/>
      <c r="AL109" s="19"/>
      <c r="AM109" s="19"/>
      <c r="AN109" s="19"/>
      <c r="AO109" s="19"/>
      <c r="AP109" s="19"/>
      <c r="AQ109" s="19"/>
      <c r="AR109" s="19"/>
      <c r="AS109" s="19"/>
      <c r="AT109" s="19"/>
      <c r="AU109" s="19"/>
      <c r="AV109" s="19"/>
      <c r="AW109" s="19"/>
      <c r="AX109" s="19"/>
      <c r="AY109" s="19"/>
      <c r="AZ109" s="19"/>
      <c r="BA109" s="19"/>
      <c r="BB109" s="19"/>
      <c r="BC109" s="19"/>
      <c r="BD109" s="19"/>
      <c r="BE109" s="19"/>
      <c r="BF109" s="19"/>
      <c r="BG109" s="19"/>
      <c r="BH109" s="19"/>
      <c r="BM109" s="3"/>
      <c r="CQ109" s="19"/>
      <c r="CR109" s="19"/>
      <c r="CS109" s="19"/>
      <c r="DB109" s="91"/>
    </row>
    <row r="110" spans="1:106" s="1" customFormat="1">
      <c r="A110" s="20"/>
      <c r="B110" s="20"/>
      <c r="C110" s="20"/>
      <c r="D110" s="20"/>
      <c r="E110" s="20"/>
      <c r="F110" s="20"/>
      <c r="G110" s="20"/>
      <c r="H110" s="20"/>
      <c r="I110" s="20"/>
      <c r="J110" s="20"/>
      <c r="K110" s="46"/>
      <c r="L110" s="20"/>
      <c r="M110" s="20"/>
      <c r="N110" s="20"/>
      <c r="O110" s="20"/>
      <c r="P110" s="20"/>
      <c r="Q110" s="20"/>
      <c r="R110" s="20"/>
      <c r="S110" s="20"/>
      <c r="T110" s="20"/>
      <c r="U110" s="20"/>
      <c r="V110" s="20"/>
      <c r="W110" s="20"/>
      <c r="X110" s="20"/>
      <c r="Y110" s="20"/>
      <c r="Z110" s="20"/>
      <c r="AA110" s="20"/>
      <c r="AB110" s="20"/>
      <c r="AC110" s="20"/>
      <c r="AD110" s="20"/>
      <c r="AE110" s="20"/>
      <c r="AF110" s="20"/>
      <c r="AG110" s="20"/>
      <c r="AH110" s="20"/>
      <c r="AI110" s="20"/>
      <c r="AJ110" s="20"/>
      <c r="AK110" s="20"/>
      <c r="AL110" s="20"/>
      <c r="AM110" s="20"/>
      <c r="AN110" s="20"/>
      <c r="AO110" s="20"/>
      <c r="AP110" s="20"/>
      <c r="AQ110" s="20"/>
      <c r="AR110" s="20"/>
      <c r="AS110" s="20"/>
      <c r="AT110" s="20"/>
      <c r="AU110" s="20"/>
      <c r="AV110" s="20"/>
      <c r="AW110" s="20"/>
      <c r="AX110" s="20"/>
      <c r="AY110" s="20"/>
      <c r="AZ110" s="20"/>
      <c r="BA110" s="20"/>
      <c r="BB110" s="20"/>
      <c r="BC110" s="20"/>
      <c r="BD110" s="20"/>
      <c r="BE110" s="20"/>
      <c r="BF110" s="20"/>
      <c r="BG110" s="20"/>
      <c r="BH110" s="20"/>
      <c r="BI110"/>
      <c r="BJ110"/>
      <c r="BK110"/>
      <c r="BN110"/>
      <c r="BO110"/>
      <c r="BP110"/>
      <c r="BQ110"/>
      <c r="BR110"/>
      <c r="BS110"/>
      <c r="BU110"/>
      <c r="BV110"/>
      <c r="BW110"/>
      <c r="BX110"/>
      <c r="BZ110"/>
      <c r="CA110"/>
      <c r="CB110"/>
      <c r="CC110"/>
      <c r="CD110"/>
      <c r="CE110"/>
      <c r="CF110"/>
      <c r="CG110"/>
      <c r="CH110"/>
      <c r="CI110"/>
      <c r="CJ110"/>
      <c r="CK110"/>
      <c r="CL110"/>
      <c r="CM110"/>
      <c r="CQ110" s="20"/>
      <c r="CR110" s="20"/>
      <c r="CS110" s="20"/>
      <c r="CT110"/>
      <c r="CU110"/>
      <c r="CV110"/>
      <c r="CW110"/>
      <c r="CX110"/>
      <c r="CY110"/>
      <c r="CZ110"/>
      <c r="DA110"/>
      <c r="DB110" s="92"/>
    </row>
    <row r="111" spans="1:106">
      <c r="A111" s="19"/>
      <c r="B111" s="19"/>
      <c r="C111" s="19"/>
      <c r="D111" s="19"/>
      <c r="E111" s="19"/>
      <c r="F111" s="19"/>
      <c r="G111" s="19"/>
      <c r="H111" s="19"/>
      <c r="I111" s="19"/>
      <c r="J111" s="19"/>
      <c r="K111" s="30"/>
      <c r="L111" s="19"/>
      <c r="M111" s="19"/>
      <c r="N111" s="19"/>
      <c r="O111" s="19"/>
      <c r="P111" s="19"/>
      <c r="Q111" s="19"/>
      <c r="R111" s="19"/>
      <c r="S111" s="19"/>
      <c r="T111" s="19"/>
      <c r="U111" s="19"/>
      <c r="V111" s="19"/>
      <c r="W111" s="19"/>
      <c r="X111" s="19"/>
      <c r="Y111" s="19"/>
      <c r="Z111" s="19"/>
      <c r="AA111" s="19"/>
      <c r="AB111" s="19"/>
      <c r="AC111" s="19"/>
      <c r="AD111" s="19"/>
      <c r="AE111" s="19"/>
      <c r="AF111" s="19"/>
      <c r="AG111" s="19"/>
      <c r="AH111" s="19"/>
      <c r="AI111" s="19"/>
      <c r="AJ111" s="19"/>
      <c r="AK111" s="19"/>
      <c r="AL111" s="19"/>
      <c r="AM111" s="19"/>
      <c r="AN111" s="19"/>
      <c r="AO111" s="19"/>
      <c r="AP111" s="19"/>
      <c r="AQ111" s="19"/>
      <c r="AR111" s="19"/>
      <c r="AS111" s="19"/>
      <c r="AT111" s="19"/>
      <c r="AU111" s="19"/>
      <c r="AV111" s="19"/>
      <c r="AW111" s="19"/>
      <c r="AX111" s="19"/>
      <c r="AY111" s="19"/>
      <c r="AZ111" s="19"/>
      <c r="BA111" s="19"/>
      <c r="BB111" s="19"/>
      <c r="BC111" s="19"/>
      <c r="BD111" s="19"/>
      <c r="BE111" s="19"/>
      <c r="BF111" s="19"/>
      <c r="BG111" s="19"/>
      <c r="BH111" s="19"/>
      <c r="BI111" s="1"/>
      <c r="BJ111" s="1"/>
      <c r="BK111" s="1"/>
      <c r="BL111" s="1"/>
      <c r="BM111" s="1"/>
      <c r="BN111" s="1"/>
      <c r="BO111" s="1"/>
      <c r="BP111" s="1"/>
      <c r="BQ111" s="1"/>
      <c r="BR111" s="1"/>
      <c r="BS111" s="1"/>
      <c r="BT111" s="1"/>
      <c r="BU111" s="1"/>
      <c r="BV111" s="1"/>
      <c r="BW111" s="1"/>
      <c r="BX111" s="1"/>
      <c r="BY111" s="1"/>
      <c r="BZ111" s="1"/>
      <c r="CA111" s="1"/>
      <c r="CB111" s="1"/>
      <c r="CC111" s="1"/>
      <c r="CD111" s="1"/>
      <c r="CE111" s="1"/>
      <c r="CF111" s="1"/>
      <c r="CG111" s="1"/>
      <c r="CH111" s="1"/>
      <c r="CI111" s="1"/>
      <c r="CJ111" s="1"/>
      <c r="CK111" s="1"/>
      <c r="CL111" s="1"/>
      <c r="CM111" s="1"/>
      <c r="CN111" s="1"/>
      <c r="CO111" s="1"/>
      <c r="CP111" s="1"/>
      <c r="CQ111" s="19"/>
      <c r="CR111" s="19"/>
      <c r="CS111" s="19"/>
      <c r="CT111" s="1"/>
      <c r="CU111" s="1"/>
      <c r="CV111" s="1"/>
      <c r="CW111" s="1"/>
      <c r="CX111" s="1"/>
      <c r="CY111" s="1"/>
      <c r="CZ111" s="1"/>
      <c r="DA111" s="1"/>
      <c r="DB111" s="91"/>
    </row>
    <row r="112" spans="1:106">
      <c r="A112" s="19"/>
      <c r="B112" s="19"/>
      <c r="C112" s="19"/>
      <c r="D112" s="19"/>
      <c r="E112" s="19"/>
      <c r="F112" s="19"/>
      <c r="G112" s="19"/>
      <c r="H112" s="19"/>
      <c r="I112" s="19"/>
      <c r="J112" s="19"/>
      <c r="K112" s="30"/>
      <c r="L112" s="19"/>
      <c r="M112" s="19"/>
      <c r="N112" s="19"/>
      <c r="O112" s="19"/>
      <c r="P112" s="19"/>
      <c r="Q112" s="19"/>
      <c r="R112" s="19"/>
      <c r="S112" s="19"/>
      <c r="T112" s="19"/>
      <c r="U112" s="19"/>
      <c r="V112" s="19"/>
      <c r="W112" s="19"/>
      <c r="X112" s="19"/>
      <c r="Y112" s="19"/>
      <c r="Z112" s="19"/>
      <c r="AA112" s="19"/>
      <c r="AB112" s="19"/>
      <c r="AC112" s="19"/>
      <c r="AD112" s="19"/>
      <c r="AE112" s="19"/>
      <c r="AF112" s="19"/>
      <c r="AG112" s="19"/>
      <c r="AH112" s="19"/>
      <c r="AI112" s="19"/>
      <c r="AJ112" s="19"/>
      <c r="AK112" s="19"/>
      <c r="AL112" s="19"/>
      <c r="AM112" s="19"/>
      <c r="AN112" s="19"/>
      <c r="AO112" s="19"/>
      <c r="AP112" s="19"/>
      <c r="AQ112" s="19"/>
      <c r="AR112" s="19"/>
      <c r="AS112" s="19"/>
      <c r="AT112" s="19"/>
      <c r="AU112" s="19"/>
      <c r="AV112" s="19"/>
      <c r="AW112" s="19"/>
      <c r="AX112" s="19"/>
      <c r="AY112" s="19"/>
      <c r="AZ112" s="19"/>
      <c r="BA112" s="19"/>
      <c r="BB112" s="19"/>
      <c r="BC112" s="19"/>
      <c r="BD112" s="19"/>
      <c r="BE112" s="19"/>
      <c r="BF112" s="19"/>
      <c r="BG112" s="19"/>
      <c r="BH112" s="19"/>
      <c r="BI112" s="1"/>
      <c r="BJ112" s="1"/>
      <c r="BK112" s="1"/>
      <c r="BL112" s="1"/>
      <c r="BM112" s="1"/>
      <c r="BN112" s="1"/>
      <c r="BO112" s="1"/>
      <c r="BP112" s="1"/>
      <c r="BQ112" s="1"/>
      <c r="BR112" s="1"/>
      <c r="BS112" s="1"/>
      <c r="BT112" s="1"/>
      <c r="BU112" s="1"/>
      <c r="BV112" s="1"/>
      <c r="BW112" s="1"/>
      <c r="BX112" s="1"/>
      <c r="BY112" s="1"/>
      <c r="BZ112" s="1"/>
      <c r="CA112" s="1"/>
      <c r="CB112" s="1"/>
      <c r="CC112" s="1"/>
      <c r="CD112" s="1"/>
      <c r="CE112" s="1"/>
      <c r="CF112" s="1"/>
      <c r="CG112" s="1"/>
      <c r="CH112" s="1"/>
      <c r="CI112" s="1"/>
      <c r="CJ112" s="1"/>
      <c r="CK112" s="1"/>
      <c r="CL112" s="1"/>
      <c r="CM112" s="1"/>
      <c r="CN112" s="1"/>
      <c r="CO112" s="1"/>
      <c r="CP112" s="1"/>
      <c r="CQ112" s="19"/>
      <c r="CR112" s="19"/>
      <c r="CS112" s="19"/>
      <c r="CT112" s="1"/>
      <c r="CU112" s="1"/>
      <c r="CV112" s="1"/>
      <c r="CW112" s="1"/>
      <c r="CX112" s="1"/>
      <c r="CY112" s="1"/>
      <c r="CZ112" s="1"/>
      <c r="DA112" s="1"/>
      <c r="DB112" s="91"/>
    </row>
    <row r="113" spans="1:106">
      <c r="A113" s="19"/>
      <c r="B113" s="19"/>
      <c r="C113" s="19"/>
      <c r="D113" s="19"/>
      <c r="E113" s="19"/>
      <c r="F113" s="19"/>
      <c r="G113" s="19"/>
      <c r="H113" s="19"/>
      <c r="I113" s="19"/>
      <c r="J113" s="19"/>
      <c r="K113" s="30"/>
      <c r="L113" s="19"/>
      <c r="M113" s="19"/>
      <c r="N113" s="19"/>
      <c r="O113" s="19"/>
      <c r="P113" s="19"/>
      <c r="Q113" s="19"/>
      <c r="R113" s="19"/>
      <c r="S113" s="19"/>
      <c r="T113" s="19"/>
      <c r="U113" s="19"/>
      <c r="V113" s="19"/>
      <c r="W113" s="19"/>
      <c r="X113" s="19"/>
      <c r="Y113" s="19"/>
      <c r="Z113" s="19"/>
      <c r="AA113" s="19"/>
      <c r="AB113" s="19"/>
      <c r="AC113" s="19"/>
      <c r="AD113" s="19"/>
      <c r="AE113" s="19"/>
      <c r="AF113" s="19"/>
      <c r="AG113" s="19"/>
      <c r="AH113" s="19"/>
      <c r="AI113" s="19"/>
      <c r="AJ113" s="19"/>
      <c r="AK113" s="19"/>
      <c r="AL113" s="19"/>
      <c r="AM113" s="19"/>
      <c r="AN113" s="19"/>
      <c r="AO113" s="19"/>
      <c r="AP113" s="19"/>
      <c r="AQ113" s="19"/>
      <c r="AR113" s="19"/>
      <c r="AS113" s="19"/>
      <c r="AT113" s="19"/>
      <c r="AU113" s="19"/>
      <c r="AV113" s="19"/>
      <c r="AW113" s="19"/>
      <c r="AX113" s="19"/>
      <c r="AY113" s="19"/>
      <c r="AZ113" s="19"/>
      <c r="BA113" s="19"/>
      <c r="BB113" s="19"/>
      <c r="BC113" s="19"/>
      <c r="BD113" s="19"/>
      <c r="BE113" s="19"/>
      <c r="BF113" s="19"/>
      <c r="BG113" s="19"/>
      <c r="BH113" s="19"/>
      <c r="BI113" s="1"/>
      <c r="BJ113" s="1"/>
      <c r="BK113" s="1"/>
      <c r="BL113" s="1"/>
      <c r="BM113" s="1"/>
      <c r="BN113" s="1"/>
      <c r="BO113" s="1"/>
      <c r="BP113" s="1"/>
      <c r="BQ113" s="1"/>
      <c r="BR113" s="1"/>
      <c r="BS113" s="1"/>
      <c r="BT113" s="1"/>
      <c r="BU113" s="1"/>
      <c r="BV113" s="1"/>
      <c r="BW113" s="1"/>
      <c r="BX113" s="1"/>
      <c r="BY113" s="1"/>
      <c r="BZ113" s="1"/>
      <c r="CA113" s="1"/>
      <c r="CB113" s="1"/>
      <c r="CC113" s="1"/>
      <c r="CD113" s="1"/>
      <c r="CE113" s="1"/>
      <c r="CF113" s="1"/>
      <c r="CG113" s="1"/>
      <c r="CH113" s="1"/>
      <c r="CI113" s="1"/>
      <c r="CJ113" s="1"/>
      <c r="CK113" s="1"/>
      <c r="CL113" s="1"/>
      <c r="CM113" s="1"/>
      <c r="CN113" s="1"/>
      <c r="CO113" s="1"/>
      <c r="CP113" s="1"/>
      <c r="CQ113" s="19"/>
      <c r="CR113" s="19"/>
      <c r="CS113" s="19"/>
      <c r="CT113" s="1"/>
      <c r="CU113" s="1"/>
      <c r="CV113" s="1"/>
      <c r="CW113" s="1"/>
      <c r="CX113" s="1"/>
      <c r="CY113" s="1"/>
      <c r="CZ113" s="1"/>
      <c r="DA113" s="1"/>
      <c r="DB113" s="91"/>
    </row>
    <row r="114" spans="1:106">
      <c r="A114" s="19"/>
      <c r="B114" s="19"/>
      <c r="C114" s="19"/>
      <c r="D114" s="19"/>
      <c r="E114" s="19"/>
      <c r="F114" s="19"/>
      <c r="G114" s="19"/>
      <c r="H114" s="19"/>
      <c r="I114" s="19"/>
      <c r="J114" s="19"/>
      <c r="K114" s="30"/>
      <c r="L114" s="19"/>
      <c r="M114" s="19"/>
      <c r="N114" s="19"/>
      <c r="O114" s="19"/>
      <c r="P114" s="19"/>
      <c r="Q114" s="19"/>
      <c r="R114" s="19"/>
      <c r="S114" s="19"/>
      <c r="T114" s="19"/>
      <c r="U114" s="19"/>
      <c r="V114" s="19"/>
      <c r="W114" s="19"/>
      <c r="X114" s="19"/>
      <c r="Y114" s="19"/>
      <c r="Z114" s="19"/>
      <c r="AA114" s="19"/>
      <c r="AB114" s="19"/>
      <c r="AC114" s="19"/>
      <c r="AD114" s="19"/>
      <c r="AE114" s="19"/>
      <c r="AF114" s="19"/>
      <c r="AG114" s="19"/>
      <c r="AH114" s="19"/>
      <c r="AI114" s="19"/>
      <c r="AJ114" s="19"/>
      <c r="AK114" s="19"/>
      <c r="AL114" s="19"/>
      <c r="AM114" s="19"/>
      <c r="AN114" s="19"/>
      <c r="AO114" s="19"/>
      <c r="AP114" s="19"/>
      <c r="AQ114" s="19"/>
      <c r="AR114" s="19"/>
      <c r="AS114" s="19"/>
      <c r="AT114" s="19"/>
      <c r="AU114" s="19"/>
      <c r="AV114" s="19"/>
      <c r="AW114" s="19"/>
      <c r="AX114" s="19"/>
      <c r="AY114" s="19"/>
      <c r="AZ114" s="19"/>
      <c r="BA114" s="19"/>
      <c r="BB114" s="19"/>
      <c r="BC114" s="19"/>
      <c r="BD114" s="19"/>
      <c r="BE114" s="19"/>
      <c r="BF114" s="19"/>
      <c r="BG114" s="19"/>
      <c r="BH114" s="19"/>
      <c r="BI114" s="1"/>
      <c r="BJ114" s="1"/>
      <c r="BK114" s="1"/>
      <c r="BL114" s="1"/>
      <c r="BM114" s="1"/>
      <c r="BN114" s="1"/>
      <c r="BO114" s="1"/>
      <c r="BP114" s="1"/>
      <c r="BQ114" s="1"/>
      <c r="BR114" s="1"/>
      <c r="BS114" s="1"/>
      <c r="BT114" s="1"/>
      <c r="BU114" s="1"/>
      <c r="BV114" s="1"/>
      <c r="BW114" s="1"/>
      <c r="BX114" s="1"/>
      <c r="BY114" s="1"/>
      <c r="BZ114" s="1"/>
      <c r="CA114" s="1"/>
      <c r="CB114" s="1"/>
      <c r="CC114" s="1"/>
      <c r="CD114" s="1"/>
      <c r="CE114" s="1"/>
      <c r="CF114" s="1"/>
      <c r="CG114" s="1"/>
      <c r="CH114" s="1"/>
      <c r="CI114" s="1"/>
      <c r="CJ114" s="1"/>
      <c r="CK114" s="1"/>
      <c r="CL114" s="1"/>
      <c r="CM114" s="1"/>
      <c r="CN114" s="1"/>
      <c r="CO114" s="1"/>
      <c r="CP114" s="1"/>
      <c r="CQ114" s="19"/>
      <c r="CR114" s="19"/>
      <c r="CS114" s="19"/>
      <c r="CT114" s="1"/>
      <c r="CU114" s="1"/>
      <c r="CV114" s="1"/>
      <c r="CW114" s="1"/>
      <c r="CX114" s="1"/>
      <c r="CY114" s="1"/>
      <c r="CZ114" s="1"/>
      <c r="DA114" s="1"/>
      <c r="DB114" s="91"/>
    </row>
    <row r="115" spans="1:106">
      <c r="A115" s="19"/>
      <c r="B115" s="19"/>
      <c r="C115" s="19"/>
      <c r="D115" s="19"/>
      <c r="E115" s="19"/>
      <c r="F115" s="19"/>
      <c r="G115" s="19"/>
      <c r="H115" s="19"/>
      <c r="I115" s="19"/>
      <c r="J115" s="19"/>
      <c r="K115" s="30"/>
      <c r="L115" s="19"/>
      <c r="M115" s="19"/>
      <c r="N115" s="19"/>
      <c r="O115" s="19"/>
      <c r="P115" s="19"/>
      <c r="Q115" s="19"/>
      <c r="R115" s="19"/>
      <c r="S115" s="19"/>
      <c r="T115" s="19"/>
      <c r="U115" s="19"/>
      <c r="V115" s="19"/>
      <c r="W115" s="19"/>
      <c r="X115" s="19"/>
      <c r="Y115" s="19"/>
      <c r="Z115" s="19"/>
      <c r="AA115" s="19"/>
      <c r="AB115" s="19"/>
      <c r="AC115" s="19"/>
      <c r="AD115" s="19"/>
      <c r="AE115" s="19"/>
      <c r="AF115" s="19"/>
      <c r="AG115" s="19"/>
      <c r="AH115" s="19"/>
      <c r="AI115" s="19"/>
      <c r="AJ115" s="19"/>
      <c r="AK115" s="19"/>
      <c r="AL115" s="19"/>
      <c r="AM115" s="19"/>
      <c r="AN115" s="19"/>
      <c r="AO115" s="19"/>
      <c r="AP115" s="19"/>
      <c r="AQ115" s="19"/>
      <c r="AR115" s="19"/>
      <c r="AS115" s="19"/>
      <c r="AT115" s="19"/>
      <c r="AU115" s="19"/>
      <c r="AV115" s="19"/>
      <c r="AW115" s="19"/>
      <c r="AX115" s="19"/>
      <c r="AY115" s="19"/>
      <c r="AZ115" s="19"/>
      <c r="BA115" s="19"/>
      <c r="BB115" s="19"/>
      <c r="BC115" s="19"/>
      <c r="BD115" s="19"/>
      <c r="BE115" s="19"/>
      <c r="BF115" s="19"/>
      <c r="BG115" s="19"/>
      <c r="BH115" s="19"/>
      <c r="BI115" s="1"/>
      <c r="BJ115" s="1"/>
      <c r="BK115" s="1"/>
      <c r="BL115" s="1"/>
      <c r="BM115" s="3"/>
      <c r="BN115" s="1"/>
      <c r="BO115" s="1"/>
      <c r="BP115" s="1"/>
      <c r="BQ115" s="1"/>
      <c r="BR115" s="1"/>
      <c r="BS115" s="1"/>
      <c r="BT115" s="1"/>
      <c r="BU115" s="1"/>
      <c r="BV115" s="1"/>
      <c r="BW115" s="1"/>
      <c r="BX115" s="1"/>
      <c r="BY115" s="1"/>
      <c r="BZ115" s="1"/>
      <c r="CA115" s="1"/>
      <c r="CB115" s="1"/>
      <c r="CC115" s="1"/>
      <c r="CD115" s="1"/>
      <c r="CE115" s="1"/>
      <c r="CF115" s="1"/>
      <c r="CG115" s="1"/>
      <c r="CH115" s="1"/>
      <c r="CI115" s="1"/>
      <c r="CJ115" s="1"/>
      <c r="CK115" s="1"/>
      <c r="CL115" s="1"/>
      <c r="CM115" s="1"/>
      <c r="CN115" s="1"/>
      <c r="CO115" s="1"/>
      <c r="CP115" s="1"/>
      <c r="CQ115" s="19"/>
      <c r="CR115" s="19"/>
      <c r="CS115" s="19"/>
      <c r="CT115" s="1"/>
      <c r="CU115" s="1"/>
      <c r="CV115" s="1"/>
      <c r="CW115" s="1"/>
      <c r="CX115" s="1"/>
      <c r="CY115" s="1"/>
      <c r="CZ115" s="1"/>
      <c r="DA115" s="1"/>
      <c r="DB115" s="91"/>
    </row>
    <row r="116" spans="1:106">
      <c r="A116" s="19"/>
      <c r="B116" s="19"/>
      <c r="C116" s="19"/>
      <c r="D116" s="19"/>
      <c r="E116" s="19"/>
      <c r="F116" s="19"/>
      <c r="G116" s="19"/>
      <c r="H116" s="19"/>
      <c r="I116" s="19"/>
      <c r="J116" s="19"/>
      <c r="K116" s="30"/>
      <c r="L116" s="19"/>
      <c r="M116" s="19"/>
      <c r="N116" s="19"/>
      <c r="O116" s="19"/>
      <c r="P116" s="19"/>
      <c r="Q116" s="19"/>
      <c r="R116" s="19"/>
      <c r="S116" s="19"/>
      <c r="T116" s="19"/>
      <c r="U116" s="19"/>
      <c r="V116" s="19"/>
      <c r="W116" s="19"/>
      <c r="X116" s="19"/>
      <c r="Y116" s="19"/>
      <c r="Z116" s="19"/>
      <c r="AA116" s="19"/>
      <c r="AB116" s="19"/>
      <c r="AC116" s="19"/>
      <c r="AD116" s="19"/>
      <c r="AE116" s="19"/>
      <c r="AF116" s="19"/>
      <c r="AG116" s="19"/>
      <c r="AH116" s="19"/>
      <c r="AI116" s="19"/>
      <c r="AJ116" s="19"/>
      <c r="AK116" s="19"/>
      <c r="AL116" s="19"/>
      <c r="AM116" s="19"/>
      <c r="AN116" s="19"/>
      <c r="AO116" s="19"/>
      <c r="AP116" s="19"/>
      <c r="AQ116" s="19"/>
      <c r="AR116" s="19"/>
      <c r="AS116" s="19"/>
      <c r="AT116" s="19"/>
      <c r="AU116" s="19"/>
      <c r="AV116" s="19"/>
      <c r="AW116" s="19"/>
      <c r="AX116" s="19"/>
      <c r="AY116" s="19"/>
      <c r="AZ116" s="19"/>
      <c r="BA116" s="19"/>
      <c r="BB116" s="19"/>
      <c r="BC116" s="19"/>
      <c r="BD116" s="19"/>
      <c r="BE116" s="19"/>
      <c r="BF116" s="19"/>
      <c r="BG116" s="19"/>
      <c r="BH116" s="19"/>
      <c r="BI116" s="1"/>
      <c r="BJ116" s="1"/>
      <c r="BK116" s="1"/>
      <c r="BL116" s="1"/>
      <c r="BM116" s="1"/>
      <c r="BN116" s="1"/>
      <c r="BO116" s="1"/>
      <c r="BP116" s="1"/>
      <c r="BQ116" s="1"/>
      <c r="BR116" s="1"/>
      <c r="BS116" s="1"/>
      <c r="BT116" s="1"/>
      <c r="BU116" s="1"/>
      <c r="BV116" s="1"/>
      <c r="BW116" s="1"/>
      <c r="BX116" s="1"/>
      <c r="BY116" s="1"/>
      <c r="BZ116" s="1"/>
      <c r="CA116" s="1"/>
      <c r="CB116" s="1"/>
      <c r="CC116" s="1"/>
      <c r="CD116" s="1"/>
      <c r="CE116" s="1"/>
      <c r="CF116" s="1"/>
      <c r="CG116" s="1"/>
      <c r="CH116" s="1"/>
      <c r="CI116" s="1"/>
      <c r="CJ116" s="1"/>
      <c r="CK116" s="1"/>
      <c r="CL116" s="1"/>
      <c r="CM116" s="1"/>
      <c r="CN116" s="1"/>
      <c r="CO116" s="1"/>
      <c r="CP116" s="1"/>
      <c r="CQ116" s="19"/>
      <c r="CR116" s="19"/>
      <c r="CS116" s="19"/>
      <c r="CT116" s="1"/>
      <c r="CU116" s="1"/>
      <c r="CV116" s="1"/>
      <c r="CW116" s="1"/>
      <c r="CX116" s="1"/>
      <c r="CY116" s="1"/>
      <c r="CZ116" s="1"/>
      <c r="DA116" s="1"/>
      <c r="DB116" s="91"/>
    </row>
    <row r="117" spans="1:106">
      <c r="A117" s="19"/>
      <c r="B117" s="19"/>
      <c r="C117" s="19"/>
      <c r="D117" s="19"/>
      <c r="E117" s="19"/>
      <c r="F117" s="19"/>
      <c r="G117" s="19"/>
      <c r="H117" s="19"/>
      <c r="I117" s="19"/>
      <c r="J117" s="19"/>
      <c r="K117" s="30"/>
      <c r="L117" s="19"/>
      <c r="M117" s="19"/>
      <c r="N117" s="19"/>
      <c r="O117" s="19"/>
      <c r="P117" s="19"/>
      <c r="Q117" s="19"/>
      <c r="R117" s="19"/>
      <c r="S117" s="19"/>
      <c r="T117" s="19"/>
      <c r="U117" s="19"/>
      <c r="V117" s="19"/>
      <c r="W117" s="19"/>
      <c r="X117" s="19"/>
      <c r="Y117" s="19"/>
      <c r="Z117" s="19"/>
      <c r="AA117" s="19"/>
      <c r="AB117" s="19"/>
      <c r="AC117" s="19"/>
      <c r="AD117" s="19"/>
      <c r="AE117" s="19"/>
      <c r="AF117" s="19"/>
      <c r="AG117" s="19"/>
      <c r="AH117" s="19"/>
      <c r="AI117" s="19"/>
      <c r="AJ117" s="19"/>
      <c r="AK117" s="19"/>
      <c r="AL117" s="19"/>
      <c r="AM117" s="19"/>
      <c r="AN117" s="19"/>
      <c r="AO117" s="19"/>
      <c r="AP117" s="19"/>
      <c r="AQ117" s="19"/>
      <c r="AR117" s="19"/>
      <c r="AS117" s="19"/>
      <c r="AT117" s="19"/>
      <c r="AU117" s="19"/>
      <c r="AV117" s="19"/>
      <c r="AW117" s="19"/>
      <c r="AX117" s="19"/>
      <c r="AY117" s="19"/>
      <c r="AZ117" s="19"/>
      <c r="BA117" s="19"/>
      <c r="BB117" s="19"/>
      <c r="BC117" s="19"/>
      <c r="BD117" s="19"/>
      <c r="BE117" s="19"/>
      <c r="BF117" s="19"/>
      <c r="BG117" s="19"/>
      <c r="BH117" s="19"/>
      <c r="BI117" s="1"/>
      <c r="BJ117" s="1"/>
      <c r="BK117" s="1"/>
      <c r="BL117" s="1"/>
      <c r="BM117" s="1"/>
      <c r="BN117" s="1"/>
      <c r="BO117" s="1"/>
      <c r="BP117" s="1"/>
      <c r="BQ117" s="1"/>
      <c r="BR117" s="1"/>
      <c r="BS117" s="1"/>
      <c r="BT117" s="1"/>
      <c r="BU117" s="1"/>
      <c r="BV117" s="1"/>
      <c r="BW117" s="1"/>
      <c r="BX117" s="1"/>
      <c r="BY117" s="1"/>
      <c r="BZ117" s="1"/>
      <c r="CA117" s="1"/>
      <c r="CB117" s="1"/>
      <c r="CC117" s="1"/>
      <c r="CD117" s="1"/>
      <c r="CE117" s="1"/>
      <c r="CF117" s="1"/>
      <c r="CG117" s="1"/>
      <c r="CH117" s="1"/>
      <c r="CI117" s="1"/>
      <c r="CJ117" s="1"/>
      <c r="CK117" s="1"/>
      <c r="CL117" s="1"/>
      <c r="CM117" s="1"/>
      <c r="CN117" s="1"/>
      <c r="CO117" s="1"/>
      <c r="CP117" s="1"/>
      <c r="CQ117" s="19"/>
      <c r="CR117" s="19"/>
      <c r="CS117" s="19"/>
      <c r="CT117" s="1"/>
      <c r="CU117" s="1"/>
      <c r="CV117" s="1"/>
      <c r="CW117" s="1"/>
      <c r="CX117" s="1"/>
      <c r="CY117" s="1"/>
      <c r="CZ117" s="1"/>
      <c r="DA117" s="1"/>
      <c r="DB117" s="91"/>
    </row>
    <row r="118" spans="1:106">
      <c r="A118" s="19"/>
      <c r="B118" s="19"/>
      <c r="C118" s="19"/>
      <c r="D118" s="19"/>
      <c r="E118" s="19"/>
      <c r="F118" s="19"/>
      <c r="G118" s="19"/>
      <c r="H118" s="19"/>
      <c r="I118" s="19"/>
      <c r="J118" s="19"/>
      <c r="K118" s="30"/>
      <c r="L118" s="19"/>
      <c r="M118" s="19"/>
      <c r="N118" s="19"/>
      <c r="O118" s="19"/>
      <c r="P118" s="19"/>
      <c r="Q118" s="19"/>
      <c r="R118" s="19"/>
      <c r="S118" s="19"/>
      <c r="T118" s="19"/>
      <c r="U118" s="19"/>
      <c r="V118" s="19"/>
      <c r="W118" s="19"/>
      <c r="X118" s="19"/>
      <c r="Y118" s="19"/>
      <c r="Z118" s="19"/>
      <c r="AA118" s="19"/>
      <c r="AB118" s="19"/>
      <c r="AC118" s="19"/>
      <c r="AD118" s="19"/>
      <c r="AE118" s="19"/>
      <c r="AF118" s="19"/>
      <c r="AG118" s="19"/>
      <c r="AH118" s="19"/>
      <c r="AI118" s="19"/>
      <c r="AJ118" s="19"/>
      <c r="AK118" s="19"/>
      <c r="AL118" s="19"/>
      <c r="AM118" s="19"/>
      <c r="AN118" s="19"/>
      <c r="AO118" s="19"/>
      <c r="AP118" s="19"/>
      <c r="AQ118" s="19"/>
      <c r="AR118" s="19"/>
      <c r="AS118" s="19"/>
      <c r="AT118" s="19"/>
      <c r="AU118" s="19"/>
      <c r="AV118" s="19"/>
      <c r="AW118" s="19"/>
      <c r="AX118" s="19"/>
      <c r="AY118" s="19"/>
      <c r="AZ118" s="19"/>
      <c r="BA118" s="19"/>
      <c r="BB118" s="19"/>
      <c r="BC118" s="19"/>
      <c r="BD118" s="19"/>
      <c r="BE118" s="19"/>
      <c r="BF118" s="19"/>
      <c r="BG118" s="19"/>
      <c r="BH118" s="19"/>
      <c r="BI118" s="1"/>
      <c r="BJ118" s="1"/>
      <c r="BK118" s="1"/>
      <c r="BL118" s="1"/>
      <c r="BM118" s="1"/>
      <c r="BN118" s="1"/>
      <c r="BO118" s="1"/>
      <c r="BP118" s="1"/>
      <c r="BQ118" s="1"/>
      <c r="BR118" s="1"/>
      <c r="BS118" s="1"/>
      <c r="BT118" s="1"/>
      <c r="BU118" s="1"/>
      <c r="BV118" s="1"/>
      <c r="BW118" s="1"/>
      <c r="BX118" s="1"/>
      <c r="BY118" s="1"/>
      <c r="BZ118" s="1"/>
      <c r="CA118" s="1"/>
      <c r="CB118" s="1"/>
      <c r="CC118" s="1"/>
      <c r="CD118" s="1"/>
      <c r="CE118" s="1"/>
      <c r="CF118" s="1"/>
      <c r="CG118" s="1"/>
      <c r="CH118" s="1"/>
      <c r="CI118" s="1"/>
      <c r="CJ118" s="1"/>
      <c r="CK118" s="1"/>
      <c r="CL118" s="1"/>
      <c r="CM118" s="1"/>
      <c r="CN118" s="1"/>
      <c r="CO118" s="1"/>
      <c r="CP118" s="1"/>
      <c r="CQ118" s="19"/>
      <c r="CR118" s="19"/>
      <c r="CS118" s="19"/>
      <c r="CT118" s="1"/>
      <c r="CU118" s="1"/>
      <c r="CV118" s="1"/>
      <c r="CW118" s="1"/>
      <c r="CX118" s="1"/>
      <c r="CY118" s="1"/>
      <c r="CZ118" s="1"/>
      <c r="DA118" s="1"/>
      <c r="DB118" s="91"/>
    </row>
    <row r="119" spans="1:106">
      <c r="A119" s="19"/>
      <c r="B119" s="19"/>
      <c r="C119" s="19"/>
      <c r="D119" s="19"/>
      <c r="E119" s="19"/>
      <c r="F119" s="19"/>
      <c r="G119" s="19"/>
      <c r="H119" s="19"/>
      <c r="I119" s="19"/>
      <c r="J119" s="19"/>
      <c r="K119" s="30"/>
      <c r="L119" s="19"/>
      <c r="M119" s="19"/>
      <c r="N119" s="19"/>
      <c r="O119" s="19"/>
      <c r="P119" s="19"/>
      <c r="Q119" s="19"/>
      <c r="R119" s="19"/>
      <c r="S119" s="19"/>
      <c r="T119" s="19"/>
      <c r="U119" s="19"/>
      <c r="V119" s="19"/>
      <c r="W119" s="19"/>
      <c r="X119" s="19"/>
      <c r="Y119" s="19"/>
      <c r="Z119" s="19"/>
      <c r="AA119" s="19"/>
      <c r="AB119" s="19"/>
      <c r="AC119" s="19"/>
      <c r="AD119" s="19"/>
      <c r="AE119" s="19"/>
      <c r="AF119" s="19"/>
      <c r="AG119" s="19"/>
      <c r="AH119" s="19"/>
      <c r="AI119" s="19"/>
      <c r="AJ119" s="19"/>
      <c r="AK119" s="19"/>
      <c r="AL119" s="19"/>
      <c r="AM119" s="19"/>
      <c r="AN119" s="19"/>
      <c r="AO119" s="19"/>
      <c r="AP119" s="19"/>
      <c r="AQ119" s="19"/>
      <c r="AR119" s="19"/>
      <c r="AS119" s="19"/>
      <c r="AT119" s="19"/>
      <c r="AU119" s="19"/>
      <c r="AV119" s="19"/>
      <c r="AW119" s="19"/>
      <c r="AX119" s="19"/>
      <c r="AY119" s="19"/>
      <c r="AZ119" s="19"/>
      <c r="BA119" s="19"/>
      <c r="BB119" s="19"/>
      <c r="BC119" s="19"/>
      <c r="BD119" s="19"/>
      <c r="BE119" s="19"/>
      <c r="BF119" s="19"/>
      <c r="BG119" s="19"/>
      <c r="BH119" s="19"/>
      <c r="BI119" s="1"/>
      <c r="BJ119" s="1"/>
      <c r="BK119" s="1"/>
      <c r="BL119" s="1"/>
      <c r="BM119" s="1"/>
      <c r="BN119" s="1"/>
      <c r="BO119" s="1"/>
      <c r="BP119" s="1"/>
      <c r="BQ119" s="1"/>
      <c r="BR119" s="1"/>
      <c r="BS119" s="1"/>
      <c r="BT119" s="1"/>
      <c r="BU119" s="1"/>
      <c r="BV119" s="1"/>
      <c r="BW119" s="1"/>
      <c r="BX119" s="1"/>
      <c r="BY119" s="1"/>
      <c r="BZ119" s="1"/>
      <c r="CA119" s="1"/>
      <c r="CB119" s="1"/>
      <c r="CC119" s="1"/>
      <c r="CD119" s="1"/>
      <c r="CE119" s="1"/>
      <c r="CF119" s="1"/>
      <c r="CG119" s="1"/>
      <c r="CH119" s="1"/>
      <c r="CI119" s="1"/>
      <c r="CJ119" s="1"/>
      <c r="CK119" s="1"/>
      <c r="CL119" s="1"/>
      <c r="CM119" s="1"/>
      <c r="CN119" s="1"/>
      <c r="CO119" s="1"/>
      <c r="CP119" s="1"/>
      <c r="CQ119" s="19"/>
      <c r="CR119" s="19"/>
      <c r="CS119" s="19"/>
      <c r="CT119" s="1"/>
      <c r="CU119" s="1"/>
      <c r="CV119" s="1"/>
      <c r="CW119" s="1"/>
      <c r="CX119" s="1"/>
      <c r="CY119" s="1"/>
      <c r="CZ119" s="1"/>
      <c r="DA119" s="1"/>
      <c r="DB119" s="91"/>
    </row>
    <row r="120" spans="1:106">
      <c r="A120" s="19"/>
      <c r="B120" s="19"/>
      <c r="C120" s="19"/>
      <c r="D120" s="19"/>
      <c r="E120" s="19"/>
      <c r="F120" s="19"/>
      <c r="G120" s="19"/>
      <c r="H120" s="19"/>
      <c r="I120" s="19"/>
      <c r="J120" s="19"/>
      <c r="K120" s="30"/>
      <c r="L120" s="19"/>
      <c r="M120" s="19"/>
      <c r="N120" s="19"/>
      <c r="O120" s="19"/>
      <c r="P120" s="19"/>
      <c r="Q120" s="19"/>
      <c r="R120" s="19"/>
      <c r="S120" s="19"/>
      <c r="T120" s="19"/>
      <c r="U120" s="19"/>
      <c r="V120" s="19"/>
      <c r="W120" s="19"/>
      <c r="X120" s="19"/>
      <c r="Y120" s="19"/>
      <c r="Z120" s="19"/>
      <c r="AA120" s="19"/>
      <c r="AB120" s="19"/>
      <c r="AC120" s="19"/>
      <c r="AD120" s="19"/>
      <c r="AE120" s="19"/>
      <c r="AF120" s="19"/>
      <c r="AG120" s="19"/>
      <c r="AH120" s="19"/>
      <c r="AI120" s="19"/>
      <c r="AJ120" s="19"/>
      <c r="AK120" s="19"/>
      <c r="AL120" s="19"/>
      <c r="AM120" s="19"/>
      <c r="AN120" s="19"/>
      <c r="AO120" s="19"/>
      <c r="AP120" s="19"/>
      <c r="AQ120" s="19"/>
      <c r="AR120" s="19"/>
      <c r="AS120" s="19"/>
      <c r="AT120" s="19"/>
      <c r="AU120" s="19"/>
      <c r="AV120" s="19"/>
      <c r="AW120" s="19"/>
      <c r="AX120" s="19"/>
      <c r="AY120" s="19"/>
      <c r="AZ120" s="19"/>
      <c r="BA120" s="19"/>
      <c r="BB120" s="19"/>
      <c r="BC120" s="19"/>
      <c r="BD120" s="19"/>
      <c r="BE120" s="19"/>
      <c r="BF120" s="19"/>
      <c r="BG120" s="19"/>
      <c r="BH120" s="19"/>
      <c r="BI120" s="1"/>
      <c r="BJ120" s="1"/>
      <c r="BK120" s="1"/>
      <c r="BL120" s="1"/>
      <c r="BM120" s="1"/>
      <c r="BN120" s="1"/>
      <c r="BO120" s="1"/>
      <c r="BP120" s="1"/>
      <c r="BQ120" s="1"/>
      <c r="BR120" s="1"/>
      <c r="BS120" s="1"/>
      <c r="BT120" s="1"/>
      <c r="BU120" s="1"/>
      <c r="BV120" s="1"/>
      <c r="BW120" s="1"/>
      <c r="BX120" s="1"/>
      <c r="BY120" s="1"/>
      <c r="BZ120" s="1"/>
      <c r="CA120" s="1"/>
      <c r="CB120" s="1"/>
      <c r="CC120" s="1"/>
      <c r="CD120" s="1"/>
      <c r="CE120" s="1"/>
      <c r="CF120" s="1"/>
      <c r="CG120" s="1"/>
      <c r="CH120" s="1"/>
      <c r="CI120" s="1"/>
      <c r="CJ120" s="1"/>
      <c r="CK120" s="1"/>
      <c r="CL120" s="1"/>
      <c r="CM120" s="1"/>
      <c r="CN120" s="1"/>
      <c r="CO120" s="1"/>
      <c r="CP120" s="1"/>
      <c r="CQ120" s="19"/>
      <c r="CR120" s="19"/>
      <c r="CS120" s="19"/>
      <c r="CT120" s="1"/>
      <c r="CU120" s="1"/>
      <c r="CV120" s="1"/>
      <c r="CW120" s="1"/>
      <c r="CX120" s="1"/>
      <c r="CY120" s="1"/>
      <c r="CZ120" s="1"/>
      <c r="DA120" s="1"/>
      <c r="DB120" s="91"/>
    </row>
    <row r="121" spans="1:106">
      <c r="A121" s="19"/>
      <c r="B121" s="19"/>
      <c r="C121" s="19"/>
      <c r="D121" s="19"/>
      <c r="E121" s="19"/>
      <c r="F121" s="19"/>
      <c r="G121" s="19"/>
      <c r="H121" s="19"/>
      <c r="I121" s="19"/>
      <c r="J121" s="19"/>
      <c r="K121" s="30"/>
      <c r="L121" s="19"/>
      <c r="M121" s="19"/>
      <c r="N121" s="19"/>
      <c r="O121" s="19"/>
      <c r="P121" s="19"/>
      <c r="Q121" s="19"/>
      <c r="R121" s="19"/>
      <c r="S121" s="19"/>
      <c r="T121" s="19"/>
      <c r="U121" s="19"/>
      <c r="V121" s="19"/>
      <c r="W121" s="19"/>
      <c r="X121" s="19"/>
      <c r="Y121" s="19"/>
      <c r="Z121" s="19"/>
      <c r="AA121" s="19"/>
      <c r="AB121" s="19"/>
      <c r="AC121" s="19"/>
      <c r="AD121" s="19"/>
      <c r="AE121" s="19"/>
      <c r="AF121" s="19"/>
      <c r="AG121" s="19"/>
      <c r="AH121" s="19"/>
      <c r="AI121" s="19"/>
      <c r="AJ121" s="19"/>
      <c r="AK121" s="19"/>
      <c r="AL121" s="19"/>
      <c r="AM121" s="19"/>
      <c r="AN121" s="19"/>
      <c r="AO121" s="19"/>
      <c r="AP121" s="19"/>
      <c r="AQ121" s="19"/>
      <c r="AR121" s="19"/>
      <c r="AS121" s="19"/>
      <c r="AT121" s="19"/>
      <c r="AU121" s="19"/>
      <c r="AV121" s="19"/>
      <c r="AW121" s="19"/>
      <c r="AX121" s="19"/>
      <c r="AY121" s="19"/>
      <c r="AZ121" s="19"/>
      <c r="BA121" s="19"/>
      <c r="BB121" s="19"/>
      <c r="BC121" s="19"/>
      <c r="BD121" s="19"/>
      <c r="BE121" s="19"/>
      <c r="BF121" s="19"/>
      <c r="BG121" s="19"/>
      <c r="BH121" s="19"/>
      <c r="BI121" s="1"/>
      <c r="BJ121" s="1"/>
      <c r="BK121" s="1"/>
      <c r="BL121" s="1"/>
      <c r="BM121" s="1"/>
      <c r="BN121" s="1"/>
      <c r="BO121" s="1"/>
      <c r="BP121" s="1"/>
      <c r="BQ121" s="1"/>
      <c r="BR121" s="1"/>
      <c r="BS121" s="1"/>
      <c r="BT121" s="1"/>
      <c r="BU121" s="1"/>
      <c r="BV121" s="1"/>
      <c r="BW121" s="1"/>
      <c r="BX121" s="1"/>
      <c r="BY121" s="1"/>
      <c r="BZ121" s="1"/>
      <c r="CA121" s="1"/>
      <c r="CB121" s="1"/>
      <c r="CC121" s="1"/>
      <c r="CD121" s="1"/>
      <c r="CE121" s="1"/>
      <c r="CF121" s="1"/>
      <c r="CG121" s="1"/>
      <c r="CH121" s="1"/>
      <c r="CI121" s="1"/>
      <c r="CJ121" s="1"/>
      <c r="CK121" s="1"/>
      <c r="CL121" s="1"/>
      <c r="CM121" s="1"/>
      <c r="CN121" s="1"/>
      <c r="CO121" s="1"/>
      <c r="CP121" s="1"/>
      <c r="CQ121" s="19"/>
      <c r="CR121" s="19"/>
      <c r="CS121" s="19"/>
      <c r="CT121" s="1"/>
      <c r="CU121" s="1"/>
      <c r="CV121" s="1"/>
      <c r="CW121" s="1"/>
      <c r="CX121" s="1"/>
      <c r="CY121" s="1"/>
      <c r="CZ121" s="1"/>
      <c r="DA121" s="1"/>
      <c r="DB121" s="91"/>
    </row>
    <row r="122" spans="1:106">
      <c r="A122" s="19"/>
      <c r="B122" s="19"/>
      <c r="C122" s="19"/>
      <c r="D122" s="19"/>
      <c r="E122" s="19"/>
      <c r="F122" s="19"/>
      <c r="G122" s="19"/>
      <c r="H122" s="19"/>
      <c r="I122" s="19"/>
      <c r="J122" s="19"/>
      <c r="K122" s="30"/>
      <c r="L122" s="19"/>
      <c r="M122" s="19"/>
      <c r="N122" s="19"/>
      <c r="O122" s="19"/>
      <c r="P122" s="19"/>
      <c r="Q122" s="19"/>
      <c r="R122" s="19"/>
      <c r="S122" s="19"/>
      <c r="T122" s="19"/>
      <c r="U122" s="19"/>
      <c r="V122" s="19"/>
      <c r="W122" s="19"/>
      <c r="X122" s="19"/>
      <c r="Y122" s="19"/>
      <c r="Z122" s="19"/>
      <c r="AA122" s="19"/>
      <c r="AB122" s="19"/>
      <c r="AC122" s="19"/>
      <c r="AD122" s="19"/>
      <c r="AE122" s="19"/>
      <c r="AF122" s="19"/>
      <c r="AG122" s="19"/>
      <c r="AH122" s="19"/>
      <c r="AI122" s="19"/>
      <c r="AJ122" s="19"/>
      <c r="AK122" s="19"/>
      <c r="AL122" s="19"/>
      <c r="AM122" s="19"/>
      <c r="AN122" s="19"/>
      <c r="AO122" s="19"/>
      <c r="AP122" s="19"/>
      <c r="AQ122" s="19"/>
      <c r="AR122" s="19"/>
      <c r="AS122" s="19"/>
      <c r="AT122" s="19"/>
      <c r="AU122" s="19"/>
      <c r="AV122" s="19"/>
      <c r="AW122" s="19"/>
      <c r="AX122" s="19"/>
      <c r="AY122" s="19"/>
      <c r="AZ122" s="19"/>
      <c r="BA122" s="19"/>
      <c r="BB122" s="19"/>
      <c r="BC122" s="19"/>
      <c r="BD122" s="19"/>
      <c r="BE122" s="19"/>
      <c r="BF122" s="19"/>
      <c r="BG122" s="19"/>
      <c r="BH122" s="19"/>
      <c r="BI122" s="1"/>
      <c r="BJ122" s="1"/>
      <c r="BK122" s="1"/>
      <c r="BL122" s="1"/>
      <c r="BM122" s="1"/>
      <c r="BN122" s="1"/>
      <c r="BO122" s="1"/>
      <c r="BP122" s="1"/>
      <c r="BQ122" s="1"/>
      <c r="BR122" s="1"/>
      <c r="BS122" s="1"/>
      <c r="BT122" s="1"/>
      <c r="BU122" s="1"/>
      <c r="BV122" s="1"/>
      <c r="BW122" s="1"/>
      <c r="BX122" s="1"/>
      <c r="BY122" s="1"/>
      <c r="BZ122" s="1"/>
      <c r="CA122" s="1"/>
      <c r="CB122" s="1"/>
      <c r="CC122" s="1"/>
      <c r="CD122" s="1"/>
      <c r="CE122" s="1"/>
      <c r="CF122" s="1"/>
      <c r="CG122" s="1"/>
      <c r="CH122" s="1"/>
      <c r="CI122" s="1"/>
      <c r="CJ122" s="1"/>
      <c r="CK122" s="1"/>
      <c r="CL122" s="1"/>
      <c r="CM122" s="1"/>
      <c r="CN122" s="1"/>
      <c r="CO122" s="1"/>
      <c r="CP122" s="1"/>
      <c r="CQ122" s="19"/>
      <c r="CR122" s="19"/>
      <c r="CS122" s="19"/>
      <c r="CT122" s="1"/>
      <c r="CU122" s="1"/>
      <c r="CV122" s="1"/>
      <c r="CW122" s="1"/>
      <c r="CX122" s="1"/>
      <c r="CY122" s="1"/>
      <c r="CZ122" s="1"/>
      <c r="DA122" s="1"/>
      <c r="DB122" s="91"/>
    </row>
    <row r="123" spans="1:106">
      <c r="A123" s="19"/>
      <c r="B123" s="19"/>
      <c r="C123" s="19"/>
      <c r="D123" s="19"/>
      <c r="E123" s="19"/>
      <c r="F123" s="19"/>
      <c r="G123" s="19"/>
      <c r="H123" s="19"/>
      <c r="I123" s="19"/>
      <c r="J123" s="19"/>
      <c r="K123" s="30"/>
      <c r="L123" s="19"/>
      <c r="M123" s="19"/>
      <c r="N123" s="19"/>
      <c r="O123" s="19"/>
      <c r="P123" s="19"/>
      <c r="Q123" s="19"/>
      <c r="R123" s="19"/>
      <c r="S123" s="19"/>
      <c r="T123" s="19"/>
      <c r="U123" s="19"/>
      <c r="V123" s="19"/>
      <c r="W123" s="19"/>
      <c r="X123" s="19"/>
      <c r="Y123" s="19"/>
      <c r="Z123" s="19"/>
      <c r="AA123" s="19"/>
      <c r="AB123" s="19"/>
      <c r="AC123" s="19"/>
      <c r="AD123" s="19"/>
      <c r="AE123" s="19"/>
      <c r="AF123" s="19"/>
      <c r="AG123" s="19"/>
      <c r="AH123" s="19"/>
      <c r="AI123" s="19"/>
      <c r="AJ123" s="19"/>
      <c r="AK123" s="19"/>
      <c r="AL123" s="19"/>
      <c r="AM123" s="19"/>
      <c r="AN123" s="19"/>
      <c r="AO123" s="19"/>
      <c r="AP123" s="19"/>
      <c r="AQ123" s="19"/>
      <c r="AR123" s="19"/>
      <c r="AS123" s="19"/>
      <c r="AT123" s="19"/>
      <c r="AU123" s="19"/>
      <c r="AV123" s="19"/>
      <c r="AW123" s="19"/>
      <c r="AX123" s="19"/>
      <c r="AY123" s="19"/>
      <c r="AZ123" s="19"/>
      <c r="BA123" s="19"/>
      <c r="BB123" s="19"/>
      <c r="BC123" s="19"/>
      <c r="BD123" s="19"/>
      <c r="BE123" s="19"/>
      <c r="BF123" s="19"/>
      <c r="BG123" s="19"/>
      <c r="BH123" s="19"/>
      <c r="BI123" s="1"/>
      <c r="BJ123" s="1"/>
      <c r="BK123" s="1"/>
      <c r="BL123" s="1"/>
      <c r="BM123" s="1"/>
      <c r="BN123" s="1"/>
      <c r="BO123" s="1"/>
      <c r="BP123" s="1"/>
      <c r="BQ123" s="1"/>
      <c r="BR123" s="1"/>
      <c r="BS123" s="1"/>
      <c r="BT123" s="1"/>
      <c r="BU123" s="1"/>
      <c r="BV123" s="1"/>
      <c r="BW123" s="1"/>
      <c r="BX123" s="1"/>
      <c r="BY123" s="1"/>
      <c r="BZ123" s="1"/>
      <c r="CA123" s="1"/>
      <c r="CB123" s="1"/>
      <c r="CC123" s="1"/>
      <c r="CD123" s="1"/>
      <c r="CE123" s="1"/>
      <c r="CF123" s="1"/>
      <c r="CG123" s="1"/>
      <c r="CH123" s="1"/>
      <c r="CI123" s="1"/>
      <c r="CJ123" s="1"/>
      <c r="CK123" s="1"/>
      <c r="CL123" s="1"/>
      <c r="CM123" s="1"/>
      <c r="CN123" s="1"/>
      <c r="CO123" s="1"/>
      <c r="CP123" s="1"/>
      <c r="CQ123" s="19"/>
      <c r="CR123" s="19"/>
      <c r="CS123" s="19"/>
      <c r="CT123" s="1"/>
      <c r="CU123" s="1"/>
      <c r="CV123" s="1"/>
      <c r="CW123" s="1"/>
      <c r="CX123" s="1"/>
      <c r="CY123" s="1"/>
      <c r="CZ123" s="1"/>
      <c r="DA123" s="1"/>
      <c r="DB123" s="91"/>
    </row>
    <row r="124" spans="1:106">
      <c r="A124" s="19"/>
      <c r="B124" s="19"/>
      <c r="C124" s="19"/>
      <c r="D124" s="19"/>
      <c r="E124" s="19"/>
      <c r="F124" s="19"/>
      <c r="G124" s="19"/>
      <c r="H124" s="19"/>
      <c r="I124" s="19"/>
      <c r="J124" s="19"/>
      <c r="K124" s="30"/>
      <c r="L124" s="19"/>
      <c r="M124" s="19"/>
      <c r="N124" s="19"/>
      <c r="O124" s="19"/>
      <c r="P124" s="19"/>
      <c r="Q124" s="19"/>
      <c r="R124" s="19"/>
      <c r="S124" s="19"/>
      <c r="T124" s="19"/>
      <c r="U124" s="19"/>
      <c r="V124" s="19"/>
      <c r="W124" s="19"/>
      <c r="X124" s="19"/>
      <c r="Y124" s="19"/>
      <c r="Z124" s="19"/>
      <c r="AA124" s="19"/>
      <c r="AB124" s="19"/>
      <c r="AC124" s="19"/>
      <c r="AD124" s="19"/>
      <c r="AE124" s="19"/>
      <c r="AF124" s="19"/>
      <c r="AG124" s="19"/>
      <c r="AH124" s="19"/>
      <c r="AI124" s="19"/>
      <c r="AJ124" s="19"/>
      <c r="AK124" s="19"/>
      <c r="AL124" s="19"/>
      <c r="AM124" s="19"/>
      <c r="AN124" s="19"/>
      <c r="AO124" s="19"/>
      <c r="AP124" s="19"/>
      <c r="AQ124" s="19"/>
      <c r="AR124" s="19"/>
      <c r="AS124" s="19"/>
      <c r="AT124" s="19"/>
      <c r="AU124" s="19"/>
      <c r="AV124" s="19"/>
      <c r="AW124" s="19"/>
      <c r="AX124" s="19"/>
      <c r="AY124" s="19"/>
      <c r="AZ124" s="19"/>
      <c r="BA124" s="19"/>
      <c r="BB124" s="19"/>
      <c r="BC124" s="19"/>
      <c r="BD124" s="19"/>
      <c r="BE124" s="19"/>
      <c r="BF124" s="19"/>
      <c r="BG124" s="19"/>
      <c r="BH124" s="19"/>
      <c r="BI124" s="1"/>
      <c r="BJ124" s="1"/>
      <c r="BK124" s="1"/>
      <c r="BL124" s="1"/>
      <c r="BM124" s="1"/>
      <c r="BN124" s="1"/>
      <c r="BO124" s="1"/>
      <c r="BP124" s="1"/>
      <c r="BQ124" s="1"/>
      <c r="BR124" s="1"/>
      <c r="BS124" s="1"/>
      <c r="BT124" s="1"/>
      <c r="BU124" s="1"/>
      <c r="BV124" s="1"/>
      <c r="BW124" s="1"/>
      <c r="BX124" s="1"/>
      <c r="BY124" s="1"/>
      <c r="BZ124" s="1"/>
      <c r="CA124" s="1"/>
      <c r="CB124" s="1"/>
      <c r="CC124" s="1"/>
      <c r="CD124" s="1"/>
      <c r="CE124" s="1"/>
      <c r="CF124" s="1"/>
      <c r="CG124" s="1"/>
      <c r="CH124" s="1"/>
      <c r="CI124" s="1"/>
      <c r="CJ124" s="1"/>
      <c r="CK124" s="1"/>
      <c r="CL124" s="1"/>
      <c r="CM124" s="1"/>
      <c r="CN124" s="1"/>
      <c r="CO124" s="1"/>
      <c r="CP124" s="1"/>
      <c r="CQ124" s="19"/>
      <c r="CR124" s="19"/>
      <c r="CS124" s="19"/>
      <c r="CT124" s="1"/>
      <c r="CU124" s="1"/>
      <c r="CV124" s="1"/>
      <c r="CW124" s="1"/>
      <c r="CX124" s="1"/>
      <c r="CY124" s="1"/>
      <c r="CZ124" s="1"/>
      <c r="DA124" s="1"/>
      <c r="DB124" s="91"/>
    </row>
    <row r="125" spans="1:106">
      <c r="A125" s="19"/>
      <c r="B125" s="19"/>
      <c r="C125" s="19"/>
      <c r="D125" s="19"/>
      <c r="E125" s="19"/>
      <c r="F125" s="19"/>
      <c r="G125" s="19"/>
      <c r="H125" s="19"/>
      <c r="I125" s="19"/>
      <c r="J125" s="19"/>
      <c r="K125" s="30"/>
      <c r="L125" s="19"/>
      <c r="M125" s="19"/>
      <c r="N125" s="19"/>
      <c r="O125" s="19"/>
      <c r="P125" s="19"/>
      <c r="Q125" s="19"/>
      <c r="R125" s="19"/>
      <c r="S125" s="19"/>
      <c r="T125" s="19"/>
      <c r="U125" s="19"/>
      <c r="V125" s="19"/>
      <c r="W125" s="19"/>
      <c r="X125" s="19"/>
      <c r="Y125" s="19"/>
      <c r="Z125" s="19"/>
      <c r="AA125" s="19"/>
      <c r="AB125" s="19"/>
      <c r="AC125" s="19"/>
      <c r="AD125" s="19"/>
      <c r="AE125" s="19"/>
      <c r="AF125" s="19"/>
      <c r="AG125" s="19"/>
      <c r="AH125" s="19"/>
      <c r="AI125" s="19"/>
      <c r="AJ125" s="19"/>
      <c r="AK125" s="19"/>
      <c r="AL125" s="19"/>
      <c r="AM125" s="19"/>
      <c r="AN125" s="19"/>
      <c r="AO125" s="19"/>
      <c r="AP125" s="19"/>
      <c r="AQ125" s="19"/>
      <c r="AR125" s="19"/>
      <c r="AS125" s="19"/>
      <c r="AT125" s="19"/>
      <c r="AU125" s="19"/>
      <c r="AV125" s="19"/>
      <c r="AW125" s="19"/>
      <c r="AX125" s="19"/>
      <c r="AY125" s="19"/>
      <c r="AZ125" s="19"/>
      <c r="BA125" s="19"/>
      <c r="BB125" s="19"/>
      <c r="BC125" s="19"/>
      <c r="BD125" s="19"/>
      <c r="BE125" s="19"/>
      <c r="BF125" s="19"/>
      <c r="BG125" s="19"/>
      <c r="BH125" s="19"/>
      <c r="BI125" s="1"/>
      <c r="BJ125" s="1"/>
      <c r="BK125" s="1"/>
      <c r="BL125" s="1"/>
      <c r="BM125" s="1"/>
      <c r="BN125" s="1"/>
      <c r="BO125" s="1"/>
      <c r="BP125" s="1"/>
      <c r="BQ125" s="1"/>
      <c r="BR125" s="1"/>
      <c r="BS125" s="1"/>
      <c r="BT125" s="1"/>
      <c r="BU125" s="1"/>
      <c r="BV125" s="1"/>
      <c r="BW125" s="1"/>
      <c r="BX125" s="1"/>
      <c r="BY125" s="1"/>
      <c r="BZ125" s="1"/>
      <c r="CA125" s="1"/>
      <c r="CB125" s="1"/>
      <c r="CC125" s="1"/>
      <c r="CD125" s="1"/>
      <c r="CE125" s="1"/>
      <c r="CF125" s="1"/>
      <c r="CG125" s="1"/>
      <c r="CH125" s="1"/>
      <c r="CI125" s="1"/>
      <c r="CJ125" s="1"/>
      <c r="CK125" s="1"/>
      <c r="CL125" s="1"/>
      <c r="CM125" s="1"/>
      <c r="CN125" s="1"/>
      <c r="CO125" s="1"/>
      <c r="CP125" s="1"/>
      <c r="CQ125" s="19"/>
      <c r="CR125" s="19"/>
      <c r="CS125" s="19"/>
      <c r="CT125" s="1"/>
      <c r="CU125" s="1"/>
      <c r="CV125" s="1"/>
      <c r="CW125" s="1"/>
      <c r="CX125" s="1"/>
      <c r="CY125" s="1"/>
      <c r="CZ125" s="1"/>
      <c r="DA125" s="1"/>
      <c r="DB125" s="91"/>
    </row>
    <row r="126" spans="1:106">
      <c r="A126" s="19"/>
      <c r="B126" s="19"/>
      <c r="C126" s="19"/>
      <c r="D126" s="19"/>
      <c r="E126" s="19"/>
      <c r="F126" s="19"/>
      <c r="G126" s="19"/>
      <c r="H126" s="19"/>
      <c r="I126" s="19"/>
      <c r="J126" s="19"/>
      <c r="K126" s="30"/>
      <c r="L126" s="19"/>
      <c r="M126" s="19"/>
      <c r="N126" s="19"/>
      <c r="O126" s="19"/>
      <c r="P126" s="19"/>
      <c r="Q126" s="19"/>
      <c r="R126" s="19"/>
      <c r="S126" s="19"/>
      <c r="T126" s="19"/>
      <c r="U126" s="19"/>
      <c r="V126" s="19"/>
      <c r="W126" s="19"/>
      <c r="X126" s="19"/>
      <c r="Y126" s="19"/>
      <c r="Z126" s="19"/>
      <c r="AA126" s="19"/>
      <c r="AB126" s="19"/>
      <c r="AC126" s="19"/>
      <c r="AD126" s="19"/>
      <c r="AE126" s="19"/>
      <c r="AF126" s="19"/>
      <c r="AG126" s="19"/>
      <c r="AH126" s="19"/>
      <c r="AI126" s="19"/>
      <c r="AJ126" s="19"/>
      <c r="AK126" s="19"/>
      <c r="AL126" s="19"/>
      <c r="AM126" s="19"/>
      <c r="AN126" s="19"/>
      <c r="AO126" s="19"/>
      <c r="AP126" s="19"/>
      <c r="AQ126" s="19"/>
      <c r="AR126" s="19"/>
      <c r="AS126" s="19"/>
      <c r="AT126" s="19"/>
      <c r="AU126" s="19"/>
      <c r="AV126" s="19"/>
      <c r="AW126" s="19"/>
      <c r="AX126" s="19"/>
      <c r="AY126" s="19"/>
      <c r="AZ126" s="19"/>
      <c r="BA126" s="19"/>
      <c r="BB126" s="19"/>
      <c r="BC126" s="19"/>
      <c r="BD126" s="19"/>
      <c r="BE126" s="19"/>
      <c r="BF126" s="19"/>
      <c r="BG126" s="19"/>
      <c r="BH126" s="19"/>
      <c r="BI126" s="1"/>
      <c r="BJ126" s="1"/>
      <c r="BK126" s="1"/>
      <c r="BL126" s="1"/>
      <c r="BM126" s="1"/>
      <c r="BN126" s="1"/>
      <c r="BO126" s="1"/>
      <c r="BP126" s="1"/>
      <c r="BQ126" s="1"/>
      <c r="BR126" s="1"/>
      <c r="BS126" s="1"/>
      <c r="BT126" s="1"/>
      <c r="BU126" s="1"/>
      <c r="BV126" s="1"/>
      <c r="BW126" s="1"/>
      <c r="BX126" s="1"/>
      <c r="BY126" s="1"/>
      <c r="BZ126" s="1"/>
      <c r="CA126" s="1"/>
      <c r="CB126" s="1"/>
      <c r="CC126" s="1"/>
      <c r="CD126" s="1"/>
      <c r="CE126" s="1"/>
      <c r="CF126" s="1"/>
      <c r="CG126" s="1"/>
      <c r="CH126" s="1"/>
      <c r="CI126" s="1"/>
      <c r="CJ126" s="1"/>
      <c r="CK126" s="1"/>
      <c r="CL126" s="1"/>
      <c r="CM126" s="1"/>
      <c r="CN126" s="1"/>
      <c r="CO126" s="1"/>
      <c r="CP126" s="1"/>
      <c r="CQ126" s="19"/>
      <c r="CR126" s="19"/>
      <c r="CS126" s="19"/>
      <c r="CT126" s="1"/>
      <c r="CU126" s="1"/>
      <c r="CV126" s="1"/>
      <c r="CW126" s="1"/>
      <c r="CX126" s="1"/>
      <c r="CY126" s="1"/>
      <c r="CZ126" s="1"/>
      <c r="DA126" s="1"/>
      <c r="DB126" s="91"/>
    </row>
    <row r="127" spans="1:106">
      <c r="A127" s="19"/>
      <c r="B127" s="19"/>
      <c r="C127" s="19"/>
      <c r="D127" s="19"/>
      <c r="E127" s="19"/>
      <c r="F127" s="19"/>
      <c r="G127" s="19"/>
      <c r="H127" s="19"/>
      <c r="I127" s="19"/>
      <c r="J127" s="19"/>
      <c r="K127" s="30"/>
      <c r="L127" s="19"/>
      <c r="M127" s="19"/>
      <c r="N127" s="19"/>
      <c r="O127" s="19"/>
      <c r="P127" s="19"/>
      <c r="Q127" s="19"/>
      <c r="R127" s="19"/>
      <c r="S127" s="19"/>
      <c r="T127" s="19"/>
      <c r="U127" s="19"/>
      <c r="V127" s="19"/>
      <c r="W127" s="19"/>
      <c r="X127" s="19"/>
      <c r="Y127" s="19"/>
      <c r="Z127" s="19"/>
      <c r="AA127" s="19"/>
      <c r="AB127" s="19"/>
      <c r="AC127" s="19"/>
      <c r="AD127" s="19"/>
      <c r="AE127" s="19"/>
      <c r="AF127" s="19"/>
      <c r="AG127" s="19"/>
      <c r="AH127" s="19"/>
      <c r="AI127" s="19"/>
      <c r="AJ127" s="19"/>
      <c r="AK127" s="19"/>
      <c r="AL127" s="19"/>
      <c r="AM127" s="19"/>
      <c r="AN127" s="19"/>
      <c r="AO127" s="19"/>
      <c r="AP127" s="19"/>
      <c r="AQ127" s="19"/>
      <c r="AR127" s="19"/>
      <c r="AS127" s="19"/>
      <c r="AT127" s="19"/>
      <c r="AU127" s="19"/>
      <c r="AV127" s="19"/>
      <c r="AW127" s="19"/>
      <c r="AX127" s="19"/>
      <c r="AY127" s="19"/>
      <c r="AZ127" s="19"/>
      <c r="BA127" s="19"/>
      <c r="BB127" s="19"/>
      <c r="BC127" s="19"/>
      <c r="BD127" s="19"/>
      <c r="BE127" s="19"/>
      <c r="BF127" s="19"/>
      <c r="BG127" s="19"/>
      <c r="BH127" s="19"/>
      <c r="BI127" s="1"/>
      <c r="BJ127" s="1"/>
      <c r="BK127" s="1"/>
      <c r="BL127" s="1"/>
      <c r="BM127" s="1"/>
      <c r="BN127" s="1"/>
      <c r="BO127" s="1"/>
      <c r="BP127" s="1"/>
      <c r="BQ127" s="1"/>
      <c r="BR127" s="1"/>
      <c r="BS127" s="1"/>
      <c r="BT127" s="1"/>
      <c r="BU127" s="1"/>
      <c r="BV127" s="1"/>
      <c r="BW127" s="1"/>
      <c r="BX127" s="1"/>
      <c r="BY127" s="1"/>
      <c r="BZ127" s="1"/>
      <c r="CA127" s="1"/>
      <c r="CB127" s="1"/>
      <c r="CC127" s="1"/>
      <c r="CD127" s="1"/>
      <c r="CE127" s="1"/>
      <c r="CF127" s="1"/>
      <c r="CG127" s="1"/>
      <c r="CH127" s="1"/>
      <c r="CI127" s="1"/>
      <c r="CJ127" s="1"/>
      <c r="CK127" s="1"/>
      <c r="CL127" s="1"/>
      <c r="CM127" s="1"/>
      <c r="CN127" s="1"/>
      <c r="CO127" s="1"/>
      <c r="CP127" s="1"/>
      <c r="CQ127" s="19"/>
      <c r="CR127" s="19"/>
      <c r="CS127" s="19"/>
      <c r="CT127" s="1"/>
      <c r="CU127" s="1"/>
      <c r="CV127" s="1"/>
      <c r="CW127" s="1"/>
      <c r="CX127" s="1"/>
      <c r="CY127" s="1"/>
      <c r="CZ127" s="1"/>
      <c r="DA127" s="1"/>
      <c r="DB127" s="91"/>
    </row>
    <row r="128" spans="1:106">
      <c r="A128" s="19"/>
      <c r="B128" s="19"/>
      <c r="C128" s="19"/>
      <c r="D128" s="19"/>
      <c r="E128" s="19"/>
      <c r="F128" s="19"/>
      <c r="G128" s="19"/>
      <c r="H128" s="19"/>
      <c r="I128" s="19"/>
      <c r="J128" s="19"/>
      <c r="K128" s="30"/>
      <c r="L128" s="19"/>
      <c r="M128" s="19"/>
      <c r="N128" s="19"/>
      <c r="O128" s="19"/>
      <c r="P128" s="19"/>
      <c r="Q128" s="19"/>
      <c r="R128" s="19"/>
      <c r="S128" s="19"/>
      <c r="T128" s="19"/>
      <c r="U128" s="19"/>
      <c r="V128" s="19"/>
      <c r="W128" s="19"/>
      <c r="X128" s="19"/>
      <c r="Y128" s="19"/>
      <c r="Z128" s="19"/>
      <c r="AA128" s="19"/>
      <c r="AB128" s="19"/>
      <c r="AC128" s="19"/>
      <c r="AD128" s="19"/>
      <c r="AE128" s="19"/>
      <c r="AF128" s="19"/>
      <c r="AG128" s="19"/>
      <c r="AH128" s="19"/>
      <c r="AI128" s="19"/>
      <c r="AJ128" s="19"/>
      <c r="AK128" s="19"/>
      <c r="AL128" s="19"/>
      <c r="AM128" s="19"/>
      <c r="AN128" s="19"/>
      <c r="AO128" s="19"/>
      <c r="AP128" s="19"/>
      <c r="AQ128" s="19"/>
      <c r="AR128" s="19"/>
      <c r="AS128" s="19"/>
      <c r="AT128" s="19"/>
      <c r="AU128" s="19"/>
      <c r="AV128" s="19"/>
      <c r="AW128" s="19"/>
      <c r="AX128" s="19"/>
      <c r="AY128" s="19"/>
      <c r="AZ128" s="19"/>
      <c r="BA128" s="19"/>
      <c r="BB128" s="19"/>
      <c r="BC128" s="19"/>
      <c r="BD128" s="19"/>
      <c r="BE128" s="19"/>
      <c r="BF128" s="19"/>
      <c r="BG128" s="19"/>
      <c r="BH128" s="19"/>
      <c r="BI128" s="1"/>
      <c r="BJ128" s="1"/>
      <c r="BK128" s="1"/>
      <c r="BL128" s="1"/>
      <c r="BM128" s="1"/>
      <c r="BN128" s="1"/>
      <c r="BO128" s="1"/>
      <c r="BP128" s="1"/>
      <c r="BQ128" s="1"/>
      <c r="BR128" s="1"/>
      <c r="BS128" s="1"/>
      <c r="BT128" s="1"/>
      <c r="BU128" s="1"/>
      <c r="BV128" s="1"/>
      <c r="BW128" s="1"/>
      <c r="BX128" s="1"/>
      <c r="BY128" s="1"/>
      <c r="BZ128" s="1"/>
      <c r="CA128" s="1"/>
      <c r="CB128" s="1"/>
      <c r="CC128" s="1"/>
      <c r="CD128" s="1"/>
      <c r="CE128" s="1"/>
      <c r="CF128" s="1"/>
      <c r="CG128" s="1"/>
      <c r="CH128" s="1"/>
      <c r="CI128" s="1"/>
      <c r="CJ128" s="1"/>
      <c r="CK128" s="1"/>
      <c r="CL128" s="1"/>
      <c r="CM128" s="1"/>
      <c r="CN128" s="1"/>
      <c r="CO128" s="1"/>
      <c r="CP128" s="1"/>
      <c r="CQ128" s="19"/>
      <c r="CR128" s="19"/>
      <c r="CS128" s="19"/>
      <c r="CT128" s="1"/>
      <c r="CU128" s="1"/>
      <c r="CV128" s="1"/>
      <c r="CW128" s="1"/>
      <c r="CX128" s="1"/>
      <c r="CY128" s="1"/>
      <c r="CZ128" s="1"/>
      <c r="DA128" s="1"/>
      <c r="DB128" s="91"/>
    </row>
    <row r="129" spans="1:106">
      <c r="A129" s="19"/>
      <c r="B129" s="19"/>
      <c r="C129" s="19"/>
      <c r="D129" s="19"/>
      <c r="E129" s="19"/>
      <c r="F129" s="19"/>
      <c r="G129" s="19"/>
      <c r="H129" s="19"/>
      <c r="I129" s="19"/>
      <c r="J129" s="19"/>
      <c r="K129" s="30"/>
      <c r="L129" s="19"/>
      <c r="M129" s="19"/>
      <c r="N129" s="19"/>
      <c r="O129" s="19"/>
      <c r="P129" s="19"/>
      <c r="Q129" s="19"/>
      <c r="R129" s="19"/>
      <c r="S129" s="19"/>
      <c r="T129" s="19"/>
      <c r="U129" s="19"/>
      <c r="V129" s="19"/>
      <c r="W129" s="19"/>
      <c r="X129" s="19"/>
      <c r="Y129" s="19"/>
      <c r="Z129" s="19"/>
      <c r="AA129" s="19"/>
      <c r="AB129" s="19"/>
      <c r="AC129" s="19"/>
      <c r="AD129" s="19"/>
      <c r="AE129" s="19"/>
      <c r="AF129" s="19"/>
      <c r="AG129" s="19"/>
      <c r="AH129" s="19"/>
      <c r="AI129" s="19"/>
      <c r="AJ129" s="19"/>
      <c r="AK129" s="19"/>
      <c r="AL129" s="19"/>
      <c r="AM129" s="19"/>
      <c r="AN129" s="19"/>
      <c r="AO129" s="19"/>
      <c r="AP129" s="19"/>
      <c r="AQ129" s="19"/>
      <c r="AR129" s="19"/>
      <c r="AS129" s="19"/>
      <c r="AT129" s="19"/>
      <c r="AU129" s="19"/>
      <c r="AV129" s="19"/>
      <c r="AW129" s="19"/>
      <c r="AX129" s="19"/>
      <c r="AY129" s="19"/>
      <c r="AZ129" s="19"/>
      <c r="BA129" s="19"/>
      <c r="BB129" s="19"/>
      <c r="BC129" s="19"/>
      <c r="BD129" s="19"/>
      <c r="BE129" s="19"/>
      <c r="BF129" s="19"/>
      <c r="BG129" s="19"/>
      <c r="BH129" s="19"/>
      <c r="BI129" s="1"/>
      <c r="BJ129" s="1"/>
      <c r="BK129" s="1"/>
      <c r="BL129" s="1"/>
      <c r="BM129" s="1"/>
      <c r="BN129" s="1"/>
      <c r="BO129" s="1"/>
      <c r="BP129" s="1"/>
      <c r="BQ129" s="1"/>
      <c r="BR129" s="1"/>
      <c r="BS129" s="1"/>
      <c r="BT129" s="1"/>
      <c r="BU129" s="1"/>
      <c r="BV129" s="1"/>
      <c r="BW129" s="1"/>
      <c r="BX129" s="1"/>
      <c r="BY129" s="1"/>
      <c r="BZ129" s="1"/>
      <c r="CA129" s="1"/>
      <c r="CB129" s="1"/>
      <c r="CC129" s="1"/>
      <c r="CD129" s="1"/>
      <c r="CE129" s="1"/>
      <c r="CF129" s="1"/>
      <c r="CG129" s="1"/>
      <c r="CH129" s="1"/>
      <c r="CI129" s="1"/>
      <c r="CJ129" s="1"/>
      <c r="CK129" s="1"/>
      <c r="CL129" s="1"/>
      <c r="CM129" s="1"/>
      <c r="CN129" s="1"/>
      <c r="CO129" s="1"/>
      <c r="CP129" s="1"/>
      <c r="CQ129" s="19"/>
      <c r="CR129" s="19"/>
      <c r="CS129" s="19"/>
      <c r="CT129" s="1"/>
      <c r="CU129" s="1"/>
      <c r="CV129" s="1"/>
      <c r="CW129" s="1"/>
      <c r="CX129" s="1"/>
      <c r="CY129" s="1"/>
      <c r="CZ129" s="1"/>
      <c r="DA129" s="1"/>
      <c r="DB129" s="91"/>
    </row>
    <row r="130" spans="1:106">
      <c r="A130" s="19"/>
      <c r="B130" s="19"/>
      <c r="C130" s="19"/>
      <c r="D130" s="19"/>
      <c r="E130" s="19"/>
      <c r="F130" s="19"/>
      <c r="G130" s="19"/>
      <c r="H130" s="19"/>
      <c r="I130" s="19"/>
      <c r="J130" s="19"/>
      <c r="K130" s="30"/>
      <c r="L130" s="19"/>
      <c r="M130" s="19"/>
      <c r="N130" s="19"/>
      <c r="O130" s="19"/>
      <c r="P130" s="19"/>
      <c r="Q130" s="19"/>
      <c r="R130" s="19"/>
      <c r="S130" s="19"/>
      <c r="T130" s="19"/>
      <c r="U130" s="19"/>
      <c r="V130" s="19"/>
      <c r="W130" s="19"/>
      <c r="X130" s="19"/>
      <c r="Y130" s="19"/>
      <c r="Z130" s="19"/>
      <c r="AA130" s="19"/>
      <c r="AB130" s="19"/>
      <c r="AC130" s="19"/>
      <c r="AD130" s="19"/>
      <c r="AE130" s="19"/>
      <c r="AF130" s="19"/>
      <c r="AG130" s="19"/>
      <c r="AH130" s="19"/>
      <c r="AI130" s="19"/>
      <c r="AJ130" s="19"/>
      <c r="AK130" s="19"/>
      <c r="AL130" s="19"/>
      <c r="AM130" s="19"/>
      <c r="AN130" s="19"/>
      <c r="AO130" s="19"/>
      <c r="AP130" s="19"/>
      <c r="AQ130" s="19"/>
      <c r="AR130" s="19"/>
      <c r="AS130" s="19"/>
      <c r="AT130" s="19"/>
      <c r="AU130" s="19"/>
      <c r="AV130" s="19"/>
      <c r="AW130" s="19"/>
      <c r="AX130" s="19"/>
      <c r="AY130" s="19"/>
      <c r="AZ130" s="19"/>
      <c r="BA130" s="19"/>
      <c r="BB130" s="19"/>
      <c r="BC130" s="19"/>
      <c r="BD130" s="19"/>
      <c r="BE130" s="19"/>
      <c r="BF130" s="19"/>
      <c r="BG130" s="19"/>
      <c r="BH130" s="19"/>
      <c r="BI130" s="1"/>
      <c r="BJ130" s="1"/>
      <c r="BK130" s="1"/>
      <c r="BL130" s="1"/>
      <c r="BM130" s="1"/>
      <c r="BN130" s="1"/>
      <c r="BO130" s="1"/>
      <c r="BP130" s="1"/>
      <c r="BQ130" s="1"/>
      <c r="BR130" s="1"/>
      <c r="BS130" s="1"/>
      <c r="BT130" s="1"/>
      <c r="BU130" s="1"/>
      <c r="BV130" s="1"/>
      <c r="BW130" s="1"/>
      <c r="BX130" s="1"/>
      <c r="BY130" s="1"/>
      <c r="BZ130" s="1"/>
      <c r="CA130" s="1"/>
      <c r="CB130" s="1"/>
      <c r="CC130" s="1"/>
      <c r="CD130" s="1"/>
      <c r="CE130" s="1"/>
      <c r="CF130" s="1"/>
      <c r="CG130" s="1"/>
      <c r="CH130" s="1"/>
      <c r="CI130" s="1"/>
      <c r="CJ130" s="1"/>
      <c r="CK130" s="1"/>
      <c r="CL130" s="1"/>
      <c r="CM130" s="1"/>
      <c r="CQ130" s="19"/>
      <c r="CR130" s="19"/>
      <c r="CS130" s="19"/>
      <c r="CT130" s="1"/>
      <c r="CU130" s="1"/>
      <c r="CV130" s="1"/>
      <c r="CW130" s="1"/>
      <c r="CX130" s="1"/>
      <c r="CY130" s="1"/>
      <c r="CZ130" s="1"/>
      <c r="DA130" s="1"/>
      <c r="DB130" s="91"/>
    </row>
    <row r="131" spans="1:106">
      <c r="A131" s="19"/>
      <c r="B131" s="19"/>
      <c r="C131" s="19"/>
      <c r="D131" s="19"/>
      <c r="E131" s="19"/>
      <c r="F131" s="19"/>
      <c r="G131" s="19"/>
      <c r="H131" s="19"/>
      <c r="I131" s="19"/>
      <c r="J131" s="19"/>
      <c r="K131" s="30"/>
      <c r="L131" s="19"/>
      <c r="M131" s="19"/>
      <c r="N131" s="19"/>
      <c r="O131" s="19"/>
      <c r="P131" s="19"/>
      <c r="Q131" s="19"/>
      <c r="R131" s="19"/>
      <c r="S131" s="19"/>
      <c r="T131" s="19"/>
      <c r="U131" s="19"/>
      <c r="V131" s="19"/>
      <c r="W131" s="19"/>
      <c r="X131" s="19"/>
      <c r="Y131" s="19"/>
      <c r="Z131" s="19"/>
      <c r="AA131" s="19"/>
      <c r="AB131" s="19"/>
      <c r="AC131" s="19"/>
      <c r="AD131" s="19"/>
      <c r="AE131" s="19"/>
      <c r="AF131" s="19"/>
      <c r="AG131" s="19"/>
      <c r="AH131" s="19"/>
      <c r="AI131" s="19"/>
      <c r="AJ131" s="19"/>
      <c r="AK131" s="19"/>
      <c r="AL131" s="19"/>
      <c r="AM131" s="19"/>
      <c r="AN131" s="19"/>
      <c r="AO131" s="19"/>
      <c r="AP131" s="19"/>
      <c r="AQ131" s="19"/>
      <c r="AR131" s="19"/>
      <c r="AS131" s="19"/>
      <c r="AT131" s="19"/>
      <c r="AU131" s="19"/>
      <c r="AV131" s="19"/>
      <c r="AW131" s="19"/>
      <c r="AX131" s="19"/>
      <c r="AY131" s="19"/>
      <c r="AZ131" s="19"/>
      <c r="BA131" s="19"/>
      <c r="BB131" s="19"/>
      <c r="BC131" s="19"/>
      <c r="BD131" s="19"/>
      <c r="BE131" s="19"/>
      <c r="BF131" s="19"/>
      <c r="BG131" s="19"/>
      <c r="BH131" s="19"/>
      <c r="BI131" s="1"/>
      <c r="BJ131" s="1"/>
      <c r="BK131" s="1"/>
      <c r="BL131" s="1"/>
      <c r="BM131" s="1"/>
      <c r="BN131" s="1"/>
      <c r="BO131" s="1"/>
      <c r="BP131" s="1"/>
      <c r="BQ131" s="1"/>
      <c r="BR131" s="1"/>
      <c r="BS131" s="1"/>
      <c r="BT131" s="1"/>
      <c r="BU131" s="1"/>
      <c r="BV131" s="1"/>
      <c r="BW131" s="1"/>
      <c r="BX131" s="1"/>
      <c r="BY131" s="1"/>
      <c r="BZ131" s="1"/>
      <c r="CA131" s="1"/>
      <c r="CB131" s="1"/>
      <c r="CC131" s="1"/>
      <c r="CD131" s="1"/>
      <c r="CE131" s="1"/>
      <c r="CF131" s="1"/>
      <c r="CG131" s="1"/>
      <c r="CH131" s="1"/>
      <c r="CI131" s="1"/>
      <c r="CJ131" s="1"/>
      <c r="CK131" s="1"/>
      <c r="CL131" s="1"/>
      <c r="CM131" s="1"/>
      <c r="CQ131" s="19"/>
      <c r="CR131" s="19"/>
      <c r="CS131" s="19"/>
      <c r="CT131" s="1"/>
      <c r="CU131" s="1"/>
      <c r="CV131" s="1"/>
      <c r="CW131" s="1"/>
      <c r="CX131" s="1"/>
      <c r="CY131" s="1"/>
      <c r="CZ131" s="1"/>
      <c r="DA131" s="1"/>
      <c r="DB131" s="91"/>
    </row>
    <row r="132" spans="1:106">
      <c r="A132" s="19"/>
      <c r="B132" s="19"/>
      <c r="C132" s="19"/>
      <c r="D132" s="19"/>
      <c r="E132" s="19"/>
      <c r="F132" s="19"/>
      <c r="G132" s="19"/>
      <c r="H132" s="19"/>
      <c r="I132" s="19"/>
      <c r="J132" s="19"/>
      <c r="K132" s="30"/>
      <c r="L132" s="19"/>
      <c r="M132" s="19"/>
      <c r="N132" s="19"/>
      <c r="O132" s="19"/>
      <c r="P132" s="19"/>
      <c r="Q132" s="19"/>
      <c r="R132" s="19"/>
      <c r="S132" s="19"/>
      <c r="T132" s="19"/>
      <c r="U132" s="19"/>
      <c r="V132" s="19"/>
      <c r="W132" s="19"/>
      <c r="X132" s="19"/>
      <c r="Y132" s="19"/>
      <c r="Z132" s="19"/>
      <c r="AA132" s="19"/>
      <c r="AB132" s="19"/>
      <c r="AC132" s="19"/>
      <c r="AD132" s="19"/>
      <c r="AE132" s="19"/>
      <c r="AF132" s="19"/>
      <c r="AG132" s="19"/>
      <c r="AH132" s="19"/>
      <c r="AI132" s="19"/>
      <c r="AJ132" s="19"/>
      <c r="AK132" s="19"/>
      <c r="AL132" s="19"/>
      <c r="AM132" s="19"/>
      <c r="AN132" s="19"/>
      <c r="AO132" s="19"/>
      <c r="AP132" s="19"/>
      <c r="AQ132" s="19"/>
      <c r="AR132" s="19"/>
      <c r="AS132" s="19"/>
      <c r="AT132" s="19"/>
      <c r="AU132" s="19"/>
      <c r="AV132" s="19"/>
      <c r="AW132" s="19"/>
      <c r="AX132" s="19"/>
      <c r="AY132" s="19"/>
      <c r="AZ132" s="19"/>
      <c r="BA132" s="19"/>
      <c r="BB132" s="19"/>
      <c r="BC132" s="19"/>
      <c r="BD132" s="19"/>
      <c r="BE132" s="19"/>
      <c r="BF132" s="19"/>
      <c r="BG132" s="19"/>
      <c r="BH132" s="19"/>
      <c r="BI132" s="1"/>
      <c r="BJ132" s="1"/>
      <c r="BK132" s="1"/>
      <c r="BL132" s="1"/>
      <c r="BM132" s="1"/>
      <c r="BN132" s="1"/>
      <c r="BO132" s="1"/>
      <c r="BP132" s="1"/>
      <c r="BQ132" s="1"/>
      <c r="BR132" s="1"/>
      <c r="BS132" s="1"/>
      <c r="BT132" s="1"/>
      <c r="BU132" s="1"/>
      <c r="BV132" s="1"/>
      <c r="BW132" s="1"/>
      <c r="BX132" s="1"/>
      <c r="BY132" s="1"/>
      <c r="BZ132" s="1"/>
      <c r="CA132" s="1"/>
      <c r="CB132" s="1"/>
      <c r="CC132" s="1"/>
      <c r="CD132" s="1"/>
      <c r="CE132" s="1"/>
      <c r="CF132" s="1"/>
      <c r="CG132" s="1"/>
      <c r="CH132" s="1"/>
      <c r="CI132" s="1"/>
      <c r="CJ132" s="1"/>
      <c r="CK132" s="1"/>
      <c r="CL132" s="1"/>
      <c r="CM132" s="1"/>
      <c r="CQ132" s="19"/>
      <c r="CR132" s="19"/>
      <c r="CS132" s="19"/>
      <c r="CT132" s="1"/>
      <c r="CU132" s="1"/>
      <c r="CV132" s="1"/>
      <c r="CW132" s="1"/>
      <c r="CX132" s="1"/>
      <c r="CY132" s="1"/>
      <c r="CZ132" s="1"/>
      <c r="DA132" s="1"/>
      <c r="DB132" s="91"/>
    </row>
    <row r="133" spans="1:106">
      <c r="A133" s="19"/>
      <c r="B133" s="19"/>
      <c r="C133" s="19"/>
      <c r="D133" s="19"/>
      <c r="E133" s="19"/>
      <c r="F133" s="19"/>
      <c r="G133" s="19"/>
      <c r="H133" s="19"/>
      <c r="I133" s="19"/>
      <c r="J133" s="19"/>
      <c r="K133" s="30"/>
      <c r="L133" s="19"/>
      <c r="M133" s="19"/>
      <c r="N133" s="19"/>
      <c r="O133" s="19"/>
      <c r="P133" s="19"/>
      <c r="Q133" s="19"/>
      <c r="R133" s="19"/>
      <c r="S133" s="19"/>
      <c r="T133" s="19"/>
      <c r="U133" s="19"/>
      <c r="V133" s="19"/>
      <c r="W133" s="19"/>
      <c r="X133" s="19"/>
      <c r="Y133" s="19"/>
      <c r="Z133" s="19"/>
      <c r="AA133" s="19"/>
      <c r="AB133" s="19"/>
      <c r="AC133" s="19"/>
      <c r="AD133" s="19"/>
      <c r="AE133" s="19"/>
      <c r="AF133" s="19"/>
      <c r="AG133" s="19"/>
      <c r="AH133" s="19"/>
      <c r="AI133" s="19"/>
      <c r="AJ133" s="19"/>
      <c r="AK133" s="19"/>
      <c r="AL133" s="19"/>
      <c r="AM133" s="19"/>
      <c r="AN133" s="19"/>
      <c r="AO133" s="19"/>
      <c r="AP133" s="19"/>
      <c r="AQ133" s="19"/>
      <c r="AR133" s="19"/>
      <c r="AS133" s="19"/>
      <c r="AT133" s="19"/>
      <c r="AU133" s="19"/>
      <c r="AV133" s="19"/>
      <c r="AW133" s="19"/>
      <c r="AX133" s="19"/>
      <c r="AY133" s="19"/>
      <c r="AZ133" s="19"/>
      <c r="BA133" s="19"/>
      <c r="BB133" s="19"/>
      <c r="BC133" s="19"/>
      <c r="BD133" s="19"/>
      <c r="BE133" s="19"/>
      <c r="BF133" s="19"/>
      <c r="BG133" s="19"/>
      <c r="BH133" s="19"/>
      <c r="BI133" s="1"/>
      <c r="BJ133" s="1"/>
      <c r="BK133" s="1"/>
      <c r="BL133" s="1"/>
      <c r="BM133" s="1"/>
      <c r="BN133" s="1"/>
      <c r="BO133" s="1"/>
      <c r="BP133" s="1"/>
      <c r="BQ133" s="1"/>
      <c r="BR133" s="1"/>
      <c r="BS133" s="1"/>
      <c r="BT133" s="1"/>
      <c r="BU133" s="1"/>
      <c r="BV133" s="1"/>
      <c r="BW133" s="1"/>
      <c r="BX133" s="1"/>
      <c r="BY133" s="1"/>
      <c r="BZ133" s="1"/>
      <c r="CA133" s="1"/>
      <c r="CB133" s="1"/>
      <c r="CC133" s="1"/>
      <c r="CD133" s="1"/>
      <c r="CE133" s="1"/>
      <c r="CF133" s="1"/>
      <c r="CG133" s="1"/>
      <c r="CH133" s="1"/>
      <c r="CI133" s="1"/>
      <c r="CJ133" s="1"/>
      <c r="CK133" s="1"/>
      <c r="CL133" s="1"/>
      <c r="CM133" s="1"/>
      <c r="CQ133" s="19"/>
      <c r="CR133" s="19"/>
      <c r="CS133" s="19"/>
      <c r="CT133" s="1"/>
      <c r="CU133" s="1"/>
      <c r="CV133" s="1"/>
      <c r="CW133" s="1"/>
      <c r="CX133" s="1"/>
      <c r="CY133" s="1"/>
      <c r="CZ133" s="1"/>
      <c r="DA133" s="1"/>
      <c r="DB133" s="91"/>
    </row>
    <row r="134" spans="1:106">
      <c r="A134" s="19"/>
      <c r="B134" s="19"/>
      <c r="C134" s="19"/>
      <c r="D134" s="19"/>
      <c r="E134" s="19"/>
      <c r="F134" s="19"/>
      <c r="G134" s="19"/>
      <c r="H134" s="19"/>
      <c r="I134" s="19"/>
      <c r="J134" s="19"/>
      <c r="K134" s="30"/>
      <c r="L134" s="19"/>
      <c r="M134" s="19"/>
      <c r="N134" s="19"/>
      <c r="O134" s="19"/>
      <c r="P134" s="19"/>
      <c r="Q134" s="19"/>
      <c r="R134" s="19"/>
      <c r="S134" s="19"/>
      <c r="T134" s="19"/>
      <c r="U134" s="19"/>
      <c r="V134" s="19"/>
      <c r="W134" s="19"/>
      <c r="X134" s="19"/>
      <c r="Y134" s="19"/>
      <c r="Z134" s="19"/>
      <c r="AA134" s="19"/>
      <c r="AB134" s="19"/>
      <c r="AC134" s="19"/>
      <c r="AD134" s="19"/>
      <c r="AE134" s="19"/>
      <c r="AF134" s="19"/>
      <c r="AG134" s="19"/>
      <c r="AH134" s="19"/>
      <c r="AI134" s="19"/>
      <c r="AJ134" s="19"/>
      <c r="AK134" s="19"/>
      <c r="AL134" s="19"/>
      <c r="AM134" s="19"/>
      <c r="AN134" s="19"/>
      <c r="AO134" s="19"/>
      <c r="AP134" s="19"/>
      <c r="AQ134" s="19"/>
      <c r="AR134" s="19"/>
      <c r="AS134" s="19"/>
      <c r="AT134" s="19"/>
      <c r="AU134" s="19"/>
      <c r="AV134" s="19"/>
      <c r="AW134" s="19"/>
      <c r="AX134" s="19"/>
      <c r="AY134" s="19"/>
      <c r="AZ134" s="19"/>
      <c r="BA134" s="19"/>
      <c r="BB134" s="19"/>
      <c r="BC134" s="19"/>
      <c r="BD134" s="19"/>
      <c r="BE134" s="19"/>
      <c r="BF134" s="19"/>
      <c r="BG134" s="19"/>
      <c r="BH134" s="19"/>
      <c r="BI134" s="1"/>
      <c r="BJ134" s="1"/>
      <c r="BK134" s="1"/>
      <c r="BL134" s="1"/>
      <c r="BM134" s="1"/>
      <c r="BN134" s="1"/>
      <c r="BO134" s="1"/>
      <c r="BP134" s="1"/>
      <c r="BQ134" s="1"/>
      <c r="BR134" s="1"/>
      <c r="BS134" s="1"/>
      <c r="BT134" s="1"/>
      <c r="BU134" s="1"/>
      <c r="BV134" s="1"/>
      <c r="BW134" s="1"/>
      <c r="BX134" s="1"/>
      <c r="BY134" s="1"/>
      <c r="BZ134" s="1"/>
      <c r="CA134" s="1"/>
      <c r="CB134" s="1"/>
      <c r="CC134" s="1"/>
      <c r="CD134" s="1"/>
      <c r="CE134" s="1"/>
      <c r="CF134" s="1"/>
      <c r="CG134" s="1"/>
      <c r="CH134" s="1"/>
      <c r="CI134" s="1"/>
      <c r="CJ134" s="1"/>
      <c r="CK134" s="1"/>
      <c r="CL134" s="1"/>
      <c r="CM134" s="1"/>
      <c r="CQ134" s="19"/>
      <c r="CR134" s="19"/>
      <c r="CS134" s="19"/>
      <c r="CT134" s="1"/>
      <c r="CU134" s="1"/>
      <c r="CV134" s="1"/>
      <c r="CW134" s="1"/>
      <c r="CX134" s="1"/>
      <c r="CY134" s="1"/>
      <c r="CZ134" s="1"/>
      <c r="DA134" s="1"/>
      <c r="DB134" s="91"/>
    </row>
    <row r="135" spans="1:106">
      <c r="A135" s="19"/>
      <c r="B135" s="19"/>
      <c r="C135" s="19"/>
      <c r="D135" s="19"/>
      <c r="E135" s="19"/>
      <c r="F135" s="19"/>
      <c r="G135" s="19"/>
      <c r="H135" s="19"/>
      <c r="I135" s="19"/>
      <c r="J135" s="19"/>
      <c r="K135" s="30"/>
      <c r="L135" s="19"/>
      <c r="M135" s="19"/>
      <c r="N135" s="19"/>
      <c r="O135" s="19"/>
      <c r="P135" s="19"/>
      <c r="Q135" s="19"/>
      <c r="R135" s="19"/>
      <c r="S135" s="19"/>
      <c r="T135" s="19"/>
      <c r="U135" s="19"/>
      <c r="V135" s="19"/>
      <c r="W135" s="19"/>
      <c r="X135" s="19"/>
      <c r="Y135" s="19"/>
      <c r="Z135" s="19"/>
      <c r="AA135" s="19"/>
      <c r="AB135" s="19"/>
      <c r="AC135" s="19"/>
      <c r="AD135" s="19"/>
      <c r="AE135" s="19"/>
      <c r="AF135" s="19"/>
      <c r="AG135" s="19"/>
      <c r="AH135" s="19"/>
      <c r="AI135" s="19"/>
      <c r="AJ135" s="19"/>
      <c r="AK135" s="19"/>
      <c r="AL135" s="19"/>
      <c r="AM135" s="19"/>
      <c r="AN135" s="19"/>
      <c r="AO135" s="19"/>
      <c r="AP135" s="19"/>
      <c r="AQ135" s="19"/>
      <c r="AR135" s="19"/>
      <c r="AS135" s="19"/>
      <c r="AT135" s="19"/>
      <c r="AU135" s="19"/>
      <c r="AV135" s="19"/>
      <c r="AW135" s="19"/>
      <c r="AX135" s="19"/>
      <c r="AY135" s="19"/>
      <c r="AZ135" s="19"/>
      <c r="BA135" s="19"/>
      <c r="BB135" s="19"/>
      <c r="BC135" s="19"/>
      <c r="BD135" s="19"/>
      <c r="BE135" s="19"/>
      <c r="BF135" s="19"/>
      <c r="BG135" s="19"/>
      <c r="BH135" s="19"/>
      <c r="BI135" s="1"/>
      <c r="BJ135" s="1"/>
      <c r="BK135" s="1"/>
      <c r="BL135" s="1"/>
      <c r="BM135" s="1"/>
      <c r="BN135" s="1"/>
      <c r="BO135" s="1"/>
      <c r="BP135" s="1"/>
      <c r="BQ135" s="1"/>
      <c r="BR135" s="1"/>
      <c r="BS135" s="1"/>
      <c r="BT135" s="1"/>
      <c r="BU135" s="1"/>
      <c r="BV135" s="1"/>
      <c r="BW135" s="1"/>
      <c r="BX135" s="1"/>
      <c r="BY135" s="1"/>
      <c r="BZ135" s="1"/>
      <c r="CA135" s="1"/>
      <c r="CB135" s="1"/>
      <c r="CC135" s="1"/>
      <c r="CD135" s="1"/>
      <c r="CE135" s="1"/>
      <c r="CF135" s="1"/>
      <c r="CG135" s="1"/>
      <c r="CH135" s="1"/>
      <c r="CI135" s="1"/>
      <c r="CJ135" s="1"/>
      <c r="CK135" s="1"/>
      <c r="CL135" s="1"/>
      <c r="CM135" s="1"/>
      <c r="CQ135" s="19"/>
      <c r="CR135" s="19"/>
      <c r="CS135" s="19"/>
      <c r="CT135" s="1"/>
      <c r="CU135" s="1"/>
      <c r="CV135" s="1"/>
      <c r="CW135" s="1"/>
      <c r="CX135" s="1"/>
      <c r="CY135" s="1"/>
      <c r="CZ135" s="1"/>
      <c r="DA135" s="1"/>
      <c r="DB135" s="91"/>
    </row>
    <row r="136" spans="1:106">
      <c r="A136" s="19"/>
      <c r="B136" s="19"/>
      <c r="C136" s="19"/>
      <c r="D136" s="19"/>
      <c r="E136" s="19"/>
      <c r="F136" s="19"/>
      <c r="G136" s="19"/>
      <c r="H136" s="19"/>
      <c r="I136" s="19"/>
      <c r="J136" s="19"/>
      <c r="K136" s="30"/>
      <c r="L136" s="19"/>
      <c r="M136" s="19"/>
      <c r="N136" s="19"/>
      <c r="O136" s="19"/>
      <c r="P136" s="19"/>
      <c r="Q136" s="19"/>
      <c r="R136" s="19"/>
      <c r="S136" s="19"/>
      <c r="T136" s="19"/>
      <c r="U136" s="19"/>
      <c r="V136" s="19"/>
      <c r="W136" s="19"/>
      <c r="X136" s="19"/>
      <c r="Y136" s="19"/>
      <c r="Z136" s="19"/>
      <c r="AA136" s="19"/>
      <c r="AB136" s="19"/>
      <c r="AC136" s="19"/>
      <c r="AD136" s="19"/>
      <c r="AE136" s="19"/>
      <c r="AF136" s="19"/>
      <c r="AG136" s="19"/>
      <c r="AH136" s="19"/>
      <c r="AI136" s="19"/>
      <c r="AJ136" s="19"/>
      <c r="AK136" s="19"/>
      <c r="AL136" s="19"/>
      <c r="AM136" s="19"/>
      <c r="AN136" s="19"/>
      <c r="AO136" s="19"/>
      <c r="AP136" s="19"/>
      <c r="AQ136" s="19"/>
      <c r="AR136" s="19"/>
      <c r="AS136" s="19"/>
      <c r="AT136" s="19"/>
      <c r="AU136" s="19"/>
      <c r="AV136" s="19"/>
      <c r="AW136" s="19"/>
      <c r="AX136" s="19"/>
      <c r="AY136" s="19"/>
      <c r="AZ136" s="19"/>
      <c r="BA136" s="19"/>
      <c r="BB136" s="19"/>
      <c r="BC136" s="19"/>
      <c r="BD136" s="19"/>
      <c r="BE136" s="19"/>
      <c r="BF136" s="19"/>
      <c r="BG136" s="19"/>
      <c r="BH136" s="19"/>
      <c r="BI136" s="1"/>
      <c r="BJ136" s="1"/>
      <c r="BK136" s="1"/>
      <c r="BL136" s="1"/>
      <c r="BM136" s="1"/>
      <c r="BN136" s="1"/>
      <c r="BO136" s="1"/>
      <c r="BP136" s="1"/>
      <c r="BQ136" s="1"/>
      <c r="BR136" s="1"/>
      <c r="BS136" s="1"/>
      <c r="BT136" s="1"/>
      <c r="BU136" s="1"/>
      <c r="BV136" s="1"/>
      <c r="BW136" s="1"/>
      <c r="BX136" s="1"/>
      <c r="BY136" s="1"/>
      <c r="BZ136" s="1"/>
      <c r="CA136" s="1"/>
      <c r="CB136" s="1"/>
      <c r="CC136" s="1"/>
      <c r="CD136" s="1"/>
      <c r="CE136" s="1"/>
      <c r="CF136" s="1"/>
      <c r="CG136" s="1"/>
      <c r="CH136" s="1"/>
      <c r="CI136" s="1"/>
      <c r="CJ136" s="1"/>
      <c r="CK136" s="1"/>
      <c r="CL136" s="1"/>
      <c r="CM136" s="1"/>
      <c r="CQ136" s="19"/>
      <c r="CR136" s="19"/>
      <c r="CS136" s="19"/>
      <c r="CT136" s="1"/>
      <c r="CU136" s="1"/>
      <c r="CV136" s="1"/>
      <c r="CW136" s="1"/>
      <c r="CX136" s="1"/>
      <c r="CY136" s="1"/>
      <c r="CZ136" s="1"/>
      <c r="DA136" s="1"/>
      <c r="DB136" s="91"/>
    </row>
    <row r="137" spans="1:106">
      <c r="A137" s="19"/>
      <c r="B137" s="19"/>
      <c r="C137" s="19"/>
      <c r="D137" s="19"/>
      <c r="E137" s="19"/>
      <c r="F137" s="19"/>
      <c r="G137" s="19"/>
      <c r="H137" s="19"/>
      <c r="I137" s="19"/>
      <c r="J137" s="19"/>
      <c r="K137" s="30"/>
      <c r="L137" s="19"/>
      <c r="M137" s="19"/>
      <c r="N137" s="19"/>
      <c r="O137" s="19"/>
      <c r="P137" s="19"/>
      <c r="Q137" s="19"/>
      <c r="R137" s="19"/>
      <c r="S137" s="19"/>
      <c r="T137" s="19"/>
      <c r="U137" s="19"/>
      <c r="V137" s="19"/>
      <c r="W137" s="19"/>
      <c r="X137" s="19"/>
      <c r="Y137" s="19"/>
      <c r="Z137" s="19"/>
      <c r="AA137" s="19"/>
      <c r="AB137" s="19"/>
      <c r="AC137" s="19"/>
      <c r="AD137" s="19"/>
      <c r="AE137" s="19"/>
      <c r="AF137" s="19"/>
      <c r="AG137" s="19"/>
      <c r="AH137" s="19"/>
      <c r="AI137" s="19"/>
      <c r="AJ137" s="19"/>
      <c r="AK137" s="19"/>
      <c r="AL137" s="19"/>
      <c r="AM137" s="19"/>
      <c r="AN137" s="19"/>
      <c r="AO137" s="19"/>
      <c r="AP137" s="19"/>
      <c r="AQ137" s="19"/>
      <c r="AR137" s="19"/>
      <c r="AS137" s="19"/>
      <c r="AT137" s="19"/>
      <c r="AU137" s="19"/>
      <c r="AV137" s="19"/>
      <c r="AW137" s="19"/>
      <c r="AX137" s="19"/>
      <c r="AY137" s="19"/>
      <c r="AZ137" s="19"/>
      <c r="BA137" s="19"/>
      <c r="BB137" s="19"/>
      <c r="BC137" s="19"/>
      <c r="BD137" s="19"/>
      <c r="BE137" s="19"/>
      <c r="BF137" s="19"/>
      <c r="BG137" s="19"/>
      <c r="BH137" s="19"/>
      <c r="BI137" s="1"/>
      <c r="BJ137" s="1"/>
      <c r="BK137" s="1"/>
      <c r="BL137" s="1"/>
      <c r="BM137" s="1"/>
      <c r="BN137" s="1"/>
      <c r="BO137" s="1"/>
      <c r="BP137" s="1"/>
      <c r="BQ137" s="1"/>
      <c r="BR137" s="1"/>
      <c r="BS137" s="1"/>
      <c r="BT137" s="1"/>
      <c r="BU137" s="1"/>
      <c r="BV137" s="1"/>
      <c r="BW137" s="1"/>
      <c r="BX137" s="1"/>
      <c r="BY137" s="1"/>
      <c r="BZ137" s="1"/>
      <c r="CA137" s="1"/>
      <c r="CB137" s="1"/>
      <c r="CC137" s="1"/>
      <c r="CD137" s="1"/>
      <c r="CE137" s="1"/>
      <c r="CF137" s="1"/>
      <c r="CG137" s="1"/>
      <c r="CH137" s="1"/>
      <c r="CI137" s="1"/>
      <c r="CJ137" s="1"/>
      <c r="CK137" s="1"/>
      <c r="CL137" s="1"/>
      <c r="CM137" s="1"/>
      <c r="CQ137" s="19"/>
      <c r="CR137" s="19"/>
      <c r="CS137" s="19"/>
      <c r="CT137" s="1"/>
      <c r="CU137" s="1"/>
      <c r="CV137" s="1"/>
      <c r="CW137" s="1"/>
      <c r="CX137" s="1"/>
      <c r="CY137" s="1"/>
      <c r="CZ137" s="1"/>
      <c r="DA137" s="1"/>
      <c r="DB137" s="91"/>
    </row>
    <row r="138" spans="1:106">
      <c r="A138" s="19"/>
      <c r="B138" s="19"/>
      <c r="C138" s="19"/>
      <c r="D138" s="19"/>
      <c r="E138" s="19"/>
      <c r="F138" s="19"/>
      <c r="G138" s="19"/>
      <c r="H138" s="19"/>
      <c r="I138" s="19"/>
      <c r="J138" s="19"/>
      <c r="K138" s="30"/>
      <c r="L138" s="19"/>
      <c r="M138" s="19"/>
      <c r="N138" s="19"/>
      <c r="O138" s="19"/>
      <c r="P138" s="19"/>
      <c r="Q138" s="19"/>
      <c r="R138" s="19"/>
      <c r="S138" s="19"/>
      <c r="T138" s="19"/>
      <c r="U138" s="19"/>
      <c r="V138" s="19"/>
      <c r="W138" s="19"/>
      <c r="X138" s="19"/>
      <c r="Y138" s="19"/>
      <c r="Z138" s="19"/>
      <c r="AA138" s="19"/>
      <c r="AB138" s="19"/>
      <c r="AC138" s="19"/>
      <c r="AD138" s="19"/>
      <c r="AE138" s="19"/>
      <c r="AF138" s="19"/>
      <c r="AG138" s="19"/>
      <c r="AH138" s="19"/>
      <c r="AI138" s="19"/>
      <c r="AJ138" s="19"/>
      <c r="AK138" s="19"/>
      <c r="AL138" s="19"/>
      <c r="AM138" s="19"/>
      <c r="AN138" s="19"/>
      <c r="AO138" s="19"/>
      <c r="AP138" s="19"/>
      <c r="AQ138" s="19"/>
      <c r="AR138" s="19"/>
      <c r="AS138" s="19"/>
      <c r="AT138" s="19"/>
      <c r="AU138" s="19"/>
      <c r="AV138" s="19"/>
      <c r="AW138" s="19"/>
      <c r="AX138" s="19"/>
      <c r="AY138" s="19"/>
      <c r="AZ138" s="19"/>
      <c r="BA138" s="19"/>
      <c r="BB138" s="19"/>
      <c r="BC138" s="19"/>
      <c r="BD138" s="19"/>
      <c r="BE138" s="19"/>
      <c r="BF138" s="19"/>
      <c r="BG138" s="19"/>
      <c r="BH138" s="19"/>
      <c r="BI138" s="1"/>
      <c r="BJ138" s="1"/>
      <c r="BK138" s="1"/>
      <c r="BL138" s="1"/>
      <c r="BM138" s="1"/>
      <c r="BN138" s="1"/>
      <c r="BO138" s="1"/>
      <c r="BP138" s="1"/>
      <c r="BQ138" s="1"/>
      <c r="BR138" s="1"/>
      <c r="BS138" s="1"/>
      <c r="BT138" s="1"/>
      <c r="BU138" s="1"/>
      <c r="BV138" s="1"/>
      <c r="BW138" s="1"/>
      <c r="BX138" s="1"/>
      <c r="BY138" s="1"/>
      <c r="BZ138" s="1"/>
      <c r="CA138" s="1"/>
      <c r="CB138" s="1"/>
      <c r="CC138" s="1"/>
      <c r="CD138" s="1"/>
      <c r="CE138" s="1"/>
      <c r="CF138" s="1"/>
      <c r="CG138" s="1"/>
      <c r="CH138" s="1"/>
      <c r="CI138" s="1"/>
      <c r="CJ138" s="1"/>
      <c r="CK138" s="1"/>
      <c r="CL138" s="1"/>
      <c r="CM138" s="1"/>
      <c r="CQ138" s="19"/>
      <c r="CR138" s="19"/>
      <c r="CS138" s="19"/>
      <c r="CT138" s="1"/>
      <c r="CU138" s="1"/>
      <c r="CV138" s="1"/>
      <c r="CW138" s="1"/>
      <c r="CX138" s="1"/>
      <c r="CY138" s="1"/>
      <c r="CZ138" s="1"/>
      <c r="DA138" s="1"/>
      <c r="DB138" s="91"/>
    </row>
    <row r="139" spans="1:106">
      <c r="A139" s="19"/>
      <c r="B139" s="19"/>
      <c r="C139" s="19"/>
      <c r="D139" s="19"/>
      <c r="E139" s="19"/>
      <c r="F139" s="19"/>
      <c r="G139" s="19"/>
      <c r="H139" s="19"/>
      <c r="I139" s="19"/>
      <c r="J139" s="19"/>
      <c r="K139" s="30"/>
      <c r="L139" s="19"/>
      <c r="M139" s="19"/>
      <c r="N139" s="19"/>
      <c r="O139" s="19"/>
      <c r="P139" s="19"/>
      <c r="Q139" s="19"/>
      <c r="R139" s="19"/>
      <c r="S139" s="19"/>
      <c r="T139" s="19"/>
      <c r="U139" s="19"/>
      <c r="V139" s="19"/>
      <c r="W139" s="19"/>
      <c r="X139" s="19"/>
      <c r="Y139" s="19"/>
      <c r="Z139" s="19"/>
      <c r="AA139" s="19"/>
      <c r="AB139" s="19"/>
      <c r="AC139" s="19"/>
      <c r="AD139" s="19"/>
      <c r="AE139" s="19"/>
      <c r="AF139" s="19"/>
      <c r="AG139" s="19"/>
      <c r="AH139" s="19"/>
      <c r="AI139" s="19"/>
      <c r="AJ139" s="19"/>
      <c r="AK139" s="19"/>
      <c r="AL139" s="19"/>
      <c r="AM139" s="19"/>
      <c r="AN139" s="19"/>
      <c r="AO139" s="19"/>
      <c r="AP139" s="19"/>
      <c r="AQ139" s="19"/>
      <c r="AR139" s="19"/>
      <c r="AS139" s="19"/>
      <c r="AT139" s="19"/>
      <c r="AU139" s="19"/>
      <c r="AV139" s="19"/>
      <c r="AW139" s="19"/>
      <c r="AX139" s="19"/>
      <c r="AY139" s="19"/>
      <c r="AZ139" s="19"/>
      <c r="BA139" s="19"/>
      <c r="BB139" s="19"/>
      <c r="BC139" s="19"/>
      <c r="BD139" s="19"/>
      <c r="BE139" s="19"/>
      <c r="BF139" s="19"/>
      <c r="BG139" s="19"/>
      <c r="BH139" s="19"/>
      <c r="BI139" s="1"/>
      <c r="BJ139" s="1"/>
      <c r="BK139" s="1"/>
      <c r="BL139" s="1"/>
      <c r="BM139" s="1"/>
      <c r="BN139" s="1"/>
      <c r="BO139" s="1"/>
      <c r="BP139" s="1"/>
      <c r="BQ139" s="1"/>
      <c r="BR139" s="1"/>
      <c r="BS139" s="1"/>
      <c r="BT139" s="1"/>
      <c r="BU139" s="1"/>
      <c r="BV139" s="1"/>
      <c r="BW139" s="1"/>
      <c r="BX139" s="1"/>
      <c r="BY139" s="1"/>
      <c r="BZ139" s="1"/>
      <c r="CA139" s="1"/>
      <c r="CB139" s="1"/>
      <c r="CC139" s="1"/>
      <c r="CD139" s="1"/>
      <c r="CE139" s="1"/>
      <c r="CF139" s="1"/>
      <c r="CG139" s="1"/>
      <c r="CH139" s="1"/>
      <c r="CI139" s="1"/>
      <c r="CJ139" s="1"/>
      <c r="CK139" s="1"/>
      <c r="CL139" s="1"/>
      <c r="CM139" s="1"/>
      <c r="CQ139" s="19"/>
      <c r="CR139" s="19"/>
      <c r="CS139" s="19"/>
      <c r="CT139" s="1"/>
      <c r="CU139" s="1"/>
      <c r="CV139" s="1"/>
      <c r="CW139" s="1"/>
      <c r="CX139" s="1"/>
      <c r="CY139" s="1"/>
      <c r="CZ139" s="1"/>
      <c r="DA139" s="1"/>
      <c r="DB139" s="91"/>
    </row>
    <row r="140" spans="1:106">
      <c r="A140" s="19"/>
      <c r="B140" s="19"/>
      <c r="C140" s="19"/>
      <c r="D140" s="19"/>
      <c r="E140" s="19"/>
      <c r="F140" s="19"/>
      <c r="G140" s="19"/>
      <c r="H140" s="19"/>
      <c r="I140" s="19"/>
      <c r="J140" s="19"/>
      <c r="K140" s="30"/>
      <c r="L140" s="19"/>
      <c r="M140" s="19"/>
      <c r="N140" s="19"/>
      <c r="O140" s="19"/>
      <c r="P140" s="19"/>
      <c r="Q140" s="19"/>
      <c r="R140" s="19"/>
      <c r="S140" s="19"/>
      <c r="T140" s="19"/>
      <c r="U140" s="19"/>
      <c r="V140" s="19"/>
      <c r="W140" s="19"/>
      <c r="X140" s="19"/>
      <c r="Y140" s="19"/>
      <c r="Z140" s="19"/>
      <c r="AA140" s="19"/>
      <c r="AB140" s="19"/>
      <c r="AC140" s="19"/>
      <c r="AD140" s="19"/>
      <c r="AE140" s="19"/>
      <c r="AF140" s="19"/>
      <c r="AG140" s="19"/>
      <c r="AH140" s="19"/>
      <c r="AI140" s="19"/>
      <c r="AJ140" s="19"/>
      <c r="AK140" s="19"/>
      <c r="AL140" s="19"/>
      <c r="AM140" s="19"/>
      <c r="AN140" s="19"/>
      <c r="AO140" s="19"/>
      <c r="AP140" s="19"/>
      <c r="AQ140" s="19"/>
      <c r="AR140" s="19"/>
      <c r="AS140" s="19"/>
      <c r="AT140" s="19"/>
      <c r="AU140" s="19"/>
      <c r="AV140" s="19"/>
      <c r="AW140" s="19"/>
      <c r="AX140" s="19"/>
      <c r="AY140" s="19"/>
      <c r="AZ140" s="19"/>
      <c r="BA140" s="19"/>
      <c r="BB140" s="19"/>
      <c r="BC140" s="19"/>
      <c r="BD140" s="19"/>
      <c r="BE140" s="19"/>
      <c r="BF140" s="19"/>
      <c r="BG140" s="19"/>
      <c r="BH140" s="19"/>
      <c r="BI140" s="1"/>
      <c r="BJ140" s="1"/>
      <c r="BK140" s="1"/>
      <c r="BL140" s="1"/>
      <c r="BM140" s="1"/>
      <c r="BN140" s="1"/>
      <c r="BO140" s="1"/>
      <c r="BP140" s="1"/>
      <c r="BQ140" s="1"/>
      <c r="BR140" s="1"/>
      <c r="BS140" s="1"/>
      <c r="BT140" s="1"/>
      <c r="BU140" s="1"/>
      <c r="BV140" s="1"/>
      <c r="BW140" s="1"/>
      <c r="BX140" s="1"/>
      <c r="BY140" s="1"/>
      <c r="BZ140" s="1"/>
      <c r="CA140" s="1"/>
      <c r="CB140" s="1"/>
      <c r="CC140" s="1"/>
      <c r="CD140" s="1"/>
      <c r="CE140" s="1"/>
      <c r="CF140" s="1"/>
      <c r="CG140" s="1"/>
      <c r="CH140" s="1"/>
      <c r="CI140" s="1"/>
      <c r="CJ140" s="1"/>
      <c r="CK140" s="1"/>
      <c r="CL140" s="1"/>
      <c r="CM140" s="1"/>
      <c r="CQ140" s="19"/>
      <c r="CR140" s="19"/>
      <c r="CS140" s="19"/>
      <c r="CT140" s="1"/>
      <c r="CU140" s="1"/>
      <c r="CV140" s="1"/>
      <c r="CW140" s="1"/>
      <c r="CX140" s="1"/>
      <c r="CY140" s="1"/>
      <c r="CZ140" s="1"/>
      <c r="DA140" s="1"/>
      <c r="DB140" s="91"/>
    </row>
    <row r="141" spans="1:106">
      <c r="A141" s="19"/>
      <c r="B141" s="19"/>
      <c r="C141" s="19"/>
      <c r="D141" s="19"/>
      <c r="E141" s="19"/>
      <c r="F141" s="19"/>
      <c r="G141" s="19"/>
      <c r="H141" s="19"/>
      <c r="I141" s="19"/>
      <c r="J141" s="19"/>
      <c r="K141" s="30"/>
      <c r="L141" s="19"/>
      <c r="M141" s="19"/>
      <c r="N141" s="19"/>
      <c r="O141" s="19"/>
      <c r="P141" s="19"/>
      <c r="Q141" s="19"/>
      <c r="R141" s="19"/>
      <c r="S141" s="19"/>
      <c r="T141" s="19"/>
      <c r="U141" s="19"/>
      <c r="V141" s="19"/>
      <c r="W141" s="19"/>
      <c r="X141" s="19"/>
      <c r="Y141" s="19"/>
      <c r="Z141" s="19"/>
      <c r="AA141" s="19"/>
      <c r="AB141" s="19"/>
      <c r="AC141" s="19"/>
      <c r="AD141" s="19"/>
      <c r="AE141" s="19"/>
      <c r="AF141" s="19"/>
      <c r="AG141" s="19"/>
      <c r="AH141" s="19"/>
      <c r="AI141" s="19"/>
      <c r="AJ141" s="19"/>
      <c r="AK141" s="19"/>
      <c r="AL141" s="19"/>
      <c r="AM141" s="19"/>
      <c r="AN141" s="19"/>
      <c r="AO141" s="19"/>
      <c r="AP141" s="19"/>
      <c r="AQ141" s="19"/>
      <c r="AR141" s="19"/>
      <c r="AS141" s="19"/>
      <c r="AT141" s="19"/>
      <c r="AU141" s="19"/>
      <c r="AV141" s="19"/>
      <c r="AW141" s="19"/>
      <c r="AX141" s="19"/>
      <c r="AY141" s="19"/>
      <c r="AZ141" s="19"/>
      <c r="BA141" s="19"/>
      <c r="BB141" s="19"/>
      <c r="BC141" s="19"/>
      <c r="BD141" s="19"/>
      <c r="BE141" s="19"/>
      <c r="BF141" s="19"/>
      <c r="BG141" s="19"/>
      <c r="BH141" s="19"/>
      <c r="BI141" s="1"/>
      <c r="BJ141" s="1"/>
      <c r="BK141" s="1"/>
      <c r="BL141" s="1"/>
      <c r="BM141" s="1"/>
      <c r="BN141" s="1"/>
      <c r="BO141" s="1"/>
      <c r="BP141" s="1"/>
      <c r="BQ141" s="1"/>
      <c r="BR141" s="1"/>
      <c r="BS141" s="1"/>
      <c r="BT141" s="1"/>
      <c r="BU141" s="1"/>
      <c r="BV141" s="1"/>
      <c r="BW141" s="1"/>
      <c r="BX141" s="1"/>
      <c r="BY141" s="1"/>
      <c r="BZ141" s="1"/>
      <c r="CA141" s="1"/>
      <c r="CB141" s="1"/>
      <c r="CC141" s="1"/>
      <c r="CD141" s="1"/>
      <c r="CE141" s="1"/>
      <c r="CF141" s="1"/>
      <c r="CG141" s="1"/>
      <c r="CH141" s="1"/>
      <c r="CI141" s="1"/>
      <c r="CJ141" s="1"/>
      <c r="CK141" s="1"/>
      <c r="CL141" s="1"/>
      <c r="CM141" s="1"/>
      <c r="CQ141" s="19"/>
      <c r="CR141" s="19"/>
      <c r="CS141" s="19"/>
      <c r="CT141" s="1"/>
      <c r="CU141" s="1"/>
      <c r="CV141" s="1"/>
      <c r="CW141" s="1"/>
      <c r="CX141" s="1"/>
      <c r="CY141" s="1"/>
      <c r="CZ141" s="1"/>
      <c r="DA141" s="1"/>
      <c r="DB141" s="91"/>
    </row>
    <row r="142" spans="1:106">
      <c r="A142" s="19"/>
      <c r="B142" s="19"/>
      <c r="C142" s="19"/>
      <c r="D142" s="19"/>
      <c r="E142" s="19"/>
      <c r="F142" s="19"/>
      <c r="G142" s="19"/>
      <c r="H142" s="19"/>
      <c r="I142" s="19"/>
      <c r="J142" s="19"/>
      <c r="K142" s="30"/>
      <c r="L142" s="19"/>
      <c r="M142" s="19"/>
      <c r="N142" s="19"/>
      <c r="O142" s="19"/>
      <c r="P142" s="19"/>
      <c r="Q142" s="19"/>
      <c r="R142" s="19"/>
      <c r="S142" s="19"/>
      <c r="T142" s="19"/>
      <c r="U142" s="19"/>
      <c r="V142" s="19"/>
      <c r="W142" s="19"/>
      <c r="X142" s="19"/>
      <c r="Y142" s="19"/>
      <c r="Z142" s="19"/>
      <c r="AA142" s="19"/>
      <c r="AB142" s="19"/>
      <c r="AC142" s="19"/>
      <c r="AD142" s="19"/>
      <c r="AE142" s="19"/>
      <c r="AF142" s="19"/>
      <c r="AG142" s="19"/>
      <c r="AH142" s="19"/>
      <c r="AI142" s="19"/>
      <c r="AJ142" s="19"/>
      <c r="AK142" s="19"/>
      <c r="AL142" s="19"/>
      <c r="AM142" s="19"/>
      <c r="AN142" s="19"/>
      <c r="AO142" s="19"/>
      <c r="AP142" s="19"/>
      <c r="AQ142" s="19"/>
      <c r="AR142" s="19"/>
      <c r="AS142" s="19"/>
      <c r="AT142" s="19"/>
      <c r="AU142" s="19"/>
      <c r="AV142" s="19"/>
      <c r="AW142" s="19"/>
      <c r="AX142" s="19"/>
      <c r="AY142" s="19"/>
      <c r="AZ142" s="19"/>
      <c r="BA142" s="19"/>
      <c r="BB142" s="19"/>
      <c r="BC142" s="19"/>
      <c r="BD142" s="19"/>
      <c r="BE142" s="19"/>
      <c r="BF142" s="19"/>
      <c r="BG142" s="19"/>
      <c r="BH142" s="19"/>
      <c r="BI142" s="1"/>
      <c r="BJ142" s="1"/>
      <c r="BK142" s="1"/>
      <c r="BL142" s="1"/>
      <c r="BM142" s="1"/>
      <c r="BN142" s="1"/>
      <c r="BO142" s="1"/>
      <c r="BP142" s="1"/>
      <c r="BQ142" s="1"/>
      <c r="BR142" s="1"/>
      <c r="BS142" s="1"/>
      <c r="BT142" s="1"/>
      <c r="BU142" s="1"/>
      <c r="BV142" s="1"/>
      <c r="BW142" s="1"/>
      <c r="BX142" s="1"/>
      <c r="BY142" s="1"/>
      <c r="BZ142" s="1"/>
      <c r="CA142" s="1"/>
      <c r="CB142" s="1"/>
      <c r="CC142" s="1"/>
      <c r="CD142" s="1"/>
      <c r="CE142" s="1"/>
      <c r="CF142" s="1"/>
      <c r="CG142" s="1"/>
      <c r="CH142" s="1"/>
      <c r="CI142" s="1"/>
      <c r="CJ142" s="1"/>
      <c r="CK142" s="1"/>
      <c r="CL142" s="1"/>
      <c r="CM142" s="1"/>
      <c r="CQ142" s="19"/>
      <c r="CR142" s="19"/>
      <c r="CS142" s="19"/>
      <c r="CT142" s="1"/>
      <c r="CU142" s="1"/>
      <c r="CV142" s="1"/>
      <c r="CW142" s="1"/>
      <c r="CX142" s="1"/>
      <c r="CY142" s="1"/>
      <c r="CZ142" s="1"/>
      <c r="DA142" s="1"/>
      <c r="DB142" s="91"/>
    </row>
  </sheetData>
  <phoneticPr fontId="6" type="noConversion"/>
  <pageMargins left="0.75000000000000011" right="0.75000000000000011" top="1" bottom="1" header="0.5" footer="0.5"/>
  <pageSetup paperSize="9" orientation="landscape" horizontalDpi="4294967292" verticalDpi="4294967292"/>
  <drawing r:id="rId1"/>
  <tableParts count="1">
    <tablePart r:id="rId2"/>
  </tablePart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enableFormatConditionsCalculation="0"/>
  <dimension ref="A1:EL1048561"/>
  <sheetViews>
    <sheetView workbookViewId="0">
      <pane xSplit="3" ySplit="3" topLeftCell="DA4" activePane="bottomRight" state="frozenSplit"/>
      <selection pane="topRight" activeCell="D1" sqref="D1"/>
      <selection pane="bottomLeft" activeCell="A4" sqref="A4"/>
      <selection pane="bottomRight" activeCell="DA36" sqref="DA36"/>
    </sheetView>
  </sheetViews>
  <sheetFormatPr baseColWidth="10" defaultColWidth="9.5" defaultRowHeight="12" x14ac:dyDescent="0.75"/>
  <cols>
    <col min="1" max="1" width="23.6640625" style="100" customWidth="1"/>
    <col min="2" max="3" width="9.5" customWidth="1"/>
    <col min="4" max="104" width="18.83203125" customWidth="1"/>
    <col min="141" max="141" width="9.5" style="17"/>
  </cols>
  <sheetData>
    <row r="1" spans="1:142" ht="24" thickBot="1">
      <c r="D1" s="174" t="s">
        <v>613</v>
      </c>
      <c r="E1" s="175"/>
      <c r="F1" s="175"/>
      <c r="G1" s="175"/>
      <c r="H1" s="175"/>
      <c r="I1" s="175"/>
      <c r="J1" s="175"/>
      <c r="K1" s="175"/>
      <c r="L1" s="175"/>
      <c r="M1" s="175"/>
      <c r="N1" s="175"/>
      <c r="O1" s="175"/>
      <c r="P1" s="175"/>
      <c r="Q1" s="175"/>
      <c r="R1" s="175"/>
      <c r="S1" s="176"/>
      <c r="T1" s="174" t="s">
        <v>614</v>
      </c>
      <c r="U1" s="175"/>
      <c r="V1" s="175"/>
      <c r="W1" s="175"/>
      <c r="X1" s="175"/>
      <c r="Y1" s="175"/>
      <c r="Z1" s="175"/>
      <c r="AA1" s="175"/>
      <c r="AB1" s="175"/>
      <c r="AC1" s="175"/>
      <c r="AD1" s="175"/>
      <c r="AE1" s="176"/>
      <c r="AF1" s="174" t="s">
        <v>615</v>
      </c>
      <c r="AG1" s="175"/>
      <c r="AH1" s="175"/>
      <c r="AI1" s="175"/>
      <c r="AJ1" s="175"/>
      <c r="AK1" s="175"/>
      <c r="AL1" s="175"/>
      <c r="AM1" s="175"/>
      <c r="AN1" s="176"/>
      <c r="AO1" s="174" t="s">
        <v>616</v>
      </c>
      <c r="AP1" s="175"/>
      <c r="AQ1" s="175"/>
      <c r="AR1" s="175"/>
      <c r="AS1" s="175"/>
      <c r="AT1" s="175"/>
      <c r="AU1" s="175"/>
      <c r="AV1" s="175"/>
      <c r="AW1" s="175"/>
      <c r="AX1" s="175"/>
      <c r="AY1" s="175"/>
      <c r="AZ1" s="175"/>
      <c r="BA1" s="176"/>
      <c r="BB1" s="174" t="s">
        <v>617</v>
      </c>
      <c r="BC1" s="175"/>
      <c r="BD1" s="175"/>
      <c r="BE1" s="175"/>
      <c r="BF1" s="175"/>
      <c r="BG1" s="175"/>
      <c r="BH1" s="175"/>
      <c r="BI1" s="175"/>
      <c r="BJ1" s="175"/>
      <c r="BK1" s="175"/>
      <c r="BL1" s="175"/>
      <c r="BM1" s="175"/>
      <c r="BN1" s="175"/>
      <c r="BO1" s="175"/>
      <c r="BP1" s="175"/>
      <c r="BQ1" s="176"/>
      <c r="BR1" s="174" t="s">
        <v>618</v>
      </c>
      <c r="BS1" s="175"/>
      <c r="BT1" s="175"/>
      <c r="BU1" s="175"/>
      <c r="BV1" s="175"/>
      <c r="BW1" s="175"/>
      <c r="BX1" s="175"/>
      <c r="BY1" s="175"/>
      <c r="BZ1" s="175"/>
      <c r="CA1" s="175"/>
      <c r="CB1" s="176"/>
      <c r="CC1" s="174" t="s">
        <v>619</v>
      </c>
      <c r="CD1" s="175"/>
      <c r="CE1" s="175"/>
      <c r="CF1" s="175"/>
      <c r="CG1" s="175"/>
      <c r="CH1" s="175"/>
      <c r="CI1" s="175"/>
      <c r="CJ1" s="175"/>
      <c r="CK1" s="175"/>
      <c r="CL1" s="175"/>
      <c r="CM1" s="175"/>
      <c r="CN1" s="175"/>
      <c r="CO1" s="175"/>
      <c r="CP1" s="176"/>
      <c r="CQ1" s="174" t="s">
        <v>620</v>
      </c>
      <c r="CR1" s="175"/>
      <c r="CS1" s="175"/>
      <c r="CT1" s="175"/>
      <c r="CU1" s="175"/>
      <c r="CV1" s="175"/>
      <c r="CW1" s="175"/>
      <c r="CX1" s="175"/>
      <c r="CY1" s="175"/>
      <c r="CZ1" s="176"/>
    </row>
    <row r="2" spans="1:142" ht="144">
      <c r="A2" s="128" t="s">
        <v>733</v>
      </c>
      <c r="B2" s="131"/>
      <c r="C2" s="131"/>
      <c r="D2" s="130" t="s">
        <v>518</v>
      </c>
      <c r="E2" s="129" t="s">
        <v>519</v>
      </c>
      <c r="F2" s="129" t="s">
        <v>520</v>
      </c>
      <c r="G2" s="129" t="s">
        <v>521</v>
      </c>
      <c r="H2" s="129" t="s">
        <v>522</v>
      </c>
      <c r="I2" s="129" t="s">
        <v>523</v>
      </c>
      <c r="J2" s="129" t="s">
        <v>524</v>
      </c>
      <c r="K2" s="129" t="s">
        <v>525</v>
      </c>
      <c r="L2" s="129" t="s">
        <v>526</v>
      </c>
      <c r="M2" s="129" t="s">
        <v>527</v>
      </c>
      <c r="N2" s="129" t="s">
        <v>528</v>
      </c>
      <c r="O2" s="129" t="s">
        <v>529</v>
      </c>
      <c r="P2" s="129" t="s">
        <v>530</v>
      </c>
      <c r="Q2" s="129" t="s">
        <v>531</v>
      </c>
      <c r="R2" s="129" t="s">
        <v>532</v>
      </c>
      <c r="S2" s="131" t="s">
        <v>533</v>
      </c>
      <c r="T2" s="130" t="s">
        <v>534</v>
      </c>
      <c r="U2" s="129" t="s">
        <v>535</v>
      </c>
      <c r="V2" s="129" t="s">
        <v>536</v>
      </c>
      <c r="W2" s="129" t="s">
        <v>726</v>
      </c>
      <c r="X2" s="129" t="s">
        <v>537</v>
      </c>
      <c r="Y2" s="129" t="s">
        <v>538</v>
      </c>
      <c r="Z2" s="129" t="s">
        <v>539</v>
      </c>
      <c r="AA2" s="129" t="s">
        <v>540</v>
      </c>
      <c r="AB2" s="129" t="s">
        <v>541</v>
      </c>
      <c r="AC2" s="129" t="s">
        <v>542</v>
      </c>
      <c r="AD2" s="129" t="s">
        <v>543</v>
      </c>
      <c r="AE2" s="131" t="s">
        <v>544</v>
      </c>
      <c r="AF2" s="130" t="s">
        <v>545</v>
      </c>
      <c r="AG2" s="129" t="s">
        <v>546</v>
      </c>
      <c r="AH2" s="129" t="s">
        <v>547</v>
      </c>
      <c r="AI2" s="129" t="s">
        <v>548</v>
      </c>
      <c r="AJ2" s="129" t="s">
        <v>549</v>
      </c>
      <c r="AK2" s="129" t="s">
        <v>550</v>
      </c>
      <c r="AL2" s="129" t="s">
        <v>551</v>
      </c>
      <c r="AM2" s="129" t="s">
        <v>552</v>
      </c>
      <c r="AN2" s="131" t="s">
        <v>553</v>
      </c>
      <c r="AO2" s="130" t="s">
        <v>554</v>
      </c>
      <c r="AP2" s="129" t="s">
        <v>555</v>
      </c>
      <c r="AQ2" s="129" t="s">
        <v>556</v>
      </c>
      <c r="AR2" s="129" t="s">
        <v>557</v>
      </c>
      <c r="AS2" s="129" t="s">
        <v>558</v>
      </c>
      <c r="AT2" s="129" t="s">
        <v>559</v>
      </c>
      <c r="AU2" s="129" t="s">
        <v>560</v>
      </c>
      <c r="AV2" s="129" t="s">
        <v>561</v>
      </c>
      <c r="AW2" s="129" t="s">
        <v>562</v>
      </c>
      <c r="AX2" s="129" t="s">
        <v>563</v>
      </c>
      <c r="AY2" s="129" t="s">
        <v>564</v>
      </c>
      <c r="AZ2" s="129" t="s">
        <v>565</v>
      </c>
      <c r="BA2" s="131" t="s">
        <v>566</v>
      </c>
      <c r="BB2" s="130" t="s">
        <v>567</v>
      </c>
      <c r="BC2" s="129" t="s">
        <v>568</v>
      </c>
      <c r="BD2" s="129" t="s">
        <v>569</v>
      </c>
      <c r="BE2" s="129" t="s">
        <v>570</v>
      </c>
      <c r="BF2" s="129" t="s">
        <v>571</v>
      </c>
      <c r="BG2" s="129" t="s">
        <v>572</v>
      </c>
      <c r="BH2" s="129" t="s">
        <v>573</v>
      </c>
      <c r="BI2" s="129" t="s">
        <v>574</v>
      </c>
      <c r="BJ2" s="129" t="s">
        <v>575</v>
      </c>
      <c r="BK2" s="129" t="s">
        <v>576</v>
      </c>
      <c r="BL2" s="129" t="s">
        <v>577</v>
      </c>
      <c r="BM2" s="129" t="s">
        <v>578</v>
      </c>
      <c r="BN2" s="129" t="s">
        <v>579</v>
      </c>
      <c r="BO2" s="129" t="s">
        <v>580</v>
      </c>
      <c r="BP2" s="129" t="s">
        <v>581</v>
      </c>
      <c r="BQ2" s="131" t="s">
        <v>582</v>
      </c>
      <c r="BR2" s="130" t="s">
        <v>583</v>
      </c>
      <c r="BS2" s="129" t="s">
        <v>729</v>
      </c>
      <c r="BT2" s="129" t="s">
        <v>584</v>
      </c>
      <c r="BU2" s="129" t="s">
        <v>585</v>
      </c>
      <c r="BV2" s="129" t="s">
        <v>586</v>
      </c>
      <c r="BW2" s="129" t="s">
        <v>587</v>
      </c>
      <c r="BX2" s="129" t="s">
        <v>588</v>
      </c>
      <c r="BY2" s="129" t="s">
        <v>727</v>
      </c>
      <c r="BZ2" s="129" t="s">
        <v>589</v>
      </c>
      <c r="CA2" s="129" t="s">
        <v>590</v>
      </c>
      <c r="CB2" s="131" t="s">
        <v>842</v>
      </c>
      <c r="CC2" s="130" t="s">
        <v>591</v>
      </c>
      <c r="CD2" s="129" t="s">
        <v>592</v>
      </c>
      <c r="CE2" s="129" t="s">
        <v>593</v>
      </c>
      <c r="CF2" s="129" t="s">
        <v>594</v>
      </c>
      <c r="CG2" s="129" t="s">
        <v>595</v>
      </c>
      <c r="CH2" s="129" t="s">
        <v>596</v>
      </c>
      <c r="CI2" s="129" t="s">
        <v>597</v>
      </c>
      <c r="CJ2" s="129" t="s">
        <v>728</v>
      </c>
      <c r="CK2" s="129" t="s">
        <v>598</v>
      </c>
      <c r="CL2" s="129" t="s">
        <v>599</v>
      </c>
      <c r="CM2" s="129" t="s">
        <v>600</v>
      </c>
      <c r="CN2" s="129" t="s">
        <v>601</v>
      </c>
      <c r="CO2" s="129" t="s">
        <v>602</v>
      </c>
      <c r="CP2" s="131" t="s">
        <v>603</v>
      </c>
      <c r="CQ2" s="130" t="s">
        <v>604</v>
      </c>
      <c r="CR2" s="129" t="s">
        <v>730</v>
      </c>
      <c r="CS2" s="129" t="s">
        <v>605</v>
      </c>
      <c r="CT2" s="129" t="s">
        <v>606</v>
      </c>
      <c r="CU2" s="129" t="s">
        <v>607</v>
      </c>
      <c r="CV2" s="129" t="s">
        <v>608</v>
      </c>
      <c r="CW2" s="129" t="s">
        <v>609</v>
      </c>
      <c r="CX2" s="129" t="s">
        <v>610</v>
      </c>
      <c r="CY2" s="129" t="s">
        <v>611</v>
      </c>
      <c r="CZ2" s="129" t="s">
        <v>612</v>
      </c>
      <c r="DA2" s="130" t="s">
        <v>509</v>
      </c>
      <c r="DB2" s="131" t="s">
        <v>697</v>
      </c>
      <c r="DC2" s="131" t="s">
        <v>698</v>
      </c>
      <c r="DD2" s="129" t="s">
        <v>699</v>
      </c>
      <c r="DE2" s="130" t="s">
        <v>510</v>
      </c>
      <c r="DF2" s="131" t="s">
        <v>697</v>
      </c>
      <c r="DG2" s="131" t="s">
        <v>698</v>
      </c>
      <c r="DH2" s="129" t="s">
        <v>699</v>
      </c>
      <c r="DI2" s="130" t="s">
        <v>511</v>
      </c>
      <c r="DJ2" s="131" t="s">
        <v>697</v>
      </c>
      <c r="DK2" s="131" t="s">
        <v>698</v>
      </c>
      <c r="DL2" s="129" t="s">
        <v>699</v>
      </c>
      <c r="DM2" s="130" t="s">
        <v>512</v>
      </c>
      <c r="DN2" s="131" t="s">
        <v>697</v>
      </c>
      <c r="DO2" s="131" t="s">
        <v>698</v>
      </c>
      <c r="DP2" s="129" t="s">
        <v>699</v>
      </c>
      <c r="DQ2" s="130" t="s">
        <v>513</v>
      </c>
      <c r="DR2" s="131" t="s">
        <v>697</v>
      </c>
      <c r="DS2" s="131" t="s">
        <v>698</v>
      </c>
      <c r="DT2" s="129" t="s">
        <v>699</v>
      </c>
      <c r="DU2" s="130" t="s">
        <v>514</v>
      </c>
      <c r="DV2" s="131" t="s">
        <v>697</v>
      </c>
      <c r="DW2" s="131" t="s">
        <v>698</v>
      </c>
      <c r="DX2" s="129" t="s">
        <v>699</v>
      </c>
      <c r="DY2" s="130" t="s">
        <v>515</v>
      </c>
      <c r="DZ2" s="131" t="s">
        <v>697</v>
      </c>
      <c r="EA2" s="131" t="s">
        <v>698</v>
      </c>
      <c r="EB2" s="129" t="s">
        <v>699</v>
      </c>
      <c r="EC2" s="130" t="s">
        <v>516</v>
      </c>
      <c r="ED2" s="131" t="s">
        <v>697</v>
      </c>
      <c r="EE2" s="131" t="s">
        <v>698</v>
      </c>
      <c r="EF2" s="129" t="s">
        <v>699</v>
      </c>
      <c r="EG2" s="130" t="s">
        <v>724</v>
      </c>
      <c r="EH2" s="129" t="s">
        <v>725</v>
      </c>
      <c r="EI2" s="131" t="s">
        <v>847</v>
      </c>
      <c r="EJ2" s="131" t="s">
        <v>517</v>
      </c>
      <c r="EK2" s="130" t="s">
        <v>11</v>
      </c>
    </row>
    <row r="3" spans="1:142" s="40" customFormat="1" ht="14" customHeight="1">
      <c r="A3" s="101" t="s">
        <v>732</v>
      </c>
      <c r="B3" s="42" t="s">
        <v>3</v>
      </c>
      <c r="C3" s="97" t="s">
        <v>4</v>
      </c>
      <c r="D3" s="96" t="s">
        <v>186</v>
      </c>
      <c r="E3" s="42" t="s">
        <v>187</v>
      </c>
      <c r="F3" s="42" t="s">
        <v>188</v>
      </c>
      <c r="G3" s="42" t="s">
        <v>189</v>
      </c>
      <c r="H3" s="42" t="s">
        <v>190</v>
      </c>
      <c r="I3" s="42" t="s">
        <v>191</v>
      </c>
      <c r="J3" s="42" t="s">
        <v>192</v>
      </c>
      <c r="K3" s="42" t="s">
        <v>193</v>
      </c>
      <c r="L3" s="42" t="s">
        <v>194</v>
      </c>
      <c r="M3" s="42" t="s">
        <v>195</v>
      </c>
      <c r="N3" s="42" t="s">
        <v>196</v>
      </c>
      <c r="O3" s="42" t="s">
        <v>197</v>
      </c>
      <c r="P3" s="42" t="s">
        <v>198</v>
      </c>
      <c r="Q3" s="42" t="s">
        <v>199</v>
      </c>
      <c r="R3" s="42" t="s">
        <v>200</v>
      </c>
      <c r="S3" s="97" t="s">
        <v>201</v>
      </c>
      <c r="T3" s="96" t="s">
        <v>202</v>
      </c>
      <c r="U3" s="42" t="s">
        <v>203</v>
      </c>
      <c r="V3" s="42" t="s">
        <v>204</v>
      </c>
      <c r="W3" s="42" t="s">
        <v>205</v>
      </c>
      <c r="X3" s="42" t="s">
        <v>206</v>
      </c>
      <c r="Y3" s="42" t="s">
        <v>207</v>
      </c>
      <c r="Z3" s="42" t="s">
        <v>208</v>
      </c>
      <c r="AA3" s="42" t="s">
        <v>209</v>
      </c>
      <c r="AB3" s="42" t="s">
        <v>210</v>
      </c>
      <c r="AC3" s="42" t="s">
        <v>211</v>
      </c>
      <c r="AD3" s="42" t="s">
        <v>212</v>
      </c>
      <c r="AE3" s="97" t="s">
        <v>213</v>
      </c>
      <c r="AF3" s="96" t="s">
        <v>214</v>
      </c>
      <c r="AG3" s="42" t="s">
        <v>215</v>
      </c>
      <c r="AH3" s="42" t="s">
        <v>216</v>
      </c>
      <c r="AI3" s="42" t="s">
        <v>217</v>
      </c>
      <c r="AJ3" s="42" t="s">
        <v>218</v>
      </c>
      <c r="AK3" s="42" t="s">
        <v>219</v>
      </c>
      <c r="AL3" s="42" t="s">
        <v>220</v>
      </c>
      <c r="AM3" s="42" t="s">
        <v>221</v>
      </c>
      <c r="AN3" s="97" t="s">
        <v>222</v>
      </c>
      <c r="AO3" s="96" t="s">
        <v>223</v>
      </c>
      <c r="AP3" s="42" t="s">
        <v>224</v>
      </c>
      <c r="AQ3" s="42" t="s">
        <v>225</v>
      </c>
      <c r="AR3" s="42" t="s">
        <v>226</v>
      </c>
      <c r="AS3" s="42" t="s">
        <v>227</v>
      </c>
      <c r="AT3" s="42" t="s">
        <v>228</v>
      </c>
      <c r="AU3" s="42" t="s">
        <v>229</v>
      </c>
      <c r="AV3" s="42" t="s">
        <v>230</v>
      </c>
      <c r="AW3" s="42" t="s">
        <v>231</v>
      </c>
      <c r="AX3" s="42" t="s">
        <v>232</v>
      </c>
      <c r="AY3" s="42" t="s">
        <v>233</v>
      </c>
      <c r="AZ3" s="42" t="s">
        <v>234</v>
      </c>
      <c r="BA3" s="97" t="s">
        <v>235</v>
      </c>
      <c r="BB3" s="96" t="s">
        <v>236</v>
      </c>
      <c r="BC3" s="42" t="s">
        <v>237</v>
      </c>
      <c r="BD3" s="42" t="s">
        <v>238</v>
      </c>
      <c r="BE3" s="42" t="s">
        <v>239</v>
      </c>
      <c r="BF3" s="42" t="s">
        <v>240</v>
      </c>
      <c r="BG3" s="42" t="s">
        <v>241</v>
      </c>
      <c r="BH3" s="42" t="s">
        <v>242</v>
      </c>
      <c r="BI3" s="42" t="s">
        <v>243</v>
      </c>
      <c r="BJ3" s="42" t="s">
        <v>244</v>
      </c>
      <c r="BK3" s="42" t="s">
        <v>245</v>
      </c>
      <c r="BL3" s="42" t="s">
        <v>634</v>
      </c>
      <c r="BM3" s="42" t="s">
        <v>635</v>
      </c>
      <c r="BN3" s="42" t="s">
        <v>636</v>
      </c>
      <c r="BO3" s="42" t="s">
        <v>637</v>
      </c>
      <c r="BP3" s="42" t="s">
        <v>638</v>
      </c>
      <c r="BQ3" s="97" t="s">
        <v>639</v>
      </c>
      <c r="BR3" s="96" t="s">
        <v>640</v>
      </c>
      <c r="BS3" s="42" t="s">
        <v>641</v>
      </c>
      <c r="BT3" s="42" t="s">
        <v>642</v>
      </c>
      <c r="BU3" s="42" t="s">
        <v>643</v>
      </c>
      <c r="BV3" s="42" t="s">
        <v>644</v>
      </c>
      <c r="BW3" s="42" t="s">
        <v>645</v>
      </c>
      <c r="BX3" s="42" t="s">
        <v>646</v>
      </c>
      <c r="BY3" s="42" t="s">
        <v>647</v>
      </c>
      <c r="BZ3" s="42" t="s">
        <v>648</v>
      </c>
      <c r="CA3" s="42" t="s">
        <v>649</v>
      </c>
      <c r="CB3" s="97" t="s">
        <v>650</v>
      </c>
      <c r="CC3" s="96" t="s">
        <v>651</v>
      </c>
      <c r="CD3" s="42" t="s">
        <v>652</v>
      </c>
      <c r="CE3" s="42" t="s">
        <v>653</v>
      </c>
      <c r="CF3" s="42" t="s">
        <v>654</v>
      </c>
      <c r="CG3" s="42" t="s">
        <v>655</v>
      </c>
      <c r="CH3" s="42" t="s">
        <v>656</v>
      </c>
      <c r="CI3" s="42" t="s">
        <v>657</v>
      </c>
      <c r="CJ3" s="42" t="s">
        <v>658</v>
      </c>
      <c r="CK3" s="42" t="s">
        <v>659</v>
      </c>
      <c r="CL3" s="42" t="s">
        <v>660</v>
      </c>
      <c r="CM3" s="42" t="s">
        <v>661</v>
      </c>
      <c r="CN3" s="42" t="s">
        <v>662</v>
      </c>
      <c r="CO3" s="42" t="s">
        <v>663</v>
      </c>
      <c r="CP3" s="97" t="s">
        <v>664</v>
      </c>
      <c r="CQ3" s="96" t="s">
        <v>665</v>
      </c>
      <c r="CR3" s="42" t="s">
        <v>666</v>
      </c>
      <c r="CS3" s="42" t="s">
        <v>667</v>
      </c>
      <c r="CT3" s="42" t="s">
        <v>668</v>
      </c>
      <c r="CU3" s="42" t="s">
        <v>669</v>
      </c>
      <c r="CV3" s="42" t="s">
        <v>670</v>
      </c>
      <c r="CW3" s="42" t="s">
        <v>671</v>
      </c>
      <c r="CX3" s="42" t="s">
        <v>672</v>
      </c>
      <c r="CY3" s="42" t="s">
        <v>673</v>
      </c>
      <c r="CZ3" s="42" t="s">
        <v>674</v>
      </c>
      <c r="DA3" s="42" t="s">
        <v>621</v>
      </c>
      <c r="DB3" s="42" t="s">
        <v>700</v>
      </c>
      <c r="DC3" s="42" t="s">
        <v>701</v>
      </c>
      <c r="DD3" s="42" t="s">
        <v>702</v>
      </c>
      <c r="DE3" s="42" t="s">
        <v>622</v>
      </c>
      <c r="DF3" s="42" t="s">
        <v>703</v>
      </c>
      <c r="DG3" s="42" t="s">
        <v>704</v>
      </c>
      <c r="DH3" s="42" t="s">
        <v>705</v>
      </c>
      <c r="DI3" s="42" t="s">
        <v>623</v>
      </c>
      <c r="DJ3" s="42" t="s">
        <v>706</v>
      </c>
      <c r="DK3" s="42" t="s">
        <v>707</v>
      </c>
      <c r="DL3" s="42" t="s">
        <v>708</v>
      </c>
      <c r="DM3" s="42" t="s">
        <v>624</v>
      </c>
      <c r="DN3" s="42" t="s">
        <v>709</v>
      </c>
      <c r="DO3" s="42" t="s">
        <v>710</v>
      </c>
      <c r="DP3" s="42" t="s">
        <v>711</v>
      </c>
      <c r="DQ3" s="42" t="s">
        <v>625</v>
      </c>
      <c r="DR3" s="42" t="s">
        <v>712</v>
      </c>
      <c r="DS3" s="42" t="s">
        <v>713</v>
      </c>
      <c r="DT3" s="42" t="s">
        <v>714</v>
      </c>
      <c r="DU3" s="42" t="s">
        <v>626</v>
      </c>
      <c r="DV3" s="42" t="s">
        <v>715</v>
      </c>
      <c r="DW3" s="42" t="s">
        <v>716</v>
      </c>
      <c r="DX3" s="42" t="s">
        <v>717</v>
      </c>
      <c r="DY3" s="42" t="s">
        <v>627</v>
      </c>
      <c r="DZ3" s="42" t="s">
        <v>718</v>
      </c>
      <c r="EA3" s="42" t="s">
        <v>719</v>
      </c>
      <c r="EB3" s="42" t="s">
        <v>720</v>
      </c>
      <c r="EC3" s="42" t="s">
        <v>628</v>
      </c>
      <c r="ED3" s="42" t="s">
        <v>721</v>
      </c>
      <c r="EE3" s="42" t="s">
        <v>722</v>
      </c>
      <c r="EF3" s="42" t="s">
        <v>723</v>
      </c>
      <c r="EG3" s="42" t="s">
        <v>629</v>
      </c>
      <c r="EH3" s="42" t="s">
        <v>630</v>
      </c>
      <c r="EI3" s="42" t="s">
        <v>631</v>
      </c>
      <c r="EJ3" s="42" t="s">
        <v>632</v>
      </c>
      <c r="EK3" s="102" t="s">
        <v>633</v>
      </c>
    </row>
    <row r="4" spans="1:142" ht="14" customHeight="1">
      <c r="A4" s="101" t="str">
        <f>DonnéesBC[[#This Row],[Prénom]]&amp;" "&amp;DonnéesBC[[#This Row],[Nom]]</f>
        <v>Anita Eicher</v>
      </c>
      <c r="B4" s="98" t="s">
        <v>55</v>
      </c>
      <c r="C4" s="98" t="s">
        <v>56</v>
      </c>
      <c r="D4" s="132" t="s">
        <v>846</v>
      </c>
      <c r="E4" s="218" t="s">
        <v>846</v>
      </c>
      <c r="F4" s="218" t="s">
        <v>846</v>
      </c>
      <c r="G4" s="218" t="s">
        <v>846</v>
      </c>
      <c r="H4" s="218" t="s">
        <v>846</v>
      </c>
      <c r="I4" s="218" t="s">
        <v>846</v>
      </c>
      <c r="J4" s="218" t="s">
        <v>846</v>
      </c>
      <c r="K4" s="218" t="s">
        <v>846</v>
      </c>
      <c r="L4" s="218" t="s">
        <v>846</v>
      </c>
      <c r="M4" s="218" t="s">
        <v>846</v>
      </c>
      <c r="N4" s="218" t="s">
        <v>846</v>
      </c>
      <c r="O4" s="218" t="s">
        <v>846</v>
      </c>
      <c r="P4" s="218" t="s">
        <v>846</v>
      </c>
      <c r="Q4" s="218" t="s">
        <v>846</v>
      </c>
      <c r="R4" s="218" t="s">
        <v>846</v>
      </c>
      <c r="S4" s="134" t="s">
        <v>846</v>
      </c>
      <c r="T4" s="132" t="s">
        <v>846</v>
      </c>
      <c r="U4" s="218" t="s">
        <v>846</v>
      </c>
      <c r="V4" s="218" t="s">
        <v>846</v>
      </c>
      <c r="W4" s="218" t="s">
        <v>846</v>
      </c>
      <c r="X4" s="218" t="s">
        <v>846</v>
      </c>
      <c r="Y4" s="218" t="s">
        <v>846</v>
      </c>
      <c r="Z4" s="218" t="s">
        <v>846</v>
      </c>
      <c r="AA4" s="218" t="s">
        <v>846</v>
      </c>
      <c r="AB4" s="218" t="s">
        <v>846</v>
      </c>
      <c r="AC4" s="218" t="b">
        <v>0</v>
      </c>
      <c r="AD4" s="218" t="s">
        <v>846</v>
      </c>
      <c r="AE4" s="134" t="s">
        <v>846</v>
      </c>
      <c r="AF4" s="132" t="s">
        <v>846</v>
      </c>
      <c r="AG4" s="218" t="s">
        <v>846</v>
      </c>
      <c r="AH4" s="218" t="s">
        <v>846</v>
      </c>
      <c r="AI4" s="218" t="s">
        <v>846</v>
      </c>
      <c r="AJ4" s="218" t="s">
        <v>846</v>
      </c>
      <c r="AK4" s="218" t="s">
        <v>846</v>
      </c>
      <c r="AL4" s="218" t="s">
        <v>846</v>
      </c>
      <c r="AM4" s="218" t="b">
        <v>0</v>
      </c>
      <c r="AN4" s="134" t="s">
        <v>846</v>
      </c>
      <c r="AO4" s="132" t="b">
        <v>0</v>
      </c>
      <c r="AP4" s="218" t="s">
        <v>846</v>
      </c>
      <c r="AQ4" s="218" t="s">
        <v>846</v>
      </c>
      <c r="AR4" s="218" t="s">
        <v>846</v>
      </c>
      <c r="AS4" s="218" t="s">
        <v>846</v>
      </c>
      <c r="AT4" s="218" t="s">
        <v>846</v>
      </c>
      <c r="AU4" s="218" t="s">
        <v>846</v>
      </c>
      <c r="AV4" s="218" t="s">
        <v>846</v>
      </c>
      <c r="AW4" s="218" t="s">
        <v>846</v>
      </c>
      <c r="AX4" s="218" t="s">
        <v>846</v>
      </c>
      <c r="AY4" s="218" t="s">
        <v>846</v>
      </c>
      <c r="AZ4" s="218" t="s">
        <v>846</v>
      </c>
      <c r="BA4" s="134" t="s">
        <v>846</v>
      </c>
      <c r="BB4" s="132" t="s">
        <v>846</v>
      </c>
      <c r="BC4" s="218" t="s">
        <v>846</v>
      </c>
      <c r="BD4" s="218" t="s">
        <v>846</v>
      </c>
      <c r="BE4" s="218" t="s">
        <v>846</v>
      </c>
      <c r="BF4" s="218" t="s">
        <v>846</v>
      </c>
      <c r="BG4" s="218" t="s">
        <v>846</v>
      </c>
      <c r="BH4" s="218" t="s">
        <v>846</v>
      </c>
      <c r="BI4" s="218" t="s">
        <v>846</v>
      </c>
      <c r="BJ4" s="218" t="s">
        <v>846</v>
      </c>
      <c r="BK4" s="218" t="s">
        <v>846</v>
      </c>
      <c r="BL4" s="218" t="s">
        <v>846</v>
      </c>
      <c r="BM4" s="218" t="s">
        <v>840</v>
      </c>
      <c r="BN4" s="218" t="b">
        <v>0</v>
      </c>
      <c r="BO4" s="218" t="s">
        <v>846</v>
      </c>
      <c r="BP4" s="218" t="b">
        <v>0</v>
      </c>
      <c r="BQ4" s="134" t="s">
        <v>846</v>
      </c>
      <c r="BR4" s="132" t="s">
        <v>846</v>
      </c>
      <c r="BS4" s="218" t="s">
        <v>846</v>
      </c>
      <c r="BT4" s="218" t="s">
        <v>846</v>
      </c>
      <c r="BU4" s="218" t="s">
        <v>846</v>
      </c>
      <c r="BV4" s="218" t="s">
        <v>846</v>
      </c>
      <c r="BW4" s="218" t="s">
        <v>846</v>
      </c>
      <c r="BX4" s="218" t="s">
        <v>846</v>
      </c>
      <c r="BY4" s="218" t="s">
        <v>846</v>
      </c>
      <c r="BZ4" s="218" t="s">
        <v>846</v>
      </c>
      <c r="CA4" s="218" t="s">
        <v>846</v>
      </c>
      <c r="CB4" s="134" t="s">
        <v>846</v>
      </c>
      <c r="CC4" s="132" t="s">
        <v>846</v>
      </c>
      <c r="CD4" s="218" t="s">
        <v>846</v>
      </c>
      <c r="CE4" s="218" t="s">
        <v>846</v>
      </c>
      <c r="CF4" s="218" t="s">
        <v>846</v>
      </c>
      <c r="CG4" s="218" t="s">
        <v>846</v>
      </c>
      <c r="CH4" s="218" t="b">
        <v>0</v>
      </c>
      <c r="CI4" s="218" t="s">
        <v>846</v>
      </c>
      <c r="CJ4" s="218" t="s">
        <v>846</v>
      </c>
      <c r="CK4" s="218" t="s">
        <v>846</v>
      </c>
      <c r="CL4" s="218" t="s">
        <v>846</v>
      </c>
      <c r="CM4" s="218" t="s">
        <v>846</v>
      </c>
      <c r="CN4" s="218" t="s">
        <v>846</v>
      </c>
      <c r="CO4" s="218" t="s">
        <v>846</v>
      </c>
      <c r="CP4" s="134" t="s">
        <v>846</v>
      </c>
      <c r="CQ4" s="132" t="s">
        <v>846</v>
      </c>
      <c r="CR4" s="218" t="s">
        <v>846</v>
      </c>
      <c r="CS4" s="218" t="s">
        <v>846</v>
      </c>
      <c r="CT4" s="218" t="b">
        <v>0</v>
      </c>
      <c r="CU4" s="218" t="s">
        <v>846</v>
      </c>
      <c r="CV4" s="218" t="s">
        <v>846</v>
      </c>
      <c r="CW4" s="218" t="s">
        <v>846</v>
      </c>
      <c r="CX4" s="218" t="s">
        <v>846</v>
      </c>
      <c r="CY4" s="218" t="s">
        <v>846</v>
      </c>
      <c r="CZ4" s="134" t="s">
        <v>846</v>
      </c>
      <c r="DA4" s="96">
        <v>16</v>
      </c>
      <c r="DB4" s="103">
        <f>COUNTIF(DonnéesBC[[#This Row],[1]:[16]],"FAUX")</f>
        <v>0</v>
      </c>
      <c r="DC4" s="103">
        <f>COUNTIF(DonnéesBC[[#This Row],[1]:[16]],"Je ne sais pas")</f>
        <v>0</v>
      </c>
      <c r="DD4" s="103">
        <f>COUNTIF(DonnéesBC[[#This Row],[1]:[16]],"Juste")</f>
        <v>16</v>
      </c>
      <c r="DE4" s="96">
        <v>12</v>
      </c>
      <c r="DF4" s="103">
        <f>COUNTIF(DonnéesBC[[#This Row],[17]:[28]],"FAUX")</f>
        <v>1</v>
      </c>
      <c r="DG4" s="103">
        <f>COUNTIF(DonnéesBC[[#This Row],[17]:[28]],"Je ne sais pas")</f>
        <v>0</v>
      </c>
      <c r="DH4" s="103">
        <f>COUNTIF(DonnéesBC[[#This Row],[17]:[28]],"Juste")</f>
        <v>11</v>
      </c>
      <c r="DI4" s="96">
        <v>9</v>
      </c>
      <c r="DJ4" s="103">
        <f>COUNTIF(DonnéesBC[[#This Row],[29]:[37]],"FAUX")</f>
        <v>1</v>
      </c>
      <c r="DK4" s="103">
        <f>COUNTIF(DonnéesBC[[#This Row],[29]:[37]],"Je ne sais pas")</f>
        <v>0</v>
      </c>
      <c r="DL4" s="103">
        <f>COUNTIF(DonnéesBC[[#This Row],[29]:[37]],"Juste")</f>
        <v>8</v>
      </c>
      <c r="DM4" s="96">
        <v>13</v>
      </c>
      <c r="DN4" s="103">
        <f>COUNTIF(DonnéesBC[[#This Row],[38]:[50]],"FAUX")</f>
        <v>1</v>
      </c>
      <c r="DO4" s="103">
        <f>COUNTIF(DonnéesBC[[#This Row],[38]:[50]],"Je ne sais pas")</f>
        <v>0</v>
      </c>
      <c r="DP4" s="103">
        <f>COUNTIF(DonnéesBC[[#This Row],[38]:[50]],"Juste")</f>
        <v>12</v>
      </c>
      <c r="DQ4" s="96">
        <v>16</v>
      </c>
      <c r="DR4" s="103">
        <f>COUNTIF(DonnéesBC[[#This Row],[51]:[66]],"FAUX")</f>
        <v>2</v>
      </c>
      <c r="DS4" s="103">
        <f>COUNTIF(DonnéesBC[[#This Row],[51]:[66]],"Je ne sais pas")</f>
        <v>1</v>
      </c>
      <c r="DT4" s="103">
        <f>COUNTIF(DonnéesBC[[#This Row],[51]:[66]],"Juste")</f>
        <v>13</v>
      </c>
      <c r="DU4" s="96">
        <v>11</v>
      </c>
      <c r="DV4" s="103">
        <f>COUNTIF(DonnéesBC[[#This Row],[67]:[77]],"FAUX")</f>
        <v>0</v>
      </c>
      <c r="DW4" s="103">
        <f>COUNTIF(DonnéesBC[[#This Row],[67]:[77]],"Je ne sais pas")</f>
        <v>0</v>
      </c>
      <c r="DX4" s="103">
        <f>COUNTIF(DonnéesBC[[#This Row],[67]:[77]],"Juste")</f>
        <v>11</v>
      </c>
      <c r="DY4" s="96">
        <v>14</v>
      </c>
      <c r="DZ4" s="103">
        <f>COUNTIF(DonnéesBC[[#This Row],[78]:[91]],"FAUX")</f>
        <v>1</v>
      </c>
      <c r="EA4" s="103">
        <f>COUNTIF(DonnéesBC[[#This Row],[78]:[91]],"Je ne sais pas")</f>
        <v>0</v>
      </c>
      <c r="EB4" s="103">
        <f>COUNTIF(DonnéesBC[[#This Row],[78]:[91]],"Juste")</f>
        <v>13</v>
      </c>
      <c r="EC4" s="96">
        <v>10</v>
      </c>
      <c r="ED4" s="103">
        <f>COUNTIF(DonnéesBC[[#This Row],[92]:[101]],"FAUX")</f>
        <v>1</v>
      </c>
      <c r="EE4" s="103">
        <f>COUNTIF(DonnéesBC[[#This Row],[92]:[101]],"Je ne sais pas")</f>
        <v>0</v>
      </c>
      <c r="EF4" s="103">
        <f>COUNTIF(DonnéesBC[[#This Row],[92]:[101]],"Juste")</f>
        <v>9</v>
      </c>
      <c r="EG4" s="96">
        <f>SUM(DonnéesBC[[#This Row],[A]]+DonnéesBC[[#This Row],[B]]+DonnéesBC[[#This Row],[C]]+DonnéesBC[[#This Row],[D]]+DonnéesBC[[#This Row],[E]]+DonnéesBC[[#This Row],[F]]+DonnéesBC[[#This Row],[G]]+DonnéesBC[[#This Row],[H]])</f>
        <v>101</v>
      </c>
      <c r="EH4" s="97">
        <f>SUM(DonnéesBC[[#This Row],[A2]]+DonnéesBC[[#This Row],[B2]]+DonnéesBC[[#This Row],[C2]]+DonnéesBC[[#This Row],[D2]]+DonnéesBC[[#This Row],[E2]]+DonnéesBC[[#This Row],[F2]]+DonnéesBC[[#This Row],[G2]]+DonnéesBC[[#This Row],[H2]])</f>
        <v>7</v>
      </c>
      <c r="EI4" s="98">
        <f>SUM(DonnéesBC[[#This Row],[A3]]+DonnéesBC[[#This Row],[B3]]+DonnéesBC[[#This Row],[C3]]+DonnéesBC[[#This Row],[D3]]+DonnéesBC[[#This Row],[E3]]+DonnéesBC[[#This Row],[F3]]+DonnéesBC[[#This Row],[G3]]+DonnéesBC[[#This Row],[H3]])</f>
        <v>1</v>
      </c>
      <c r="EJ4" s="103">
        <f>SUM(DonnéesBC[[#This Row],[A4]]+DonnéesBC[[#This Row],[B4]]+DonnéesBC[[#This Row],[C4]]+DonnéesBC[[#This Row],[D4]]+DonnéesBC[[#This Row],[E4]]+DonnéesBC[[#This Row],[F4]]+DonnéesBC[[#This Row],[G4]]+DonnéesBC[[#This Row],[H4]])</f>
        <v>93</v>
      </c>
      <c r="EK4" s="95" t="s">
        <v>677</v>
      </c>
      <c r="EL4">
        <v>57</v>
      </c>
    </row>
    <row r="5" spans="1:142" ht="14" customHeight="1">
      <c r="A5" s="101" t="str">
        <f>DonnéesBC[[#This Row],[Prénom]]&amp;" "&amp;DonnéesBC[[#This Row],[Nom]]</f>
        <v>Attila Hollo</v>
      </c>
      <c r="B5" s="97" t="s">
        <v>59</v>
      </c>
      <c r="C5" s="97" t="s">
        <v>60</v>
      </c>
      <c r="D5" s="136" t="b">
        <v>0</v>
      </c>
      <c r="E5" s="137" t="s">
        <v>846</v>
      </c>
      <c r="F5" s="137" t="s">
        <v>846</v>
      </c>
      <c r="G5" s="137" t="s">
        <v>846</v>
      </c>
      <c r="H5" s="137" t="s">
        <v>846</v>
      </c>
      <c r="I5" s="137" t="s">
        <v>846</v>
      </c>
      <c r="J5" s="137" t="s">
        <v>846</v>
      </c>
      <c r="K5" s="137" t="b">
        <v>0</v>
      </c>
      <c r="L5" s="137" t="b">
        <v>0</v>
      </c>
      <c r="M5" s="137" t="s">
        <v>846</v>
      </c>
      <c r="N5" s="137" t="s">
        <v>846</v>
      </c>
      <c r="O5" s="137" t="s">
        <v>846</v>
      </c>
      <c r="P5" s="137" t="s">
        <v>840</v>
      </c>
      <c r="Q5" s="137" t="s">
        <v>840</v>
      </c>
      <c r="R5" s="137" t="s">
        <v>846</v>
      </c>
      <c r="S5" s="138" t="b">
        <v>0</v>
      </c>
      <c r="T5" s="136" t="s">
        <v>846</v>
      </c>
      <c r="U5" s="137" t="s">
        <v>846</v>
      </c>
      <c r="V5" s="137" t="s">
        <v>846</v>
      </c>
      <c r="W5" s="137" t="s">
        <v>846</v>
      </c>
      <c r="X5" s="137" t="s">
        <v>846</v>
      </c>
      <c r="Y5" s="137" t="s">
        <v>846</v>
      </c>
      <c r="Z5" s="137" t="s">
        <v>846</v>
      </c>
      <c r="AA5" s="137" t="s">
        <v>846</v>
      </c>
      <c r="AB5" s="137" t="b">
        <v>0</v>
      </c>
      <c r="AC5" s="137" t="b">
        <v>0</v>
      </c>
      <c r="AD5" s="137" t="s">
        <v>846</v>
      </c>
      <c r="AE5" s="138" t="s">
        <v>840</v>
      </c>
      <c r="AF5" s="136" t="s">
        <v>846</v>
      </c>
      <c r="AG5" s="137" t="s">
        <v>840</v>
      </c>
      <c r="AH5" s="137" t="s">
        <v>846</v>
      </c>
      <c r="AI5" s="137" t="s">
        <v>840</v>
      </c>
      <c r="AJ5" s="137" t="s">
        <v>846</v>
      </c>
      <c r="AK5" s="137" t="s">
        <v>846</v>
      </c>
      <c r="AL5" s="137" t="s">
        <v>846</v>
      </c>
      <c r="AM5" s="137" t="s">
        <v>846</v>
      </c>
      <c r="AN5" s="138" t="s">
        <v>846</v>
      </c>
      <c r="AO5" s="136" t="s">
        <v>840</v>
      </c>
      <c r="AP5" s="137" t="s">
        <v>846</v>
      </c>
      <c r="AQ5" s="137" t="s">
        <v>846</v>
      </c>
      <c r="AR5" s="137" t="s">
        <v>840</v>
      </c>
      <c r="AS5" s="137" t="s">
        <v>840</v>
      </c>
      <c r="AT5" s="137" t="s">
        <v>846</v>
      </c>
      <c r="AU5" s="137" t="s">
        <v>840</v>
      </c>
      <c r="AV5" s="137" t="s">
        <v>846</v>
      </c>
      <c r="AW5" s="137" t="s">
        <v>840</v>
      </c>
      <c r="AX5" s="137" t="s">
        <v>846</v>
      </c>
      <c r="AY5" s="137" t="s">
        <v>846</v>
      </c>
      <c r="AZ5" s="137" t="s">
        <v>840</v>
      </c>
      <c r="BA5" s="138" t="s">
        <v>846</v>
      </c>
      <c r="BB5" s="136" t="s">
        <v>840</v>
      </c>
      <c r="BC5" s="137" t="s">
        <v>846</v>
      </c>
      <c r="BD5" s="137" t="s">
        <v>846</v>
      </c>
      <c r="BE5" s="137" t="s">
        <v>846</v>
      </c>
      <c r="BF5" s="137" t="s">
        <v>840</v>
      </c>
      <c r="BG5" s="137" t="s">
        <v>840</v>
      </c>
      <c r="BH5" s="137" t="b">
        <v>0</v>
      </c>
      <c r="BI5" s="137" t="s">
        <v>846</v>
      </c>
      <c r="BJ5" s="137" t="s">
        <v>846</v>
      </c>
      <c r="BK5" s="137" t="s">
        <v>840</v>
      </c>
      <c r="BL5" s="137" t="s">
        <v>846</v>
      </c>
      <c r="BM5" s="137" t="b">
        <v>0</v>
      </c>
      <c r="BN5" s="137" t="b">
        <v>0</v>
      </c>
      <c r="BO5" s="137" t="s">
        <v>840</v>
      </c>
      <c r="BP5" s="137" t="s">
        <v>840</v>
      </c>
      <c r="BQ5" s="138" t="s">
        <v>840</v>
      </c>
      <c r="BR5" s="136" t="s">
        <v>846</v>
      </c>
      <c r="BS5" s="137" t="s">
        <v>846</v>
      </c>
      <c r="BT5" s="137" t="s">
        <v>846</v>
      </c>
      <c r="BU5" s="137" t="s">
        <v>840</v>
      </c>
      <c r="BV5" s="137" t="s">
        <v>846</v>
      </c>
      <c r="BW5" s="137" t="s">
        <v>840</v>
      </c>
      <c r="BX5" s="137" t="s">
        <v>846</v>
      </c>
      <c r="BY5" s="137" t="s">
        <v>846</v>
      </c>
      <c r="BZ5" s="137" t="s">
        <v>846</v>
      </c>
      <c r="CA5" s="137" t="s">
        <v>846</v>
      </c>
      <c r="CB5" s="138" t="s">
        <v>840</v>
      </c>
      <c r="CC5" s="136" t="s">
        <v>840</v>
      </c>
      <c r="CD5" s="137" t="s">
        <v>846</v>
      </c>
      <c r="CE5" s="137" t="s">
        <v>846</v>
      </c>
      <c r="CF5" s="137" t="s">
        <v>846</v>
      </c>
      <c r="CG5" s="137" t="s">
        <v>846</v>
      </c>
      <c r="CH5" s="137" t="s">
        <v>840</v>
      </c>
      <c r="CI5" s="137" t="s">
        <v>840</v>
      </c>
      <c r="CJ5" s="137" t="s">
        <v>840</v>
      </c>
      <c r="CK5" s="137" t="s">
        <v>840</v>
      </c>
      <c r="CL5" s="137" t="s">
        <v>840</v>
      </c>
      <c r="CM5" s="137" t="s">
        <v>840</v>
      </c>
      <c r="CN5" s="137" t="s">
        <v>846</v>
      </c>
      <c r="CO5" s="137" t="s">
        <v>840</v>
      </c>
      <c r="CP5" s="138" t="s">
        <v>840</v>
      </c>
      <c r="CQ5" s="136" t="s">
        <v>846</v>
      </c>
      <c r="CR5" s="137" t="s">
        <v>846</v>
      </c>
      <c r="CS5" s="137" t="s">
        <v>840</v>
      </c>
      <c r="CT5" s="137" t="s">
        <v>840</v>
      </c>
      <c r="CU5" s="137" t="b">
        <v>0</v>
      </c>
      <c r="CV5" s="137" t="s">
        <v>846</v>
      </c>
      <c r="CW5" s="137" t="s">
        <v>840</v>
      </c>
      <c r="CX5" s="137" t="s">
        <v>846</v>
      </c>
      <c r="CY5" s="137" t="b">
        <v>0</v>
      </c>
      <c r="CZ5" s="138" t="s">
        <v>840</v>
      </c>
      <c r="DA5" s="96">
        <v>16</v>
      </c>
      <c r="DB5" s="103">
        <f>COUNTIF(DonnéesBC[[#This Row],[1]:[16]],"FAUX")</f>
        <v>4</v>
      </c>
      <c r="DC5" s="103">
        <f>COUNTIF(DonnéesBC[[#This Row],[1]:[16]],"Je ne sais pas")</f>
        <v>2</v>
      </c>
      <c r="DD5" s="103">
        <f>COUNTIF(DonnéesBC[[#This Row],[1]:[16]],"Juste")</f>
        <v>10</v>
      </c>
      <c r="DE5" s="96">
        <v>12</v>
      </c>
      <c r="DF5" s="103">
        <f>COUNTIF(DonnéesBC[[#This Row],[17]:[28]],"FAUX")</f>
        <v>2</v>
      </c>
      <c r="DG5" s="103">
        <f>COUNTIF(DonnéesBC[[#This Row],[17]:[28]],"Je ne sais pas")</f>
        <v>1</v>
      </c>
      <c r="DH5" s="103">
        <f>COUNTIF(DonnéesBC[[#This Row],[17]:[28]],"Juste")</f>
        <v>9</v>
      </c>
      <c r="DI5" s="96">
        <v>9</v>
      </c>
      <c r="DJ5" s="103">
        <f>COUNTIF(DonnéesBC[[#This Row],[29]:[37]],"FAUX")</f>
        <v>0</v>
      </c>
      <c r="DK5" s="103">
        <f>COUNTIF(DonnéesBC[[#This Row],[29]:[37]],"Je ne sais pas")</f>
        <v>2</v>
      </c>
      <c r="DL5" s="103">
        <f>COUNTIF(DonnéesBC[[#This Row],[29]:[37]],"Juste")</f>
        <v>7</v>
      </c>
      <c r="DM5" s="96">
        <v>13</v>
      </c>
      <c r="DN5" s="103">
        <f>COUNTIF(DonnéesBC[[#This Row],[38]:[50]],"FAUX")</f>
        <v>0</v>
      </c>
      <c r="DO5" s="103">
        <f>COUNTIF(DonnéesBC[[#This Row],[38]:[50]],"Je ne sais pas")</f>
        <v>6</v>
      </c>
      <c r="DP5" s="103">
        <f>COUNTIF(DonnéesBC[[#This Row],[38]:[50]],"Juste")</f>
        <v>7</v>
      </c>
      <c r="DQ5" s="96">
        <v>16</v>
      </c>
      <c r="DR5" s="103">
        <f>COUNTIF(DonnéesBC[[#This Row],[51]:[66]],"FAUX")</f>
        <v>3</v>
      </c>
      <c r="DS5" s="103">
        <f>COUNTIF(DonnéesBC[[#This Row],[51]:[66]],"Je ne sais pas")</f>
        <v>7</v>
      </c>
      <c r="DT5" s="103">
        <f>COUNTIF(DonnéesBC[[#This Row],[51]:[66]],"Juste")</f>
        <v>6</v>
      </c>
      <c r="DU5" s="96">
        <v>11</v>
      </c>
      <c r="DV5" s="103">
        <f>COUNTIF(DonnéesBC[[#This Row],[67]:[77]],"FAUX")</f>
        <v>0</v>
      </c>
      <c r="DW5" s="103">
        <f>COUNTIF(DonnéesBC[[#This Row],[67]:[77]],"Je ne sais pas")</f>
        <v>3</v>
      </c>
      <c r="DX5" s="103">
        <f>COUNTIF(DonnéesBC[[#This Row],[67]:[77]],"Juste")</f>
        <v>8</v>
      </c>
      <c r="DY5" s="96">
        <v>14</v>
      </c>
      <c r="DZ5" s="103">
        <f>COUNTIF(DonnéesBC[[#This Row],[78]:[91]],"FAUX")</f>
        <v>0</v>
      </c>
      <c r="EA5" s="103">
        <f>COUNTIF(DonnéesBC[[#This Row],[78]:[91]],"Je ne sais pas")</f>
        <v>9</v>
      </c>
      <c r="EB5" s="103">
        <f>COUNTIF(DonnéesBC[[#This Row],[78]:[91]],"Juste")</f>
        <v>5</v>
      </c>
      <c r="EC5" s="96">
        <v>10</v>
      </c>
      <c r="ED5" s="103">
        <f>COUNTIF(DonnéesBC[[#This Row],[92]:[101]],"FAUX")</f>
        <v>2</v>
      </c>
      <c r="EE5" s="103">
        <f>COUNTIF(DonnéesBC[[#This Row],[92]:[101]],"Je ne sais pas")</f>
        <v>4</v>
      </c>
      <c r="EF5" s="103">
        <f>COUNTIF(DonnéesBC[[#This Row],[92]:[101]],"Juste")</f>
        <v>4</v>
      </c>
      <c r="EG5" s="96">
        <v>101</v>
      </c>
      <c r="EH5" s="97">
        <f>SUM(DonnéesBC[[#This Row],[A2]]+DonnéesBC[[#This Row],[B2]]+DonnéesBC[[#This Row],[C2]]+DonnéesBC[[#This Row],[D2]]+DonnéesBC[[#This Row],[E2]]+DonnéesBC[[#This Row],[F2]]+DonnéesBC[[#This Row],[G2]]+DonnéesBC[[#This Row],[H2]])</f>
        <v>11</v>
      </c>
      <c r="EI5" s="98">
        <f>SUM(DonnéesBC[[#This Row],[A3]]+DonnéesBC[[#This Row],[B3]]+DonnéesBC[[#This Row],[C3]]+DonnéesBC[[#This Row],[D3]]+DonnéesBC[[#This Row],[E3]]+DonnéesBC[[#This Row],[F3]]+DonnéesBC[[#This Row],[G3]]+DonnéesBC[[#This Row],[H3]])</f>
        <v>34</v>
      </c>
      <c r="EJ5" s="103">
        <f>SUM(DonnéesBC[[#This Row],[A4]]+DonnéesBC[[#This Row],[B4]]+DonnéesBC[[#This Row],[C4]]+DonnéesBC[[#This Row],[D4]]+DonnéesBC[[#This Row],[E4]]+DonnéesBC[[#This Row],[F4]]+DonnéesBC[[#This Row],[G4]]+DonnéesBC[[#This Row],[H4]])</f>
        <v>56</v>
      </c>
      <c r="EK5" s="95"/>
      <c r="EL5">
        <v>56</v>
      </c>
    </row>
    <row r="6" spans="1:142" ht="14" customHeight="1">
      <c r="A6" s="101" t="str">
        <f>DonnéesBC[[#This Row],[Prénom]]&amp;" "&amp;DonnéesBC[[#This Row],[Nom]]</f>
        <v>Bart Daniels</v>
      </c>
      <c r="B6" s="97" t="s">
        <v>69</v>
      </c>
      <c r="C6" s="97" t="s">
        <v>70</v>
      </c>
      <c r="D6" s="132" t="s">
        <v>846</v>
      </c>
      <c r="E6" s="133" t="s">
        <v>846</v>
      </c>
      <c r="F6" s="133" t="s">
        <v>846</v>
      </c>
      <c r="G6" s="133" t="s">
        <v>846</v>
      </c>
      <c r="H6" s="133" t="s">
        <v>846</v>
      </c>
      <c r="I6" s="133" t="s">
        <v>846</v>
      </c>
      <c r="J6" s="133" t="s">
        <v>846</v>
      </c>
      <c r="K6" s="133" t="b">
        <v>0</v>
      </c>
      <c r="L6" s="133" t="b">
        <v>0</v>
      </c>
      <c r="M6" s="133" t="s">
        <v>846</v>
      </c>
      <c r="N6" s="133" t="b">
        <v>0</v>
      </c>
      <c r="O6" s="133" t="s">
        <v>846</v>
      </c>
      <c r="P6" s="133" t="b">
        <v>0</v>
      </c>
      <c r="Q6" s="133" t="b">
        <v>0</v>
      </c>
      <c r="R6" s="133" t="s">
        <v>846</v>
      </c>
      <c r="S6" s="135" t="s">
        <v>846</v>
      </c>
      <c r="T6" s="132" t="s">
        <v>846</v>
      </c>
      <c r="U6" s="133" t="s">
        <v>846</v>
      </c>
      <c r="V6" s="133" t="s">
        <v>846</v>
      </c>
      <c r="W6" s="133" t="b">
        <v>0</v>
      </c>
      <c r="X6" s="133" t="s">
        <v>846</v>
      </c>
      <c r="Y6" s="133" t="s">
        <v>846</v>
      </c>
      <c r="Z6" s="133" t="b">
        <v>0</v>
      </c>
      <c r="AA6" s="133" t="b">
        <v>0</v>
      </c>
      <c r="AB6" s="133" t="b">
        <v>0</v>
      </c>
      <c r="AC6" s="133" t="b">
        <v>0</v>
      </c>
      <c r="AD6" s="133" t="s">
        <v>846</v>
      </c>
      <c r="AE6" s="135" t="s">
        <v>846</v>
      </c>
      <c r="AF6" s="132" t="s">
        <v>846</v>
      </c>
      <c r="AG6" s="133" t="s">
        <v>846</v>
      </c>
      <c r="AH6" s="133" t="b">
        <v>0</v>
      </c>
      <c r="AI6" s="133" t="s">
        <v>846</v>
      </c>
      <c r="AJ6" s="133" t="s">
        <v>846</v>
      </c>
      <c r="AK6" s="133" t="s">
        <v>846</v>
      </c>
      <c r="AL6" s="133" t="s">
        <v>846</v>
      </c>
      <c r="AM6" s="133" t="b">
        <v>0</v>
      </c>
      <c r="AN6" s="135" t="s">
        <v>846</v>
      </c>
      <c r="AO6" s="132" t="s">
        <v>840</v>
      </c>
      <c r="AP6" s="133" t="s">
        <v>846</v>
      </c>
      <c r="AQ6" s="133" t="s">
        <v>846</v>
      </c>
      <c r="AR6" s="133" t="s">
        <v>846</v>
      </c>
      <c r="AS6" s="133" t="s">
        <v>840</v>
      </c>
      <c r="AT6" s="133" t="s">
        <v>846</v>
      </c>
      <c r="AU6" s="133" t="b">
        <v>0</v>
      </c>
      <c r="AV6" s="133" t="s">
        <v>846</v>
      </c>
      <c r="AW6" s="133" t="s">
        <v>846</v>
      </c>
      <c r="AX6" s="133" t="s">
        <v>846</v>
      </c>
      <c r="AY6" s="133" t="s">
        <v>846</v>
      </c>
      <c r="AZ6" s="133" t="s">
        <v>846</v>
      </c>
      <c r="BA6" s="135" t="s">
        <v>840</v>
      </c>
      <c r="BB6" s="132" t="s">
        <v>846</v>
      </c>
      <c r="BC6" s="133" t="s">
        <v>846</v>
      </c>
      <c r="BD6" s="133" t="s">
        <v>846</v>
      </c>
      <c r="BE6" s="133" t="s">
        <v>846</v>
      </c>
      <c r="BF6" s="133" t="s">
        <v>846</v>
      </c>
      <c r="BG6" s="133" t="b">
        <v>0</v>
      </c>
      <c r="BH6" s="133" t="b">
        <v>0</v>
      </c>
      <c r="BI6" s="133" t="s">
        <v>846</v>
      </c>
      <c r="BJ6" s="133" t="s">
        <v>846</v>
      </c>
      <c r="BK6" s="133" t="b">
        <v>0</v>
      </c>
      <c r="BL6" s="133" t="s">
        <v>846</v>
      </c>
      <c r="BM6" s="133" t="s">
        <v>846</v>
      </c>
      <c r="BN6" s="133" t="b">
        <v>0</v>
      </c>
      <c r="BO6" s="133" t="s">
        <v>846</v>
      </c>
      <c r="BP6" s="133" t="s">
        <v>846</v>
      </c>
      <c r="BQ6" s="135" t="s">
        <v>840</v>
      </c>
      <c r="BR6" s="132" t="s">
        <v>846</v>
      </c>
      <c r="BS6" s="133" t="s">
        <v>846</v>
      </c>
      <c r="BT6" s="133" t="s">
        <v>846</v>
      </c>
      <c r="BU6" s="133" t="s">
        <v>840</v>
      </c>
      <c r="BV6" s="133" t="s">
        <v>846</v>
      </c>
      <c r="BW6" s="133" t="s">
        <v>846</v>
      </c>
      <c r="BX6" s="133" t="s">
        <v>846</v>
      </c>
      <c r="BY6" s="133" t="s">
        <v>846</v>
      </c>
      <c r="BZ6" s="133" t="s">
        <v>846</v>
      </c>
      <c r="CA6" s="133" t="b">
        <v>0</v>
      </c>
      <c r="CB6" s="135" t="s">
        <v>846</v>
      </c>
      <c r="CC6" s="132" t="s">
        <v>840</v>
      </c>
      <c r="CD6" s="133" t="s">
        <v>846</v>
      </c>
      <c r="CE6" s="133" t="s">
        <v>846</v>
      </c>
      <c r="CF6" s="133" t="s">
        <v>846</v>
      </c>
      <c r="CG6" s="133" t="s">
        <v>846</v>
      </c>
      <c r="CH6" s="133" t="b">
        <v>0</v>
      </c>
      <c r="CI6" s="133" t="s">
        <v>846</v>
      </c>
      <c r="CJ6" s="133" t="s">
        <v>846</v>
      </c>
      <c r="CK6" s="133" t="s">
        <v>846</v>
      </c>
      <c r="CL6" s="133" t="s">
        <v>840</v>
      </c>
      <c r="CM6" s="133" t="s">
        <v>846</v>
      </c>
      <c r="CN6" s="133" t="s">
        <v>846</v>
      </c>
      <c r="CO6" s="133" t="s">
        <v>840</v>
      </c>
      <c r="CP6" s="135" t="b">
        <v>0</v>
      </c>
      <c r="CQ6" s="132" t="b">
        <v>0</v>
      </c>
      <c r="CR6" s="133" t="s">
        <v>846</v>
      </c>
      <c r="CS6" s="133" t="b">
        <v>0</v>
      </c>
      <c r="CT6" s="133" t="s">
        <v>840</v>
      </c>
      <c r="CU6" s="133" t="b">
        <v>0</v>
      </c>
      <c r="CV6" s="133" t="s">
        <v>846</v>
      </c>
      <c r="CW6" s="133" t="s">
        <v>846</v>
      </c>
      <c r="CX6" s="133" t="s">
        <v>846</v>
      </c>
      <c r="CY6" s="133" t="s">
        <v>846</v>
      </c>
      <c r="CZ6" s="135" t="s">
        <v>846</v>
      </c>
      <c r="DA6" s="96">
        <v>16</v>
      </c>
      <c r="DB6" s="103">
        <f>COUNTIF(DonnéesBC[[#This Row],[1]:[16]],"FAUX")</f>
        <v>5</v>
      </c>
      <c r="DC6" s="103">
        <f>COUNTIF(DonnéesBC[[#This Row],[1]:[16]],"Je ne sais pas")</f>
        <v>0</v>
      </c>
      <c r="DD6" s="103">
        <f>COUNTIF(DonnéesBC[[#This Row],[1]:[16]],"Juste")</f>
        <v>11</v>
      </c>
      <c r="DE6" s="96">
        <v>12</v>
      </c>
      <c r="DF6" s="103">
        <f>COUNTIF(DonnéesBC[[#This Row],[17]:[28]],"FAUX")</f>
        <v>5</v>
      </c>
      <c r="DG6" s="103">
        <f>COUNTIF(DonnéesBC[[#This Row],[17]:[28]],"Je ne sais pas")</f>
        <v>0</v>
      </c>
      <c r="DH6" s="103">
        <f>COUNTIF(DonnéesBC[[#This Row],[17]:[28]],"Juste")</f>
        <v>7</v>
      </c>
      <c r="DI6" s="96">
        <v>9</v>
      </c>
      <c r="DJ6" s="103">
        <f>COUNTIF(DonnéesBC[[#This Row],[29]:[37]],"FAUX")</f>
        <v>2</v>
      </c>
      <c r="DK6" s="103">
        <f>COUNTIF(DonnéesBC[[#This Row],[29]:[37]],"Je ne sais pas")</f>
        <v>0</v>
      </c>
      <c r="DL6" s="103">
        <f>COUNTIF(DonnéesBC[[#This Row],[29]:[37]],"Juste")</f>
        <v>7</v>
      </c>
      <c r="DM6" s="96">
        <v>13</v>
      </c>
      <c r="DN6" s="103">
        <f>COUNTIF(DonnéesBC[[#This Row],[38]:[50]],"FAUX")</f>
        <v>1</v>
      </c>
      <c r="DO6" s="103">
        <f>COUNTIF(DonnéesBC[[#This Row],[38]:[50]],"Je ne sais pas")</f>
        <v>3</v>
      </c>
      <c r="DP6" s="103">
        <f>COUNTIF(DonnéesBC[[#This Row],[38]:[50]],"Juste")</f>
        <v>9</v>
      </c>
      <c r="DQ6" s="96">
        <v>16</v>
      </c>
      <c r="DR6" s="103">
        <f>COUNTIF(DonnéesBC[[#This Row],[51]:[66]],"FAUX")</f>
        <v>4</v>
      </c>
      <c r="DS6" s="103">
        <f>COUNTIF(DonnéesBC[[#This Row],[51]:[66]],"Je ne sais pas")</f>
        <v>1</v>
      </c>
      <c r="DT6" s="103">
        <f>COUNTIF(DonnéesBC[[#This Row],[51]:[66]],"Juste")</f>
        <v>11</v>
      </c>
      <c r="DU6" s="96">
        <v>11</v>
      </c>
      <c r="DV6" s="103">
        <f>COUNTIF(DonnéesBC[[#This Row],[67]:[77]],"FAUX")</f>
        <v>1</v>
      </c>
      <c r="DW6" s="103">
        <f>COUNTIF(DonnéesBC[[#This Row],[67]:[77]],"Je ne sais pas")</f>
        <v>1</v>
      </c>
      <c r="DX6" s="103">
        <f>COUNTIF(DonnéesBC[[#This Row],[67]:[77]],"Juste")</f>
        <v>9</v>
      </c>
      <c r="DY6" s="96">
        <v>14</v>
      </c>
      <c r="DZ6" s="103">
        <f>COUNTIF(DonnéesBC[[#This Row],[78]:[91]],"FAUX")</f>
        <v>2</v>
      </c>
      <c r="EA6" s="103">
        <f>COUNTIF(DonnéesBC[[#This Row],[78]:[91]],"Je ne sais pas")</f>
        <v>3</v>
      </c>
      <c r="EB6" s="103">
        <f>COUNTIF(DonnéesBC[[#This Row],[78]:[91]],"Juste")</f>
        <v>9</v>
      </c>
      <c r="EC6" s="96">
        <v>10</v>
      </c>
      <c r="ED6" s="103">
        <f>COUNTIF(DonnéesBC[[#This Row],[92]:[101]],"FAUX")</f>
        <v>3</v>
      </c>
      <c r="EE6" s="103">
        <f>COUNTIF(DonnéesBC[[#This Row],[92]:[101]],"Je ne sais pas")</f>
        <v>1</v>
      </c>
      <c r="EF6" s="103">
        <f>COUNTIF(DonnéesBC[[#This Row],[92]:[101]],"Juste")</f>
        <v>6</v>
      </c>
      <c r="EG6" s="96">
        <f>SUM(DonnéesBC[[#This Row],[A]]+DonnéesBC[[#This Row],[B]]+DonnéesBC[[#This Row],[C]]+DonnéesBC[[#This Row],[D]]+DonnéesBC[[#This Row],[E]]+DonnéesBC[[#This Row],[F]]+DonnéesBC[[#This Row],[G]]+DonnéesBC[[#This Row],[H]])</f>
        <v>101</v>
      </c>
      <c r="EH6" s="97">
        <f>SUM(DonnéesBC[[#This Row],[A2]]+DonnéesBC[[#This Row],[B2]]+DonnéesBC[[#This Row],[C2]]+DonnéesBC[[#This Row],[D2]]+DonnéesBC[[#This Row],[E2]]+DonnéesBC[[#This Row],[F2]]+DonnéesBC[[#This Row],[G2]]+DonnéesBC[[#This Row],[H2]])</f>
        <v>23</v>
      </c>
      <c r="EI6" s="98">
        <f>SUM(DonnéesBC[[#This Row],[A3]]+DonnéesBC[[#This Row],[B3]]+DonnéesBC[[#This Row],[C3]]+DonnéesBC[[#This Row],[D3]]+DonnéesBC[[#This Row],[E3]]+DonnéesBC[[#This Row],[F3]]+DonnéesBC[[#This Row],[G3]]+DonnéesBC[[#This Row],[H3]])</f>
        <v>9</v>
      </c>
      <c r="EJ6" s="103">
        <f>SUM(DonnéesBC[[#This Row],[A4]]+DonnéesBC[[#This Row],[B4]]+DonnéesBC[[#This Row],[C4]]+DonnéesBC[[#This Row],[D4]]+DonnéesBC[[#This Row],[E4]]+DonnéesBC[[#This Row],[F4]]+DonnéesBC[[#This Row],[G4]]+DonnéesBC[[#This Row],[H4]])</f>
        <v>69</v>
      </c>
      <c r="EK6" s="95"/>
      <c r="EL6">
        <v>55</v>
      </c>
    </row>
    <row r="7" spans="1:142" ht="14" customHeight="1">
      <c r="A7" s="101" t="str">
        <f>DonnéesBC[[#This Row],[Prénom]]&amp;" "&amp;DonnéesBC[[#This Row],[Nom]]</f>
        <v>Benjamin Mareine</v>
      </c>
      <c r="B7" s="97" t="s">
        <v>71</v>
      </c>
      <c r="C7" s="97" t="s">
        <v>72</v>
      </c>
      <c r="D7" s="136" t="s">
        <v>846</v>
      </c>
      <c r="E7" s="137" t="b">
        <v>0</v>
      </c>
      <c r="F7" s="137" t="s">
        <v>846</v>
      </c>
      <c r="G7" s="137" t="s">
        <v>846</v>
      </c>
      <c r="H7" s="137" t="s">
        <v>846</v>
      </c>
      <c r="I7" s="137" t="s">
        <v>846</v>
      </c>
      <c r="J7" s="137" t="s">
        <v>846</v>
      </c>
      <c r="K7" s="137" t="s">
        <v>846</v>
      </c>
      <c r="L7" s="137" t="s">
        <v>846</v>
      </c>
      <c r="M7" s="137" t="s">
        <v>846</v>
      </c>
      <c r="N7" s="137" t="s">
        <v>846</v>
      </c>
      <c r="O7" s="137" t="s">
        <v>846</v>
      </c>
      <c r="P7" s="137" t="s">
        <v>846</v>
      </c>
      <c r="Q7" s="137" t="b">
        <v>0</v>
      </c>
      <c r="R7" s="137" t="s">
        <v>846</v>
      </c>
      <c r="S7" s="138" t="b">
        <v>0</v>
      </c>
      <c r="T7" s="136" t="s">
        <v>846</v>
      </c>
      <c r="U7" s="137" t="s">
        <v>846</v>
      </c>
      <c r="V7" s="137" t="s">
        <v>846</v>
      </c>
      <c r="W7" s="137" t="b">
        <v>0</v>
      </c>
      <c r="X7" s="137" t="s">
        <v>846</v>
      </c>
      <c r="Y7" s="137" t="s">
        <v>846</v>
      </c>
      <c r="Z7" s="137" t="b">
        <v>0</v>
      </c>
      <c r="AA7" s="137" t="s">
        <v>846</v>
      </c>
      <c r="AB7" s="137" t="s">
        <v>846</v>
      </c>
      <c r="AC7" s="137" t="s">
        <v>846</v>
      </c>
      <c r="AD7" s="137" t="s">
        <v>846</v>
      </c>
      <c r="AE7" s="138" t="s">
        <v>846</v>
      </c>
      <c r="AF7" s="136" t="s">
        <v>846</v>
      </c>
      <c r="AG7" s="137" t="b">
        <v>0</v>
      </c>
      <c r="AH7" s="137" t="b">
        <v>0</v>
      </c>
      <c r="AI7" s="137" t="s">
        <v>840</v>
      </c>
      <c r="AJ7" s="137" t="s">
        <v>846</v>
      </c>
      <c r="AK7" s="137" t="s">
        <v>846</v>
      </c>
      <c r="AL7" s="137" t="s">
        <v>846</v>
      </c>
      <c r="AM7" s="137" t="s">
        <v>846</v>
      </c>
      <c r="AN7" s="138" t="s">
        <v>846</v>
      </c>
      <c r="AO7" s="136" t="s">
        <v>840</v>
      </c>
      <c r="AP7" s="137" t="s">
        <v>846</v>
      </c>
      <c r="AQ7" s="137" t="s">
        <v>846</v>
      </c>
      <c r="AR7" s="137" t="b">
        <v>0</v>
      </c>
      <c r="AS7" s="137" t="s">
        <v>846</v>
      </c>
      <c r="AT7" s="137" t="s">
        <v>846</v>
      </c>
      <c r="AU7" s="137" t="s">
        <v>846</v>
      </c>
      <c r="AV7" s="137" t="s">
        <v>846</v>
      </c>
      <c r="AW7" s="137" t="s">
        <v>846</v>
      </c>
      <c r="AX7" s="137" t="s">
        <v>846</v>
      </c>
      <c r="AY7" s="137" t="s">
        <v>846</v>
      </c>
      <c r="AZ7" s="137" t="b">
        <v>0</v>
      </c>
      <c r="BA7" s="138" t="b">
        <v>0</v>
      </c>
      <c r="BB7" s="136" t="s">
        <v>846</v>
      </c>
      <c r="BC7" s="137" t="s">
        <v>846</v>
      </c>
      <c r="BD7" s="137" t="s">
        <v>846</v>
      </c>
      <c r="BE7" s="137" t="s">
        <v>846</v>
      </c>
      <c r="BF7" s="137" t="s">
        <v>846</v>
      </c>
      <c r="BG7" s="137" t="s">
        <v>846</v>
      </c>
      <c r="BH7" s="137" t="s">
        <v>846</v>
      </c>
      <c r="BI7" s="137" t="s">
        <v>846</v>
      </c>
      <c r="BJ7" s="137" t="s">
        <v>840</v>
      </c>
      <c r="BK7" s="137" t="b">
        <v>0</v>
      </c>
      <c r="BL7" s="137" t="b">
        <v>0</v>
      </c>
      <c r="BM7" s="137" t="s">
        <v>840</v>
      </c>
      <c r="BN7" s="137" t="b">
        <v>0</v>
      </c>
      <c r="BO7" s="137" t="s">
        <v>840</v>
      </c>
      <c r="BP7" s="137" t="s">
        <v>846</v>
      </c>
      <c r="BQ7" s="138" t="b">
        <v>0</v>
      </c>
      <c r="BR7" s="136" t="s">
        <v>846</v>
      </c>
      <c r="BS7" s="137" t="b">
        <v>0</v>
      </c>
      <c r="BT7" s="137" t="s">
        <v>846</v>
      </c>
      <c r="BU7" s="137" t="s">
        <v>846</v>
      </c>
      <c r="BV7" s="137" t="s">
        <v>846</v>
      </c>
      <c r="BW7" s="137" t="s">
        <v>846</v>
      </c>
      <c r="BX7" s="137" t="s">
        <v>846</v>
      </c>
      <c r="BY7" s="137" t="s">
        <v>846</v>
      </c>
      <c r="BZ7" s="137" t="b">
        <v>0</v>
      </c>
      <c r="CA7" s="137" t="s">
        <v>846</v>
      </c>
      <c r="CB7" s="138" t="b">
        <v>0</v>
      </c>
      <c r="CC7" s="136" t="s">
        <v>846</v>
      </c>
      <c r="CD7" s="137" t="s">
        <v>846</v>
      </c>
      <c r="CE7" s="137" t="b">
        <v>0</v>
      </c>
      <c r="CF7" s="137" t="s">
        <v>846</v>
      </c>
      <c r="CG7" s="137" t="s">
        <v>846</v>
      </c>
      <c r="CH7" s="137" t="b">
        <v>0</v>
      </c>
      <c r="CI7" s="137" t="s">
        <v>846</v>
      </c>
      <c r="CJ7" s="137" t="s">
        <v>846</v>
      </c>
      <c r="CK7" s="137" t="s">
        <v>846</v>
      </c>
      <c r="CL7" s="137" t="s">
        <v>846</v>
      </c>
      <c r="CM7" s="137" t="s">
        <v>846</v>
      </c>
      <c r="CN7" s="137" t="s">
        <v>846</v>
      </c>
      <c r="CO7" s="137" t="s">
        <v>846</v>
      </c>
      <c r="CP7" s="138" t="b">
        <v>0</v>
      </c>
      <c r="CQ7" s="136" t="s">
        <v>846</v>
      </c>
      <c r="CR7" s="137" t="s">
        <v>846</v>
      </c>
      <c r="CS7" s="137" t="b">
        <v>0</v>
      </c>
      <c r="CT7" s="137" t="b">
        <v>0</v>
      </c>
      <c r="CU7" s="137" t="s">
        <v>846</v>
      </c>
      <c r="CV7" s="137" t="s">
        <v>846</v>
      </c>
      <c r="CW7" s="137" t="s">
        <v>846</v>
      </c>
      <c r="CX7" s="137" t="b">
        <v>0</v>
      </c>
      <c r="CY7" s="137" t="s">
        <v>846</v>
      </c>
      <c r="CZ7" s="138" t="b">
        <v>0</v>
      </c>
      <c r="DA7" s="96">
        <v>16</v>
      </c>
      <c r="DB7" s="103">
        <f>COUNTIF(DonnéesBC[[#This Row],[1]:[16]],"FAUX")</f>
        <v>3</v>
      </c>
      <c r="DC7" s="103">
        <f>COUNTIF(DonnéesBC[[#This Row],[1]:[16]],"Je ne sais pas")</f>
        <v>0</v>
      </c>
      <c r="DD7" s="103">
        <f>COUNTIF(DonnéesBC[[#This Row],[1]:[16]],"Juste")</f>
        <v>13</v>
      </c>
      <c r="DE7" s="96">
        <v>12</v>
      </c>
      <c r="DF7" s="103">
        <f>COUNTIF(DonnéesBC[[#This Row],[17]:[28]],"FAUX")</f>
        <v>2</v>
      </c>
      <c r="DG7" s="103">
        <f>COUNTIF(DonnéesBC[[#This Row],[17]:[28]],"Je ne sais pas")</f>
        <v>0</v>
      </c>
      <c r="DH7" s="103">
        <f>COUNTIF(DonnéesBC[[#This Row],[17]:[28]],"Juste")</f>
        <v>10</v>
      </c>
      <c r="DI7" s="96">
        <v>9</v>
      </c>
      <c r="DJ7" s="103">
        <f>COUNTIF(DonnéesBC[[#This Row],[29]:[37]],"FAUX")</f>
        <v>2</v>
      </c>
      <c r="DK7" s="103">
        <f>COUNTIF(DonnéesBC[[#This Row],[29]:[37]],"Je ne sais pas")</f>
        <v>1</v>
      </c>
      <c r="DL7" s="103">
        <f>COUNTIF(DonnéesBC[[#This Row],[29]:[37]],"Juste")</f>
        <v>6</v>
      </c>
      <c r="DM7" s="96">
        <v>13</v>
      </c>
      <c r="DN7" s="103">
        <f>COUNTIF(DonnéesBC[[#This Row],[38]:[50]],"FAUX")</f>
        <v>3</v>
      </c>
      <c r="DO7" s="103">
        <f>COUNTIF(DonnéesBC[[#This Row],[38]:[50]],"Je ne sais pas")</f>
        <v>1</v>
      </c>
      <c r="DP7" s="103">
        <f>COUNTIF(DonnéesBC[[#This Row],[38]:[50]],"Juste")</f>
        <v>9</v>
      </c>
      <c r="DQ7" s="96">
        <v>16</v>
      </c>
      <c r="DR7" s="103">
        <f>COUNTIF(DonnéesBC[[#This Row],[51]:[66]],"FAUX")</f>
        <v>4</v>
      </c>
      <c r="DS7" s="103">
        <f>COUNTIF(DonnéesBC[[#This Row],[51]:[66]],"Je ne sais pas")</f>
        <v>3</v>
      </c>
      <c r="DT7" s="103">
        <f>COUNTIF(DonnéesBC[[#This Row],[51]:[66]],"Juste")</f>
        <v>9</v>
      </c>
      <c r="DU7" s="96">
        <v>11</v>
      </c>
      <c r="DV7" s="103">
        <f>COUNTIF(DonnéesBC[[#This Row],[67]:[77]],"FAUX")</f>
        <v>3</v>
      </c>
      <c r="DW7" s="103">
        <f>COUNTIF(DonnéesBC[[#This Row],[67]:[77]],"Je ne sais pas")</f>
        <v>0</v>
      </c>
      <c r="DX7" s="103">
        <f>COUNTIF(DonnéesBC[[#This Row],[67]:[77]],"Juste")</f>
        <v>8</v>
      </c>
      <c r="DY7" s="96">
        <v>14</v>
      </c>
      <c r="DZ7" s="103">
        <f>COUNTIF(DonnéesBC[[#This Row],[78]:[91]],"FAUX")</f>
        <v>3</v>
      </c>
      <c r="EA7" s="103">
        <f>COUNTIF(DonnéesBC[[#This Row],[78]:[91]],"Je ne sais pas")</f>
        <v>0</v>
      </c>
      <c r="EB7" s="103">
        <f>COUNTIF(DonnéesBC[[#This Row],[78]:[91]],"Juste")</f>
        <v>11</v>
      </c>
      <c r="EC7" s="96">
        <v>10</v>
      </c>
      <c r="ED7" s="103">
        <f>COUNTIF(DonnéesBC[[#This Row],[92]:[101]],"FAUX")</f>
        <v>4</v>
      </c>
      <c r="EE7" s="103">
        <f>COUNTIF(DonnéesBC[[#This Row],[92]:[101]],"Je ne sais pas")</f>
        <v>0</v>
      </c>
      <c r="EF7" s="103">
        <f>COUNTIF(DonnéesBC[[#This Row],[92]:[101]],"Juste")</f>
        <v>6</v>
      </c>
      <c r="EG7" s="96">
        <f>SUM(DonnéesBC[[#This Row],[A]]+DonnéesBC[[#This Row],[B]]+DonnéesBC[[#This Row],[C]]+DonnéesBC[[#This Row],[D]]+DonnéesBC[[#This Row],[E]]+DonnéesBC[[#This Row],[F]]+DonnéesBC[[#This Row],[G]]+DonnéesBC[[#This Row],[H]])</f>
        <v>101</v>
      </c>
      <c r="EH7" s="97">
        <f>SUM(DonnéesBC[[#This Row],[A2]]+DonnéesBC[[#This Row],[B2]]+DonnéesBC[[#This Row],[C2]]+DonnéesBC[[#This Row],[D2]]+DonnéesBC[[#This Row],[E2]]+DonnéesBC[[#This Row],[F2]]+DonnéesBC[[#This Row],[G2]]+DonnéesBC[[#This Row],[H2]])</f>
        <v>24</v>
      </c>
      <c r="EI7" s="98">
        <f>SUM(DonnéesBC[[#This Row],[A3]]+DonnéesBC[[#This Row],[B3]]+DonnéesBC[[#This Row],[C3]]+DonnéesBC[[#This Row],[D3]]+DonnéesBC[[#This Row],[E3]]+DonnéesBC[[#This Row],[F3]]+DonnéesBC[[#This Row],[G3]]+DonnéesBC[[#This Row],[H3]])</f>
        <v>5</v>
      </c>
      <c r="EJ7" s="103">
        <f>SUM(DonnéesBC[[#This Row],[A4]]+DonnéesBC[[#This Row],[B4]]+DonnéesBC[[#This Row],[C4]]+DonnéesBC[[#This Row],[D4]]+DonnéesBC[[#This Row],[E4]]+DonnéesBC[[#This Row],[F4]]+DonnéesBC[[#This Row],[G4]]+DonnéesBC[[#This Row],[H4]])</f>
        <v>72</v>
      </c>
      <c r="EK7" s="95" t="s">
        <v>685</v>
      </c>
      <c r="EL7">
        <v>54</v>
      </c>
    </row>
    <row r="8" spans="1:142" ht="14" customHeight="1">
      <c r="A8" s="101" t="str">
        <f>DonnéesBC[[#This Row],[Prénom]]&amp;" "&amp;DonnéesBC[[#This Row],[Nom]]</f>
        <v>Brahim Shala</v>
      </c>
      <c r="B8" s="97" t="s">
        <v>77</v>
      </c>
      <c r="C8" s="97" t="s">
        <v>78</v>
      </c>
      <c r="D8" s="132" t="b">
        <v>0</v>
      </c>
      <c r="E8" s="133" t="s">
        <v>846</v>
      </c>
      <c r="F8" s="133" t="s">
        <v>846</v>
      </c>
      <c r="G8" s="133" t="b">
        <v>0</v>
      </c>
      <c r="H8" s="133" t="b">
        <v>0</v>
      </c>
      <c r="I8" s="133" t="s">
        <v>846</v>
      </c>
      <c r="J8" s="133" t="s">
        <v>846</v>
      </c>
      <c r="K8" s="133" t="b">
        <v>0</v>
      </c>
      <c r="L8" s="133" t="s">
        <v>846</v>
      </c>
      <c r="M8" s="133" t="b">
        <v>0</v>
      </c>
      <c r="N8" s="133" t="s">
        <v>846</v>
      </c>
      <c r="O8" s="133" t="b">
        <v>0</v>
      </c>
      <c r="P8" s="133" t="s">
        <v>846</v>
      </c>
      <c r="Q8" s="133" t="b">
        <v>0</v>
      </c>
      <c r="R8" s="133" t="s">
        <v>846</v>
      </c>
      <c r="S8" s="135" t="b">
        <v>0</v>
      </c>
      <c r="T8" s="132" t="s">
        <v>846</v>
      </c>
      <c r="U8" s="133" t="s">
        <v>846</v>
      </c>
      <c r="V8" s="133" t="s">
        <v>846</v>
      </c>
      <c r="W8" s="133" t="b">
        <v>0</v>
      </c>
      <c r="X8" s="133" t="s">
        <v>846</v>
      </c>
      <c r="Y8" s="133" t="s">
        <v>846</v>
      </c>
      <c r="Z8" s="133" t="b">
        <v>0</v>
      </c>
      <c r="AA8" s="133" t="s">
        <v>840</v>
      </c>
      <c r="AB8" s="133" t="s">
        <v>846</v>
      </c>
      <c r="AC8" s="133" t="s">
        <v>846</v>
      </c>
      <c r="AD8" s="133" t="b">
        <v>0</v>
      </c>
      <c r="AE8" s="135" t="s">
        <v>846</v>
      </c>
      <c r="AF8" s="132" t="s">
        <v>846</v>
      </c>
      <c r="AG8" s="133" t="b">
        <v>0</v>
      </c>
      <c r="AH8" s="133" t="b">
        <v>0</v>
      </c>
      <c r="AI8" s="133" t="s">
        <v>846</v>
      </c>
      <c r="AJ8" s="133" t="b">
        <v>0</v>
      </c>
      <c r="AK8" s="133" t="s">
        <v>846</v>
      </c>
      <c r="AL8" s="133" t="s">
        <v>846</v>
      </c>
      <c r="AM8" s="133" t="s">
        <v>846</v>
      </c>
      <c r="AN8" s="135" t="s">
        <v>846</v>
      </c>
      <c r="AO8" s="132" t="s">
        <v>840</v>
      </c>
      <c r="AP8" s="133" t="s">
        <v>846</v>
      </c>
      <c r="AQ8" s="133" t="s">
        <v>846</v>
      </c>
      <c r="AR8" s="133" t="s">
        <v>846</v>
      </c>
      <c r="AS8" s="133" t="b">
        <v>0</v>
      </c>
      <c r="AT8" s="133" t="s">
        <v>846</v>
      </c>
      <c r="AU8" s="133" t="s">
        <v>846</v>
      </c>
      <c r="AV8" s="133" t="s">
        <v>846</v>
      </c>
      <c r="AW8" s="133" t="s">
        <v>846</v>
      </c>
      <c r="AX8" s="133" t="b">
        <v>0</v>
      </c>
      <c r="AY8" s="133" t="b">
        <v>0</v>
      </c>
      <c r="AZ8" s="133" t="s">
        <v>840</v>
      </c>
      <c r="BA8" s="135" t="s">
        <v>840</v>
      </c>
      <c r="BB8" s="132" t="s">
        <v>846</v>
      </c>
      <c r="BC8" s="133" t="s">
        <v>846</v>
      </c>
      <c r="BD8" s="133" t="s">
        <v>846</v>
      </c>
      <c r="BE8" s="133" t="s">
        <v>846</v>
      </c>
      <c r="BF8" s="133" t="b">
        <v>0</v>
      </c>
      <c r="BG8" s="133" t="s">
        <v>846</v>
      </c>
      <c r="BH8" s="133" t="b">
        <v>0</v>
      </c>
      <c r="BI8" s="133" t="s">
        <v>846</v>
      </c>
      <c r="BJ8" s="133" t="b">
        <v>0</v>
      </c>
      <c r="BK8" s="133" t="s">
        <v>846</v>
      </c>
      <c r="BL8" s="133" t="s">
        <v>846</v>
      </c>
      <c r="BM8" s="133" t="s">
        <v>846</v>
      </c>
      <c r="BN8" s="133" t="b">
        <v>0</v>
      </c>
      <c r="BO8" s="133" t="s">
        <v>846</v>
      </c>
      <c r="BP8" s="133" t="b">
        <v>0</v>
      </c>
      <c r="BQ8" s="135" t="s">
        <v>846</v>
      </c>
      <c r="BR8" s="132" t="s">
        <v>846</v>
      </c>
      <c r="BS8" s="133" t="s">
        <v>846</v>
      </c>
      <c r="BT8" s="133" t="s">
        <v>846</v>
      </c>
      <c r="BU8" s="133" t="s">
        <v>846</v>
      </c>
      <c r="BV8" s="133" t="s">
        <v>846</v>
      </c>
      <c r="BW8" s="133" t="s">
        <v>846</v>
      </c>
      <c r="BX8" s="133" t="b">
        <v>0</v>
      </c>
      <c r="BY8" s="133" t="s">
        <v>846</v>
      </c>
      <c r="BZ8" s="133" t="b">
        <v>0</v>
      </c>
      <c r="CA8" s="133" t="s">
        <v>846</v>
      </c>
      <c r="CB8" s="135" t="s">
        <v>846</v>
      </c>
      <c r="CC8" s="132" t="s">
        <v>840</v>
      </c>
      <c r="CD8" s="133" t="s">
        <v>846</v>
      </c>
      <c r="CE8" s="133" t="s">
        <v>846</v>
      </c>
      <c r="CF8" s="133" t="s">
        <v>846</v>
      </c>
      <c r="CG8" s="133" t="s">
        <v>846</v>
      </c>
      <c r="CH8" s="133" t="s">
        <v>846</v>
      </c>
      <c r="CI8" s="133" t="s">
        <v>846</v>
      </c>
      <c r="CJ8" s="133" t="s">
        <v>846</v>
      </c>
      <c r="CK8" s="133" t="b">
        <v>0</v>
      </c>
      <c r="CL8" s="133" t="b">
        <v>0</v>
      </c>
      <c r="CM8" s="133" t="s">
        <v>840</v>
      </c>
      <c r="CN8" s="133" t="s">
        <v>846</v>
      </c>
      <c r="CO8" s="133" t="s">
        <v>846</v>
      </c>
      <c r="CP8" s="135" t="b">
        <v>0</v>
      </c>
      <c r="CQ8" s="132" t="s">
        <v>846</v>
      </c>
      <c r="CR8" s="133" t="s">
        <v>846</v>
      </c>
      <c r="CS8" s="133" t="b">
        <v>0</v>
      </c>
      <c r="CT8" s="133" t="b">
        <v>0</v>
      </c>
      <c r="CU8" s="133" t="s">
        <v>846</v>
      </c>
      <c r="CV8" s="133" t="s">
        <v>846</v>
      </c>
      <c r="CW8" s="133" t="s">
        <v>846</v>
      </c>
      <c r="CX8" s="133" t="s">
        <v>846</v>
      </c>
      <c r="CY8" s="133" t="b">
        <v>0</v>
      </c>
      <c r="CZ8" s="135" t="b">
        <v>0</v>
      </c>
      <c r="DA8" s="96">
        <v>16</v>
      </c>
      <c r="DB8" s="103">
        <f>COUNTIF(DonnéesBC[[#This Row],[1]:[16]],"FAUX")</f>
        <v>8</v>
      </c>
      <c r="DC8" s="103">
        <f>COUNTIF(DonnéesBC[[#This Row],[1]:[16]],"Je ne sais pas")</f>
        <v>0</v>
      </c>
      <c r="DD8" s="103">
        <f>COUNTIF(DonnéesBC[[#This Row],[1]:[16]],"Juste")</f>
        <v>8</v>
      </c>
      <c r="DE8" s="96">
        <v>12</v>
      </c>
      <c r="DF8" s="103">
        <f>COUNTIF(DonnéesBC[[#This Row],[17]:[28]],"FAUX")</f>
        <v>3</v>
      </c>
      <c r="DG8" s="103">
        <f>COUNTIF(DonnéesBC[[#This Row],[17]:[28]],"Je ne sais pas")</f>
        <v>1</v>
      </c>
      <c r="DH8" s="103">
        <f>COUNTIF(DonnéesBC[[#This Row],[17]:[28]],"Juste")</f>
        <v>8</v>
      </c>
      <c r="DI8" s="96">
        <v>9</v>
      </c>
      <c r="DJ8" s="103">
        <f>COUNTIF(DonnéesBC[[#This Row],[29]:[37]],"FAUX")</f>
        <v>3</v>
      </c>
      <c r="DK8" s="103">
        <f>COUNTIF(DonnéesBC[[#This Row],[29]:[37]],"Je ne sais pas")</f>
        <v>0</v>
      </c>
      <c r="DL8" s="103">
        <f>COUNTIF(DonnéesBC[[#This Row],[29]:[37]],"Juste")</f>
        <v>6</v>
      </c>
      <c r="DM8" s="96">
        <v>13</v>
      </c>
      <c r="DN8" s="103">
        <f>COUNTIF(DonnéesBC[[#This Row],[38]:[50]],"FAUX")</f>
        <v>3</v>
      </c>
      <c r="DO8" s="103">
        <f>COUNTIF(DonnéesBC[[#This Row],[38]:[50]],"Je ne sais pas")</f>
        <v>3</v>
      </c>
      <c r="DP8" s="103">
        <f>COUNTIF(DonnéesBC[[#This Row],[38]:[50]],"Juste")</f>
        <v>7</v>
      </c>
      <c r="DQ8" s="96">
        <v>16</v>
      </c>
      <c r="DR8" s="103">
        <f>COUNTIF(DonnéesBC[[#This Row],[51]:[66]],"FAUX")</f>
        <v>5</v>
      </c>
      <c r="DS8" s="103">
        <f>COUNTIF(DonnéesBC[[#This Row],[51]:[66]],"Je ne sais pas")</f>
        <v>0</v>
      </c>
      <c r="DT8" s="103">
        <f>COUNTIF(DonnéesBC[[#This Row],[51]:[66]],"Juste")</f>
        <v>11</v>
      </c>
      <c r="DU8" s="96">
        <v>11</v>
      </c>
      <c r="DV8" s="103">
        <f>COUNTIF(DonnéesBC[[#This Row],[67]:[77]],"FAUX")</f>
        <v>2</v>
      </c>
      <c r="DW8" s="103">
        <f>COUNTIF(DonnéesBC[[#This Row],[67]:[77]],"Je ne sais pas")</f>
        <v>0</v>
      </c>
      <c r="DX8" s="103">
        <f>COUNTIF(DonnéesBC[[#This Row],[67]:[77]],"Juste")</f>
        <v>9</v>
      </c>
      <c r="DY8" s="96">
        <v>14</v>
      </c>
      <c r="DZ8" s="103">
        <f>COUNTIF(DonnéesBC[[#This Row],[78]:[91]],"FAUX")</f>
        <v>3</v>
      </c>
      <c r="EA8" s="103">
        <f>COUNTIF(DonnéesBC[[#This Row],[78]:[91]],"Je ne sais pas")</f>
        <v>2</v>
      </c>
      <c r="EB8" s="103">
        <f>COUNTIF(DonnéesBC[[#This Row],[78]:[91]],"Juste")</f>
        <v>9</v>
      </c>
      <c r="EC8" s="96">
        <v>10</v>
      </c>
      <c r="ED8" s="103">
        <f>COUNTIF(DonnéesBC[[#This Row],[92]:[101]],"FAUX")</f>
        <v>4</v>
      </c>
      <c r="EE8" s="103">
        <f>COUNTIF(DonnéesBC[[#This Row],[92]:[101]],"Je ne sais pas")</f>
        <v>0</v>
      </c>
      <c r="EF8" s="103">
        <f>COUNTIF(DonnéesBC[[#This Row],[92]:[101]],"Juste")</f>
        <v>6</v>
      </c>
      <c r="EG8" s="96">
        <f>SUM(DonnéesBC[[#This Row],[A]]+DonnéesBC[[#This Row],[B]]+DonnéesBC[[#This Row],[C]]+DonnéesBC[[#This Row],[D]]+DonnéesBC[[#This Row],[E]]+DonnéesBC[[#This Row],[F]]+DonnéesBC[[#This Row],[G]]+DonnéesBC[[#This Row],[H]])</f>
        <v>101</v>
      </c>
      <c r="EH8" s="97">
        <f>SUM(DonnéesBC[[#This Row],[A2]]+DonnéesBC[[#This Row],[B2]]+DonnéesBC[[#This Row],[C2]]+DonnéesBC[[#This Row],[D2]]+DonnéesBC[[#This Row],[E2]]+DonnéesBC[[#This Row],[F2]]+DonnéesBC[[#This Row],[G2]]+DonnéesBC[[#This Row],[H2]])</f>
        <v>31</v>
      </c>
      <c r="EI8" s="98">
        <f>SUM(DonnéesBC[[#This Row],[A3]]+DonnéesBC[[#This Row],[B3]]+DonnéesBC[[#This Row],[C3]]+DonnéesBC[[#This Row],[D3]]+DonnéesBC[[#This Row],[E3]]+DonnéesBC[[#This Row],[F3]]+DonnéesBC[[#This Row],[G3]]+DonnéesBC[[#This Row],[H3]])</f>
        <v>6</v>
      </c>
      <c r="EJ8" s="103">
        <f>SUM(DonnéesBC[[#This Row],[A4]]+DonnéesBC[[#This Row],[B4]]+DonnéesBC[[#This Row],[C4]]+DonnéesBC[[#This Row],[D4]]+DonnéesBC[[#This Row],[E4]]+DonnéesBC[[#This Row],[F4]]+DonnéesBC[[#This Row],[G4]]+DonnéesBC[[#This Row],[H4]])</f>
        <v>64</v>
      </c>
      <c r="EK8" s="95"/>
      <c r="EL8">
        <v>53</v>
      </c>
    </row>
    <row r="9" spans="1:142" ht="14" customHeight="1">
      <c r="A9" s="101" t="str">
        <f>DonnéesBC[[#This Row],[Prénom]]&amp;" "&amp;DonnéesBC[[#This Row],[Nom]]</f>
        <v>Camille Larané</v>
      </c>
      <c r="B9" s="97" t="s">
        <v>80</v>
      </c>
      <c r="C9" s="97" t="s">
        <v>81</v>
      </c>
      <c r="D9" s="136" t="b">
        <v>0</v>
      </c>
      <c r="E9" s="137" t="s">
        <v>846</v>
      </c>
      <c r="F9" s="137" t="s">
        <v>846</v>
      </c>
      <c r="G9" s="137" t="s">
        <v>846</v>
      </c>
      <c r="H9" s="137" t="s">
        <v>846</v>
      </c>
      <c r="I9" s="137" t="s">
        <v>846</v>
      </c>
      <c r="J9" s="137" t="s">
        <v>846</v>
      </c>
      <c r="K9" s="137" t="s">
        <v>846</v>
      </c>
      <c r="L9" s="137" t="b">
        <v>0</v>
      </c>
      <c r="M9" s="137" t="b">
        <v>0</v>
      </c>
      <c r="N9" s="137" t="b">
        <v>0</v>
      </c>
      <c r="O9" s="137" t="b">
        <v>0</v>
      </c>
      <c r="P9" s="137" t="s">
        <v>846</v>
      </c>
      <c r="Q9" s="137" t="b">
        <v>0</v>
      </c>
      <c r="R9" s="137" t="b">
        <v>0</v>
      </c>
      <c r="S9" s="138" t="b">
        <v>0</v>
      </c>
      <c r="T9" s="136" t="s">
        <v>846</v>
      </c>
      <c r="U9" s="137" t="s">
        <v>846</v>
      </c>
      <c r="V9" s="137" t="s">
        <v>846</v>
      </c>
      <c r="W9" s="137" t="b">
        <v>0</v>
      </c>
      <c r="X9" s="137" t="s">
        <v>840</v>
      </c>
      <c r="Y9" s="137" t="s">
        <v>840</v>
      </c>
      <c r="Z9" s="137" t="b">
        <v>0</v>
      </c>
      <c r="AA9" s="137" t="s">
        <v>840</v>
      </c>
      <c r="AB9" s="137" t="b">
        <v>0</v>
      </c>
      <c r="AC9" s="137" t="b">
        <v>0</v>
      </c>
      <c r="AD9" s="137" t="b">
        <v>0</v>
      </c>
      <c r="AE9" s="138" t="s">
        <v>840</v>
      </c>
      <c r="AF9" s="136" t="s">
        <v>846</v>
      </c>
      <c r="AG9" s="137" t="b">
        <v>0</v>
      </c>
      <c r="AH9" s="137" t="s">
        <v>846</v>
      </c>
      <c r="AI9" s="137" t="s">
        <v>846</v>
      </c>
      <c r="AJ9" s="137" t="s">
        <v>846</v>
      </c>
      <c r="AK9" s="137" t="s">
        <v>846</v>
      </c>
      <c r="AL9" s="137" t="s">
        <v>846</v>
      </c>
      <c r="AM9" s="137" t="s">
        <v>846</v>
      </c>
      <c r="AN9" s="138" t="b">
        <v>0</v>
      </c>
      <c r="AO9" s="136" t="b">
        <v>0</v>
      </c>
      <c r="AP9" s="137" t="s">
        <v>846</v>
      </c>
      <c r="AQ9" s="137" t="s">
        <v>846</v>
      </c>
      <c r="AR9" s="137" t="s">
        <v>840</v>
      </c>
      <c r="AS9" s="137" t="s">
        <v>840</v>
      </c>
      <c r="AT9" s="137" t="s">
        <v>846</v>
      </c>
      <c r="AU9" s="137" t="b">
        <v>0</v>
      </c>
      <c r="AV9" s="137" t="s">
        <v>846</v>
      </c>
      <c r="AW9" s="137" t="s">
        <v>846</v>
      </c>
      <c r="AX9" s="137" t="b">
        <v>0</v>
      </c>
      <c r="AY9" s="137" t="s">
        <v>846</v>
      </c>
      <c r="AZ9" s="137" t="s">
        <v>840</v>
      </c>
      <c r="BA9" s="138" t="s">
        <v>840</v>
      </c>
      <c r="BB9" s="136" t="s">
        <v>846</v>
      </c>
      <c r="BC9" s="137" t="s">
        <v>846</v>
      </c>
      <c r="BD9" s="137" t="s">
        <v>846</v>
      </c>
      <c r="BE9" s="137" t="s">
        <v>846</v>
      </c>
      <c r="BF9" s="137" t="s">
        <v>840</v>
      </c>
      <c r="BG9" s="137" t="s">
        <v>840</v>
      </c>
      <c r="BH9" s="137" t="s">
        <v>846</v>
      </c>
      <c r="BI9" s="137" t="s">
        <v>846</v>
      </c>
      <c r="BJ9" s="137" t="s">
        <v>846</v>
      </c>
      <c r="BK9" s="137" t="s">
        <v>846</v>
      </c>
      <c r="BL9" s="137" t="s">
        <v>846</v>
      </c>
      <c r="BM9" s="137" t="b">
        <v>0</v>
      </c>
      <c r="BN9" s="137" t="b">
        <v>0</v>
      </c>
      <c r="BO9" s="137" t="b">
        <v>0</v>
      </c>
      <c r="BP9" s="137" t="b">
        <v>0</v>
      </c>
      <c r="BQ9" s="138" t="s">
        <v>846</v>
      </c>
      <c r="BR9" s="136" t="s">
        <v>840</v>
      </c>
      <c r="BS9" s="137" t="s">
        <v>846</v>
      </c>
      <c r="BT9" s="137" t="s">
        <v>846</v>
      </c>
      <c r="BU9" s="137" t="s">
        <v>840</v>
      </c>
      <c r="BV9" s="137" t="s">
        <v>846</v>
      </c>
      <c r="BW9" s="137" t="s">
        <v>846</v>
      </c>
      <c r="BX9" s="137" t="s">
        <v>846</v>
      </c>
      <c r="BY9" s="137" t="b">
        <v>0</v>
      </c>
      <c r="BZ9" s="137" t="b">
        <v>0</v>
      </c>
      <c r="CA9" s="137" t="s">
        <v>846</v>
      </c>
      <c r="CB9" s="138" t="s">
        <v>846</v>
      </c>
      <c r="CC9" s="136" t="s">
        <v>840</v>
      </c>
      <c r="CD9" s="137" t="s">
        <v>846</v>
      </c>
      <c r="CE9" s="137" t="s">
        <v>846</v>
      </c>
      <c r="CF9" s="137" t="s">
        <v>846</v>
      </c>
      <c r="CG9" s="137" t="s">
        <v>846</v>
      </c>
      <c r="CH9" s="137" t="s">
        <v>846</v>
      </c>
      <c r="CI9" s="137" t="s">
        <v>846</v>
      </c>
      <c r="CJ9" s="137" t="s">
        <v>840</v>
      </c>
      <c r="CK9" s="137" t="s">
        <v>846</v>
      </c>
      <c r="CL9" s="137" t="b">
        <v>0</v>
      </c>
      <c r="CM9" s="137" t="b">
        <v>0</v>
      </c>
      <c r="CN9" s="137" t="s">
        <v>846</v>
      </c>
      <c r="CO9" s="137" t="s">
        <v>840</v>
      </c>
      <c r="CP9" s="138" t="b">
        <v>0</v>
      </c>
      <c r="CQ9" s="136" t="s">
        <v>846</v>
      </c>
      <c r="CR9" s="137" t="s">
        <v>846</v>
      </c>
      <c r="CS9" s="137" t="b">
        <v>0</v>
      </c>
      <c r="CT9" s="137" t="b">
        <v>0</v>
      </c>
      <c r="CU9" s="137" t="s">
        <v>846</v>
      </c>
      <c r="CV9" s="137" t="s">
        <v>846</v>
      </c>
      <c r="CW9" s="137" t="s">
        <v>846</v>
      </c>
      <c r="CX9" s="137" t="s">
        <v>846</v>
      </c>
      <c r="CY9" s="137" t="s">
        <v>846</v>
      </c>
      <c r="CZ9" s="138" t="s">
        <v>846</v>
      </c>
      <c r="DA9" s="96">
        <v>16</v>
      </c>
      <c r="DB9" s="103">
        <f>COUNTIF(DonnéesBC[[#This Row],[1]:[16]],"FAUX")</f>
        <v>8</v>
      </c>
      <c r="DC9" s="103">
        <f>COUNTIF(DonnéesBC[[#This Row],[1]:[16]],"Je ne sais pas")</f>
        <v>0</v>
      </c>
      <c r="DD9" s="103">
        <f>COUNTIF(DonnéesBC[[#This Row],[1]:[16]],"Juste")</f>
        <v>8</v>
      </c>
      <c r="DE9" s="96">
        <v>12</v>
      </c>
      <c r="DF9" s="103">
        <f>COUNTIF(DonnéesBC[[#This Row],[17]:[28]],"FAUX")</f>
        <v>5</v>
      </c>
      <c r="DG9" s="103">
        <f>COUNTIF(DonnéesBC[[#This Row],[17]:[28]],"Je ne sais pas")</f>
        <v>4</v>
      </c>
      <c r="DH9" s="103">
        <f>COUNTIF(DonnéesBC[[#This Row],[17]:[28]],"Juste")</f>
        <v>3</v>
      </c>
      <c r="DI9" s="96">
        <v>9</v>
      </c>
      <c r="DJ9" s="103">
        <f>COUNTIF(DonnéesBC[[#This Row],[29]:[37]],"FAUX")</f>
        <v>2</v>
      </c>
      <c r="DK9" s="103">
        <f>COUNTIF(DonnéesBC[[#This Row],[29]:[37]],"Je ne sais pas")</f>
        <v>0</v>
      </c>
      <c r="DL9" s="103">
        <f>COUNTIF(DonnéesBC[[#This Row],[29]:[37]],"Juste")</f>
        <v>7</v>
      </c>
      <c r="DM9" s="96">
        <v>13</v>
      </c>
      <c r="DN9" s="103">
        <f>COUNTIF(DonnéesBC[[#This Row],[38]:[50]],"FAUX")</f>
        <v>3</v>
      </c>
      <c r="DO9" s="103">
        <f>COUNTIF(DonnéesBC[[#This Row],[38]:[50]],"Je ne sais pas")</f>
        <v>4</v>
      </c>
      <c r="DP9" s="103">
        <f>COUNTIF(DonnéesBC[[#This Row],[38]:[50]],"Juste")</f>
        <v>6</v>
      </c>
      <c r="DQ9" s="96">
        <v>16</v>
      </c>
      <c r="DR9" s="103">
        <f>COUNTIF(DonnéesBC[[#This Row],[51]:[66]],"FAUX")</f>
        <v>4</v>
      </c>
      <c r="DS9" s="103">
        <f>COUNTIF(DonnéesBC[[#This Row],[51]:[66]],"Je ne sais pas")</f>
        <v>2</v>
      </c>
      <c r="DT9" s="103">
        <f>COUNTIF(DonnéesBC[[#This Row],[51]:[66]],"Juste")</f>
        <v>10</v>
      </c>
      <c r="DU9" s="96">
        <v>11</v>
      </c>
      <c r="DV9" s="103">
        <f>COUNTIF(DonnéesBC[[#This Row],[67]:[77]],"FAUX")</f>
        <v>2</v>
      </c>
      <c r="DW9" s="103">
        <f>COUNTIF(DonnéesBC[[#This Row],[67]:[77]],"Je ne sais pas")</f>
        <v>2</v>
      </c>
      <c r="DX9" s="103">
        <f>COUNTIF(DonnéesBC[[#This Row],[67]:[77]],"Juste")</f>
        <v>7</v>
      </c>
      <c r="DY9" s="96">
        <v>14</v>
      </c>
      <c r="DZ9" s="103">
        <f>COUNTIF(DonnéesBC[[#This Row],[78]:[91]],"FAUX")</f>
        <v>3</v>
      </c>
      <c r="EA9" s="103">
        <f>COUNTIF(DonnéesBC[[#This Row],[78]:[91]],"Je ne sais pas")</f>
        <v>3</v>
      </c>
      <c r="EB9" s="103">
        <f>COUNTIF(DonnéesBC[[#This Row],[78]:[91]],"Juste")</f>
        <v>8</v>
      </c>
      <c r="EC9" s="96">
        <v>10</v>
      </c>
      <c r="ED9" s="103">
        <f>COUNTIF(DonnéesBC[[#This Row],[92]:[101]],"FAUX")</f>
        <v>2</v>
      </c>
      <c r="EE9" s="103">
        <f>COUNTIF(DonnéesBC[[#This Row],[92]:[101]],"Je ne sais pas")</f>
        <v>0</v>
      </c>
      <c r="EF9" s="103">
        <f>COUNTIF(DonnéesBC[[#This Row],[92]:[101]],"Juste")</f>
        <v>8</v>
      </c>
      <c r="EG9" s="96">
        <f>SUM(DonnéesBC[[#This Row],[A]]+DonnéesBC[[#This Row],[B]]+DonnéesBC[[#This Row],[C]]+DonnéesBC[[#This Row],[D]]+DonnéesBC[[#This Row],[E]]+DonnéesBC[[#This Row],[F]]+DonnéesBC[[#This Row],[G]]+DonnéesBC[[#This Row],[H]])</f>
        <v>101</v>
      </c>
      <c r="EH9" s="97">
        <f>SUM(DonnéesBC[[#This Row],[A2]]+DonnéesBC[[#This Row],[B2]]+DonnéesBC[[#This Row],[C2]]+DonnéesBC[[#This Row],[D2]]+DonnéesBC[[#This Row],[E2]]+DonnéesBC[[#This Row],[F2]]+DonnéesBC[[#This Row],[G2]]+DonnéesBC[[#This Row],[H2]])</f>
        <v>29</v>
      </c>
      <c r="EI9" s="98">
        <f>SUM(DonnéesBC[[#This Row],[A3]]+DonnéesBC[[#This Row],[B3]]+DonnéesBC[[#This Row],[C3]]+DonnéesBC[[#This Row],[D3]]+DonnéesBC[[#This Row],[E3]]+DonnéesBC[[#This Row],[F3]]+DonnéesBC[[#This Row],[G3]]+DonnéesBC[[#This Row],[H3]])</f>
        <v>15</v>
      </c>
      <c r="EJ9" s="103">
        <f>SUM(DonnéesBC[[#This Row],[A4]]+DonnéesBC[[#This Row],[B4]]+DonnéesBC[[#This Row],[C4]]+DonnéesBC[[#This Row],[D4]]+DonnéesBC[[#This Row],[E4]]+DonnéesBC[[#This Row],[F4]]+DonnéesBC[[#This Row],[G4]]+DonnéesBC[[#This Row],[H4]])</f>
        <v>57</v>
      </c>
      <c r="EK9" s="95"/>
      <c r="EL9">
        <v>51</v>
      </c>
    </row>
    <row r="10" spans="1:142" ht="14" customHeight="1">
      <c r="A10" s="101" t="str">
        <f>DonnéesBC[[#This Row],[Prénom]]&amp;" "&amp;DonnéesBC[[#This Row],[Nom]]</f>
        <v>Catherine Plaschy-Roten</v>
      </c>
      <c r="B10" s="97" t="s">
        <v>85</v>
      </c>
      <c r="C10" s="97" t="s">
        <v>86</v>
      </c>
      <c r="D10" s="132" t="s">
        <v>846</v>
      </c>
      <c r="E10" s="133" t="s">
        <v>846</v>
      </c>
      <c r="F10" s="133" t="s">
        <v>846</v>
      </c>
      <c r="G10" s="133" t="b">
        <v>0</v>
      </c>
      <c r="H10" s="133" t="s">
        <v>846</v>
      </c>
      <c r="I10" s="133" t="s">
        <v>846</v>
      </c>
      <c r="J10" s="133" t="s">
        <v>846</v>
      </c>
      <c r="K10" s="133" t="b">
        <v>0</v>
      </c>
      <c r="L10" s="133" t="s">
        <v>846</v>
      </c>
      <c r="M10" s="133" t="s">
        <v>846</v>
      </c>
      <c r="N10" s="133" t="s">
        <v>846</v>
      </c>
      <c r="O10" s="133" t="s">
        <v>846</v>
      </c>
      <c r="P10" s="133" t="s">
        <v>846</v>
      </c>
      <c r="Q10" s="133" t="s">
        <v>840</v>
      </c>
      <c r="R10" s="133" t="s">
        <v>846</v>
      </c>
      <c r="S10" s="135" t="s">
        <v>846</v>
      </c>
      <c r="T10" s="132" t="s">
        <v>846</v>
      </c>
      <c r="U10" s="133" t="s">
        <v>846</v>
      </c>
      <c r="V10" s="133" t="b">
        <v>0</v>
      </c>
      <c r="W10" s="133" t="b">
        <v>0</v>
      </c>
      <c r="X10" s="133" t="s">
        <v>846</v>
      </c>
      <c r="Y10" s="133" t="b">
        <v>0</v>
      </c>
      <c r="Z10" s="133" t="s">
        <v>840</v>
      </c>
      <c r="AA10" s="133" t="s">
        <v>840</v>
      </c>
      <c r="AB10" s="133" t="b">
        <v>0</v>
      </c>
      <c r="AC10" s="133" t="b">
        <v>0</v>
      </c>
      <c r="AD10" s="133" t="s">
        <v>846</v>
      </c>
      <c r="AE10" s="135" t="s">
        <v>846</v>
      </c>
      <c r="AF10" s="132" t="s">
        <v>846</v>
      </c>
      <c r="AG10" s="133" t="b">
        <v>0</v>
      </c>
      <c r="AH10" s="133" t="s">
        <v>846</v>
      </c>
      <c r="AI10" s="133" t="s">
        <v>846</v>
      </c>
      <c r="AJ10" s="133" t="s">
        <v>846</v>
      </c>
      <c r="AK10" s="133" t="s">
        <v>846</v>
      </c>
      <c r="AL10" s="133" t="s">
        <v>846</v>
      </c>
      <c r="AM10" s="133" t="b">
        <v>0</v>
      </c>
      <c r="AN10" s="135" t="s">
        <v>846</v>
      </c>
      <c r="AO10" s="132" t="s">
        <v>840</v>
      </c>
      <c r="AP10" s="133" t="s">
        <v>846</v>
      </c>
      <c r="AQ10" s="133" t="s">
        <v>846</v>
      </c>
      <c r="AR10" s="133" t="s">
        <v>840</v>
      </c>
      <c r="AS10" s="133" t="b">
        <v>0</v>
      </c>
      <c r="AT10" s="133" t="s">
        <v>846</v>
      </c>
      <c r="AU10" s="133" t="s">
        <v>846</v>
      </c>
      <c r="AV10" s="133" t="s">
        <v>846</v>
      </c>
      <c r="AW10" s="133" t="s">
        <v>846</v>
      </c>
      <c r="AX10" s="133" t="s">
        <v>846</v>
      </c>
      <c r="AY10" s="133" t="s">
        <v>846</v>
      </c>
      <c r="AZ10" s="133" t="b">
        <v>0</v>
      </c>
      <c r="BA10" s="135" t="s">
        <v>846</v>
      </c>
      <c r="BB10" s="132" t="s">
        <v>846</v>
      </c>
      <c r="BC10" s="133" t="s">
        <v>846</v>
      </c>
      <c r="BD10" s="133" t="s">
        <v>846</v>
      </c>
      <c r="BE10" s="133" t="s">
        <v>846</v>
      </c>
      <c r="BF10" s="133" t="s">
        <v>846</v>
      </c>
      <c r="BG10" s="133" t="s">
        <v>846</v>
      </c>
      <c r="BH10" s="133" t="b">
        <v>0</v>
      </c>
      <c r="BI10" s="133" t="s">
        <v>846</v>
      </c>
      <c r="BJ10" s="133" t="s">
        <v>846</v>
      </c>
      <c r="BK10" s="133" t="b">
        <v>0</v>
      </c>
      <c r="BL10" s="133" t="b">
        <v>0</v>
      </c>
      <c r="BM10" s="133" t="s">
        <v>840</v>
      </c>
      <c r="BN10" s="133" t="s">
        <v>840</v>
      </c>
      <c r="BO10" s="133" t="s">
        <v>840</v>
      </c>
      <c r="BP10" s="133" t="b">
        <v>0</v>
      </c>
      <c r="BQ10" s="135" t="s">
        <v>846</v>
      </c>
      <c r="BR10" s="132" t="s">
        <v>846</v>
      </c>
      <c r="BS10" s="133" t="s">
        <v>846</v>
      </c>
      <c r="BT10" s="133" t="s">
        <v>846</v>
      </c>
      <c r="BU10" s="133" t="s">
        <v>846</v>
      </c>
      <c r="BV10" s="133" t="b">
        <v>0</v>
      </c>
      <c r="BW10" s="133" t="s">
        <v>840</v>
      </c>
      <c r="BX10" s="133" t="s">
        <v>846</v>
      </c>
      <c r="BY10" s="133" t="b">
        <v>0</v>
      </c>
      <c r="BZ10" s="133" t="b">
        <v>0</v>
      </c>
      <c r="CA10" s="133" t="s">
        <v>840</v>
      </c>
      <c r="CB10" s="135" t="b">
        <v>0</v>
      </c>
      <c r="CC10" s="132" t="s">
        <v>840</v>
      </c>
      <c r="CD10" s="133" t="s">
        <v>846</v>
      </c>
      <c r="CE10" s="133" t="s">
        <v>846</v>
      </c>
      <c r="CF10" s="133" t="s">
        <v>846</v>
      </c>
      <c r="CG10" s="133" t="s">
        <v>846</v>
      </c>
      <c r="CH10" s="133" t="b">
        <v>0</v>
      </c>
      <c r="CI10" s="133" t="s">
        <v>846</v>
      </c>
      <c r="CJ10" s="133" t="s">
        <v>840</v>
      </c>
      <c r="CK10" s="133" t="s">
        <v>846</v>
      </c>
      <c r="CL10" s="133" t="s">
        <v>840</v>
      </c>
      <c r="CM10" s="133" t="s">
        <v>846</v>
      </c>
      <c r="CN10" s="133" t="s">
        <v>840</v>
      </c>
      <c r="CO10" s="133" t="s">
        <v>840</v>
      </c>
      <c r="CP10" s="135" t="s">
        <v>840</v>
      </c>
      <c r="CQ10" s="132" t="s">
        <v>846</v>
      </c>
      <c r="CR10" s="133" t="s">
        <v>846</v>
      </c>
      <c r="CS10" s="133" t="s">
        <v>846</v>
      </c>
      <c r="CT10" s="133" t="b">
        <v>0</v>
      </c>
      <c r="CU10" s="133" t="s">
        <v>846</v>
      </c>
      <c r="CV10" s="133" t="s">
        <v>846</v>
      </c>
      <c r="CW10" s="133" t="s">
        <v>846</v>
      </c>
      <c r="CX10" s="133" t="s">
        <v>846</v>
      </c>
      <c r="CY10" s="133" t="s">
        <v>846</v>
      </c>
      <c r="CZ10" s="135" t="b">
        <v>0</v>
      </c>
      <c r="DA10" s="96">
        <v>16</v>
      </c>
      <c r="DB10" s="103">
        <f>COUNTIF(DonnéesBC[[#This Row],[1]:[16]],"FAUX")</f>
        <v>2</v>
      </c>
      <c r="DC10" s="103">
        <f>COUNTIF(DonnéesBC[[#This Row],[1]:[16]],"Je ne sais pas")</f>
        <v>1</v>
      </c>
      <c r="DD10" s="103">
        <f>COUNTIF(DonnéesBC[[#This Row],[1]:[16]],"Juste")</f>
        <v>13</v>
      </c>
      <c r="DE10" s="96">
        <v>12</v>
      </c>
      <c r="DF10" s="103">
        <f>COUNTIF(DonnéesBC[[#This Row],[17]:[28]],"FAUX")</f>
        <v>5</v>
      </c>
      <c r="DG10" s="103">
        <f>COUNTIF(DonnéesBC[[#This Row],[17]:[28]],"Je ne sais pas")</f>
        <v>2</v>
      </c>
      <c r="DH10" s="103">
        <f>COUNTIF(DonnéesBC[[#This Row],[17]:[28]],"Juste")</f>
        <v>5</v>
      </c>
      <c r="DI10" s="96">
        <v>9</v>
      </c>
      <c r="DJ10" s="103">
        <f>COUNTIF(DonnéesBC[[#This Row],[29]:[37]],"FAUX")</f>
        <v>2</v>
      </c>
      <c r="DK10" s="103">
        <f>COUNTIF(DonnéesBC[[#This Row],[29]:[37]],"Je ne sais pas")</f>
        <v>0</v>
      </c>
      <c r="DL10" s="103">
        <f>COUNTIF(DonnéesBC[[#This Row],[29]:[37]],"Juste")</f>
        <v>7</v>
      </c>
      <c r="DM10" s="96">
        <v>13</v>
      </c>
      <c r="DN10" s="103">
        <f>COUNTIF(DonnéesBC[[#This Row],[38]:[50]],"FAUX")</f>
        <v>2</v>
      </c>
      <c r="DO10" s="103">
        <f>COUNTIF(DonnéesBC[[#This Row],[38]:[50]],"Je ne sais pas")</f>
        <v>2</v>
      </c>
      <c r="DP10" s="103">
        <f>COUNTIF(DonnéesBC[[#This Row],[38]:[50]],"Juste")</f>
        <v>9</v>
      </c>
      <c r="DQ10" s="96">
        <v>16</v>
      </c>
      <c r="DR10" s="103">
        <f>COUNTIF(DonnéesBC[[#This Row],[51]:[66]],"FAUX")</f>
        <v>4</v>
      </c>
      <c r="DS10" s="103">
        <f>COUNTIF(DonnéesBC[[#This Row],[51]:[66]],"Je ne sais pas")</f>
        <v>3</v>
      </c>
      <c r="DT10" s="103">
        <f>COUNTIF(DonnéesBC[[#This Row],[51]:[66]],"Juste")</f>
        <v>9</v>
      </c>
      <c r="DU10" s="96">
        <v>11</v>
      </c>
      <c r="DV10" s="103">
        <f>COUNTIF(DonnéesBC[[#This Row],[67]:[77]],"FAUX")</f>
        <v>4</v>
      </c>
      <c r="DW10" s="103">
        <f>COUNTIF(DonnéesBC[[#This Row],[67]:[77]],"Je ne sais pas")</f>
        <v>2</v>
      </c>
      <c r="DX10" s="103">
        <f>COUNTIF(DonnéesBC[[#This Row],[67]:[77]],"Juste")</f>
        <v>5</v>
      </c>
      <c r="DY10" s="96">
        <v>14</v>
      </c>
      <c r="DZ10" s="103">
        <f>COUNTIF(DonnéesBC[[#This Row],[78]:[91]],"FAUX")</f>
        <v>1</v>
      </c>
      <c r="EA10" s="103">
        <f>COUNTIF(DonnéesBC[[#This Row],[78]:[91]],"Je ne sais pas")</f>
        <v>6</v>
      </c>
      <c r="EB10" s="103">
        <f>COUNTIF(DonnéesBC[[#This Row],[78]:[91]],"Juste")</f>
        <v>7</v>
      </c>
      <c r="EC10" s="96">
        <v>10</v>
      </c>
      <c r="ED10" s="103">
        <f>COUNTIF(DonnéesBC[[#This Row],[92]:[101]],"FAUX")</f>
        <v>2</v>
      </c>
      <c r="EE10" s="103">
        <f>COUNTIF(DonnéesBC[[#This Row],[92]:[101]],"Je ne sais pas")</f>
        <v>0</v>
      </c>
      <c r="EF10" s="103">
        <f>COUNTIF(DonnéesBC[[#This Row],[92]:[101]],"Juste")</f>
        <v>8</v>
      </c>
      <c r="EG10" s="96">
        <f>SUM(DonnéesBC[[#This Row],[A]]+DonnéesBC[[#This Row],[B]]+DonnéesBC[[#This Row],[C]]+DonnéesBC[[#This Row],[D]]+DonnéesBC[[#This Row],[E]]+DonnéesBC[[#This Row],[F]]+DonnéesBC[[#This Row],[G]]+DonnéesBC[[#This Row],[H]])</f>
        <v>101</v>
      </c>
      <c r="EH10" s="97">
        <f>SUM(DonnéesBC[[#This Row],[A2]]+DonnéesBC[[#This Row],[B2]]+DonnéesBC[[#This Row],[C2]]+DonnéesBC[[#This Row],[D2]]+DonnéesBC[[#This Row],[E2]]+DonnéesBC[[#This Row],[F2]]+DonnéesBC[[#This Row],[G2]]+DonnéesBC[[#This Row],[H2]])</f>
        <v>22</v>
      </c>
      <c r="EI10" s="98">
        <f>SUM(DonnéesBC[[#This Row],[A3]]+DonnéesBC[[#This Row],[B3]]+DonnéesBC[[#This Row],[C3]]+DonnéesBC[[#This Row],[D3]]+DonnéesBC[[#This Row],[E3]]+DonnéesBC[[#This Row],[F3]]+DonnéesBC[[#This Row],[G3]]+DonnéesBC[[#This Row],[H3]])</f>
        <v>16</v>
      </c>
      <c r="EJ10" s="103">
        <f>SUM(DonnéesBC[[#This Row],[A4]]+DonnéesBC[[#This Row],[B4]]+DonnéesBC[[#This Row],[C4]]+DonnéesBC[[#This Row],[D4]]+DonnéesBC[[#This Row],[E4]]+DonnéesBC[[#This Row],[F4]]+DonnéesBC[[#This Row],[G4]]+DonnéesBC[[#This Row],[H4]])</f>
        <v>63</v>
      </c>
      <c r="EK10" s="95" t="s">
        <v>680</v>
      </c>
      <c r="EL10">
        <v>51</v>
      </c>
    </row>
    <row r="11" spans="1:142" ht="14" customHeight="1">
      <c r="A11" s="101" t="str">
        <f>DonnéesBC[[#This Row],[Prénom]]&amp;" "&amp;DonnéesBC[[#This Row],[Nom]]</f>
        <v>Charlotte Valentin</v>
      </c>
      <c r="B11" s="97" t="s">
        <v>91</v>
      </c>
      <c r="C11" s="97" t="s">
        <v>92</v>
      </c>
      <c r="D11" s="136" t="b">
        <v>0</v>
      </c>
      <c r="E11" s="137" t="s">
        <v>846</v>
      </c>
      <c r="F11" s="137" t="s">
        <v>846</v>
      </c>
      <c r="G11" s="137" t="s">
        <v>846</v>
      </c>
      <c r="H11" s="137" t="s">
        <v>846</v>
      </c>
      <c r="I11" s="137" t="s">
        <v>846</v>
      </c>
      <c r="J11" s="137" t="s">
        <v>846</v>
      </c>
      <c r="K11" s="137" t="s">
        <v>846</v>
      </c>
      <c r="L11" s="137" t="s">
        <v>846</v>
      </c>
      <c r="M11" s="137" t="s">
        <v>846</v>
      </c>
      <c r="N11" s="137" t="s">
        <v>846</v>
      </c>
      <c r="O11" s="137" t="s">
        <v>846</v>
      </c>
      <c r="P11" s="137" t="s">
        <v>846</v>
      </c>
      <c r="Q11" s="137" t="s">
        <v>846</v>
      </c>
      <c r="R11" s="137" t="s">
        <v>846</v>
      </c>
      <c r="S11" s="138" t="s">
        <v>846</v>
      </c>
      <c r="T11" s="136" t="s">
        <v>846</v>
      </c>
      <c r="U11" s="137" t="s">
        <v>846</v>
      </c>
      <c r="V11" s="137" t="b">
        <v>0</v>
      </c>
      <c r="W11" s="137" t="s">
        <v>846</v>
      </c>
      <c r="X11" s="137" t="s">
        <v>846</v>
      </c>
      <c r="Y11" s="137" t="s">
        <v>846</v>
      </c>
      <c r="Z11" s="137" t="b">
        <v>0</v>
      </c>
      <c r="AA11" s="137" t="s">
        <v>846</v>
      </c>
      <c r="AB11" s="137" t="b">
        <v>0</v>
      </c>
      <c r="AC11" s="137" t="b">
        <v>0</v>
      </c>
      <c r="AD11" s="137" t="s">
        <v>846</v>
      </c>
      <c r="AE11" s="138" t="s">
        <v>846</v>
      </c>
      <c r="AF11" s="136" t="s">
        <v>846</v>
      </c>
      <c r="AG11" s="137" t="b">
        <v>0</v>
      </c>
      <c r="AH11" s="137" t="s">
        <v>846</v>
      </c>
      <c r="AI11" s="137" t="s">
        <v>846</v>
      </c>
      <c r="AJ11" s="137" t="s">
        <v>846</v>
      </c>
      <c r="AK11" s="137" t="s">
        <v>846</v>
      </c>
      <c r="AL11" s="137" t="s">
        <v>846</v>
      </c>
      <c r="AM11" s="137" t="s">
        <v>846</v>
      </c>
      <c r="AN11" s="138" t="s">
        <v>846</v>
      </c>
      <c r="AO11" s="136" t="s">
        <v>840</v>
      </c>
      <c r="AP11" s="137" t="s">
        <v>846</v>
      </c>
      <c r="AQ11" s="137" t="s">
        <v>846</v>
      </c>
      <c r="AR11" s="137" t="s">
        <v>846</v>
      </c>
      <c r="AS11" s="137" t="s">
        <v>846</v>
      </c>
      <c r="AT11" s="137" t="s">
        <v>846</v>
      </c>
      <c r="AU11" s="137" t="s">
        <v>846</v>
      </c>
      <c r="AV11" s="137" t="s">
        <v>846</v>
      </c>
      <c r="AW11" s="137" t="s">
        <v>846</v>
      </c>
      <c r="AX11" s="137" t="s">
        <v>846</v>
      </c>
      <c r="AY11" s="137" t="s">
        <v>846</v>
      </c>
      <c r="AZ11" s="137" t="b">
        <v>0</v>
      </c>
      <c r="BA11" s="138" t="s">
        <v>846</v>
      </c>
      <c r="BB11" s="136" t="s">
        <v>846</v>
      </c>
      <c r="BC11" s="137" t="s">
        <v>846</v>
      </c>
      <c r="BD11" s="137" t="s">
        <v>846</v>
      </c>
      <c r="BE11" s="137" t="s">
        <v>846</v>
      </c>
      <c r="BF11" s="137" t="s">
        <v>846</v>
      </c>
      <c r="BG11" s="137" t="s">
        <v>846</v>
      </c>
      <c r="BH11" s="137" t="s">
        <v>846</v>
      </c>
      <c r="BI11" s="137" t="s">
        <v>846</v>
      </c>
      <c r="BJ11" s="137" t="s">
        <v>846</v>
      </c>
      <c r="BK11" s="137" t="b">
        <v>0</v>
      </c>
      <c r="BL11" s="137" t="b">
        <v>0</v>
      </c>
      <c r="BM11" s="137" t="s">
        <v>846</v>
      </c>
      <c r="BN11" s="137" t="s">
        <v>846</v>
      </c>
      <c r="BO11" s="137" t="s">
        <v>846</v>
      </c>
      <c r="BP11" s="137" t="b">
        <v>0</v>
      </c>
      <c r="BQ11" s="138" t="s">
        <v>846</v>
      </c>
      <c r="BR11" s="136" t="s">
        <v>846</v>
      </c>
      <c r="BS11" s="137" t="s">
        <v>846</v>
      </c>
      <c r="BT11" s="137" t="s">
        <v>846</v>
      </c>
      <c r="BU11" s="137" t="s">
        <v>846</v>
      </c>
      <c r="BV11" s="137" t="s">
        <v>846</v>
      </c>
      <c r="BW11" s="137" t="s">
        <v>846</v>
      </c>
      <c r="BX11" s="137" t="s">
        <v>846</v>
      </c>
      <c r="BY11" s="137" t="s">
        <v>846</v>
      </c>
      <c r="BZ11" s="137" t="b">
        <v>0</v>
      </c>
      <c r="CA11" s="137" t="b">
        <v>0</v>
      </c>
      <c r="CB11" s="138" t="s">
        <v>846</v>
      </c>
      <c r="CC11" s="136" t="s">
        <v>846</v>
      </c>
      <c r="CD11" s="137" t="s">
        <v>846</v>
      </c>
      <c r="CE11" s="137" t="s">
        <v>846</v>
      </c>
      <c r="CF11" s="137" t="s">
        <v>846</v>
      </c>
      <c r="CG11" s="137" t="s">
        <v>846</v>
      </c>
      <c r="CH11" s="137" t="s">
        <v>846</v>
      </c>
      <c r="CI11" s="137" t="s">
        <v>846</v>
      </c>
      <c r="CJ11" s="137" t="s">
        <v>840</v>
      </c>
      <c r="CK11" s="137" t="s">
        <v>846</v>
      </c>
      <c r="CL11" s="137" t="b">
        <v>0</v>
      </c>
      <c r="CM11" s="137" t="s">
        <v>846</v>
      </c>
      <c r="CN11" s="137" t="s">
        <v>846</v>
      </c>
      <c r="CO11" s="137" t="s">
        <v>846</v>
      </c>
      <c r="CP11" s="138" t="b">
        <v>0</v>
      </c>
      <c r="CQ11" s="136" t="s">
        <v>846</v>
      </c>
      <c r="CR11" s="137" t="s">
        <v>846</v>
      </c>
      <c r="CS11" s="137" t="b">
        <v>0</v>
      </c>
      <c r="CT11" s="137" t="s">
        <v>846</v>
      </c>
      <c r="CU11" s="137" t="s">
        <v>846</v>
      </c>
      <c r="CV11" s="137" t="b">
        <v>0</v>
      </c>
      <c r="CW11" s="137" t="s">
        <v>846</v>
      </c>
      <c r="CX11" s="137" t="s">
        <v>846</v>
      </c>
      <c r="CY11" s="137" t="b">
        <v>0</v>
      </c>
      <c r="CZ11" s="138" t="s">
        <v>846</v>
      </c>
      <c r="DA11" s="96">
        <v>16</v>
      </c>
      <c r="DB11" s="103">
        <f>COUNTIF(DonnéesBC[[#This Row],[1]:[16]],"FAUX")</f>
        <v>1</v>
      </c>
      <c r="DC11" s="103">
        <f>COUNTIF(DonnéesBC[[#This Row],[1]:[16]],"Je ne sais pas")</f>
        <v>0</v>
      </c>
      <c r="DD11" s="103">
        <f>COUNTIF(DonnéesBC[[#This Row],[1]:[16]],"Juste")</f>
        <v>15</v>
      </c>
      <c r="DE11" s="96">
        <v>12</v>
      </c>
      <c r="DF11" s="103">
        <f>COUNTIF(DonnéesBC[[#This Row],[17]:[28]],"FAUX")</f>
        <v>4</v>
      </c>
      <c r="DG11" s="103">
        <f>COUNTIF(DonnéesBC[[#This Row],[17]:[28]],"Je ne sais pas")</f>
        <v>0</v>
      </c>
      <c r="DH11" s="103">
        <f>COUNTIF(DonnéesBC[[#This Row],[17]:[28]],"Juste")</f>
        <v>8</v>
      </c>
      <c r="DI11" s="96">
        <v>9</v>
      </c>
      <c r="DJ11" s="103">
        <f>COUNTIF(DonnéesBC[[#This Row],[29]:[37]],"FAUX")</f>
        <v>1</v>
      </c>
      <c r="DK11" s="103">
        <f>COUNTIF(DonnéesBC[[#This Row],[29]:[37]],"Je ne sais pas")</f>
        <v>0</v>
      </c>
      <c r="DL11" s="103">
        <f>COUNTIF(DonnéesBC[[#This Row],[29]:[37]],"Juste")</f>
        <v>8</v>
      </c>
      <c r="DM11" s="96">
        <v>13</v>
      </c>
      <c r="DN11" s="103">
        <f>COUNTIF(DonnéesBC[[#This Row],[38]:[50]],"FAUX")</f>
        <v>1</v>
      </c>
      <c r="DO11" s="103">
        <f>COUNTIF(DonnéesBC[[#This Row],[38]:[50]],"Je ne sais pas")</f>
        <v>1</v>
      </c>
      <c r="DP11" s="103">
        <f>COUNTIF(DonnéesBC[[#This Row],[38]:[50]],"Juste")</f>
        <v>11</v>
      </c>
      <c r="DQ11" s="96">
        <v>16</v>
      </c>
      <c r="DR11" s="103">
        <f>COUNTIF(DonnéesBC[[#This Row],[51]:[66]],"FAUX")</f>
        <v>3</v>
      </c>
      <c r="DS11" s="103">
        <f>COUNTIF(DonnéesBC[[#This Row],[51]:[66]],"Je ne sais pas")</f>
        <v>0</v>
      </c>
      <c r="DT11" s="103">
        <f>COUNTIF(DonnéesBC[[#This Row],[51]:[66]],"Juste")</f>
        <v>13</v>
      </c>
      <c r="DU11" s="96">
        <v>11</v>
      </c>
      <c r="DV11" s="103">
        <f>COUNTIF(DonnéesBC[[#This Row],[67]:[77]],"FAUX")</f>
        <v>2</v>
      </c>
      <c r="DW11" s="103">
        <f>COUNTIF(DonnéesBC[[#This Row],[67]:[77]],"Je ne sais pas")</f>
        <v>0</v>
      </c>
      <c r="DX11" s="103">
        <f>COUNTIF(DonnéesBC[[#This Row],[67]:[77]],"Juste")</f>
        <v>9</v>
      </c>
      <c r="DY11" s="96">
        <v>14</v>
      </c>
      <c r="DZ11" s="103">
        <f>COUNTIF(DonnéesBC[[#This Row],[78]:[91]],"FAUX")</f>
        <v>2</v>
      </c>
      <c r="EA11" s="103">
        <f>COUNTIF(DonnéesBC[[#This Row],[78]:[91]],"Je ne sais pas")</f>
        <v>1</v>
      </c>
      <c r="EB11" s="103">
        <f>COUNTIF(DonnéesBC[[#This Row],[78]:[91]],"Juste")</f>
        <v>11</v>
      </c>
      <c r="EC11" s="96">
        <v>10</v>
      </c>
      <c r="ED11" s="103">
        <f>COUNTIF(DonnéesBC[[#This Row],[92]:[101]],"FAUX")</f>
        <v>3</v>
      </c>
      <c r="EE11" s="103">
        <f>COUNTIF(DonnéesBC[[#This Row],[92]:[101]],"Je ne sais pas")</f>
        <v>0</v>
      </c>
      <c r="EF11" s="103">
        <f>COUNTIF(DonnéesBC[[#This Row],[92]:[101]],"Juste")</f>
        <v>7</v>
      </c>
      <c r="EG11" s="96">
        <f>SUM(DonnéesBC[[#This Row],[A]]+DonnéesBC[[#This Row],[B]]+DonnéesBC[[#This Row],[C]]+DonnéesBC[[#This Row],[D]]+DonnéesBC[[#This Row],[E]]+DonnéesBC[[#This Row],[F]]+DonnéesBC[[#This Row],[G]]+DonnéesBC[[#This Row],[H]])</f>
        <v>101</v>
      </c>
      <c r="EH11" s="97">
        <f>SUM(DonnéesBC[[#This Row],[A2]]+DonnéesBC[[#This Row],[B2]]+DonnéesBC[[#This Row],[C2]]+DonnéesBC[[#This Row],[D2]]+DonnéesBC[[#This Row],[E2]]+DonnéesBC[[#This Row],[F2]]+DonnéesBC[[#This Row],[G2]]+DonnéesBC[[#This Row],[H2]])</f>
        <v>17</v>
      </c>
      <c r="EI11" s="98">
        <f>SUM(DonnéesBC[[#This Row],[A3]]+DonnéesBC[[#This Row],[B3]]+DonnéesBC[[#This Row],[C3]]+DonnéesBC[[#This Row],[D3]]+DonnéesBC[[#This Row],[E3]]+DonnéesBC[[#This Row],[F3]]+DonnéesBC[[#This Row],[G3]]+DonnéesBC[[#This Row],[H3]])</f>
        <v>2</v>
      </c>
      <c r="EJ11" s="103">
        <f>SUM(DonnéesBC[[#This Row],[A4]]+DonnéesBC[[#This Row],[B4]]+DonnéesBC[[#This Row],[C4]]+DonnéesBC[[#This Row],[D4]]+DonnéesBC[[#This Row],[E4]]+DonnéesBC[[#This Row],[F4]]+DonnéesBC[[#This Row],[G4]]+DonnéesBC[[#This Row],[H4]])</f>
        <v>82</v>
      </c>
      <c r="EK11" s="95"/>
      <c r="EL11">
        <v>49</v>
      </c>
    </row>
    <row r="12" spans="1:142" ht="14" customHeight="1">
      <c r="A12" s="101" t="str">
        <f>DonnéesBC[[#This Row],[Prénom]]&amp;" "&amp;DonnéesBC[[#This Row],[Nom]]</f>
        <v>Chiara De Salvo</v>
      </c>
      <c r="B12" s="97" t="s">
        <v>94</v>
      </c>
      <c r="C12" s="97" t="s">
        <v>95</v>
      </c>
      <c r="D12" s="132" t="b">
        <v>0</v>
      </c>
      <c r="E12" s="133" t="b">
        <v>0</v>
      </c>
      <c r="F12" s="133" t="s">
        <v>846</v>
      </c>
      <c r="G12" s="133" t="b">
        <v>0</v>
      </c>
      <c r="H12" s="133" t="s">
        <v>846</v>
      </c>
      <c r="I12" s="133" t="s">
        <v>846</v>
      </c>
      <c r="J12" s="133" t="s">
        <v>846</v>
      </c>
      <c r="K12" s="133" t="s">
        <v>846</v>
      </c>
      <c r="L12" s="133" t="s">
        <v>846</v>
      </c>
      <c r="M12" s="133" t="s">
        <v>846</v>
      </c>
      <c r="N12" s="133" t="s">
        <v>846</v>
      </c>
      <c r="O12" s="133" t="s">
        <v>846</v>
      </c>
      <c r="P12" s="133" t="s">
        <v>846</v>
      </c>
      <c r="Q12" s="133" t="b">
        <v>0</v>
      </c>
      <c r="R12" s="133" t="s">
        <v>846</v>
      </c>
      <c r="S12" s="135" t="b">
        <v>0</v>
      </c>
      <c r="T12" s="132" t="s">
        <v>846</v>
      </c>
      <c r="U12" s="133" t="s">
        <v>846</v>
      </c>
      <c r="V12" s="133" t="s">
        <v>846</v>
      </c>
      <c r="W12" s="133" t="b">
        <v>0</v>
      </c>
      <c r="X12" s="133" t="b">
        <v>0</v>
      </c>
      <c r="Y12" s="133" t="b">
        <v>0</v>
      </c>
      <c r="Z12" s="133" t="s">
        <v>846</v>
      </c>
      <c r="AA12" s="133" t="s">
        <v>846</v>
      </c>
      <c r="AB12" s="133" t="b">
        <v>0</v>
      </c>
      <c r="AC12" s="133" t="b">
        <v>0</v>
      </c>
      <c r="AD12" s="133" t="s">
        <v>846</v>
      </c>
      <c r="AE12" s="135" t="s">
        <v>840</v>
      </c>
      <c r="AF12" s="132" t="s">
        <v>846</v>
      </c>
      <c r="AG12" s="133" t="s">
        <v>846</v>
      </c>
      <c r="AH12" s="133" t="s">
        <v>846</v>
      </c>
      <c r="AI12" s="133" t="s">
        <v>846</v>
      </c>
      <c r="AJ12" s="133" t="b">
        <v>0</v>
      </c>
      <c r="AK12" s="133" t="s">
        <v>846</v>
      </c>
      <c r="AL12" s="133" t="s">
        <v>846</v>
      </c>
      <c r="AM12" s="133" t="s">
        <v>846</v>
      </c>
      <c r="AN12" s="135" t="s">
        <v>846</v>
      </c>
      <c r="AO12" s="132" t="b">
        <v>0</v>
      </c>
      <c r="AP12" s="133" t="s">
        <v>846</v>
      </c>
      <c r="AQ12" s="133" t="s">
        <v>846</v>
      </c>
      <c r="AR12" s="133" t="b">
        <v>0</v>
      </c>
      <c r="AS12" s="133" t="s">
        <v>846</v>
      </c>
      <c r="AT12" s="133" t="s">
        <v>846</v>
      </c>
      <c r="AU12" s="133" t="s">
        <v>846</v>
      </c>
      <c r="AV12" s="133" t="s">
        <v>846</v>
      </c>
      <c r="AW12" s="133" t="s">
        <v>846</v>
      </c>
      <c r="AX12" s="133" t="s">
        <v>846</v>
      </c>
      <c r="AY12" s="133" t="s">
        <v>846</v>
      </c>
      <c r="AZ12" s="133" t="s">
        <v>840</v>
      </c>
      <c r="BA12" s="135" t="s">
        <v>840</v>
      </c>
      <c r="BB12" s="132" t="s">
        <v>846</v>
      </c>
      <c r="BC12" s="133" t="s">
        <v>846</v>
      </c>
      <c r="BD12" s="133" t="s">
        <v>846</v>
      </c>
      <c r="BE12" s="133" t="s">
        <v>846</v>
      </c>
      <c r="BF12" s="133" t="b">
        <v>0</v>
      </c>
      <c r="BG12" s="133" t="s">
        <v>846</v>
      </c>
      <c r="BH12" s="133" t="s">
        <v>846</v>
      </c>
      <c r="BI12" s="133" t="s">
        <v>846</v>
      </c>
      <c r="BJ12" s="133" t="s">
        <v>846</v>
      </c>
      <c r="BK12" s="133" t="s">
        <v>846</v>
      </c>
      <c r="BL12" s="133" t="s">
        <v>846</v>
      </c>
      <c r="BM12" s="133" t="b">
        <v>0</v>
      </c>
      <c r="BN12" s="133" t="b">
        <v>0</v>
      </c>
      <c r="BO12" s="133" t="s">
        <v>840</v>
      </c>
      <c r="BP12" s="133" t="s">
        <v>840</v>
      </c>
      <c r="BQ12" s="135" t="s">
        <v>846</v>
      </c>
      <c r="BR12" s="132" t="s">
        <v>846</v>
      </c>
      <c r="BS12" s="133" t="b">
        <v>0</v>
      </c>
      <c r="BT12" s="133" t="s">
        <v>846</v>
      </c>
      <c r="BU12" s="133" t="s">
        <v>846</v>
      </c>
      <c r="BV12" s="133" t="s">
        <v>846</v>
      </c>
      <c r="BW12" s="133" t="s">
        <v>846</v>
      </c>
      <c r="BX12" s="133" t="b">
        <v>0</v>
      </c>
      <c r="BY12" s="133" t="s">
        <v>846</v>
      </c>
      <c r="BZ12" s="133" t="s">
        <v>846</v>
      </c>
      <c r="CA12" s="133" t="s">
        <v>846</v>
      </c>
      <c r="CB12" s="135" t="s">
        <v>846</v>
      </c>
      <c r="CC12" s="132" t="s">
        <v>840</v>
      </c>
      <c r="CD12" s="133" t="s">
        <v>846</v>
      </c>
      <c r="CE12" s="133" t="s">
        <v>846</v>
      </c>
      <c r="CF12" s="133" t="b">
        <v>0</v>
      </c>
      <c r="CG12" s="133" t="s">
        <v>846</v>
      </c>
      <c r="CH12" s="133" t="b">
        <v>0</v>
      </c>
      <c r="CI12" s="133" t="s">
        <v>846</v>
      </c>
      <c r="CJ12" s="133" t="s">
        <v>846</v>
      </c>
      <c r="CK12" s="133" t="s">
        <v>846</v>
      </c>
      <c r="CL12" s="133" t="b">
        <v>0</v>
      </c>
      <c r="CM12" s="133" t="b">
        <v>0</v>
      </c>
      <c r="CN12" s="133" t="s">
        <v>846</v>
      </c>
      <c r="CO12" s="133" t="s">
        <v>846</v>
      </c>
      <c r="CP12" s="135" t="s">
        <v>846</v>
      </c>
      <c r="CQ12" s="132" t="s">
        <v>846</v>
      </c>
      <c r="CR12" s="133" t="s">
        <v>846</v>
      </c>
      <c r="CS12" s="133" t="s">
        <v>846</v>
      </c>
      <c r="CT12" s="133" t="b">
        <v>0</v>
      </c>
      <c r="CU12" s="133" t="s">
        <v>846</v>
      </c>
      <c r="CV12" s="133" t="s">
        <v>846</v>
      </c>
      <c r="CW12" s="133" t="s">
        <v>846</v>
      </c>
      <c r="CX12" s="133" t="b">
        <v>0</v>
      </c>
      <c r="CY12" s="133" t="s">
        <v>846</v>
      </c>
      <c r="CZ12" s="135" t="b">
        <v>0</v>
      </c>
      <c r="DA12" s="96">
        <v>16</v>
      </c>
      <c r="DB12" s="103">
        <f>COUNTIF(DonnéesBC[[#This Row],[1]:[16]],"FAUX")</f>
        <v>5</v>
      </c>
      <c r="DC12" s="103">
        <f>COUNTIF(DonnéesBC[[#This Row],[1]:[16]],"Je ne sais pas")</f>
        <v>0</v>
      </c>
      <c r="DD12" s="103">
        <f>COUNTIF(DonnéesBC[[#This Row],[1]:[16]],"Juste")</f>
        <v>11</v>
      </c>
      <c r="DE12" s="96">
        <v>12</v>
      </c>
      <c r="DF12" s="103">
        <f>COUNTIF(DonnéesBC[[#This Row],[17]:[28]],"FAUX")</f>
        <v>5</v>
      </c>
      <c r="DG12" s="103">
        <f>COUNTIF(DonnéesBC[[#This Row],[17]:[28]],"Je ne sais pas")</f>
        <v>1</v>
      </c>
      <c r="DH12" s="103">
        <f>COUNTIF(DonnéesBC[[#This Row],[17]:[28]],"Juste")</f>
        <v>6</v>
      </c>
      <c r="DI12" s="96">
        <v>9</v>
      </c>
      <c r="DJ12" s="103">
        <f>COUNTIF(DonnéesBC[[#This Row],[29]:[37]],"FAUX")</f>
        <v>1</v>
      </c>
      <c r="DK12" s="103">
        <f>COUNTIF(DonnéesBC[[#This Row],[29]:[37]],"Je ne sais pas")</f>
        <v>0</v>
      </c>
      <c r="DL12" s="103">
        <f>COUNTIF(DonnéesBC[[#This Row],[29]:[37]],"Juste")</f>
        <v>8</v>
      </c>
      <c r="DM12" s="96">
        <v>13</v>
      </c>
      <c r="DN12" s="103">
        <f>COUNTIF(DonnéesBC[[#This Row],[38]:[50]],"FAUX")</f>
        <v>2</v>
      </c>
      <c r="DO12" s="103">
        <f>COUNTIF(DonnéesBC[[#This Row],[38]:[50]],"Je ne sais pas")</f>
        <v>2</v>
      </c>
      <c r="DP12" s="103">
        <f>COUNTIF(DonnéesBC[[#This Row],[38]:[50]],"Juste")</f>
        <v>9</v>
      </c>
      <c r="DQ12" s="96">
        <v>16</v>
      </c>
      <c r="DR12" s="103">
        <f>COUNTIF(DonnéesBC[[#This Row],[51]:[66]],"FAUX")</f>
        <v>3</v>
      </c>
      <c r="DS12" s="103">
        <f>COUNTIF(DonnéesBC[[#This Row],[51]:[66]],"Je ne sais pas")</f>
        <v>2</v>
      </c>
      <c r="DT12" s="103">
        <f>COUNTIF(DonnéesBC[[#This Row],[51]:[66]],"Juste")</f>
        <v>11</v>
      </c>
      <c r="DU12" s="96">
        <v>11</v>
      </c>
      <c r="DV12" s="103">
        <f>COUNTIF(DonnéesBC[[#This Row],[67]:[77]],"FAUX")</f>
        <v>2</v>
      </c>
      <c r="DW12" s="103">
        <f>COUNTIF(DonnéesBC[[#This Row],[67]:[77]],"Je ne sais pas")</f>
        <v>0</v>
      </c>
      <c r="DX12" s="103">
        <f>COUNTIF(DonnéesBC[[#This Row],[67]:[77]],"Juste")</f>
        <v>9</v>
      </c>
      <c r="DY12" s="96">
        <v>14</v>
      </c>
      <c r="DZ12" s="103">
        <f>COUNTIF(DonnéesBC[[#This Row],[78]:[91]],"FAUX")</f>
        <v>4</v>
      </c>
      <c r="EA12" s="103">
        <f>COUNTIF(DonnéesBC[[#This Row],[78]:[91]],"Je ne sais pas")</f>
        <v>1</v>
      </c>
      <c r="EB12" s="103">
        <f>COUNTIF(DonnéesBC[[#This Row],[78]:[91]],"Juste")</f>
        <v>9</v>
      </c>
      <c r="EC12" s="96">
        <v>10</v>
      </c>
      <c r="ED12" s="103">
        <f>COUNTIF(DonnéesBC[[#This Row],[92]:[101]],"FAUX")</f>
        <v>3</v>
      </c>
      <c r="EE12" s="103">
        <f>COUNTIF(DonnéesBC[[#This Row],[92]:[101]],"Je ne sais pas")</f>
        <v>0</v>
      </c>
      <c r="EF12" s="103">
        <f>COUNTIF(DonnéesBC[[#This Row],[92]:[101]],"Juste")</f>
        <v>7</v>
      </c>
      <c r="EG12" s="96">
        <f>SUM(DonnéesBC[[#This Row],[A]]+DonnéesBC[[#This Row],[B]]+DonnéesBC[[#This Row],[C]]+DonnéesBC[[#This Row],[D]]+DonnéesBC[[#This Row],[E]]+DonnéesBC[[#This Row],[F]]+DonnéesBC[[#This Row],[G]]+DonnéesBC[[#This Row],[H]])</f>
        <v>101</v>
      </c>
      <c r="EH12" s="97">
        <f>SUM(DonnéesBC[[#This Row],[A2]]+DonnéesBC[[#This Row],[B2]]+DonnéesBC[[#This Row],[C2]]+DonnéesBC[[#This Row],[D2]]+DonnéesBC[[#This Row],[E2]]+DonnéesBC[[#This Row],[F2]]+DonnéesBC[[#This Row],[G2]]+DonnéesBC[[#This Row],[H2]])</f>
        <v>25</v>
      </c>
      <c r="EI12" s="98">
        <f>SUM(DonnéesBC[[#This Row],[A3]]+DonnéesBC[[#This Row],[B3]]+DonnéesBC[[#This Row],[C3]]+DonnéesBC[[#This Row],[D3]]+DonnéesBC[[#This Row],[E3]]+DonnéesBC[[#This Row],[F3]]+DonnéesBC[[#This Row],[G3]]+DonnéesBC[[#This Row],[H3]])</f>
        <v>6</v>
      </c>
      <c r="EJ12" s="103">
        <f>SUM(DonnéesBC[[#This Row],[A4]]+DonnéesBC[[#This Row],[B4]]+DonnéesBC[[#This Row],[C4]]+DonnéesBC[[#This Row],[D4]]+DonnéesBC[[#This Row],[E4]]+DonnéesBC[[#This Row],[F4]]+DonnéesBC[[#This Row],[G4]]+DonnéesBC[[#This Row],[H4]])</f>
        <v>70</v>
      </c>
      <c r="EK12" s="95"/>
      <c r="EL12">
        <v>49</v>
      </c>
    </row>
    <row r="13" spans="1:142" ht="14" customHeight="1">
      <c r="A13" s="101" t="str">
        <f>DonnéesBC[[#This Row],[Prénom]]&amp;" "&amp;DonnéesBC[[#This Row],[Nom]]</f>
        <v>Chloé Schmid-Hennard</v>
      </c>
      <c r="B13" s="97" t="s">
        <v>98</v>
      </c>
      <c r="C13" s="97" t="s">
        <v>97</v>
      </c>
      <c r="D13" s="136" t="b">
        <v>0</v>
      </c>
      <c r="E13" s="137" t="b">
        <v>0</v>
      </c>
      <c r="F13" s="137" t="s">
        <v>846</v>
      </c>
      <c r="G13" s="137" t="s">
        <v>846</v>
      </c>
      <c r="H13" s="137" t="s">
        <v>846</v>
      </c>
      <c r="I13" s="137" t="s">
        <v>846</v>
      </c>
      <c r="J13" s="137" t="s">
        <v>846</v>
      </c>
      <c r="K13" s="137" t="s">
        <v>846</v>
      </c>
      <c r="L13" s="137" t="b">
        <v>0</v>
      </c>
      <c r="M13" s="137" t="s">
        <v>846</v>
      </c>
      <c r="N13" s="137" t="s">
        <v>846</v>
      </c>
      <c r="O13" s="137" t="s">
        <v>846</v>
      </c>
      <c r="P13" s="137" t="s">
        <v>846</v>
      </c>
      <c r="Q13" s="137" t="b">
        <v>0</v>
      </c>
      <c r="R13" s="137" t="s">
        <v>846</v>
      </c>
      <c r="S13" s="138" t="b">
        <v>0</v>
      </c>
      <c r="T13" s="136" t="s">
        <v>846</v>
      </c>
      <c r="U13" s="137" t="s">
        <v>846</v>
      </c>
      <c r="V13" s="137" t="s">
        <v>846</v>
      </c>
      <c r="W13" s="137" t="b">
        <v>0</v>
      </c>
      <c r="X13" s="137" t="s">
        <v>846</v>
      </c>
      <c r="Y13" s="137" t="s">
        <v>846</v>
      </c>
      <c r="Z13" s="137" t="b">
        <v>0</v>
      </c>
      <c r="AA13" s="137" t="s">
        <v>846</v>
      </c>
      <c r="AB13" s="137" t="b">
        <v>0</v>
      </c>
      <c r="AC13" s="137" t="s">
        <v>846</v>
      </c>
      <c r="AD13" s="137" t="s">
        <v>846</v>
      </c>
      <c r="AE13" s="138" t="s">
        <v>840</v>
      </c>
      <c r="AF13" s="136" t="s">
        <v>846</v>
      </c>
      <c r="AG13" s="137" t="b">
        <v>0</v>
      </c>
      <c r="AH13" s="137" t="s">
        <v>846</v>
      </c>
      <c r="AI13" s="137" t="s">
        <v>846</v>
      </c>
      <c r="AJ13" s="137" t="s">
        <v>846</v>
      </c>
      <c r="AK13" s="137" t="s">
        <v>846</v>
      </c>
      <c r="AL13" s="137" t="s">
        <v>846</v>
      </c>
      <c r="AM13" s="137" t="s">
        <v>846</v>
      </c>
      <c r="AN13" s="138" t="s">
        <v>846</v>
      </c>
      <c r="AO13" s="136" t="b">
        <v>0</v>
      </c>
      <c r="AP13" s="137" t="s">
        <v>846</v>
      </c>
      <c r="AQ13" s="137" t="s">
        <v>846</v>
      </c>
      <c r="AR13" s="137" t="s">
        <v>846</v>
      </c>
      <c r="AS13" s="137" t="s">
        <v>846</v>
      </c>
      <c r="AT13" s="137" t="s">
        <v>846</v>
      </c>
      <c r="AU13" s="137" t="b">
        <v>0</v>
      </c>
      <c r="AV13" s="137" t="s">
        <v>846</v>
      </c>
      <c r="AW13" s="137" t="s">
        <v>846</v>
      </c>
      <c r="AX13" s="137" t="s">
        <v>846</v>
      </c>
      <c r="AY13" s="137" t="s">
        <v>846</v>
      </c>
      <c r="AZ13" s="137" t="b">
        <v>0</v>
      </c>
      <c r="BA13" s="138" t="s">
        <v>840</v>
      </c>
      <c r="BB13" s="136" t="s">
        <v>846</v>
      </c>
      <c r="BC13" s="137" t="s">
        <v>846</v>
      </c>
      <c r="BD13" s="137" t="s">
        <v>846</v>
      </c>
      <c r="BE13" s="137" t="s">
        <v>846</v>
      </c>
      <c r="BF13" s="137" t="s">
        <v>846</v>
      </c>
      <c r="BG13" s="137" t="b">
        <v>0</v>
      </c>
      <c r="BH13" s="137" t="s">
        <v>846</v>
      </c>
      <c r="BI13" s="137" t="s">
        <v>846</v>
      </c>
      <c r="BJ13" s="137" t="b">
        <v>0</v>
      </c>
      <c r="BK13" s="137" t="s">
        <v>846</v>
      </c>
      <c r="BL13" s="137" t="s">
        <v>846</v>
      </c>
      <c r="BM13" s="137" t="s">
        <v>846</v>
      </c>
      <c r="BN13" s="137" t="b">
        <v>0</v>
      </c>
      <c r="BO13" s="137" t="b">
        <v>0</v>
      </c>
      <c r="BP13" s="137" t="b">
        <v>0</v>
      </c>
      <c r="BQ13" s="138" t="b">
        <v>0</v>
      </c>
      <c r="BR13" s="136" t="s">
        <v>846</v>
      </c>
      <c r="BS13" s="137" t="s">
        <v>846</v>
      </c>
      <c r="BT13" s="137" t="s">
        <v>846</v>
      </c>
      <c r="BU13" s="137" t="s">
        <v>846</v>
      </c>
      <c r="BV13" s="137" t="s">
        <v>846</v>
      </c>
      <c r="BW13" s="137" t="s">
        <v>846</v>
      </c>
      <c r="BX13" s="137" t="s">
        <v>846</v>
      </c>
      <c r="BY13" s="137" t="s">
        <v>846</v>
      </c>
      <c r="BZ13" s="137" t="s">
        <v>846</v>
      </c>
      <c r="CA13" s="137" t="s">
        <v>846</v>
      </c>
      <c r="CB13" s="138" t="s">
        <v>846</v>
      </c>
      <c r="CC13" s="136" t="s">
        <v>846</v>
      </c>
      <c r="CD13" s="137" t="s">
        <v>846</v>
      </c>
      <c r="CE13" s="137" t="b">
        <v>0</v>
      </c>
      <c r="CF13" s="137" t="s">
        <v>846</v>
      </c>
      <c r="CG13" s="137" t="b">
        <v>0</v>
      </c>
      <c r="CH13" s="137" t="b">
        <v>0</v>
      </c>
      <c r="CI13" s="137" t="s">
        <v>846</v>
      </c>
      <c r="CJ13" s="137" t="s">
        <v>846</v>
      </c>
      <c r="CK13" s="137" t="s">
        <v>846</v>
      </c>
      <c r="CL13" s="137" t="s">
        <v>840</v>
      </c>
      <c r="CM13" s="137" t="s">
        <v>846</v>
      </c>
      <c r="CN13" s="137" t="s">
        <v>846</v>
      </c>
      <c r="CO13" s="137" t="s">
        <v>846</v>
      </c>
      <c r="CP13" s="138" t="b">
        <v>0</v>
      </c>
      <c r="CQ13" s="136" t="b">
        <v>0</v>
      </c>
      <c r="CR13" s="137" t="s">
        <v>846</v>
      </c>
      <c r="CS13" s="137" t="b">
        <v>0</v>
      </c>
      <c r="CT13" s="137" t="b">
        <v>0</v>
      </c>
      <c r="CU13" s="137" t="s">
        <v>846</v>
      </c>
      <c r="CV13" s="137" t="b">
        <v>0</v>
      </c>
      <c r="CW13" s="137" t="s">
        <v>846</v>
      </c>
      <c r="CX13" s="137" t="s">
        <v>846</v>
      </c>
      <c r="CY13" s="137" t="s">
        <v>846</v>
      </c>
      <c r="CZ13" s="138" t="s">
        <v>846</v>
      </c>
      <c r="DA13" s="96">
        <v>16</v>
      </c>
      <c r="DB13" s="103">
        <f>COUNTIF(DonnéesBC[[#This Row],[1]:[16]],"FAUX")</f>
        <v>5</v>
      </c>
      <c r="DC13" s="103">
        <f>COUNTIF(DonnéesBC[[#This Row],[1]:[16]],"Je ne sais pas")</f>
        <v>0</v>
      </c>
      <c r="DD13" s="103">
        <f>COUNTIF(DonnéesBC[[#This Row],[1]:[16]],"Juste")</f>
        <v>11</v>
      </c>
      <c r="DE13" s="96">
        <v>12</v>
      </c>
      <c r="DF13" s="103">
        <f>COUNTIF(DonnéesBC[[#This Row],[17]:[28]],"FAUX")</f>
        <v>3</v>
      </c>
      <c r="DG13" s="103">
        <f>COUNTIF(DonnéesBC[[#This Row],[17]:[28]],"Je ne sais pas")</f>
        <v>1</v>
      </c>
      <c r="DH13" s="103">
        <f>COUNTIF(DonnéesBC[[#This Row],[17]:[28]],"Juste")</f>
        <v>8</v>
      </c>
      <c r="DI13" s="96">
        <v>9</v>
      </c>
      <c r="DJ13" s="103">
        <f>COUNTIF(DonnéesBC[[#This Row],[29]:[37]],"FAUX")</f>
        <v>1</v>
      </c>
      <c r="DK13" s="103">
        <f>COUNTIF(DonnéesBC[[#This Row],[29]:[37]],"Je ne sais pas")</f>
        <v>0</v>
      </c>
      <c r="DL13" s="103">
        <f>COUNTIF(DonnéesBC[[#This Row],[29]:[37]],"Juste")</f>
        <v>8</v>
      </c>
      <c r="DM13" s="96">
        <v>13</v>
      </c>
      <c r="DN13" s="103">
        <f>COUNTIF(DonnéesBC[[#This Row],[38]:[50]],"FAUX")</f>
        <v>3</v>
      </c>
      <c r="DO13" s="103">
        <f>COUNTIF(DonnéesBC[[#This Row],[38]:[50]],"Je ne sais pas")</f>
        <v>1</v>
      </c>
      <c r="DP13" s="103">
        <f>COUNTIF(DonnéesBC[[#This Row],[38]:[50]],"Juste")</f>
        <v>9</v>
      </c>
      <c r="DQ13" s="96">
        <v>16</v>
      </c>
      <c r="DR13" s="103">
        <f>COUNTIF(DonnéesBC[[#This Row],[51]:[66]],"FAUX")</f>
        <v>6</v>
      </c>
      <c r="DS13" s="103">
        <f>COUNTIF(DonnéesBC[[#This Row],[51]:[66]],"Je ne sais pas")</f>
        <v>0</v>
      </c>
      <c r="DT13" s="103">
        <f>COUNTIF(DonnéesBC[[#This Row],[51]:[66]],"Juste")</f>
        <v>10</v>
      </c>
      <c r="DU13" s="96">
        <v>11</v>
      </c>
      <c r="DV13" s="103">
        <f>COUNTIF(DonnéesBC[[#This Row],[67]:[77]],"FAUX")</f>
        <v>0</v>
      </c>
      <c r="DW13" s="103">
        <f>COUNTIF(DonnéesBC[[#This Row],[67]:[77]],"Je ne sais pas")</f>
        <v>0</v>
      </c>
      <c r="DX13" s="103">
        <f>COUNTIF(DonnéesBC[[#This Row],[67]:[77]],"Juste")</f>
        <v>11</v>
      </c>
      <c r="DY13" s="96">
        <v>14</v>
      </c>
      <c r="DZ13" s="103">
        <f>COUNTIF(DonnéesBC[[#This Row],[78]:[91]],"FAUX")</f>
        <v>4</v>
      </c>
      <c r="EA13" s="103">
        <f>COUNTIF(DonnéesBC[[#This Row],[78]:[91]],"Je ne sais pas")</f>
        <v>1</v>
      </c>
      <c r="EB13" s="103">
        <f>COUNTIF(DonnéesBC[[#This Row],[78]:[91]],"Juste")</f>
        <v>9</v>
      </c>
      <c r="EC13" s="96">
        <v>10</v>
      </c>
      <c r="ED13" s="103">
        <f>COUNTIF(DonnéesBC[[#This Row],[92]:[101]],"FAUX")</f>
        <v>4</v>
      </c>
      <c r="EE13" s="103">
        <f>COUNTIF(DonnéesBC[[#This Row],[92]:[101]],"Je ne sais pas")</f>
        <v>0</v>
      </c>
      <c r="EF13" s="103">
        <f>COUNTIF(DonnéesBC[[#This Row],[92]:[101]],"Juste")</f>
        <v>6</v>
      </c>
      <c r="EG13" s="96">
        <f>SUM(DonnéesBC[[#This Row],[A]]+DonnéesBC[[#This Row],[B]]+DonnéesBC[[#This Row],[C]]+DonnéesBC[[#This Row],[D]]+DonnéesBC[[#This Row],[E]]+DonnéesBC[[#This Row],[F]]+DonnéesBC[[#This Row],[G]]+DonnéesBC[[#This Row],[H]])</f>
        <v>101</v>
      </c>
      <c r="EH13" s="97">
        <f>SUM(DonnéesBC[[#This Row],[A2]]+DonnéesBC[[#This Row],[B2]]+DonnéesBC[[#This Row],[C2]]+DonnéesBC[[#This Row],[D2]]+DonnéesBC[[#This Row],[E2]]+DonnéesBC[[#This Row],[F2]]+DonnéesBC[[#This Row],[G2]]+DonnéesBC[[#This Row],[H2]])</f>
        <v>26</v>
      </c>
      <c r="EI13" s="98">
        <f>SUM(DonnéesBC[[#This Row],[A3]]+DonnéesBC[[#This Row],[B3]]+DonnéesBC[[#This Row],[C3]]+DonnéesBC[[#This Row],[D3]]+DonnéesBC[[#This Row],[E3]]+DonnéesBC[[#This Row],[F3]]+DonnéesBC[[#This Row],[G3]]+DonnéesBC[[#This Row],[H3]])</f>
        <v>3</v>
      </c>
      <c r="EJ13" s="103">
        <f>SUM(DonnéesBC[[#This Row],[A4]]+DonnéesBC[[#This Row],[B4]]+DonnéesBC[[#This Row],[C4]]+DonnéesBC[[#This Row],[D4]]+DonnéesBC[[#This Row],[E4]]+DonnéesBC[[#This Row],[F4]]+DonnéesBC[[#This Row],[G4]]+DonnéesBC[[#This Row],[H4]])</f>
        <v>72</v>
      </c>
      <c r="EK13" s="95" t="s">
        <v>686</v>
      </c>
      <c r="EL13">
        <v>45</v>
      </c>
    </row>
    <row r="14" spans="1:142" ht="14" customHeight="1">
      <c r="A14" s="101" t="str">
        <f>DonnéesBC[[#This Row],[Prénom]]&amp;" "&amp;DonnéesBC[[#This Row],[Nom]]</f>
        <v>Christine Zosso</v>
      </c>
      <c r="B14" s="97" t="s">
        <v>99</v>
      </c>
      <c r="C14" s="97" t="s">
        <v>100</v>
      </c>
      <c r="D14" s="132" t="s">
        <v>846</v>
      </c>
      <c r="E14" s="133" t="s">
        <v>846</v>
      </c>
      <c r="F14" s="133" t="s">
        <v>846</v>
      </c>
      <c r="G14" s="133" t="s">
        <v>846</v>
      </c>
      <c r="H14" s="133" t="s">
        <v>846</v>
      </c>
      <c r="I14" s="133" t="s">
        <v>846</v>
      </c>
      <c r="J14" s="133" t="s">
        <v>846</v>
      </c>
      <c r="K14" s="133" t="s">
        <v>846</v>
      </c>
      <c r="L14" s="133" t="b">
        <v>0</v>
      </c>
      <c r="M14" s="133" t="s">
        <v>846</v>
      </c>
      <c r="N14" s="133" t="s">
        <v>846</v>
      </c>
      <c r="O14" s="133" t="b">
        <v>0</v>
      </c>
      <c r="P14" s="133" t="s">
        <v>846</v>
      </c>
      <c r="Q14" s="133" t="b">
        <v>0</v>
      </c>
      <c r="R14" s="133" t="s">
        <v>846</v>
      </c>
      <c r="S14" s="135" t="b">
        <v>0</v>
      </c>
      <c r="T14" s="132" t="s">
        <v>846</v>
      </c>
      <c r="U14" s="133" t="b">
        <v>0</v>
      </c>
      <c r="V14" s="133" t="s">
        <v>846</v>
      </c>
      <c r="W14" s="133" t="b">
        <v>0</v>
      </c>
      <c r="X14" s="133" t="b">
        <v>0</v>
      </c>
      <c r="Y14" s="133" t="s">
        <v>846</v>
      </c>
      <c r="Z14" s="133" t="s">
        <v>846</v>
      </c>
      <c r="AA14" s="133" t="b">
        <v>0</v>
      </c>
      <c r="AB14" s="133" t="s">
        <v>846</v>
      </c>
      <c r="AC14" s="133" t="s">
        <v>846</v>
      </c>
      <c r="AD14" s="133" t="s">
        <v>846</v>
      </c>
      <c r="AE14" s="135" t="s">
        <v>846</v>
      </c>
      <c r="AF14" s="132" t="s">
        <v>846</v>
      </c>
      <c r="AG14" s="133" t="b">
        <v>0</v>
      </c>
      <c r="AH14" s="133" t="s">
        <v>846</v>
      </c>
      <c r="AI14" s="133" t="b">
        <v>0</v>
      </c>
      <c r="AJ14" s="133" t="b">
        <v>0</v>
      </c>
      <c r="AK14" s="133" t="s">
        <v>846</v>
      </c>
      <c r="AL14" s="133" t="s">
        <v>846</v>
      </c>
      <c r="AM14" s="133" t="b">
        <v>0</v>
      </c>
      <c r="AN14" s="135" t="s">
        <v>846</v>
      </c>
      <c r="AO14" s="132" t="s">
        <v>840</v>
      </c>
      <c r="AP14" s="133" t="s">
        <v>846</v>
      </c>
      <c r="AQ14" s="133" t="s">
        <v>846</v>
      </c>
      <c r="AR14" s="133" t="s">
        <v>846</v>
      </c>
      <c r="AS14" s="133" t="s">
        <v>846</v>
      </c>
      <c r="AT14" s="133" t="s">
        <v>846</v>
      </c>
      <c r="AU14" s="133" t="b">
        <v>0</v>
      </c>
      <c r="AV14" s="133" t="s">
        <v>846</v>
      </c>
      <c r="AW14" s="133" t="s">
        <v>846</v>
      </c>
      <c r="AX14" s="133" t="b">
        <v>0</v>
      </c>
      <c r="AY14" s="133" t="b">
        <v>0</v>
      </c>
      <c r="AZ14" s="133" t="b">
        <v>0</v>
      </c>
      <c r="BA14" s="135" t="s">
        <v>846</v>
      </c>
      <c r="BB14" s="132" t="s">
        <v>846</v>
      </c>
      <c r="BC14" s="133" t="s">
        <v>846</v>
      </c>
      <c r="BD14" s="133" t="s">
        <v>846</v>
      </c>
      <c r="BE14" s="133" t="s">
        <v>846</v>
      </c>
      <c r="BF14" s="133" t="b">
        <v>0</v>
      </c>
      <c r="BG14" s="133" t="s">
        <v>846</v>
      </c>
      <c r="BH14" s="133" t="s">
        <v>846</v>
      </c>
      <c r="BI14" s="133" t="b">
        <v>0</v>
      </c>
      <c r="BJ14" s="133" t="b">
        <v>0</v>
      </c>
      <c r="BK14" s="133" t="b">
        <v>0</v>
      </c>
      <c r="BL14" s="133" t="b">
        <v>0</v>
      </c>
      <c r="BM14" s="133" t="s">
        <v>846</v>
      </c>
      <c r="BN14" s="133" t="b">
        <v>0</v>
      </c>
      <c r="BO14" s="133" t="b">
        <v>0</v>
      </c>
      <c r="BP14" s="133" t="s">
        <v>846</v>
      </c>
      <c r="BQ14" s="135" t="s">
        <v>846</v>
      </c>
      <c r="BR14" s="132" t="s">
        <v>846</v>
      </c>
      <c r="BS14" s="133" t="s">
        <v>846</v>
      </c>
      <c r="BT14" s="133" t="s">
        <v>846</v>
      </c>
      <c r="BU14" s="133" t="s">
        <v>846</v>
      </c>
      <c r="BV14" s="133" t="s">
        <v>846</v>
      </c>
      <c r="BW14" s="133" t="s">
        <v>846</v>
      </c>
      <c r="BX14" s="133" t="s">
        <v>846</v>
      </c>
      <c r="BY14" s="133" t="b">
        <v>0</v>
      </c>
      <c r="BZ14" s="133" t="s">
        <v>846</v>
      </c>
      <c r="CA14" s="133" t="s">
        <v>846</v>
      </c>
      <c r="CB14" s="135" t="b">
        <v>0</v>
      </c>
      <c r="CC14" s="132" t="s">
        <v>840</v>
      </c>
      <c r="CD14" s="133" t="s">
        <v>846</v>
      </c>
      <c r="CE14" s="133" t="s">
        <v>846</v>
      </c>
      <c r="CF14" s="133" t="s">
        <v>846</v>
      </c>
      <c r="CG14" s="133" t="b">
        <v>0</v>
      </c>
      <c r="CH14" s="133" t="b">
        <v>0</v>
      </c>
      <c r="CI14" s="133" t="s">
        <v>846</v>
      </c>
      <c r="CJ14" s="133" t="s">
        <v>840</v>
      </c>
      <c r="CK14" s="133" t="s">
        <v>846</v>
      </c>
      <c r="CL14" s="133" t="b">
        <v>0</v>
      </c>
      <c r="CM14" s="133" t="s">
        <v>840</v>
      </c>
      <c r="CN14" s="133" t="b">
        <v>0</v>
      </c>
      <c r="CO14" s="133" t="s">
        <v>840</v>
      </c>
      <c r="CP14" s="135" t="b">
        <v>0</v>
      </c>
      <c r="CQ14" s="132" t="b">
        <v>0</v>
      </c>
      <c r="CR14" s="133" t="s">
        <v>846</v>
      </c>
      <c r="CS14" s="133" t="b">
        <v>0</v>
      </c>
      <c r="CT14" s="133" t="b">
        <v>0</v>
      </c>
      <c r="CU14" s="133" t="s">
        <v>846</v>
      </c>
      <c r="CV14" s="133" t="s">
        <v>846</v>
      </c>
      <c r="CW14" s="133" t="b">
        <v>0</v>
      </c>
      <c r="CX14" s="133" t="b">
        <v>0</v>
      </c>
      <c r="CY14" s="133" t="s">
        <v>846</v>
      </c>
      <c r="CZ14" s="135" t="b">
        <v>0</v>
      </c>
      <c r="DA14" s="96">
        <v>16</v>
      </c>
      <c r="DB14" s="103">
        <f>COUNTIF(DonnéesBC[[#This Row],[1]:[16]],"FAUX")</f>
        <v>4</v>
      </c>
      <c r="DC14" s="103">
        <f>COUNTIF(DonnéesBC[[#This Row],[1]:[16]],"Je ne sais pas")</f>
        <v>0</v>
      </c>
      <c r="DD14" s="103">
        <f>COUNTIF(DonnéesBC[[#This Row],[1]:[16]],"Juste")</f>
        <v>12</v>
      </c>
      <c r="DE14" s="96">
        <v>12</v>
      </c>
      <c r="DF14" s="103">
        <f>COUNTIF(DonnéesBC[[#This Row],[17]:[28]],"FAUX")</f>
        <v>4</v>
      </c>
      <c r="DG14" s="103">
        <f>COUNTIF(DonnéesBC[[#This Row],[17]:[28]],"Je ne sais pas")</f>
        <v>0</v>
      </c>
      <c r="DH14" s="103">
        <f>COUNTIF(DonnéesBC[[#This Row],[17]:[28]],"Juste")</f>
        <v>8</v>
      </c>
      <c r="DI14" s="96">
        <v>9</v>
      </c>
      <c r="DJ14" s="103">
        <f>COUNTIF(DonnéesBC[[#This Row],[29]:[37]],"FAUX")</f>
        <v>4</v>
      </c>
      <c r="DK14" s="103">
        <f>COUNTIF(DonnéesBC[[#This Row],[29]:[37]],"Je ne sais pas")</f>
        <v>0</v>
      </c>
      <c r="DL14" s="103">
        <f>COUNTIF(DonnéesBC[[#This Row],[29]:[37]],"Juste")</f>
        <v>5</v>
      </c>
      <c r="DM14" s="96">
        <v>13</v>
      </c>
      <c r="DN14" s="103">
        <f>COUNTIF(DonnéesBC[[#This Row],[38]:[50]],"FAUX")</f>
        <v>4</v>
      </c>
      <c r="DO14" s="103">
        <f>COUNTIF(DonnéesBC[[#This Row],[38]:[50]],"Je ne sais pas")</f>
        <v>1</v>
      </c>
      <c r="DP14" s="103">
        <f>COUNTIF(DonnéesBC[[#This Row],[38]:[50]],"Juste")</f>
        <v>8</v>
      </c>
      <c r="DQ14" s="96">
        <v>16</v>
      </c>
      <c r="DR14" s="103">
        <f>COUNTIF(DonnéesBC[[#This Row],[51]:[66]],"FAUX")</f>
        <v>7</v>
      </c>
      <c r="DS14" s="103">
        <f>COUNTIF(DonnéesBC[[#This Row],[51]:[66]],"Je ne sais pas")</f>
        <v>0</v>
      </c>
      <c r="DT14" s="103">
        <f>COUNTIF(DonnéesBC[[#This Row],[51]:[66]],"Juste")</f>
        <v>9</v>
      </c>
      <c r="DU14" s="96">
        <v>11</v>
      </c>
      <c r="DV14" s="103">
        <f>COUNTIF(DonnéesBC[[#This Row],[67]:[77]],"FAUX")</f>
        <v>2</v>
      </c>
      <c r="DW14" s="103">
        <f>COUNTIF(DonnéesBC[[#This Row],[67]:[77]],"Je ne sais pas")</f>
        <v>0</v>
      </c>
      <c r="DX14" s="103">
        <f>COUNTIF(DonnéesBC[[#This Row],[67]:[77]],"Juste")</f>
        <v>9</v>
      </c>
      <c r="DY14" s="96">
        <v>14</v>
      </c>
      <c r="DZ14" s="103">
        <f>COUNTIF(DonnéesBC[[#This Row],[78]:[91]],"FAUX")</f>
        <v>5</v>
      </c>
      <c r="EA14" s="103">
        <f>COUNTIF(DonnéesBC[[#This Row],[78]:[91]],"Je ne sais pas")</f>
        <v>4</v>
      </c>
      <c r="EB14" s="103">
        <f>COUNTIF(DonnéesBC[[#This Row],[78]:[91]],"Juste")</f>
        <v>5</v>
      </c>
      <c r="EC14" s="96">
        <v>10</v>
      </c>
      <c r="ED14" s="103">
        <f>COUNTIF(DonnéesBC[[#This Row],[92]:[101]],"FAUX")</f>
        <v>6</v>
      </c>
      <c r="EE14" s="103">
        <f>COUNTIF(DonnéesBC[[#This Row],[92]:[101]],"Je ne sais pas")</f>
        <v>0</v>
      </c>
      <c r="EF14" s="103">
        <f>COUNTIF(DonnéesBC[[#This Row],[92]:[101]],"Juste")</f>
        <v>4</v>
      </c>
      <c r="EG14" s="96">
        <f>SUM(DonnéesBC[[#This Row],[A]]+DonnéesBC[[#This Row],[B]]+DonnéesBC[[#This Row],[C]]+DonnéesBC[[#This Row],[D]]+DonnéesBC[[#This Row],[E]]+DonnéesBC[[#This Row],[F]]+DonnéesBC[[#This Row],[G]]+DonnéesBC[[#This Row],[H]])</f>
        <v>101</v>
      </c>
      <c r="EH14" s="97">
        <f>SUM(DonnéesBC[[#This Row],[A2]]+DonnéesBC[[#This Row],[B2]]+DonnéesBC[[#This Row],[C2]]+DonnéesBC[[#This Row],[D2]]+DonnéesBC[[#This Row],[E2]]+DonnéesBC[[#This Row],[F2]]+DonnéesBC[[#This Row],[G2]]+DonnéesBC[[#This Row],[H2]])</f>
        <v>36</v>
      </c>
      <c r="EI14" s="98">
        <f>SUM(DonnéesBC[[#This Row],[A3]]+DonnéesBC[[#This Row],[B3]]+DonnéesBC[[#This Row],[C3]]+DonnéesBC[[#This Row],[D3]]+DonnéesBC[[#This Row],[E3]]+DonnéesBC[[#This Row],[F3]]+DonnéesBC[[#This Row],[G3]]+DonnéesBC[[#This Row],[H3]])</f>
        <v>5</v>
      </c>
      <c r="EJ14" s="103">
        <f>SUM(DonnéesBC[[#This Row],[A4]]+DonnéesBC[[#This Row],[B4]]+DonnéesBC[[#This Row],[C4]]+DonnéesBC[[#This Row],[D4]]+DonnéesBC[[#This Row],[E4]]+DonnéesBC[[#This Row],[F4]]+DonnéesBC[[#This Row],[G4]]+DonnéesBC[[#This Row],[H4]])</f>
        <v>60</v>
      </c>
      <c r="EK14" s="95" t="s">
        <v>681</v>
      </c>
      <c r="EL14">
        <v>45</v>
      </c>
    </row>
    <row r="15" spans="1:142" ht="14" customHeight="1">
      <c r="A15" s="101" t="str">
        <f>DonnéesBC[[#This Row],[Prénom]]&amp;" "&amp;DonnéesBC[[#This Row],[Nom]]</f>
        <v>Cindy Svitok</v>
      </c>
      <c r="B15" s="97" t="s">
        <v>101</v>
      </c>
      <c r="C15" s="97" t="s">
        <v>102</v>
      </c>
      <c r="D15" s="136" t="s">
        <v>846</v>
      </c>
      <c r="E15" s="137" t="s">
        <v>846</v>
      </c>
      <c r="F15" s="137" t="s">
        <v>846</v>
      </c>
      <c r="G15" s="137" t="s">
        <v>846</v>
      </c>
      <c r="H15" s="137" t="s">
        <v>846</v>
      </c>
      <c r="I15" s="137" t="s">
        <v>846</v>
      </c>
      <c r="J15" s="137" t="s">
        <v>846</v>
      </c>
      <c r="K15" s="137" t="s">
        <v>840</v>
      </c>
      <c r="L15" s="137" t="b">
        <v>0</v>
      </c>
      <c r="M15" s="137" t="s">
        <v>846</v>
      </c>
      <c r="N15" s="137" t="b">
        <v>0</v>
      </c>
      <c r="O15" s="137" t="s">
        <v>846</v>
      </c>
      <c r="P15" s="137" t="b">
        <v>0</v>
      </c>
      <c r="Q15" s="137" t="b">
        <v>0</v>
      </c>
      <c r="R15" s="137" t="s">
        <v>846</v>
      </c>
      <c r="S15" s="138" t="b">
        <v>0</v>
      </c>
      <c r="T15" s="136" t="s">
        <v>846</v>
      </c>
      <c r="U15" s="137" t="s">
        <v>846</v>
      </c>
      <c r="V15" s="137" t="s">
        <v>846</v>
      </c>
      <c r="W15" s="137" t="b">
        <v>0</v>
      </c>
      <c r="X15" s="137" t="s">
        <v>840</v>
      </c>
      <c r="Y15" s="137" t="s">
        <v>840</v>
      </c>
      <c r="Z15" s="137" t="b">
        <v>0</v>
      </c>
      <c r="AA15" s="137" t="s">
        <v>840</v>
      </c>
      <c r="AB15" s="137" t="b">
        <v>0</v>
      </c>
      <c r="AC15" s="137" t="b">
        <v>0</v>
      </c>
      <c r="AD15" s="137" t="s">
        <v>846</v>
      </c>
      <c r="AE15" s="138" t="s">
        <v>840</v>
      </c>
      <c r="AF15" s="136" t="s">
        <v>846</v>
      </c>
      <c r="AG15" s="137" t="s">
        <v>846</v>
      </c>
      <c r="AH15" s="137" t="s">
        <v>846</v>
      </c>
      <c r="AI15" s="137" t="s">
        <v>846</v>
      </c>
      <c r="AJ15" s="137" t="s">
        <v>846</v>
      </c>
      <c r="AK15" s="137" t="s">
        <v>846</v>
      </c>
      <c r="AL15" s="137" t="s">
        <v>846</v>
      </c>
      <c r="AM15" s="137" t="b">
        <v>0</v>
      </c>
      <c r="AN15" s="138" t="s">
        <v>846</v>
      </c>
      <c r="AO15" s="136" t="s">
        <v>840</v>
      </c>
      <c r="AP15" s="137" t="s">
        <v>846</v>
      </c>
      <c r="AQ15" s="137" t="s">
        <v>846</v>
      </c>
      <c r="AR15" s="137" t="s">
        <v>846</v>
      </c>
      <c r="AS15" s="137" t="s">
        <v>840</v>
      </c>
      <c r="AT15" s="137" t="s">
        <v>846</v>
      </c>
      <c r="AU15" s="137" t="s">
        <v>846</v>
      </c>
      <c r="AV15" s="137" t="s">
        <v>846</v>
      </c>
      <c r="AW15" s="137" t="s">
        <v>846</v>
      </c>
      <c r="AX15" s="137" t="s">
        <v>846</v>
      </c>
      <c r="AY15" s="137" t="s">
        <v>846</v>
      </c>
      <c r="AZ15" s="137" t="s">
        <v>840</v>
      </c>
      <c r="BA15" s="138" t="s">
        <v>846</v>
      </c>
      <c r="BB15" s="136" t="s">
        <v>846</v>
      </c>
      <c r="BC15" s="137" t="s">
        <v>846</v>
      </c>
      <c r="BD15" s="137" t="s">
        <v>840</v>
      </c>
      <c r="BE15" s="137" t="s">
        <v>846</v>
      </c>
      <c r="BF15" s="137" t="s">
        <v>840</v>
      </c>
      <c r="BG15" s="137" t="s">
        <v>846</v>
      </c>
      <c r="BH15" s="137" t="b">
        <v>0</v>
      </c>
      <c r="BI15" s="137" t="b">
        <v>0</v>
      </c>
      <c r="BJ15" s="137" t="s">
        <v>840</v>
      </c>
      <c r="BK15" s="137" t="s">
        <v>846</v>
      </c>
      <c r="BL15" s="137" t="b">
        <v>0</v>
      </c>
      <c r="BM15" s="137" t="s">
        <v>840</v>
      </c>
      <c r="BN15" s="137" t="s">
        <v>840</v>
      </c>
      <c r="BO15" s="137" t="s">
        <v>840</v>
      </c>
      <c r="BP15" s="137" t="s">
        <v>840</v>
      </c>
      <c r="BQ15" s="138" t="s">
        <v>840</v>
      </c>
      <c r="BR15" s="136" t="s">
        <v>846</v>
      </c>
      <c r="BS15" s="137" t="s">
        <v>846</v>
      </c>
      <c r="BT15" s="137" t="s">
        <v>846</v>
      </c>
      <c r="BU15" s="137" t="s">
        <v>846</v>
      </c>
      <c r="BV15" s="137" t="s">
        <v>846</v>
      </c>
      <c r="BW15" s="137" t="s">
        <v>846</v>
      </c>
      <c r="BX15" s="137" t="s">
        <v>846</v>
      </c>
      <c r="BY15" s="137" t="b">
        <v>0</v>
      </c>
      <c r="BZ15" s="137" t="s">
        <v>840</v>
      </c>
      <c r="CA15" s="137" t="s">
        <v>846</v>
      </c>
      <c r="CB15" s="138" t="s">
        <v>846</v>
      </c>
      <c r="CC15" s="136" t="s">
        <v>840</v>
      </c>
      <c r="CD15" s="137" t="s">
        <v>846</v>
      </c>
      <c r="CE15" s="137" t="s">
        <v>846</v>
      </c>
      <c r="CF15" s="137" t="s">
        <v>846</v>
      </c>
      <c r="CG15" s="137" t="s">
        <v>846</v>
      </c>
      <c r="CH15" s="137" t="s">
        <v>846</v>
      </c>
      <c r="CI15" s="137" t="s">
        <v>840</v>
      </c>
      <c r="CJ15" s="137" t="b">
        <v>0</v>
      </c>
      <c r="CK15" s="137" t="s">
        <v>846</v>
      </c>
      <c r="CL15" s="137" t="b">
        <v>0</v>
      </c>
      <c r="CM15" s="137" t="s">
        <v>840</v>
      </c>
      <c r="CN15" s="137" t="s">
        <v>846</v>
      </c>
      <c r="CO15" s="137" t="s">
        <v>840</v>
      </c>
      <c r="CP15" s="138" t="s">
        <v>846</v>
      </c>
      <c r="CQ15" s="136" t="b">
        <v>0</v>
      </c>
      <c r="CR15" s="137" t="s">
        <v>846</v>
      </c>
      <c r="CS15" s="137" t="b">
        <v>0</v>
      </c>
      <c r="CT15" s="137" t="s">
        <v>846</v>
      </c>
      <c r="CU15" s="137" t="b">
        <v>0</v>
      </c>
      <c r="CV15" s="137" t="s">
        <v>840</v>
      </c>
      <c r="CW15" s="137" t="s">
        <v>846</v>
      </c>
      <c r="CX15" s="137" t="b">
        <v>0</v>
      </c>
      <c r="CY15" s="137" t="b">
        <v>0</v>
      </c>
      <c r="CZ15" s="138" t="s">
        <v>840</v>
      </c>
      <c r="DA15" s="96">
        <v>16</v>
      </c>
      <c r="DB15" s="103">
        <f>COUNTIF(DonnéesBC[[#This Row],[1]:[16]],"FAUX")</f>
        <v>5</v>
      </c>
      <c r="DC15" s="103">
        <f>COUNTIF(DonnéesBC[[#This Row],[1]:[16]],"Je ne sais pas")</f>
        <v>1</v>
      </c>
      <c r="DD15" s="103">
        <f>COUNTIF(DonnéesBC[[#This Row],[1]:[16]],"Juste")</f>
        <v>10</v>
      </c>
      <c r="DE15" s="96">
        <v>12</v>
      </c>
      <c r="DF15" s="103">
        <f>COUNTIF(DonnéesBC[[#This Row],[17]:[28]],"FAUX")</f>
        <v>4</v>
      </c>
      <c r="DG15" s="103">
        <f>COUNTIF(DonnéesBC[[#This Row],[17]:[28]],"Je ne sais pas")</f>
        <v>4</v>
      </c>
      <c r="DH15" s="103">
        <f>COUNTIF(DonnéesBC[[#This Row],[17]:[28]],"Juste")</f>
        <v>4</v>
      </c>
      <c r="DI15" s="96">
        <v>9</v>
      </c>
      <c r="DJ15" s="103">
        <f>COUNTIF(DonnéesBC[[#This Row],[29]:[37]],"FAUX")</f>
        <v>1</v>
      </c>
      <c r="DK15" s="103">
        <f>COUNTIF(DonnéesBC[[#This Row],[29]:[37]],"Je ne sais pas")</f>
        <v>0</v>
      </c>
      <c r="DL15" s="103">
        <f>COUNTIF(DonnéesBC[[#This Row],[29]:[37]],"Juste")</f>
        <v>8</v>
      </c>
      <c r="DM15" s="96">
        <v>13</v>
      </c>
      <c r="DN15" s="103">
        <f>COUNTIF(DonnéesBC[[#This Row],[38]:[50]],"FAUX")</f>
        <v>0</v>
      </c>
      <c r="DO15" s="103">
        <f>COUNTIF(DonnéesBC[[#This Row],[38]:[50]],"Je ne sais pas")</f>
        <v>3</v>
      </c>
      <c r="DP15" s="103">
        <f>COUNTIF(DonnéesBC[[#This Row],[38]:[50]],"Juste")</f>
        <v>10</v>
      </c>
      <c r="DQ15" s="96">
        <v>16</v>
      </c>
      <c r="DR15" s="103">
        <f>COUNTIF(DonnéesBC[[#This Row],[51]:[66]],"FAUX")</f>
        <v>3</v>
      </c>
      <c r="DS15" s="103">
        <f>COUNTIF(DonnéesBC[[#This Row],[51]:[66]],"Je ne sais pas")</f>
        <v>8</v>
      </c>
      <c r="DT15" s="103">
        <f>COUNTIF(DonnéesBC[[#This Row],[51]:[66]],"Juste")</f>
        <v>5</v>
      </c>
      <c r="DU15" s="96">
        <v>11</v>
      </c>
      <c r="DV15" s="103">
        <f>COUNTIF(DonnéesBC[[#This Row],[67]:[77]],"FAUX")</f>
        <v>1</v>
      </c>
      <c r="DW15" s="103">
        <f>COUNTIF(DonnéesBC[[#This Row],[67]:[77]],"Je ne sais pas")</f>
        <v>1</v>
      </c>
      <c r="DX15" s="103">
        <f>COUNTIF(DonnéesBC[[#This Row],[67]:[77]],"Juste")</f>
        <v>9</v>
      </c>
      <c r="DY15" s="96">
        <v>14</v>
      </c>
      <c r="DZ15" s="103">
        <f>COUNTIF(DonnéesBC[[#This Row],[78]:[91]],"FAUX")</f>
        <v>2</v>
      </c>
      <c r="EA15" s="103">
        <f>COUNTIF(DonnéesBC[[#This Row],[78]:[91]],"Je ne sais pas")</f>
        <v>4</v>
      </c>
      <c r="EB15" s="103">
        <f>COUNTIF(DonnéesBC[[#This Row],[78]:[91]],"Juste")</f>
        <v>8</v>
      </c>
      <c r="EC15" s="96">
        <v>10</v>
      </c>
      <c r="ED15" s="103">
        <f>COUNTIF(DonnéesBC[[#This Row],[92]:[101]],"FAUX")</f>
        <v>5</v>
      </c>
      <c r="EE15" s="103">
        <f>COUNTIF(DonnéesBC[[#This Row],[92]:[101]],"Je ne sais pas")</f>
        <v>2</v>
      </c>
      <c r="EF15" s="103">
        <f>COUNTIF(DonnéesBC[[#This Row],[92]:[101]],"Juste")</f>
        <v>3</v>
      </c>
      <c r="EG15" s="96">
        <f>SUM(DonnéesBC[[#This Row],[A]]+DonnéesBC[[#This Row],[B]]+DonnéesBC[[#This Row],[C]]+DonnéesBC[[#This Row],[D]]+DonnéesBC[[#This Row],[E]]+DonnéesBC[[#This Row],[F]]+DonnéesBC[[#This Row],[G]]+DonnéesBC[[#This Row],[H]])</f>
        <v>101</v>
      </c>
      <c r="EH15" s="97">
        <f>SUM(DonnéesBC[[#This Row],[A2]]+DonnéesBC[[#This Row],[B2]]+DonnéesBC[[#This Row],[C2]]+DonnéesBC[[#This Row],[D2]]+DonnéesBC[[#This Row],[E2]]+DonnéesBC[[#This Row],[F2]]+DonnéesBC[[#This Row],[G2]]+DonnéesBC[[#This Row],[H2]])</f>
        <v>21</v>
      </c>
      <c r="EI15" s="98">
        <f>SUM(DonnéesBC[[#This Row],[A3]]+DonnéesBC[[#This Row],[B3]]+DonnéesBC[[#This Row],[C3]]+DonnéesBC[[#This Row],[D3]]+DonnéesBC[[#This Row],[E3]]+DonnéesBC[[#This Row],[F3]]+DonnéesBC[[#This Row],[G3]]+DonnéesBC[[#This Row],[H3]])</f>
        <v>23</v>
      </c>
      <c r="EJ15" s="103">
        <f>SUM(DonnéesBC[[#This Row],[A4]]+DonnéesBC[[#This Row],[B4]]+DonnéesBC[[#This Row],[C4]]+DonnéesBC[[#This Row],[D4]]+DonnéesBC[[#This Row],[E4]]+DonnéesBC[[#This Row],[F4]]+DonnéesBC[[#This Row],[G4]]+DonnéesBC[[#This Row],[H4]])</f>
        <v>57</v>
      </c>
      <c r="EK15" s="95"/>
      <c r="EL15">
        <v>45</v>
      </c>
    </row>
    <row r="16" spans="1:142" ht="14" customHeight="1">
      <c r="A16" s="101" t="str">
        <f>DonnéesBC[[#This Row],[Prénom]]&amp;" "&amp;DonnéesBC[[#This Row],[Nom]]</f>
        <v>Coralie Cuendet</v>
      </c>
      <c r="B16" s="97" t="s">
        <v>103</v>
      </c>
      <c r="C16" s="97" t="s">
        <v>64</v>
      </c>
      <c r="D16" s="132" t="s">
        <v>846</v>
      </c>
      <c r="E16" s="133" t="s">
        <v>846</v>
      </c>
      <c r="F16" s="133" t="s">
        <v>846</v>
      </c>
      <c r="G16" s="133" t="s">
        <v>846</v>
      </c>
      <c r="H16" s="133" t="s">
        <v>846</v>
      </c>
      <c r="I16" s="133" t="s">
        <v>846</v>
      </c>
      <c r="J16" s="133" t="s">
        <v>846</v>
      </c>
      <c r="K16" s="133" t="s">
        <v>846</v>
      </c>
      <c r="L16" s="133" t="b">
        <v>0</v>
      </c>
      <c r="M16" s="133" t="s">
        <v>846</v>
      </c>
      <c r="N16" s="133" t="s">
        <v>846</v>
      </c>
      <c r="O16" s="133" t="s">
        <v>846</v>
      </c>
      <c r="P16" s="133" t="s">
        <v>846</v>
      </c>
      <c r="Q16" s="133" t="b">
        <v>0</v>
      </c>
      <c r="R16" s="133" t="s">
        <v>846</v>
      </c>
      <c r="S16" s="135" t="b">
        <v>0</v>
      </c>
      <c r="T16" s="132" t="s">
        <v>846</v>
      </c>
      <c r="U16" s="133" t="s">
        <v>846</v>
      </c>
      <c r="V16" s="133" t="s">
        <v>846</v>
      </c>
      <c r="W16" s="133" t="s">
        <v>846</v>
      </c>
      <c r="X16" s="133" t="b">
        <v>0</v>
      </c>
      <c r="Y16" s="133" t="s">
        <v>846</v>
      </c>
      <c r="Z16" s="133" t="s">
        <v>846</v>
      </c>
      <c r="AA16" s="133" t="s">
        <v>846</v>
      </c>
      <c r="AB16" s="133" t="b">
        <v>0</v>
      </c>
      <c r="AC16" s="133" t="s">
        <v>840</v>
      </c>
      <c r="AD16" s="133" t="s">
        <v>846</v>
      </c>
      <c r="AE16" s="135" t="b">
        <v>0</v>
      </c>
      <c r="AF16" s="132" t="s">
        <v>846</v>
      </c>
      <c r="AG16" s="133" t="s">
        <v>846</v>
      </c>
      <c r="AH16" s="133" t="b">
        <v>0</v>
      </c>
      <c r="AI16" s="133" t="s">
        <v>846</v>
      </c>
      <c r="AJ16" s="133" t="s">
        <v>846</v>
      </c>
      <c r="AK16" s="133" t="s">
        <v>846</v>
      </c>
      <c r="AL16" s="133" t="s">
        <v>846</v>
      </c>
      <c r="AM16" s="133" t="s">
        <v>846</v>
      </c>
      <c r="AN16" s="135" t="s">
        <v>846</v>
      </c>
      <c r="AO16" s="132" t="s">
        <v>840</v>
      </c>
      <c r="AP16" s="133" t="s">
        <v>846</v>
      </c>
      <c r="AQ16" s="133" t="s">
        <v>846</v>
      </c>
      <c r="AR16" s="133" t="s">
        <v>840</v>
      </c>
      <c r="AS16" s="133" t="b">
        <v>0</v>
      </c>
      <c r="AT16" s="133" t="s">
        <v>846</v>
      </c>
      <c r="AU16" s="133" t="s">
        <v>846</v>
      </c>
      <c r="AV16" s="133" t="s">
        <v>846</v>
      </c>
      <c r="AW16" s="133" t="s">
        <v>846</v>
      </c>
      <c r="AX16" s="133" t="s">
        <v>846</v>
      </c>
      <c r="AY16" s="133" t="s">
        <v>846</v>
      </c>
      <c r="AZ16" s="133" t="s">
        <v>846</v>
      </c>
      <c r="BA16" s="135" t="s">
        <v>840</v>
      </c>
      <c r="BB16" s="132" t="s">
        <v>846</v>
      </c>
      <c r="BC16" s="133" t="s">
        <v>846</v>
      </c>
      <c r="BD16" s="133" t="s">
        <v>846</v>
      </c>
      <c r="BE16" s="133" t="s">
        <v>846</v>
      </c>
      <c r="BF16" s="133" t="s">
        <v>846</v>
      </c>
      <c r="BG16" s="133" t="s">
        <v>846</v>
      </c>
      <c r="BH16" s="133" t="s">
        <v>846</v>
      </c>
      <c r="BI16" s="133" t="s">
        <v>846</v>
      </c>
      <c r="BJ16" s="133" t="s">
        <v>846</v>
      </c>
      <c r="BK16" s="133" t="s">
        <v>846</v>
      </c>
      <c r="BL16" s="133" t="s">
        <v>846</v>
      </c>
      <c r="BM16" s="133" t="b">
        <v>0</v>
      </c>
      <c r="BN16" s="133" t="s">
        <v>840</v>
      </c>
      <c r="BO16" s="133" t="s">
        <v>846</v>
      </c>
      <c r="BP16" s="133" t="s">
        <v>846</v>
      </c>
      <c r="BQ16" s="135" t="s">
        <v>846</v>
      </c>
      <c r="BR16" s="132" t="s">
        <v>846</v>
      </c>
      <c r="BS16" s="133" t="s">
        <v>846</v>
      </c>
      <c r="BT16" s="133" t="b">
        <v>0</v>
      </c>
      <c r="BU16" s="133" t="s">
        <v>846</v>
      </c>
      <c r="BV16" s="133" t="s">
        <v>846</v>
      </c>
      <c r="BW16" s="133" t="s">
        <v>846</v>
      </c>
      <c r="BX16" s="133" t="b">
        <v>0</v>
      </c>
      <c r="BY16" s="133" t="s">
        <v>846</v>
      </c>
      <c r="BZ16" s="133" t="s">
        <v>846</v>
      </c>
      <c r="CA16" s="133" t="b">
        <v>0</v>
      </c>
      <c r="CB16" s="135" t="b">
        <v>0</v>
      </c>
      <c r="CC16" s="132" t="s">
        <v>840</v>
      </c>
      <c r="CD16" s="133" t="s">
        <v>846</v>
      </c>
      <c r="CE16" s="133" t="s">
        <v>846</v>
      </c>
      <c r="CF16" s="133" t="s">
        <v>846</v>
      </c>
      <c r="CG16" s="133" t="s">
        <v>846</v>
      </c>
      <c r="CH16" s="133" t="b">
        <v>0</v>
      </c>
      <c r="CI16" s="133" t="s">
        <v>846</v>
      </c>
      <c r="CJ16" s="133" t="s">
        <v>846</v>
      </c>
      <c r="CK16" s="133" t="s">
        <v>846</v>
      </c>
      <c r="CL16" s="133" t="s">
        <v>840</v>
      </c>
      <c r="CM16" s="133" t="b">
        <v>0</v>
      </c>
      <c r="CN16" s="133" t="s">
        <v>846</v>
      </c>
      <c r="CO16" s="133" t="b">
        <v>0</v>
      </c>
      <c r="CP16" s="135" t="s">
        <v>846</v>
      </c>
      <c r="CQ16" s="132" t="s">
        <v>846</v>
      </c>
      <c r="CR16" s="133" t="s">
        <v>846</v>
      </c>
      <c r="CS16" s="133" t="b">
        <v>0</v>
      </c>
      <c r="CT16" s="133" t="s">
        <v>840</v>
      </c>
      <c r="CU16" s="133" t="s">
        <v>846</v>
      </c>
      <c r="CV16" s="133" t="b">
        <v>0</v>
      </c>
      <c r="CW16" s="133" t="s">
        <v>846</v>
      </c>
      <c r="CX16" s="133" t="s">
        <v>846</v>
      </c>
      <c r="CY16" s="133" t="s">
        <v>846</v>
      </c>
      <c r="CZ16" s="135" t="s">
        <v>840</v>
      </c>
      <c r="DA16" s="96">
        <v>16</v>
      </c>
      <c r="DB16" s="103">
        <f>COUNTIF(DonnéesBC[[#This Row],[1]:[16]],"FAUX")</f>
        <v>3</v>
      </c>
      <c r="DC16" s="103">
        <f>COUNTIF(DonnéesBC[[#This Row],[1]:[16]],"Je ne sais pas")</f>
        <v>0</v>
      </c>
      <c r="DD16" s="103">
        <f>COUNTIF(DonnéesBC[[#This Row],[1]:[16]],"Juste")</f>
        <v>13</v>
      </c>
      <c r="DE16" s="96">
        <v>12</v>
      </c>
      <c r="DF16" s="103">
        <f>COUNTIF(DonnéesBC[[#This Row],[17]:[28]],"FAUX")</f>
        <v>3</v>
      </c>
      <c r="DG16" s="103">
        <f>COUNTIF(DonnéesBC[[#This Row],[17]:[28]],"Je ne sais pas")</f>
        <v>1</v>
      </c>
      <c r="DH16" s="103">
        <f>COUNTIF(DonnéesBC[[#This Row],[17]:[28]],"Juste")</f>
        <v>8</v>
      </c>
      <c r="DI16" s="96">
        <v>9</v>
      </c>
      <c r="DJ16" s="103">
        <f>COUNTIF(DonnéesBC[[#This Row],[29]:[37]],"FAUX")</f>
        <v>1</v>
      </c>
      <c r="DK16" s="103">
        <f>COUNTIF(DonnéesBC[[#This Row],[29]:[37]],"Je ne sais pas")</f>
        <v>0</v>
      </c>
      <c r="DL16" s="103">
        <f>COUNTIF(DonnéesBC[[#This Row],[29]:[37]],"Juste")</f>
        <v>8</v>
      </c>
      <c r="DM16" s="96">
        <v>13</v>
      </c>
      <c r="DN16" s="103">
        <f>COUNTIF(DonnéesBC[[#This Row],[38]:[50]],"FAUX")</f>
        <v>1</v>
      </c>
      <c r="DO16" s="103">
        <f>COUNTIF(DonnéesBC[[#This Row],[38]:[50]],"Je ne sais pas")</f>
        <v>3</v>
      </c>
      <c r="DP16" s="103">
        <f>COUNTIF(DonnéesBC[[#This Row],[38]:[50]],"Juste")</f>
        <v>9</v>
      </c>
      <c r="DQ16" s="96">
        <v>16</v>
      </c>
      <c r="DR16" s="103">
        <f>COUNTIF(DonnéesBC[[#This Row],[51]:[66]],"FAUX")</f>
        <v>1</v>
      </c>
      <c r="DS16" s="103">
        <f>COUNTIF(DonnéesBC[[#This Row],[51]:[66]],"Je ne sais pas")</f>
        <v>1</v>
      </c>
      <c r="DT16" s="103">
        <f>COUNTIF(DonnéesBC[[#This Row],[51]:[66]],"Juste")</f>
        <v>14</v>
      </c>
      <c r="DU16" s="96">
        <v>11</v>
      </c>
      <c r="DV16" s="103">
        <f>COUNTIF(DonnéesBC[[#This Row],[67]:[77]],"FAUX")</f>
        <v>4</v>
      </c>
      <c r="DW16" s="103">
        <f>COUNTIF(DonnéesBC[[#This Row],[67]:[77]],"Je ne sais pas")</f>
        <v>0</v>
      </c>
      <c r="DX16" s="103">
        <f>COUNTIF(DonnéesBC[[#This Row],[67]:[77]],"Juste")</f>
        <v>7</v>
      </c>
      <c r="DY16" s="96">
        <v>14</v>
      </c>
      <c r="DZ16" s="103">
        <f>COUNTIF(DonnéesBC[[#This Row],[78]:[91]],"FAUX")</f>
        <v>3</v>
      </c>
      <c r="EA16" s="103">
        <f>COUNTIF(DonnéesBC[[#This Row],[78]:[91]],"Je ne sais pas")</f>
        <v>2</v>
      </c>
      <c r="EB16" s="103">
        <f>COUNTIF(DonnéesBC[[#This Row],[78]:[91]],"Juste")</f>
        <v>9</v>
      </c>
      <c r="EC16" s="96">
        <v>10</v>
      </c>
      <c r="ED16" s="103">
        <f>COUNTIF(DonnéesBC[[#This Row],[92]:[101]],"FAUX")</f>
        <v>2</v>
      </c>
      <c r="EE16" s="103">
        <f>COUNTIF(DonnéesBC[[#This Row],[92]:[101]],"Je ne sais pas")</f>
        <v>2</v>
      </c>
      <c r="EF16" s="103">
        <f>COUNTIF(DonnéesBC[[#This Row],[92]:[101]],"Juste")</f>
        <v>6</v>
      </c>
      <c r="EG16" s="96">
        <f>SUM(DonnéesBC[[#This Row],[A]]+DonnéesBC[[#This Row],[B]]+DonnéesBC[[#This Row],[C]]+DonnéesBC[[#This Row],[D]]+DonnéesBC[[#This Row],[E]]+DonnéesBC[[#This Row],[F]]+DonnéesBC[[#This Row],[G]]+DonnéesBC[[#This Row],[H]])</f>
        <v>101</v>
      </c>
      <c r="EH16" s="97">
        <f>SUM(DonnéesBC[[#This Row],[A2]]+DonnéesBC[[#This Row],[B2]]+DonnéesBC[[#This Row],[C2]]+DonnéesBC[[#This Row],[D2]]+DonnéesBC[[#This Row],[E2]]+DonnéesBC[[#This Row],[F2]]+DonnéesBC[[#This Row],[G2]]+DonnéesBC[[#This Row],[H2]])</f>
        <v>18</v>
      </c>
      <c r="EI16" s="98">
        <f>SUM(DonnéesBC[[#This Row],[A3]]+DonnéesBC[[#This Row],[B3]]+DonnéesBC[[#This Row],[C3]]+DonnéesBC[[#This Row],[D3]]+DonnéesBC[[#This Row],[E3]]+DonnéesBC[[#This Row],[F3]]+DonnéesBC[[#This Row],[G3]]+DonnéesBC[[#This Row],[H3]])</f>
        <v>9</v>
      </c>
      <c r="EJ16" s="103">
        <f>SUM(DonnéesBC[[#This Row],[A4]]+DonnéesBC[[#This Row],[B4]]+DonnéesBC[[#This Row],[C4]]+DonnéesBC[[#This Row],[D4]]+DonnéesBC[[#This Row],[E4]]+DonnéesBC[[#This Row],[F4]]+DonnéesBC[[#This Row],[G4]]+DonnéesBC[[#This Row],[H4]])</f>
        <v>74</v>
      </c>
      <c r="EK16" s="95"/>
      <c r="EL16">
        <v>45</v>
      </c>
    </row>
    <row r="17" spans="1:142" ht="14" customHeight="1">
      <c r="A17" s="101" t="str">
        <f>DonnéesBC[[#This Row],[Prénom]]&amp;" "&amp;DonnéesBC[[#This Row],[Nom]]</f>
        <v>Csilla Bajnok</v>
      </c>
      <c r="B17" s="97" t="s">
        <v>104</v>
      </c>
      <c r="C17" s="97" t="s">
        <v>105</v>
      </c>
      <c r="D17" s="136" t="s">
        <v>846</v>
      </c>
      <c r="E17" s="137" t="s">
        <v>846</v>
      </c>
      <c r="F17" s="137" t="s">
        <v>846</v>
      </c>
      <c r="G17" s="137" t="b">
        <v>0</v>
      </c>
      <c r="H17" s="137" t="s">
        <v>846</v>
      </c>
      <c r="I17" s="137" t="s">
        <v>846</v>
      </c>
      <c r="J17" s="137" t="s">
        <v>846</v>
      </c>
      <c r="K17" s="137" t="b">
        <v>0</v>
      </c>
      <c r="L17" s="137" t="s">
        <v>846</v>
      </c>
      <c r="M17" s="137" t="s">
        <v>846</v>
      </c>
      <c r="N17" s="137" t="s">
        <v>846</v>
      </c>
      <c r="O17" s="137" t="s">
        <v>846</v>
      </c>
      <c r="P17" s="137" t="s">
        <v>846</v>
      </c>
      <c r="Q17" s="137" t="b">
        <v>0</v>
      </c>
      <c r="R17" s="137" t="s">
        <v>846</v>
      </c>
      <c r="S17" s="138" t="b">
        <v>0</v>
      </c>
      <c r="T17" s="136" t="s">
        <v>846</v>
      </c>
      <c r="U17" s="137" t="s">
        <v>846</v>
      </c>
      <c r="V17" s="137" t="s">
        <v>846</v>
      </c>
      <c r="W17" s="137" t="s">
        <v>846</v>
      </c>
      <c r="X17" s="137" t="s">
        <v>846</v>
      </c>
      <c r="Y17" s="137" t="s">
        <v>846</v>
      </c>
      <c r="Z17" s="137" t="b">
        <v>0</v>
      </c>
      <c r="AA17" s="137" t="s">
        <v>840</v>
      </c>
      <c r="AB17" s="137" t="b">
        <v>0</v>
      </c>
      <c r="AC17" s="137" t="s">
        <v>846</v>
      </c>
      <c r="AD17" s="137" t="s">
        <v>846</v>
      </c>
      <c r="AE17" s="138" t="b">
        <v>0</v>
      </c>
      <c r="AF17" s="136" t="s">
        <v>846</v>
      </c>
      <c r="AG17" s="137" t="s">
        <v>846</v>
      </c>
      <c r="AH17" s="137" t="s">
        <v>846</v>
      </c>
      <c r="AI17" s="137" t="s">
        <v>846</v>
      </c>
      <c r="AJ17" s="137" t="s">
        <v>846</v>
      </c>
      <c r="AK17" s="137" t="s">
        <v>846</v>
      </c>
      <c r="AL17" s="137" t="s">
        <v>846</v>
      </c>
      <c r="AM17" s="137" t="s">
        <v>846</v>
      </c>
      <c r="AN17" s="138" t="s">
        <v>846</v>
      </c>
      <c r="AO17" s="136" t="b">
        <v>0</v>
      </c>
      <c r="AP17" s="137" t="s">
        <v>846</v>
      </c>
      <c r="AQ17" s="137" t="s">
        <v>846</v>
      </c>
      <c r="AR17" s="137" t="s">
        <v>846</v>
      </c>
      <c r="AS17" s="137" t="b">
        <v>0</v>
      </c>
      <c r="AT17" s="137" t="s">
        <v>846</v>
      </c>
      <c r="AU17" s="137" t="s">
        <v>846</v>
      </c>
      <c r="AV17" s="137" t="s">
        <v>846</v>
      </c>
      <c r="AW17" s="137" t="s">
        <v>846</v>
      </c>
      <c r="AX17" s="137" t="s">
        <v>846</v>
      </c>
      <c r="AY17" s="137" t="s">
        <v>846</v>
      </c>
      <c r="AZ17" s="137" t="s">
        <v>840</v>
      </c>
      <c r="BA17" s="138" t="s">
        <v>840</v>
      </c>
      <c r="BB17" s="136" t="s">
        <v>846</v>
      </c>
      <c r="BC17" s="137" t="s">
        <v>846</v>
      </c>
      <c r="BD17" s="137" t="s">
        <v>846</v>
      </c>
      <c r="BE17" s="137" t="s">
        <v>846</v>
      </c>
      <c r="BF17" s="137" t="s">
        <v>840</v>
      </c>
      <c r="BG17" s="137" t="b">
        <v>0</v>
      </c>
      <c r="BH17" s="137" t="b">
        <v>0</v>
      </c>
      <c r="BI17" s="137" t="b">
        <v>0</v>
      </c>
      <c r="BJ17" s="137" t="s">
        <v>846</v>
      </c>
      <c r="BK17" s="137" t="s">
        <v>840</v>
      </c>
      <c r="BL17" s="137" t="s">
        <v>840</v>
      </c>
      <c r="BM17" s="137" t="s">
        <v>840</v>
      </c>
      <c r="BN17" s="137" t="b">
        <v>0</v>
      </c>
      <c r="BO17" s="137" t="s">
        <v>840</v>
      </c>
      <c r="BP17" s="137" t="s">
        <v>840</v>
      </c>
      <c r="BQ17" s="138" t="s">
        <v>846</v>
      </c>
      <c r="BR17" s="136" t="s">
        <v>846</v>
      </c>
      <c r="BS17" s="137" t="s">
        <v>846</v>
      </c>
      <c r="BT17" s="137" t="b">
        <v>0</v>
      </c>
      <c r="BU17" s="137" t="s">
        <v>846</v>
      </c>
      <c r="BV17" s="137" t="s">
        <v>846</v>
      </c>
      <c r="BW17" s="137" t="s">
        <v>846</v>
      </c>
      <c r="BX17" s="137" t="s">
        <v>840</v>
      </c>
      <c r="BY17" s="137" t="s">
        <v>846</v>
      </c>
      <c r="BZ17" s="137" t="b">
        <v>0</v>
      </c>
      <c r="CA17" s="137" t="s">
        <v>846</v>
      </c>
      <c r="CB17" s="138" t="s">
        <v>840</v>
      </c>
      <c r="CC17" s="136" t="s">
        <v>840</v>
      </c>
      <c r="CD17" s="137" t="s">
        <v>846</v>
      </c>
      <c r="CE17" s="137" t="s">
        <v>846</v>
      </c>
      <c r="CF17" s="137" t="s">
        <v>846</v>
      </c>
      <c r="CG17" s="137" t="s">
        <v>846</v>
      </c>
      <c r="CH17" s="137" t="b">
        <v>0</v>
      </c>
      <c r="CI17" s="137" t="s">
        <v>846</v>
      </c>
      <c r="CJ17" s="137" t="s">
        <v>846</v>
      </c>
      <c r="CK17" s="137" t="s">
        <v>846</v>
      </c>
      <c r="CL17" s="137" t="s">
        <v>846</v>
      </c>
      <c r="CM17" s="137" t="s">
        <v>840</v>
      </c>
      <c r="CN17" s="137" t="s">
        <v>846</v>
      </c>
      <c r="CO17" s="137" t="s">
        <v>846</v>
      </c>
      <c r="CP17" s="138" t="s">
        <v>846</v>
      </c>
      <c r="CQ17" s="136" t="b">
        <v>0</v>
      </c>
      <c r="CR17" s="137" t="s">
        <v>846</v>
      </c>
      <c r="CS17" s="137" t="b">
        <v>0</v>
      </c>
      <c r="CT17" s="137" t="s">
        <v>840</v>
      </c>
      <c r="CU17" s="137" t="s">
        <v>846</v>
      </c>
      <c r="CV17" s="137" t="b">
        <v>0</v>
      </c>
      <c r="CW17" s="137" t="b">
        <v>0</v>
      </c>
      <c r="CX17" s="137" t="s">
        <v>846</v>
      </c>
      <c r="CY17" s="137" t="s">
        <v>846</v>
      </c>
      <c r="CZ17" s="138" t="s">
        <v>846</v>
      </c>
      <c r="DA17" s="96">
        <v>16</v>
      </c>
      <c r="DB17" s="103">
        <f>COUNTIF(DonnéesBC[[#This Row],[1]:[16]],"FAUX")</f>
        <v>4</v>
      </c>
      <c r="DC17" s="103">
        <f>COUNTIF(DonnéesBC[[#This Row],[1]:[16]],"Je ne sais pas")</f>
        <v>0</v>
      </c>
      <c r="DD17" s="103">
        <f>COUNTIF(DonnéesBC[[#This Row],[1]:[16]],"Juste")</f>
        <v>12</v>
      </c>
      <c r="DE17" s="96">
        <v>12</v>
      </c>
      <c r="DF17" s="103">
        <f>COUNTIF(DonnéesBC[[#This Row],[17]:[28]],"FAUX")</f>
        <v>3</v>
      </c>
      <c r="DG17" s="103">
        <f>COUNTIF(DonnéesBC[[#This Row],[17]:[28]],"Je ne sais pas")</f>
        <v>1</v>
      </c>
      <c r="DH17" s="103">
        <f>COUNTIF(DonnéesBC[[#This Row],[17]:[28]],"Juste")</f>
        <v>8</v>
      </c>
      <c r="DI17" s="96">
        <v>9</v>
      </c>
      <c r="DJ17" s="103">
        <f>COUNTIF(DonnéesBC[[#This Row],[29]:[37]],"FAUX")</f>
        <v>0</v>
      </c>
      <c r="DK17" s="103">
        <f>COUNTIF(DonnéesBC[[#This Row],[29]:[37]],"Je ne sais pas")</f>
        <v>0</v>
      </c>
      <c r="DL17" s="103">
        <f>COUNTIF(DonnéesBC[[#This Row],[29]:[37]],"Juste")</f>
        <v>9</v>
      </c>
      <c r="DM17" s="96">
        <v>13</v>
      </c>
      <c r="DN17" s="103">
        <f>COUNTIF(DonnéesBC[[#This Row],[38]:[50]],"FAUX")</f>
        <v>2</v>
      </c>
      <c r="DO17" s="103">
        <f>COUNTIF(DonnéesBC[[#This Row],[38]:[50]],"Je ne sais pas")</f>
        <v>2</v>
      </c>
      <c r="DP17" s="103">
        <f>COUNTIF(DonnéesBC[[#This Row],[38]:[50]],"Juste")</f>
        <v>9</v>
      </c>
      <c r="DQ17" s="96">
        <v>16</v>
      </c>
      <c r="DR17" s="103">
        <f>COUNTIF(DonnéesBC[[#This Row],[51]:[66]],"FAUX")</f>
        <v>4</v>
      </c>
      <c r="DS17" s="103">
        <f>COUNTIF(DonnéesBC[[#This Row],[51]:[66]],"Je ne sais pas")</f>
        <v>6</v>
      </c>
      <c r="DT17" s="103">
        <f>COUNTIF(DonnéesBC[[#This Row],[51]:[66]],"Juste")</f>
        <v>6</v>
      </c>
      <c r="DU17" s="96">
        <v>11</v>
      </c>
      <c r="DV17" s="103">
        <f>COUNTIF(DonnéesBC[[#This Row],[67]:[77]],"FAUX")</f>
        <v>2</v>
      </c>
      <c r="DW17" s="103">
        <f>COUNTIF(DonnéesBC[[#This Row],[67]:[77]],"Je ne sais pas")</f>
        <v>2</v>
      </c>
      <c r="DX17" s="103">
        <f>COUNTIF(DonnéesBC[[#This Row],[67]:[77]],"Juste")</f>
        <v>7</v>
      </c>
      <c r="DY17" s="96">
        <v>14</v>
      </c>
      <c r="DZ17" s="103">
        <f>COUNTIF(DonnéesBC[[#This Row],[78]:[91]],"FAUX")</f>
        <v>1</v>
      </c>
      <c r="EA17" s="103">
        <f>COUNTIF(DonnéesBC[[#This Row],[78]:[91]],"Je ne sais pas")</f>
        <v>2</v>
      </c>
      <c r="EB17" s="103">
        <f>COUNTIF(DonnéesBC[[#This Row],[78]:[91]],"Juste")</f>
        <v>11</v>
      </c>
      <c r="EC17" s="96">
        <v>10</v>
      </c>
      <c r="ED17" s="103">
        <f>COUNTIF(DonnéesBC[[#This Row],[92]:[101]],"FAUX")</f>
        <v>4</v>
      </c>
      <c r="EE17" s="103">
        <f>COUNTIF(DonnéesBC[[#This Row],[92]:[101]],"Je ne sais pas")</f>
        <v>1</v>
      </c>
      <c r="EF17" s="103">
        <f>COUNTIF(DonnéesBC[[#This Row],[92]:[101]],"Juste")</f>
        <v>5</v>
      </c>
      <c r="EG17" s="96">
        <f>SUM(DonnéesBC[[#This Row],[A]]+DonnéesBC[[#This Row],[B]]+DonnéesBC[[#This Row],[C]]+DonnéesBC[[#This Row],[D]]+DonnéesBC[[#This Row],[E]]+DonnéesBC[[#This Row],[F]]+DonnéesBC[[#This Row],[G]]+DonnéesBC[[#This Row],[H]])</f>
        <v>101</v>
      </c>
      <c r="EH17" s="97">
        <f>SUM(DonnéesBC[[#This Row],[A2]]+DonnéesBC[[#This Row],[B2]]+DonnéesBC[[#This Row],[C2]]+DonnéesBC[[#This Row],[D2]]+DonnéesBC[[#This Row],[E2]]+DonnéesBC[[#This Row],[F2]]+DonnéesBC[[#This Row],[G2]]+DonnéesBC[[#This Row],[H2]])</f>
        <v>20</v>
      </c>
      <c r="EI17" s="98">
        <f>SUM(DonnéesBC[[#This Row],[A3]]+DonnéesBC[[#This Row],[B3]]+DonnéesBC[[#This Row],[C3]]+DonnéesBC[[#This Row],[D3]]+DonnéesBC[[#This Row],[E3]]+DonnéesBC[[#This Row],[F3]]+DonnéesBC[[#This Row],[G3]]+DonnéesBC[[#This Row],[H3]])</f>
        <v>14</v>
      </c>
      <c r="EJ17" s="103">
        <f>SUM(DonnéesBC[[#This Row],[A4]]+DonnéesBC[[#This Row],[B4]]+DonnéesBC[[#This Row],[C4]]+DonnéesBC[[#This Row],[D4]]+DonnéesBC[[#This Row],[E4]]+DonnéesBC[[#This Row],[F4]]+DonnéesBC[[#This Row],[G4]]+DonnéesBC[[#This Row],[H4]])</f>
        <v>67</v>
      </c>
      <c r="EK17" s="95" t="s">
        <v>682</v>
      </c>
      <c r="EL17">
        <v>42</v>
      </c>
    </row>
    <row r="18" spans="1:142" ht="14" customHeight="1">
      <c r="A18" s="101" t="str">
        <f>DonnéesBC[[#This Row],[Prénom]]&amp;" "&amp;DonnéesBC[[#This Row],[Nom]]</f>
        <v>David Freire</v>
      </c>
      <c r="B18" s="97" t="s">
        <v>107</v>
      </c>
      <c r="C18" s="97" t="s">
        <v>106</v>
      </c>
      <c r="D18" s="132" t="b">
        <v>0</v>
      </c>
      <c r="E18" s="133" t="s">
        <v>846</v>
      </c>
      <c r="F18" s="133" t="s">
        <v>846</v>
      </c>
      <c r="G18" s="133" t="s">
        <v>846</v>
      </c>
      <c r="H18" s="133" t="s">
        <v>846</v>
      </c>
      <c r="I18" s="133" t="s">
        <v>846</v>
      </c>
      <c r="J18" s="133" t="s">
        <v>846</v>
      </c>
      <c r="K18" s="133" t="s">
        <v>846</v>
      </c>
      <c r="L18" s="133" t="s">
        <v>846</v>
      </c>
      <c r="M18" s="133" t="s">
        <v>846</v>
      </c>
      <c r="N18" s="133" t="s">
        <v>846</v>
      </c>
      <c r="O18" s="133" t="s">
        <v>846</v>
      </c>
      <c r="P18" s="133" t="s">
        <v>846</v>
      </c>
      <c r="Q18" s="133" t="b">
        <v>0</v>
      </c>
      <c r="R18" s="133" t="s">
        <v>846</v>
      </c>
      <c r="S18" s="135" t="s">
        <v>846</v>
      </c>
      <c r="T18" s="132" t="s">
        <v>846</v>
      </c>
      <c r="U18" s="133" t="s">
        <v>846</v>
      </c>
      <c r="V18" s="133" t="s">
        <v>846</v>
      </c>
      <c r="W18" s="133" t="s">
        <v>846</v>
      </c>
      <c r="X18" s="133" t="s">
        <v>846</v>
      </c>
      <c r="Y18" s="133" t="s">
        <v>846</v>
      </c>
      <c r="Z18" s="133" t="b">
        <v>0</v>
      </c>
      <c r="AA18" s="133" t="s">
        <v>846</v>
      </c>
      <c r="AB18" s="133" t="s">
        <v>846</v>
      </c>
      <c r="AC18" s="133" t="s">
        <v>846</v>
      </c>
      <c r="AD18" s="133" t="s">
        <v>846</v>
      </c>
      <c r="AE18" s="135" t="b">
        <v>0</v>
      </c>
      <c r="AF18" s="132" t="s">
        <v>846</v>
      </c>
      <c r="AG18" s="133" t="s">
        <v>846</v>
      </c>
      <c r="AH18" s="133" t="s">
        <v>846</v>
      </c>
      <c r="AI18" s="133" t="s">
        <v>846</v>
      </c>
      <c r="AJ18" s="133" t="s">
        <v>846</v>
      </c>
      <c r="AK18" s="133" t="s">
        <v>846</v>
      </c>
      <c r="AL18" s="133" t="s">
        <v>846</v>
      </c>
      <c r="AM18" s="133" t="b">
        <v>0</v>
      </c>
      <c r="AN18" s="135" t="s">
        <v>846</v>
      </c>
      <c r="AO18" s="132" t="s">
        <v>840</v>
      </c>
      <c r="AP18" s="133" t="s">
        <v>846</v>
      </c>
      <c r="AQ18" s="133" t="s">
        <v>846</v>
      </c>
      <c r="AR18" s="133" t="b">
        <v>0</v>
      </c>
      <c r="AS18" s="133" t="b">
        <v>0</v>
      </c>
      <c r="AT18" s="133" t="s">
        <v>846</v>
      </c>
      <c r="AU18" s="133" t="s">
        <v>846</v>
      </c>
      <c r="AV18" s="133" t="s">
        <v>846</v>
      </c>
      <c r="AW18" s="133" t="s">
        <v>846</v>
      </c>
      <c r="AX18" s="133" t="s">
        <v>846</v>
      </c>
      <c r="AY18" s="133" t="b">
        <v>0</v>
      </c>
      <c r="AZ18" s="133" t="s">
        <v>840</v>
      </c>
      <c r="BA18" s="135" t="s">
        <v>840</v>
      </c>
      <c r="BB18" s="132" t="s">
        <v>846</v>
      </c>
      <c r="BC18" s="133" t="s">
        <v>846</v>
      </c>
      <c r="BD18" s="133" t="s">
        <v>846</v>
      </c>
      <c r="BE18" s="133" t="s">
        <v>846</v>
      </c>
      <c r="BF18" s="133" t="b">
        <v>0</v>
      </c>
      <c r="BG18" s="133" t="b">
        <v>0</v>
      </c>
      <c r="BH18" s="133" t="s">
        <v>846</v>
      </c>
      <c r="BI18" s="133" t="s">
        <v>846</v>
      </c>
      <c r="BJ18" s="133" t="s">
        <v>846</v>
      </c>
      <c r="BK18" s="133" t="s">
        <v>846</v>
      </c>
      <c r="BL18" s="133" t="s">
        <v>846</v>
      </c>
      <c r="BM18" s="133" t="s">
        <v>846</v>
      </c>
      <c r="BN18" s="133" t="b">
        <v>0</v>
      </c>
      <c r="BO18" s="133" t="s">
        <v>840</v>
      </c>
      <c r="BP18" s="133" t="s">
        <v>840</v>
      </c>
      <c r="BQ18" s="135" t="s">
        <v>840</v>
      </c>
      <c r="BR18" s="132" t="s">
        <v>846</v>
      </c>
      <c r="BS18" s="133" t="s">
        <v>846</v>
      </c>
      <c r="BT18" s="133" t="s">
        <v>846</v>
      </c>
      <c r="BU18" s="133" t="s">
        <v>846</v>
      </c>
      <c r="BV18" s="133" t="s">
        <v>846</v>
      </c>
      <c r="BW18" s="133" t="s">
        <v>846</v>
      </c>
      <c r="BX18" s="133" t="s">
        <v>846</v>
      </c>
      <c r="BY18" s="133" t="s">
        <v>846</v>
      </c>
      <c r="BZ18" s="133" t="s">
        <v>846</v>
      </c>
      <c r="CA18" s="133" t="s">
        <v>846</v>
      </c>
      <c r="CB18" s="135" t="b">
        <v>0</v>
      </c>
      <c r="CC18" s="132" t="b">
        <v>0</v>
      </c>
      <c r="CD18" s="133" t="s">
        <v>846</v>
      </c>
      <c r="CE18" s="133" t="s">
        <v>846</v>
      </c>
      <c r="CF18" s="133" t="s">
        <v>846</v>
      </c>
      <c r="CG18" s="133" t="s">
        <v>846</v>
      </c>
      <c r="CH18" s="133" t="s">
        <v>846</v>
      </c>
      <c r="CI18" s="133" t="s">
        <v>846</v>
      </c>
      <c r="CJ18" s="133" t="s">
        <v>846</v>
      </c>
      <c r="CK18" s="133" t="b">
        <v>0</v>
      </c>
      <c r="CL18" s="133" t="b">
        <v>0</v>
      </c>
      <c r="CM18" s="133" t="s">
        <v>846</v>
      </c>
      <c r="CN18" s="133" t="s">
        <v>846</v>
      </c>
      <c r="CO18" s="133" t="s">
        <v>846</v>
      </c>
      <c r="CP18" s="135" t="s">
        <v>840</v>
      </c>
      <c r="CQ18" s="132" t="b">
        <v>0</v>
      </c>
      <c r="CR18" s="133" t="s">
        <v>846</v>
      </c>
      <c r="CS18" s="133" t="s">
        <v>840</v>
      </c>
      <c r="CT18" s="133" t="s">
        <v>840</v>
      </c>
      <c r="CU18" s="133" t="s">
        <v>846</v>
      </c>
      <c r="CV18" s="133" t="s">
        <v>846</v>
      </c>
      <c r="CW18" s="133" t="s">
        <v>846</v>
      </c>
      <c r="CX18" s="133" t="s">
        <v>846</v>
      </c>
      <c r="CY18" s="133" t="b">
        <v>0</v>
      </c>
      <c r="CZ18" s="135" t="s">
        <v>840</v>
      </c>
      <c r="DA18" s="96">
        <v>16</v>
      </c>
      <c r="DB18" s="103">
        <f>COUNTIF(DonnéesBC[[#This Row],[1]:[16]],"FAUX")</f>
        <v>2</v>
      </c>
      <c r="DC18" s="103">
        <f>COUNTIF(DonnéesBC[[#This Row],[1]:[16]],"Je ne sais pas")</f>
        <v>0</v>
      </c>
      <c r="DD18" s="103">
        <f>COUNTIF(DonnéesBC[[#This Row],[1]:[16]],"Juste")</f>
        <v>14</v>
      </c>
      <c r="DE18" s="96">
        <v>12</v>
      </c>
      <c r="DF18" s="103">
        <f>COUNTIF(DonnéesBC[[#This Row],[17]:[28]],"FAUX")</f>
        <v>2</v>
      </c>
      <c r="DG18" s="103">
        <f>COUNTIF(DonnéesBC[[#This Row],[17]:[28]],"Je ne sais pas")</f>
        <v>0</v>
      </c>
      <c r="DH18" s="103">
        <f>COUNTIF(DonnéesBC[[#This Row],[17]:[28]],"Juste")</f>
        <v>10</v>
      </c>
      <c r="DI18" s="96">
        <v>9</v>
      </c>
      <c r="DJ18" s="103">
        <f>COUNTIF(DonnéesBC[[#This Row],[29]:[37]],"FAUX")</f>
        <v>1</v>
      </c>
      <c r="DK18" s="103">
        <f>COUNTIF(DonnéesBC[[#This Row],[29]:[37]],"Je ne sais pas")</f>
        <v>0</v>
      </c>
      <c r="DL18" s="103">
        <f>COUNTIF(DonnéesBC[[#This Row],[29]:[37]],"Juste")</f>
        <v>8</v>
      </c>
      <c r="DM18" s="96">
        <v>13</v>
      </c>
      <c r="DN18" s="103">
        <f>COUNTIF(DonnéesBC[[#This Row],[38]:[50]],"FAUX")</f>
        <v>3</v>
      </c>
      <c r="DO18" s="103">
        <f>COUNTIF(DonnéesBC[[#This Row],[38]:[50]],"Je ne sais pas")</f>
        <v>3</v>
      </c>
      <c r="DP18" s="103">
        <f>COUNTIF(DonnéesBC[[#This Row],[38]:[50]],"Juste")</f>
        <v>7</v>
      </c>
      <c r="DQ18" s="96">
        <v>16</v>
      </c>
      <c r="DR18" s="103">
        <f>COUNTIF(DonnéesBC[[#This Row],[51]:[66]],"FAUX")</f>
        <v>3</v>
      </c>
      <c r="DS18" s="103">
        <f>COUNTIF(DonnéesBC[[#This Row],[51]:[66]],"Je ne sais pas")</f>
        <v>3</v>
      </c>
      <c r="DT18" s="103">
        <f>COUNTIF(DonnéesBC[[#This Row],[51]:[66]],"Juste")</f>
        <v>10</v>
      </c>
      <c r="DU18" s="96">
        <v>11</v>
      </c>
      <c r="DV18" s="103">
        <f>COUNTIF(DonnéesBC[[#This Row],[67]:[77]],"FAUX")</f>
        <v>1</v>
      </c>
      <c r="DW18" s="103">
        <f>COUNTIF(DonnéesBC[[#This Row],[67]:[77]],"Je ne sais pas")</f>
        <v>0</v>
      </c>
      <c r="DX18" s="103">
        <f>COUNTIF(DonnéesBC[[#This Row],[67]:[77]],"Juste")</f>
        <v>10</v>
      </c>
      <c r="DY18" s="96">
        <v>14</v>
      </c>
      <c r="DZ18" s="103">
        <f>COUNTIF(DonnéesBC[[#This Row],[78]:[91]],"FAUX")</f>
        <v>3</v>
      </c>
      <c r="EA18" s="103">
        <f>COUNTIF(DonnéesBC[[#This Row],[78]:[91]],"Je ne sais pas")</f>
        <v>1</v>
      </c>
      <c r="EB18" s="103">
        <f>COUNTIF(DonnéesBC[[#This Row],[78]:[91]],"Juste")</f>
        <v>10</v>
      </c>
      <c r="EC18" s="96">
        <v>10</v>
      </c>
      <c r="ED18" s="103">
        <f>COUNTIF(DonnéesBC[[#This Row],[92]:[101]],"FAUX")</f>
        <v>2</v>
      </c>
      <c r="EE18" s="103">
        <f>COUNTIF(DonnéesBC[[#This Row],[92]:[101]],"Je ne sais pas")</f>
        <v>3</v>
      </c>
      <c r="EF18" s="103">
        <f>COUNTIF(DonnéesBC[[#This Row],[92]:[101]],"Juste")</f>
        <v>5</v>
      </c>
      <c r="EG18" s="96">
        <f>SUM(DonnéesBC[[#This Row],[A]]+DonnéesBC[[#This Row],[B]]+DonnéesBC[[#This Row],[C]]+DonnéesBC[[#This Row],[D]]+DonnéesBC[[#This Row],[E]]+DonnéesBC[[#This Row],[F]]+DonnéesBC[[#This Row],[G]]+DonnéesBC[[#This Row],[H]])</f>
        <v>101</v>
      </c>
      <c r="EH18" s="97">
        <f>SUM(DonnéesBC[[#This Row],[A2]]+DonnéesBC[[#This Row],[B2]]+DonnéesBC[[#This Row],[C2]]+DonnéesBC[[#This Row],[D2]]+DonnéesBC[[#This Row],[E2]]+DonnéesBC[[#This Row],[F2]]+DonnéesBC[[#This Row],[G2]]+DonnéesBC[[#This Row],[H2]])</f>
        <v>17</v>
      </c>
      <c r="EI18" s="98">
        <f>SUM(DonnéesBC[[#This Row],[A3]]+DonnéesBC[[#This Row],[B3]]+DonnéesBC[[#This Row],[C3]]+DonnéesBC[[#This Row],[D3]]+DonnéesBC[[#This Row],[E3]]+DonnéesBC[[#This Row],[F3]]+DonnéesBC[[#This Row],[G3]]+DonnéesBC[[#This Row],[H3]])</f>
        <v>10</v>
      </c>
      <c r="EJ18" s="103">
        <f>SUM(DonnéesBC[[#This Row],[A4]]+DonnéesBC[[#This Row],[B4]]+DonnéesBC[[#This Row],[C4]]+DonnéesBC[[#This Row],[D4]]+DonnéesBC[[#This Row],[E4]]+DonnéesBC[[#This Row],[F4]]+DonnéesBC[[#This Row],[G4]]+DonnéesBC[[#This Row],[H4]])</f>
        <v>74</v>
      </c>
      <c r="EK18" s="95" t="s">
        <v>676</v>
      </c>
      <c r="EL18">
        <v>42</v>
      </c>
    </row>
    <row r="19" spans="1:142" ht="14" customHeight="1">
      <c r="A19" s="101" t="str">
        <f>DonnéesBC[[#This Row],[Prénom]]&amp;" "&amp;DonnéesBC[[#This Row],[Nom]]</f>
        <v>David Minguet</v>
      </c>
      <c r="B19" s="97" t="s">
        <v>108</v>
      </c>
      <c r="C19" s="97" t="s">
        <v>106</v>
      </c>
      <c r="D19" s="136" t="s">
        <v>846</v>
      </c>
      <c r="E19" s="137" t="b">
        <v>0</v>
      </c>
      <c r="F19" s="137" t="s">
        <v>846</v>
      </c>
      <c r="G19" s="137" t="s">
        <v>846</v>
      </c>
      <c r="H19" s="137" t="s">
        <v>846</v>
      </c>
      <c r="I19" s="137" t="b">
        <v>0</v>
      </c>
      <c r="J19" s="137" t="s">
        <v>846</v>
      </c>
      <c r="K19" s="137" t="s">
        <v>846</v>
      </c>
      <c r="L19" s="137" t="b">
        <v>0</v>
      </c>
      <c r="M19" s="137" t="b">
        <v>0</v>
      </c>
      <c r="N19" s="137" t="s">
        <v>846</v>
      </c>
      <c r="O19" s="137" t="s">
        <v>846</v>
      </c>
      <c r="P19" s="137" t="s">
        <v>846</v>
      </c>
      <c r="Q19" s="137" t="b">
        <v>0</v>
      </c>
      <c r="R19" s="137" t="s">
        <v>846</v>
      </c>
      <c r="S19" s="138" t="b">
        <v>0</v>
      </c>
      <c r="T19" s="136" t="s">
        <v>846</v>
      </c>
      <c r="U19" s="137" t="s">
        <v>846</v>
      </c>
      <c r="V19" s="137" t="s">
        <v>846</v>
      </c>
      <c r="W19" s="137" t="s">
        <v>846</v>
      </c>
      <c r="X19" s="137" t="s">
        <v>846</v>
      </c>
      <c r="Y19" s="137" t="s">
        <v>846</v>
      </c>
      <c r="Z19" s="137" t="b">
        <v>0</v>
      </c>
      <c r="AA19" s="137" t="b">
        <v>0</v>
      </c>
      <c r="AB19" s="137" t="b">
        <v>0</v>
      </c>
      <c r="AC19" s="137" t="b">
        <v>0</v>
      </c>
      <c r="AD19" s="137" t="s">
        <v>846</v>
      </c>
      <c r="AE19" s="138" t="s">
        <v>846</v>
      </c>
      <c r="AF19" s="136" t="s">
        <v>846</v>
      </c>
      <c r="AG19" s="137" t="b">
        <v>0</v>
      </c>
      <c r="AH19" s="137" t="b">
        <v>0</v>
      </c>
      <c r="AI19" s="137" t="s">
        <v>846</v>
      </c>
      <c r="AJ19" s="137" t="s">
        <v>846</v>
      </c>
      <c r="AK19" s="137" t="b">
        <v>0</v>
      </c>
      <c r="AL19" s="137" t="s">
        <v>846</v>
      </c>
      <c r="AM19" s="137" t="s">
        <v>846</v>
      </c>
      <c r="AN19" s="138" t="s">
        <v>846</v>
      </c>
      <c r="AO19" s="136" t="s">
        <v>846</v>
      </c>
      <c r="AP19" s="137" t="s">
        <v>846</v>
      </c>
      <c r="AQ19" s="137" t="s">
        <v>846</v>
      </c>
      <c r="AR19" s="137" t="s">
        <v>846</v>
      </c>
      <c r="AS19" s="137" t="b">
        <v>0</v>
      </c>
      <c r="AT19" s="137" t="s">
        <v>846</v>
      </c>
      <c r="AU19" s="137" t="b">
        <v>0</v>
      </c>
      <c r="AV19" s="137" t="s">
        <v>846</v>
      </c>
      <c r="AW19" s="137" t="s">
        <v>846</v>
      </c>
      <c r="AX19" s="137" t="s">
        <v>846</v>
      </c>
      <c r="AY19" s="137" t="s">
        <v>846</v>
      </c>
      <c r="AZ19" s="137" t="s">
        <v>846</v>
      </c>
      <c r="BA19" s="138" t="b">
        <v>0</v>
      </c>
      <c r="BB19" s="136" t="s">
        <v>846</v>
      </c>
      <c r="BC19" s="137" t="s">
        <v>846</v>
      </c>
      <c r="BD19" s="137" t="s">
        <v>846</v>
      </c>
      <c r="BE19" s="137" t="s">
        <v>846</v>
      </c>
      <c r="BF19" s="137" t="s">
        <v>846</v>
      </c>
      <c r="BG19" s="137" t="s">
        <v>846</v>
      </c>
      <c r="BH19" s="137" t="s">
        <v>846</v>
      </c>
      <c r="BI19" s="137" t="s">
        <v>846</v>
      </c>
      <c r="BJ19" s="137" t="b">
        <v>0</v>
      </c>
      <c r="BK19" s="137" t="b">
        <v>0</v>
      </c>
      <c r="BL19" s="137" t="s">
        <v>846</v>
      </c>
      <c r="BM19" s="137" t="s">
        <v>846</v>
      </c>
      <c r="BN19" s="137" t="b">
        <v>0</v>
      </c>
      <c r="BO19" s="137" t="b">
        <v>0</v>
      </c>
      <c r="BP19" s="137" t="b">
        <v>0</v>
      </c>
      <c r="BQ19" s="138" t="s">
        <v>846</v>
      </c>
      <c r="BR19" s="136" t="s">
        <v>846</v>
      </c>
      <c r="BS19" s="137" t="s">
        <v>846</v>
      </c>
      <c r="BT19" s="137" t="s">
        <v>846</v>
      </c>
      <c r="BU19" s="137" t="s">
        <v>846</v>
      </c>
      <c r="BV19" s="137" t="s">
        <v>846</v>
      </c>
      <c r="BW19" s="137" t="b">
        <v>0</v>
      </c>
      <c r="BX19" s="137" t="b">
        <v>0</v>
      </c>
      <c r="BY19" s="137" t="s">
        <v>846</v>
      </c>
      <c r="BZ19" s="137" t="s">
        <v>846</v>
      </c>
      <c r="CA19" s="137" t="s">
        <v>846</v>
      </c>
      <c r="CB19" s="138" t="s">
        <v>840</v>
      </c>
      <c r="CC19" s="136" t="b">
        <v>0</v>
      </c>
      <c r="CD19" s="137" t="s">
        <v>846</v>
      </c>
      <c r="CE19" s="137" t="b">
        <v>0</v>
      </c>
      <c r="CF19" s="137" t="s">
        <v>846</v>
      </c>
      <c r="CG19" s="137" t="s">
        <v>846</v>
      </c>
      <c r="CH19" s="137" t="s">
        <v>846</v>
      </c>
      <c r="CI19" s="137" t="s">
        <v>846</v>
      </c>
      <c r="CJ19" s="137" t="s">
        <v>846</v>
      </c>
      <c r="CK19" s="137" t="s">
        <v>846</v>
      </c>
      <c r="CL19" s="137" t="s">
        <v>846</v>
      </c>
      <c r="CM19" s="137" t="b">
        <v>0</v>
      </c>
      <c r="CN19" s="137" t="s">
        <v>846</v>
      </c>
      <c r="CO19" s="137" t="s">
        <v>846</v>
      </c>
      <c r="CP19" s="138" t="b">
        <v>0</v>
      </c>
      <c r="CQ19" s="136" t="s">
        <v>846</v>
      </c>
      <c r="CR19" s="137" t="s">
        <v>846</v>
      </c>
      <c r="CS19" s="137" t="b">
        <v>0</v>
      </c>
      <c r="CT19" s="137" t="s">
        <v>846</v>
      </c>
      <c r="CU19" s="137" t="b">
        <v>0</v>
      </c>
      <c r="CV19" s="137" t="s">
        <v>846</v>
      </c>
      <c r="CW19" s="137" t="s">
        <v>846</v>
      </c>
      <c r="CX19" s="137" t="s">
        <v>846</v>
      </c>
      <c r="CY19" s="137" t="s">
        <v>846</v>
      </c>
      <c r="CZ19" s="138" t="b">
        <v>0</v>
      </c>
      <c r="DA19" s="96">
        <v>16</v>
      </c>
      <c r="DB19" s="103">
        <f>COUNTIF(DonnéesBC[[#This Row],[1]:[16]],"FAUX")</f>
        <v>6</v>
      </c>
      <c r="DC19" s="103">
        <f>COUNTIF(DonnéesBC[[#This Row],[1]:[16]],"Je ne sais pas")</f>
        <v>0</v>
      </c>
      <c r="DD19" s="103">
        <f>COUNTIF(DonnéesBC[[#This Row],[1]:[16]],"Juste")</f>
        <v>10</v>
      </c>
      <c r="DE19" s="96">
        <v>12</v>
      </c>
      <c r="DF19" s="103">
        <f>COUNTIF(DonnéesBC[[#This Row],[17]:[28]],"FAUX")</f>
        <v>4</v>
      </c>
      <c r="DG19" s="103">
        <f>COUNTIF(DonnéesBC[[#This Row],[17]:[28]],"Je ne sais pas")</f>
        <v>0</v>
      </c>
      <c r="DH19" s="103">
        <f>COUNTIF(DonnéesBC[[#This Row],[17]:[28]],"Juste")</f>
        <v>8</v>
      </c>
      <c r="DI19" s="96">
        <v>9</v>
      </c>
      <c r="DJ19" s="103">
        <f>COUNTIF(DonnéesBC[[#This Row],[29]:[37]],"FAUX")</f>
        <v>3</v>
      </c>
      <c r="DK19" s="103">
        <f>COUNTIF(DonnéesBC[[#This Row],[29]:[37]],"Je ne sais pas")</f>
        <v>0</v>
      </c>
      <c r="DL19" s="103">
        <f>COUNTIF(DonnéesBC[[#This Row],[29]:[37]],"Juste")</f>
        <v>6</v>
      </c>
      <c r="DM19" s="96">
        <v>13</v>
      </c>
      <c r="DN19" s="103">
        <f>COUNTIF(DonnéesBC[[#This Row],[38]:[50]],"FAUX")</f>
        <v>3</v>
      </c>
      <c r="DO19" s="103">
        <f>COUNTIF(DonnéesBC[[#This Row],[38]:[50]],"Je ne sais pas")</f>
        <v>0</v>
      </c>
      <c r="DP19" s="103">
        <f>COUNTIF(DonnéesBC[[#This Row],[38]:[50]],"Juste")</f>
        <v>10</v>
      </c>
      <c r="DQ19" s="96">
        <v>16</v>
      </c>
      <c r="DR19" s="103">
        <f>COUNTIF(DonnéesBC[[#This Row],[51]:[66]],"FAUX")</f>
        <v>5</v>
      </c>
      <c r="DS19" s="103">
        <f>COUNTIF(DonnéesBC[[#This Row],[51]:[66]],"Je ne sais pas")</f>
        <v>0</v>
      </c>
      <c r="DT19" s="103">
        <f>COUNTIF(DonnéesBC[[#This Row],[51]:[66]],"Juste")</f>
        <v>11</v>
      </c>
      <c r="DU19" s="96">
        <v>11</v>
      </c>
      <c r="DV19" s="103">
        <f>COUNTIF(DonnéesBC[[#This Row],[67]:[77]],"FAUX")</f>
        <v>2</v>
      </c>
      <c r="DW19" s="103">
        <f>COUNTIF(DonnéesBC[[#This Row],[67]:[77]],"Je ne sais pas")</f>
        <v>1</v>
      </c>
      <c r="DX19" s="103">
        <f>COUNTIF(DonnéesBC[[#This Row],[67]:[77]],"Juste")</f>
        <v>8</v>
      </c>
      <c r="DY19" s="96">
        <v>14</v>
      </c>
      <c r="DZ19" s="103">
        <f>COUNTIF(DonnéesBC[[#This Row],[78]:[91]],"FAUX")</f>
        <v>4</v>
      </c>
      <c r="EA19" s="103">
        <f>COUNTIF(DonnéesBC[[#This Row],[78]:[91]],"Je ne sais pas")</f>
        <v>0</v>
      </c>
      <c r="EB19" s="103">
        <f>COUNTIF(DonnéesBC[[#This Row],[78]:[91]],"Juste")</f>
        <v>10</v>
      </c>
      <c r="EC19" s="96">
        <v>10</v>
      </c>
      <c r="ED19" s="103">
        <f>COUNTIF(DonnéesBC[[#This Row],[92]:[101]],"FAUX")</f>
        <v>3</v>
      </c>
      <c r="EE19" s="103">
        <f>COUNTIF(DonnéesBC[[#This Row],[92]:[101]],"Je ne sais pas")</f>
        <v>0</v>
      </c>
      <c r="EF19" s="103">
        <f>COUNTIF(DonnéesBC[[#This Row],[92]:[101]],"Juste")</f>
        <v>7</v>
      </c>
      <c r="EG19" s="96">
        <f>SUM(DonnéesBC[[#This Row],[A]]+DonnéesBC[[#This Row],[B]]+DonnéesBC[[#This Row],[C]]+DonnéesBC[[#This Row],[D]]+DonnéesBC[[#This Row],[E]]+DonnéesBC[[#This Row],[F]]+DonnéesBC[[#This Row],[G]]+DonnéesBC[[#This Row],[H]])</f>
        <v>101</v>
      </c>
      <c r="EH19" s="97">
        <f>SUM(DonnéesBC[[#This Row],[A2]]+DonnéesBC[[#This Row],[B2]]+DonnéesBC[[#This Row],[C2]]+DonnéesBC[[#This Row],[D2]]+DonnéesBC[[#This Row],[E2]]+DonnéesBC[[#This Row],[F2]]+DonnéesBC[[#This Row],[G2]]+DonnéesBC[[#This Row],[H2]])</f>
        <v>30</v>
      </c>
      <c r="EI19" s="98">
        <f>SUM(DonnéesBC[[#This Row],[A3]]+DonnéesBC[[#This Row],[B3]]+DonnéesBC[[#This Row],[C3]]+DonnéesBC[[#This Row],[D3]]+DonnéesBC[[#This Row],[E3]]+DonnéesBC[[#This Row],[F3]]+DonnéesBC[[#This Row],[G3]]+DonnéesBC[[#This Row],[H3]])</f>
        <v>1</v>
      </c>
      <c r="EJ19" s="103">
        <f>SUM(DonnéesBC[[#This Row],[A4]]+DonnéesBC[[#This Row],[B4]]+DonnéesBC[[#This Row],[C4]]+DonnéesBC[[#This Row],[D4]]+DonnéesBC[[#This Row],[E4]]+DonnéesBC[[#This Row],[F4]]+DonnéesBC[[#This Row],[G4]]+DonnéesBC[[#This Row],[H4]])</f>
        <v>70</v>
      </c>
      <c r="EK19" s="95"/>
      <c r="EL19">
        <v>42</v>
      </c>
    </row>
    <row r="20" spans="1:142" ht="14" customHeight="1">
      <c r="A20" s="101" t="str">
        <f>DonnéesBC[[#This Row],[Prénom]]&amp;" "&amp;DonnéesBC[[#This Row],[Nom]]</f>
        <v>Elvira Kossi-Odi</v>
      </c>
      <c r="B20" s="97" t="s">
        <v>109</v>
      </c>
      <c r="C20" s="97" t="s">
        <v>110</v>
      </c>
      <c r="D20" s="132" t="b">
        <v>0</v>
      </c>
      <c r="E20" s="133" t="s">
        <v>846</v>
      </c>
      <c r="F20" s="133" t="s">
        <v>846</v>
      </c>
      <c r="G20" s="133" t="b">
        <v>0</v>
      </c>
      <c r="H20" s="133" t="s">
        <v>846</v>
      </c>
      <c r="I20" s="133" t="s">
        <v>846</v>
      </c>
      <c r="J20" s="133" t="s">
        <v>846</v>
      </c>
      <c r="K20" s="133" t="b">
        <v>0</v>
      </c>
      <c r="L20" s="133" t="b">
        <v>0</v>
      </c>
      <c r="M20" s="133" t="b">
        <v>0</v>
      </c>
      <c r="N20" s="133" t="s">
        <v>846</v>
      </c>
      <c r="O20" s="133" t="b">
        <v>0</v>
      </c>
      <c r="P20" s="133" t="s">
        <v>846</v>
      </c>
      <c r="Q20" s="133" t="b">
        <v>0</v>
      </c>
      <c r="R20" s="133" t="s">
        <v>846</v>
      </c>
      <c r="S20" s="135" t="b">
        <v>0</v>
      </c>
      <c r="T20" s="132" t="s">
        <v>846</v>
      </c>
      <c r="U20" s="133" t="s">
        <v>846</v>
      </c>
      <c r="V20" s="133" t="s">
        <v>846</v>
      </c>
      <c r="W20" s="133" t="b">
        <v>0</v>
      </c>
      <c r="X20" s="133" t="s">
        <v>846</v>
      </c>
      <c r="Y20" s="133" t="s">
        <v>846</v>
      </c>
      <c r="Z20" s="133" t="s">
        <v>846</v>
      </c>
      <c r="AA20" s="133" t="b">
        <v>0</v>
      </c>
      <c r="AB20" s="133" t="b">
        <v>0</v>
      </c>
      <c r="AC20" s="133" t="b">
        <v>0</v>
      </c>
      <c r="AD20" s="133" t="s">
        <v>846</v>
      </c>
      <c r="AE20" s="135" t="b">
        <v>0</v>
      </c>
      <c r="AF20" s="132" t="s">
        <v>846</v>
      </c>
      <c r="AG20" s="133" t="s">
        <v>846</v>
      </c>
      <c r="AH20" s="133" t="s">
        <v>846</v>
      </c>
      <c r="AI20" s="133" t="b">
        <v>0</v>
      </c>
      <c r="AJ20" s="133" t="s">
        <v>846</v>
      </c>
      <c r="AK20" s="133" t="s">
        <v>846</v>
      </c>
      <c r="AL20" s="133" t="s">
        <v>846</v>
      </c>
      <c r="AM20" s="133" t="b">
        <v>0</v>
      </c>
      <c r="AN20" s="135" t="s">
        <v>846</v>
      </c>
      <c r="AO20" s="132" t="b">
        <v>0</v>
      </c>
      <c r="AP20" s="133" t="s">
        <v>846</v>
      </c>
      <c r="AQ20" s="133" t="s">
        <v>846</v>
      </c>
      <c r="AR20" s="133" t="s">
        <v>846</v>
      </c>
      <c r="AS20" s="133" t="b">
        <v>0</v>
      </c>
      <c r="AT20" s="133" t="s">
        <v>846</v>
      </c>
      <c r="AU20" s="133" t="s">
        <v>846</v>
      </c>
      <c r="AV20" s="133" t="s">
        <v>846</v>
      </c>
      <c r="AW20" s="133" t="s">
        <v>846</v>
      </c>
      <c r="AX20" s="133" t="b">
        <v>0</v>
      </c>
      <c r="AY20" s="133" t="s">
        <v>846</v>
      </c>
      <c r="AZ20" s="133" t="s">
        <v>846</v>
      </c>
      <c r="BA20" s="135" t="s">
        <v>846</v>
      </c>
      <c r="BB20" s="132" t="s">
        <v>846</v>
      </c>
      <c r="BC20" s="133" t="s">
        <v>846</v>
      </c>
      <c r="BD20" s="133" t="s">
        <v>846</v>
      </c>
      <c r="BE20" s="133" t="s">
        <v>846</v>
      </c>
      <c r="BF20" s="133" t="b">
        <v>0</v>
      </c>
      <c r="BG20" s="133" t="b">
        <v>0</v>
      </c>
      <c r="BH20" s="133" t="b">
        <v>0</v>
      </c>
      <c r="BI20" s="133" t="s">
        <v>846</v>
      </c>
      <c r="BJ20" s="133" t="s">
        <v>846</v>
      </c>
      <c r="BK20" s="133" t="b">
        <v>0</v>
      </c>
      <c r="BL20" s="133" t="b">
        <v>0</v>
      </c>
      <c r="BM20" s="133" t="b">
        <v>0</v>
      </c>
      <c r="BN20" s="133" t="s">
        <v>846</v>
      </c>
      <c r="BO20" s="133" t="b">
        <v>0</v>
      </c>
      <c r="BP20" s="133" t="s">
        <v>846</v>
      </c>
      <c r="BQ20" s="135" t="s">
        <v>846</v>
      </c>
      <c r="BR20" s="132" t="s">
        <v>846</v>
      </c>
      <c r="BS20" s="133" t="s">
        <v>846</v>
      </c>
      <c r="BT20" s="133" t="s">
        <v>846</v>
      </c>
      <c r="BU20" s="133" t="s">
        <v>846</v>
      </c>
      <c r="BV20" s="133" t="s">
        <v>846</v>
      </c>
      <c r="BW20" s="133" t="s">
        <v>846</v>
      </c>
      <c r="BX20" s="133" t="s">
        <v>846</v>
      </c>
      <c r="BY20" s="133" t="s">
        <v>846</v>
      </c>
      <c r="BZ20" s="133" t="s">
        <v>846</v>
      </c>
      <c r="CA20" s="133" t="b">
        <v>0</v>
      </c>
      <c r="CB20" s="135" t="b">
        <v>0</v>
      </c>
      <c r="CC20" s="132" t="b">
        <v>0</v>
      </c>
      <c r="CD20" s="133" t="s">
        <v>846</v>
      </c>
      <c r="CE20" s="133" t="s">
        <v>846</v>
      </c>
      <c r="CF20" s="133" t="b">
        <v>0</v>
      </c>
      <c r="CG20" s="133" t="s">
        <v>846</v>
      </c>
      <c r="CH20" s="133" t="s">
        <v>846</v>
      </c>
      <c r="CI20" s="133" t="s">
        <v>846</v>
      </c>
      <c r="CJ20" s="133" t="s">
        <v>846</v>
      </c>
      <c r="CK20" s="133" t="s">
        <v>846</v>
      </c>
      <c r="CL20" s="133" t="b">
        <v>0</v>
      </c>
      <c r="CM20" s="133" t="s">
        <v>846</v>
      </c>
      <c r="CN20" s="133" t="s">
        <v>846</v>
      </c>
      <c r="CO20" s="133" t="s">
        <v>846</v>
      </c>
      <c r="CP20" s="135" t="s">
        <v>846</v>
      </c>
      <c r="CQ20" s="132" t="s">
        <v>846</v>
      </c>
      <c r="CR20" s="133" t="b">
        <v>0</v>
      </c>
      <c r="CS20" s="133" t="b">
        <v>0</v>
      </c>
      <c r="CT20" s="133" t="b">
        <v>0</v>
      </c>
      <c r="CU20" s="133" t="s">
        <v>846</v>
      </c>
      <c r="CV20" s="133" t="b">
        <v>0</v>
      </c>
      <c r="CW20" s="133" t="s">
        <v>846</v>
      </c>
      <c r="CX20" s="133" t="s">
        <v>846</v>
      </c>
      <c r="CY20" s="133" t="b">
        <v>0</v>
      </c>
      <c r="CZ20" s="135" t="s">
        <v>846</v>
      </c>
      <c r="DA20" s="96">
        <v>16</v>
      </c>
      <c r="DB20" s="103">
        <f>COUNTIF(DonnéesBC[[#This Row],[1]:[16]],"FAUX")</f>
        <v>8</v>
      </c>
      <c r="DC20" s="103">
        <f>COUNTIF(DonnéesBC[[#This Row],[1]:[16]],"Je ne sais pas")</f>
        <v>0</v>
      </c>
      <c r="DD20" s="103">
        <f>COUNTIF(DonnéesBC[[#This Row],[1]:[16]],"Juste")</f>
        <v>8</v>
      </c>
      <c r="DE20" s="96">
        <v>12</v>
      </c>
      <c r="DF20" s="103">
        <f>COUNTIF(DonnéesBC[[#This Row],[17]:[28]],"FAUX")</f>
        <v>5</v>
      </c>
      <c r="DG20" s="103">
        <f>COUNTIF(DonnéesBC[[#This Row],[17]:[28]],"Je ne sais pas")</f>
        <v>0</v>
      </c>
      <c r="DH20" s="103">
        <f>COUNTIF(DonnéesBC[[#This Row],[17]:[28]],"Juste")</f>
        <v>7</v>
      </c>
      <c r="DI20" s="96">
        <v>9</v>
      </c>
      <c r="DJ20" s="103">
        <f>COUNTIF(DonnéesBC[[#This Row],[29]:[37]],"FAUX")</f>
        <v>2</v>
      </c>
      <c r="DK20" s="103">
        <f>COUNTIF(DonnéesBC[[#This Row],[29]:[37]],"Je ne sais pas")</f>
        <v>0</v>
      </c>
      <c r="DL20" s="103">
        <f>COUNTIF(DonnéesBC[[#This Row],[29]:[37]],"Juste")</f>
        <v>7</v>
      </c>
      <c r="DM20" s="96">
        <v>13</v>
      </c>
      <c r="DN20" s="103">
        <f>COUNTIF(DonnéesBC[[#This Row],[38]:[50]],"FAUX")</f>
        <v>3</v>
      </c>
      <c r="DO20" s="103">
        <f>COUNTIF(DonnéesBC[[#This Row],[38]:[50]],"Je ne sais pas")</f>
        <v>0</v>
      </c>
      <c r="DP20" s="103">
        <f>COUNTIF(DonnéesBC[[#This Row],[38]:[50]],"Juste")</f>
        <v>10</v>
      </c>
      <c r="DQ20" s="96">
        <v>16</v>
      </c>
      <c r="DR20" s="103">
        <f>COUNTIF(DonnéesBC[[#This Row],[51]:[66]],"FAUX")</f>
        <v>7</v>
      </c>
      <c r="DS20" s="103">
        <f>COUNTIF(DonnéesBC[[#This Row],[51]:[66]],"Je ne sais pas")</f>
        <v>0</v>
      </c>
      <c r="DT20" s="103">
        <f>COUNTIF(DonnéesBC[[#This Row],[51]:[66]],"Juste")</f>
        <v>9</v>
      </c>
      <c r="DU20" s="96">
        <v>11</v>
      </c>
      <c r="DV20" s="103">
        <f>COUNTIF(DonnéesBC[[#This Row],[67]:[77]],"FAUX")</f>
        <v>2</v>
      </c>
      <c r="DW20" s="103">
        <f>COUNTIF(DonnéesBC[[#This Row],[67]:[77]],"Je ne sais pas")</f>
        <v>0</v>
      </c>
      <c r="DX20" s="103">
        <f>COUNTIF(DonnéesBC[[#This Row],[67]:[77]],"Juste")</f>
        <v>9</v>
      </c>
      <c r="DY20" s="96">
        <v>14</v>
      </c>
      <c r="DZ20" s="103">
        <f>COUNTIF(DonnéesBC[[#This Row],[78]:[91]],"FAUX")</f>
        <v>3</v>
      </c>
      <c r="EA20" s="103">
        <f>COUNTIF(DonnéesBC[[#This Row],[78]:[91]],"Je ne sais pas")</f>
        <v>0</v>
      </c>
      <c r="EB20" s="103">
        <f>COUNTIF(DonnéesBC[[#This Row],[78]:[91]],"Juste")</f>
        <v>11</v>
      </c>
      <c r="EC20" s="96">
        <v>10</v>
      </c>
      <c r="ED20" s="103">
        <f>COUNTIF(DonnéesBC[[#This Row],[92]:[101]],"FAUX")</f>
        <v>5</v>
      </c>
      <c r="EE20" s="103">
        <f>COUNTIF(DonnéesBC[[#This Row],[92]:[101]],"Je ne sais pas")</f>
        <v>0</v>
      </c>
      <c r="EF20" s="103">
        <f>COUNTIF(DonnéesBC[[#This Row],[92]:[101]],"Juste")</f>
        <v>5</v>
      </c>
      <c r="EG20" s="96">
        <f>SUM(DonnéesBC[[#This Row],[A]]+DonnéesBC[[#This Row],[B]]+DonnéesBC[[#This Row],[C]]+DonnéesBC[[#This Row],[D]]+DonnéesBC[[#This Row],[E]]+DonnéesBC[[#This Row],[F]]+DonnéesBC[[#This Row],[G]]+DonnéesBC[[#This Row],[H]])</f>
        <v>101</v>
      </c>
      <c r="EH20" s="97">
        <f>SUM(DonnéesBC[[#This Row],[A2]]+DonnéesBC[[#This Row],[B2]]+DonnéesBC[[#This Row],[C2]]+DonnéesBC[[#This Row],[D2]]+DonnéesBC[[#This Row],[E2]]+DonnéesBC[[#This Row],[F2]]+DonnéesBC[[#This Row],[G2]]+DonnéesBC[[#This Row],[H2]])</f>
        <v>35</v>
      </c>
      <c r="EI20" s="98">
        <f>SUM(DonnéesBC[[#This Row],[A3]]+DonnéesBC[[#This Row],[B3]]+DonnéesBC[[#This Row],[C3]]+DonnéesBC[[#This Row],[D3]]+DonnéesBC[[#This Row],[E3]]+DonnéesBC[[#This Row],[F3]]+DonnéesBC[[#This Row],[G3]]+DonnéesBC[[#This Row],[H3]])</f>
        <v>0</v>
      </c>
      <c r="EJ20" s="103">
        <f>SUM(DonnéesBC[[#This Row],[A4]]+DonnéesBC[[#This Row],[B4]]+DonnéesBC[[#This Row],[C4]]+DonnéesBC[[#This Row],[D4]]+DonnéesBC[[#This Row],[E4]]+DonnéesBC[[#This Row],[F4]]+DonnéesBC[[#This Row],[G4]]+DonnéesBC[[#This Row],[H4]])</f>
        <v>66</v>
      </c>
      <c r="EK20" s="95"/>
      <c r="EL20">
        <v>39</v>
      </c>
    </row>
    <row r="21" spans="1:142" ht="14" customHeight="1">
      <c r="A21" s="101" t="str">
        <f>DonnéesBC[[#This Row],[Prénom]]&amp;" "&amp;DonnéesBC[[#This Row],[Nom]]</f>
        <v>Fabrice Roulin</v>
      </c>
      <c r="B21" s="97" t="s">
        <v>111</v>
      </c>
      <c r="C21" s="97" t="s">
        <v>90</v>
      </c>
      <c r="D21" s="136" t="s">
        <v>846</v>
      </c>
      <c r="E21" s="137" t="s">
        <v>846</v>
      </c>
      <c r="F21" s="137" t="s">
        <v>846</v>
      </c>
      <c r="G21" s="137" t="b">
        <v>0</v>
      </c>
      <c r="H21" s="137" t="s">
        <v>846</v>
      </c>
      <c r="I21" s="137" t="s">
        <v>846</v>
      </c>
      <c r="J21" s="137" t="s">
        <v>846</v>
      </c>
      <c r="K21" s="137" t="b">
        <v>0</v>
      </c>
      <c r="L21" s="137" t="s">
        <v>846</v>
      </c>
      <c r="M21" s="137" t="s">
        <v>846</v>
      </c>
      <c r="N21" s="137" t="b">
        <v>0</v>
      </c>
      <c r="O21" s="137" t="s">
        <v>846</v>
      </c>
      <c r="P21" s="137" t="s">
        <v>846</v>
      </c>
      <c r="Q21" s="137" t="b">
        <v>0</v>
      </c>
      <c r="R21" s="137" t="s">
        <v>846</v>
      </c>
      <c r="S21" s="138" t="s">
        <v>846</v>
      </c>
      <c r="T21" s="136" t="s">
        <v>846</v>
      </c>
      <c r="U21" s="137" t="s">
        <v>846</v>
      </c>
      <c r="V21" s="137" t="s">
        <v>846</v>
      </c>
      <c r="W21" s="137" t="s">
        <v>846</v>
      </c>
      <c r="X21" s="137" t="s">
        <v>846</v>
      </c>
      <c r="Y21" s="137" t="s">
        <v>846</v>
      </c>
      <c r="Z21" s="137" t="b">
        <v>0</v>
      </c>
      <c r="AA21" s="137" t="s">
        <v>846</v>
      </c>
      <c r="AB21" s="137" t="b">
        <v>0</v>
      </c>
      <c r="AC21" s="137" t="s">
        <v>846</v>
      </c>
      <c r="AD21" s="137" t="s">
        <v>846</v>
      </c>
      <c r="AE21" s="138" t="s">
        <v>846</v>
      </c>
      <c r="AF21" s="136" t="s">
        <v>846</v>
      </c>
      <c r="AG21" s="137" t="s">
        <v>846</v>
      </c>
      <c r="AH21" s="137" t="s">
        <v>846</v>
      </c>
      <c r="AI21" s="137" t="s">
        <v>846</v>
      </c>
      <c r="AJ21" s="137" t="s">
        <v>846</v>
      </c>
      <c r="AK21" s="137" t="s">
        <v>846</v>
      </c>
      <c r="AL21" s="137" t="s">
        <v>846</v>
      </c>
      <c r="AM21" s="137" t="s">
        <v>846</v>
      </c>
      <c r="AN21" s="138" t="s">
        <v>846</v>
      </c>
      <c r="AO21" s="136" t="b">
        <v>0</v>
      </c>
      <c r="AP21" s="137" t="s">
        <v>846</v>
      </c>
      <c r="AQ21" s="137" t="s">
        <v>846</v>
      </c>
      <c r="AR21" s="137" t="s">
        <v>846</v>
      </c>
      <c r="AS21" s="137" t="s">
        <v>846</v>
      </c>
      <c r="AT21" s="137" t="s">
        <v>846</v>
      </c>
      <c r="AU21" s="137" t="s">
        <v>846</v>
      </c>
      <c r="AV21" s="137" t="s">
        <v>846</v>
      </c>
      <c r="AW21" s="137" t="s">
        <v>846</v>
      </c>
      <c r="AX21" s="137" t="s">
        <v>846</v>
      </c>
      <c r="AY21" s="137" t="s">
        <v>846</v>
      </c>
      <c r="AZ21" s="137" t="s">
        <v>846</v>
      </c>
      <c r="BA21" s="138" t="s">
        <v>846</v>
      </c>
      <c r="BB21" s="136" t="s">
        <v>846</v>
      </c>
      <c r="BC21" s="137" t="s">
        <v>846</v>
      </c>
      <c r="BD21" s="137" t="s">
        <v>846</v>
      </c>
      <c r="BE21" s="137" t="s">
        <v>846</v>
      </c>
      <c r="BF21" s="137" t="s">
        <v>846</v>
      </c>
      <c r="BG21" s="137" t="b">
        <v>0</v>
      </c>
      <c r="BH21" s="137" t="s">
        <v>846</v>
      </c>
      <c r="BI21" s="137" t="s">
        <v>846</v>
      </c>
      <c r="BJ21" s="137" t="s">
        <v>846</v>
      </c>
      <c r="BK21" s="137" t="s">
        <v>846</v>
      </c>
      <c r="BL21" s="137" t="b">
        <v>0</v>
      </c>
      <c r="BM21" s="137" t="b">
        <v>0</v>
      </c>
      <c r="BN21" s="137" t="b">
        <v>0</v>
      </c>
      <c r="BO21" s="137" t="s">
        <v>846</v>
      </c>
      <c r="BP21" s="137" t="b">
        <v>0</v>
      </c>
      <c r="BQ21" s="138" t="s">
        <v>846</v>
      </c>
      <c r="BR21" s="136" t="s">
        <v>846</v>
      </c>
      <c r="BS21" s="137" t="s">
        <v>846</v>
      </c>
      <c r="BT21" s="137" t="s">
        <v>846</v>
      </c>
      <c r="BU21" s="137" t="b">
        <v>0</v>
      </c>
      <c r="BV21" s="137" t="s">
        <v>846</v>
      </c>
      <c r="BW21" s="137" t="s">
        <v>846</v>
      </c>
      <c r="BX21" s="137" t="s">
        <v>846</v>
      </c>
      <c r="BY21" s="137" t="s">
        <v>846</v>
      </c>
      <c r="BZ21" s="137" t="s">
        <v>846</v>
      </c>
      <c r="CA21" s="137" t="s">
        <v>846</v>
      </c>
      <c r="CB21" s="138" t="s">
        <v>846</v>
      </c>
      <c r="CC21" s="136" t="s">
        <v>846</v>
      </c>
      <c r="CD21" s="137" t="s">
        <v>846</v>
      </c>
      <c r="CE21" s="137" t="s">
        <v>846</v>
      </c>
      <c r="CF21" s="137" t="s">
        <v>846</v>
      </c>
      <c r="CG21" s="137" t="s">
        <v>846</v>
      </c>
      <c r="CH21" s="137" t="s">
        <v>846</v>
      </c>
      <c r="CI21" s="137" t="s">
        <v>846</v>
      </c>
      <c r="CJ21" s="137" t="s">
        <v>846</v>
      </c>
      <c r="CK21" s="137" t="s">
        <v>846</v>
      </c>
      <c r="CL21" s="137" t="s">
        <v>846</v>
      </c>
      <c r="CM21" s="137" t="s">
        <v>846</v>
      </c>
      <c r="CN21" s="137" t="s">
        <v>846</v>
      </c>
      <c r="CO21" s="137" t="s">
        <v>846</v>
      </c>
      <c r="CP21" s="138" t="s">
        <v>846</v>
      </c>
      <c r="CQ21" s="136" t="s">
        <v>846</v>
      </c>
      <c r="CR21" s="137" t="s">
        <v>846</v>
      </c>
      <c r="CS21" s="137" t="s">
        <v>846</v>
      </c>
      <c r="CT21" s="137" t="b">
        <v>0</v>
      </c>
      <c r="CU21" s="137" t="b">
        <v>0</v>
      </c>
      <c r="CV21" s="137" t="s">
        <v>846</v>
      </c>
      <c r="CW21" s="137" t="s">
        <v>846</v>
      </c>
      <c r="CX21" s="137" t="s">
        <v>846</v>
      </c>
      <c r="CY21" s="137" t="s">
        <v>846</v>
      </c>
      <c r="CZ21" s="138" t="s">
        <v>846</v>
      </c>
      <c r="DA21" s="96">
        <v>16</v>
      </c>
      <c r="DB21" s="103">
        <f>COUNTIF(DonnéesBC[[#This Row],[1]:[16]],"FAUX")</f>
        <v>4</v>
      </c>
      <c r="DC21" s="103">
        <f>COUNTIF(DonnéesBC[[#This Row],[1]:[16]],"Je ne sais pas")</f>
        <v>0</v>
      </c>
      <c r="DD21" s="103">
        <f>COUNTIF(DonnéesBC[[#This Row],[1]:[16]],"Juste")</f>
        <v>12</v>
      </c>
      <c r="DE21" s="96">
        <v>12</v>
      </c>
      <c r="DF21" s="103">
        <f>COUNTIF(DonnéesBC[[#This Row],[17]:[28]],"FAUX")</f>
        <v>2</v>
      </c>
      <c r="DG21" s="103">
        <f>COUNTIF(DonnéesBC[[#This Row],[17]:[28]],"Je ne sais pas")</f>
        <v>0</v>
      </c>
      <c r="DH21" s="103">
        <f>COUNTIF(DonnéesBC[[#This Row],[17]:[28]],"Juste")</f>
        <v>10</v>
      </c>
      <c r="DI21" s="96">
        <v>9</v>
      </c>
      <c r="DJ21" s="103">
        <f>COUNTIF(DonnéesBC[[#This Row],[29]:[37]],"FAUX")</f>
        <v>0</v>
      </c>
      <c r="DK21" s="103">
        <f>COUNTIF(DonnéesBC[[#This Row],[29]:[37]],"Je ne sais pas")</f>
        <v>0</v>
      </c>
      <c r="DL21" s="103">
        <f>COUNTIF(DonnéesBC[[#This Row],[29]:[37]],"Juste")</f>
        <v>9</v>
      </c>
      <c r="DM21" s="96">
        <v>13</v>
      </c>
      <c r="DN21" s="103">
        <f>COUNTIF(DonnéesBC[[#This Row],[38]:[50]],"FAUX")</f>
        <v>1</v>
      </c>
      <c r="DO21" s="103">
        <f>COUNTIF(DonnéesBC[[#This Row],[38]:[50]],"Je ne sais pas")</f>
        <v>0</v>
      </c>
      <c r="DP21" s="103">
        <f>COUNTIF(DonnéesBC[[#This Row],[38]:[50]],"Juste")</f>
        <v>12</v>
      </c>
      <c r="DQ21" s="96">
        <v>16</v>
      </c>
      <c r="DR21" s="103">
        <f>COUNTIF(DonnéesBC[[#This Row],[51]:[66]],"FAUX")</f>
        <v>5</v>
      </c>
      <c r="DS21" s="103">
        <f>COUNTIF(DonnéesBC[[#This Row],[51]:[66]],"Je ne sais pas")</f>
        <v>0</v>
      </c>
      <c r="DT21" s="103">
        <f>COUNTIF(DonnéesBC[[#This Row],[51]:[66]],"Juste")</f>
        <v>11</v>
      </c>
      <c r="DU21" s="96">
        <v>11</v>
      </c>
      <c r="DV21" s="103">
        <f>COUNTIF(DonnéesBC[[#This Row],[67]:[77]],"FAUX")</f>
        <v>1</v>
      </c>
      <c r="DW21" s="103">
        <f>COUNTIF(DonnéesBC[[#This Row],[67]:[77]],"Je ne sais pas")</f>
        <v>0</v>
      </c>
      <c r="DX21" s="103">
        <f>COUNTIF(DonnéesBC[[#This Row],[67]:[77]],"Juste")</f>
        <v>10</v>
      </c>
      <c r="DY21" s="96">
        <v>14</v>
      </c>
      <c r="DZ21" s="103">
        <f>COUNTIF(DonnéesBC[[#This Row],[78]:[91]],"FAUX")</f>
        <v>0</v>
      </c>
      <c r="EA21" s="103">
        <f>COUNTIF(DonnéesBC[[#This Row],[78]:[91]],"Je ne sais pas")</f>
        <v>0</v>
      </c>
      <c r="EB21" s="103">
        <f>COUNTIF(DonnéesBC[[#This Row],[78]:[91]],"Juste")</f>
        <v>14</v>
      </c>
      <c r="EC21" s="96">
        <v>10</v>
      </c>
      <c r="ED21" s="103">
        <f>COUNTIF(DonnéesBC[[#This Row],[92]:[101]],"FAUX")</f>
        <v>2</v>
      </c>
      <c r="EE21" s="103">
        <f>COUNTIF(DonnéesBC[[#This Row],[92]:[101]],"Je ne sais pas")</f>
        <v>0</v>
      </c>
      <c r="EF21" s="103">
        <f>COUNTIF(DonnéesBC[[#This Row],[92]:[101]],"Juste")</f>
        <v>8</v>
      </c>
      <c r="EG21" s="96">
        <f>SUM(DonnéesBC[[#This Row],[A]]+DonnéesBC[[#This Row],[B]]+DonnéesBC[[#This Row],[C]]+DonnéesBC[[#This Row],[D]]+DonnéesBC[[#This Row],[E]]+DonnéesBC[[#This Row],[F]]+DonnéesBC[[#This Row],[G]]+DonnéesBC[[#This Row],[H]])</f>
        <v>101</v>
      </c>
      <c r="EH21" s="97">
        <f>SUM(DonnéesBC[[#This Row],[A2]]+DonnéesBC[[#This Row],[B2]]+DonnéesBC[[#This Row],[C2]]+DonnéesBC[[#This Row],[D2]]+DonnéesBC[[#This Row],[E2]]+DonnéesBC[[#This Row],[F2]]+DonnéesBC[[#This Row],[G2]]+DonnéesBC[[#This Row],[H2]])</f>
        <v>15</v>
      </c>
      <c r="EI21" s="98">
        <f>SUM(DonnéesBC[[#This Row],[A3]]+DonnéesBC[[#This Row],[B3]]+DonnéesBC[[#This Row],[C3]]+DonnéesBC[[#This Row],[D3]]+DonnéesBC[[#This Row],[E3]]+DonnéesBC[[#This Row],[F3]]+DonnéesBC[[#This Row],[G3]]+DonnéesBC[[#This Row],[H3]])</f>
        <v>0</v>
      </c>
      <c r="EJ21" s="103">
        <f>SUM(DonnéesBC[[#This Row],[A4]]+DonnéesBC[[#This Row],[B4]]+DonnéesBC[[#This Row],[C4]]+DonnéesBC[[#This Row],[D4]]+DonnéesBC[[#This Row],[E4]]+DonnéesBC[[#This Row],[F4]]+DonnéesBC[[#This Row],[G4]]+DonnéesBC[[#This Row],[H4]])</f>
        <v>86</v>
      </c>
      <c r="EK21" s="95" t="s">
        <v>679</v>
      </c>
      <c r="EL21">
        <v>39</v>
      </c>
    </row>
    <row r="22" spans="1:142" ht="14" customHeight="1">
      <c r="A22" s="101" t="str">
        <f>DonnéesBC[[#This Row],[Prénom]]&amp;" "&amp;DonnéesBC[[#This Row],[Nom]]</f>
        <v>Florian Papp</v>
      </c>
      <c r="B22" s="97" t="s">
        <v>112</v>
      </c>
      <c r="C22" s="97" t="s">
        <v>113</v>
      </c>
      <c r="D22" s="132" t="b">
        <v>0</v>
      </c>
      <c r="E22" s="133" t="s">
        <v>846</v>
      </c>
      <c r="F22" s="133" t="s">
        <v>846</v>
      </c>
      <c r="G22" s="133" t="s">
        <v>846</v>
      </c>
      <c r="H22" s="133" t="s">
        <v>846</v>
      </c>
      <c r="I22" s="133" t="s">
        <v>846</v>
      </c>
      <c r="J22" s="133" t="s">
        <v>846</v>
      </c>
      <c r="K22" s="133" t="b">
        <v>0</v>
      </c>
      <c r="L22" s="133" t="s">
        <v>846</v>
      </c>
      <c r="M22" s="133" t="s">
        <v>846</v>
      </c>
      <c r="N22" s="133" t="s">
        <v>846</v>
      </c>
      <c r="O22" s="133" t="s">
        <v>846</v>
      </c>
      <c r="P22" s="133" t="s">
        <v>846</v>
      </c>
      <c r="Q22" s="133" t="b">
        <v>0</v>
      </c>
      <c r="R22" s="133" t="s">
        <v>846</v>
      </c>
      <c r="S22" s="135" t="s">
        <v>846</v>
      </c>
      <c r="T22" s="132" t="s">
        <v>846</v>
      </c>
      <c r="U22" s="133" t="s">
        <v>846</v>
      </c>
      <c r="V22" s="133" t="s">
        <v>846</v>
      </c>
      <c r="W22" s="133" t="s">
        <v>846</v>
      </c>
      <c r="X22" s="133" t="s">
        <v>846</v>
      </c>
      <c r="Y22" s="133" t="s">
        <v>846</v>
      </c>
      <c r="Z22" s="133" t="b">
        <v>0</v>
      </c>
      <c r="AA22" s="133" t="b">
        <v>0</v>
      </c>
      <c r="AB22" s="133" t="b">
        <v>0</v>
      </c>
      <c r="AC22" s="133" t="s">
        <v>846</v>
      </c>
      <c r="AD22" s="133" t="s">
        <v>846</v>
      </c>
      <c r="AE22" s="135" t="s">
        <v>846</v>
      </c>
      <c r="AF22" s="132" t="s">
        <v>846</v>
      </c>
      <c r="AG22" s="133" t="b">
        <v>0</v>
      </c>
      <c r="AH22" s="133" t="s">
        <v>846</v>
      </c>
      <c r="AI22" s="133" t="s">
        <v>846</v>
      </c>
      <c r="AJ22" s="133" t="s">
        <v>846</v>
      </c>
      <c r="AK22" s="133" t="s">
        <v>846</v>
      </c>
      <c r="AL22" s="133" t="s">
        <v>846</v>
      </c>
      <c r="AM22" s="133" t="b">
        <v>0</v>
      </c>
      <c r="AN22" s="135" t="s">
        <v>846</v>
      </c>
      <c r="AO22" s="132" t="b">
        <v>0</v>
      </c>
      <c r="AP22" s="133" t="s">
        <v>846</v>
      </c>
      <c r="AQ22" s="133" t="s">
        <v>846</v>
      </c>
      <c r="AR22" s="133" t="b">
        <v>0</v>
      </c>
      <c r="AS22" s="133" t="s">
        <v>846</v>
      </c>
      <c r="AT22" s="133" t="s">
        <v>846</v>
      </c>
      <c r="AU22" s="133" t="s">
        <v>846</v>
      </c>
      <c r="AV22" s="133" t="s">
        <v>846</v>
      </c>
      <c r="AW22" s="133" t="s">
        <v>846</v>
      </c>
      <c r="AX22" s="133" t="s">
        <v>846</v>
      </c>
      <c r="AY22" s="133" t="s">
        <v>846</v>
      </c>
      <c r="AZ22" s="133" t="s">
        <v>846</v>
      </c>
      <c r="BA22" s="135" t="s">
        <v>846</v>
      </c>
      <c r="BB22" s="132" t="s">
        <v>846</v>
      </c>
      <c r="BC22" s="133" t="s">
        <v>846</v>
      </c>
      <c r="BD22" s="133" t="s">
        <v>846</v>
      </c>
      <c r="BE22" s="133" t="s">
        <v>846</v>
      </c>
      <c r="BF22" s="133" t="s">
        <v>846</v>
      </c>
      <c r="BG22" s="133" t="s">
        <v>846</v>
      </c>
      <c r="BH22" s="133" t="s">
        <v>846</v>
      </c>
      <c r="BI22" s="133" t="s">
        <v>846</v>
      </c>
      <c r="BJ22" s="133" t="s">
        <v>846</v>
      </c>
      <c r="BK22" s="133" t="b">
        <v>0</v>
      </c>
      <c r="BL22" s="133" t="s">
        <v>846</v>
      </c>
      <c r="BM22" s="133" t="b">
        <v>0</v>
      </c>
      <c r="BN22" s="133" t="s">
        <v>846</v>
      </c>
      <c r="BO22" s="133" t="b">
        <v>0</v>
      </c>
      <c r="BP22" s="133" t="s">
        <v>846</v>
      </c>
      <c r="BQ22" s="135" t="s">
        <v>846</v>
      </c>
      <c r="BR22" s="132" t="s">
        <v>846</v>
      </c>
      <c r="BS22" s="133" t="s">
        <v>846</v>
      </c>
      <c r="BT22" s="133" t="s">
        <v>846</v>
      </c>
      <c r="BU22" s="133" t="s">
        <v>846</v>
      </c>
      <c r="BV22" s="133" t="b">
        <v>0</v>
      </c>
      <c r="BW22" s="133" t="s">
        <v>846</v>
      </c>
      <c r="BX22" s="133" t="b">
        <v>0</v>
      </c>
      <c r="BY22" s="133" t="s">
        <v>846</v>
      </c>
      <c r="BZ22" s="133" t="s">
        <v>846</v>
      </c>
      <c r="CA22" s="133" t="s">
        <v>846</v>
      </c>
      <c r="CB22" s="135" t="s">
        <v>846</v>
      </c>
      <c r="CC22" s="132" t="s">
        <v>846</v>
      </c>
      <c r="CD22" s="133" t="s">
        <v>846</v>
      </c>
      <c r="CE22" s="133" t="s">
        <v>846</v>
      </c>
      <c r="CF22" s="133" t="b">
        <v>0</v>
      </c>
      <c r="CG22" s="133" t="s">
        <v>846</v>
      </c>
      <c r="CH22" s="133" t="b">
        <v>0</v>
      </c>
      <c r="CI22" s="133" t="s">
        <v>846</v>
      </c>
      <c r="CJ22" s="133" t="s">
        <v>846</v>
      </c>
      <c r="CK22" s="133" t="s">
        <v>846</v>
      </c>
      <c r="CL22" s="133" t="b">
        <v>0</v>
      </c>
      <c r="CM22" s="133" t="s">
        <v>846</v>
      </c>
      <c r="CN22" s="133" t="s">
        <v>846</v>
      </c>
      <c r="CO22" s="133" t="s">
        <v>846</v>
      </c>
      <c r="CP22" s="135" t="s">
        <v>846</v>
      </c>
      <c r="CQ22" s="132" t="s">
        <v>846</v>
      </c>
      <c r="CR22" s="133" t="s">
        <v>846</v>
      </c>
      <c r="CS22" s="133" t="b">
        <v>0</v>
      </c>
      <c r="CT22" s="133" t="b">
        <v>0</v>
      </c>
      <c r="CU22" s="133" t="s">
        <v>846</v>
      </c>
      <c r="CV22" s="133" t="s">
        <v>846</v>
      </c>
      <c r="CW22" s="133" t="s">
        <v>846</v>
      </c>
      <c r="CX22" s="133" t="s">
        <v>846</v>
      </c>
      <c r="CY22" s="133" t="b">
        <v>0</v>
      </c>
      <c r="CZ22" s="135" t="b">
        <v>0</v>
      </c>
      <c r="DA22" s="96">
        <v>16</v>
      </c>
      <c r="DB22" s="103">
        <f>COUNTIF(DonnéesBC[[#This Row],[1]:[16]],"FAUX")</f>
        <v>3</v>
      </c>
      <c r="DC22" s="103">
        <f>COUNTIF(DonnéesBC[[#This Row],[1]:[16]],"Je ne sais pas")</f>
        <v>0</v>
      </c>
      <c r="DD22" s="103">
        <f>COUNTIF(DonnéesBC[[#This Row],[1]:[16]],"Juste")</f>
        <v>13</v>
      </c>
      <c r="DE22" s="96">
        <v>12</v>
      </c>
      <c r="DF22" s="103">
        <f>COUNTIF(DonnéesBC[[#This Row],[17]:[28]],"FAUX")</f>
        <v>3</v>
      </c>
      <c r="DG22" s="103">
        <f>COUNTIF(DonnéesBC[[#This Row],[17]:[28]],"Je ne sais pas")</f>
        <v>0</v>
      </c>
      <c r="DH22" s="103">
        <f>COUNTIF(DonnéesBC[[#This Row],[17]:[28]],"Juste")</f>
        <v>9</v>
      </c>
      <c r="DI22" s="96">
        <v>9</v>
      </c>
      <c r="DJ22" s="103">
        <f>COUNTIF(DonnéesBC[[#This Row],[29]:[37]],"FAUX")</f>
        <v>2</v>
      </c>
      <c r="DK22" s="103">
        <f>COUNTIF(DonnéesBC[[#This Row],[29]:[37]],"Je ne sais pas")</f>
        <v>0</v>
      </c>
      <c r="DL22" s="103">
        <f>COUNTIF(DonnéesBC[[#This Row],[29]:[37]],"Juste")</f>
        <v>7</v>
      </c>
      <c r="DM22" s="96">
        <v>13</v>
      </c>
      <c r="DN22" s="103">
        <f>COUNTIF(DonnéesBC[[#This Row],[38]:[50]],"FAUX")</f>
        <v>2</v>
      </c>
      <c r="DO22" s="103">
        <f>COUNTIF(DonnéesBC[[#This Row],[38]:[50]],"Je ne sais pas")</f>
        <v>0</v>
      </c>
      <c r="DP22" s="103">
        <f>COUNTIF(DonnéesBC[[#This Row],[38]:[50]],"Juste")</f>
        <v>11</v>
      </c>
      <c r="DQ22" s="96">
        <v>16</v>
      </c>
      <c r="DR22" s="103">
        <f>COUNTIF(DonnéesBC[[#This Row],[51]:[66]],"FAUX")</f>
        <v>3</v>
      </c>
      <c r="DS22" s="103">
        <f>COUNTIF(DonnéesBC[[#This Row],[51]:[66]],"Je ne sais pas")</f>
        <v>0</v>
      </c>
      <c r="DT22" s="103">
        <f>COUNTIF(DonnéesBC[[#This Row],[51]:[66]],"Juste")</f>
        <v>13</v>
      </c>
      <c r="DU22" s="96">
        <v>11</v>
      </c>
      <c r="DV22" s="103">
        <f>COUNTIF(DonnéesBC[[#This Row],[67]:[77]],"FAUX")</f>
        <v>2</v>
      </c>
      <c r="DW22" s="103">
        <f>COUNTIF(DonnéesBC[[#This Row],[67]:[77]],"Je ne sais pas")</f>
        <v>0</v>
      </c>
      <c r="DX22" s="103">
        <f>COUNTIF(DonnéesBC[[#This Row],[67]:[77]],"Juste")</f>
        <v>9</v>
      </c>
      <c r="DY22" s="96">
        <v>14</v>
      </c>
      <c r="DZ22" s="103">
        <f>COUNTIF(DonnéesBC[[#This Row],[78]:[91]],"FAUX")</f>
        <v>3</v>
      </c>
      <c r="EA22" s="103">
        <f>COUNTIF(DonnéesBC[[#This Row],[78]:[91]],"Je ne sais pas")</f>
        <v>0</v>
      </c>
      <c r="EB22" s="103">
        <f>COUNTIF(DonnéesBC[[#This Row],[78]:[91]],"Juste")</f>
        <v>11</v>
      </c>
      <c r="EC22" s="96">
        <v>10</v>
      </c>
      <c r="ED22" s="103">
        <f>COUNTIF(DonnéesBC[[#This Row],[92]:[101]],"FAUX")</f>
        <v>4</v>
      </c>
      <c r="EE22" s="103">
        <f>COUNTIF(DonnéesBC[[#This Row],[92]:[101]],"Je ne sais pas")</f>
        <v>0</v>
      </c>
      <c r="EF22" s="103">
        <f>COUNTIF(DonnéesBC[[#This Row],[92]:[101]],"Juste")</f>
        <v>6</v>
      </c>
      <c r="EG22" s="96">
        <f>SUM(DonnéesBC[[#This Row],[A]]+DonnéesBC[[#This Row],[B]]+DonnéesBC[[#This Row],[C]]+DonnéesBC[[#This Row],[D]]+DonnéesBC[[#This Row],[E]]+DonnéesBC[[#This Row],[F]]+DonnéesBC[[#This Row],[G]]+DonnéesBC[[#This Row],[H]])</f>
        <v>101</v>
      </c>
      <c r="EH22" s="97">
        <f>SUM(DonnéesBC[[#This Row],[A2]]+DonnéesBC[[#This Row],[B2]]+DonnéesBC[[#This Row],[C2]]+DonnéesBC[[#This Row],[D2]]+DonnéesBC[[#This Row],[E2]]+DonnéesBC[[#This Row],[F2]]+DonnéesBC[[#This Row],[G2]]+DonnéesBC[[#This Row],[H2]])</f>
        <v>22</v>
      </c>
      <c r="EI22" s="98">
        <f>SUM(DonnéesBC[[#This Row],[A3]]+DonnéesBC[[#This Row],[B3]]+DonnéesBC[[#This Row],[C3]]+DonnéesBC[[#This Row],[D3]]+DonnéesBC[[#This Row],[E3]]+DonnéesBC[[#This Row],[F3]]+DonnéesBC[[#This Row],[G3]]+DonnéesBC[[#This Row],[H3]])</f>
        <v>0</v>
      </c>
      <c r="EJ22" s="103">
        <f>SUM(DonnéesBC[[#This Row],[A4]]+DonnéesBC[[#This Row],[B4]]+DonnéesBC[[#This Row],[C4]]+DonnéesBC[[#This Row],[D4]]+DonnéesBC[[#This Row],[E4]]+DonnéesBC[[#This Row],[F4]]+DonnéesBC[[#This Row],[G4]]+DonnéesBC[[#This Row],[H4]])</f>
        <v>79</v>
      </c>
      <c r="EK22" s="95" t="s">
        <v>689</v>
      </c>
      <c r="EL22">
        <v>39</v>
      </c>
    </row>
    <row r="23" spans="1:142" ht="14" customHeight="1">
      <c r="A23" s="101" t="str">
        <f>DonnéesBC[[#This Row],[Prénom]]&amp;" "&amp;DonnéesBC[[#This Row],[Nom]]</f>
        <v>Gilles Genoux</v>
      </c>
      <c r="B23" s="97" t="s">
        <v>114</v>
      </c>
      <c r="C23" s="97" t="s">
        <v>115</v>
      </c>
      <c r="D23" s="136" t="s">
        <v>846</v>
      </c>
      <c r="E23" s="137" t="s">
        <v>846</v>
      </c>
      <c r="F23" s="137" t="s">
        <v>846</v>
      </c>
      <c r="G23" s="137" t="s">
        <v>846</v>
      </c>
      <c r="H23" s="137" t="b">
        <v>0</v>
      </c>
      <c r="I23" s="137" t="s">
        <v>846</v>
      </c>
      <c r="J23" s="137" t="s">
        <v>846</v>
      </c>
      <c r="K23" s="137" t="s">
        <v>846</v>
      </c>
      <c r="L23" s="137" t="s">
        <v>846</v>
      </c>
      <c r="M23" s="137" t="s">
        <v>846</v>
      </c>
      <c r="N23" s="137" t="s">
        <v>840</v>
      </c>
      <c r="O23" s="137" t="s">
        <v>846</v>
      </c>
      <c r="P23" s="137" t="s">
        <v>846</v>
      </c>
      <c r="Q23" s="137" t="b">
        <v>0</v>
      </c>
      <c r="R23" s="137" t="s">
        <v>846</v>
      </c>
      <c r="S23" s="138" t="b">
        <v>0</v>
      </c>
      <c r="T23" s="136" t="s">
        <v>846</v>
      </c>
      <c r="U23" s="137" t="s">
        <v>846</v>
      </c>
      <c r="V23" s="137" t="s">
        <v>846</v>
      </c>
      <c r="W23" s="137" t="b">
        <v>0</v>
      </c>
      <c r="X23" s="137" t="b">
        <v>0</v>
      </c>
      <c r="Y23" s="137" t="s">
        <v>846</v>
      </c>
      <c r="Z23" s="137" t="s">
        <v>846</v>
      </c>
      <c r="AA23" s="137" t="s">
        <v>846</v>
      </c>
      <c r="AB23" s="137" t="s">
        <v>846</v>
      </c>
      <c r="AC23" s="137" t="b">
        <v>0</v>
      </c>
      <c r="AD23" s="137" t="s">
        <v>846</v>
      </c>
      <c r="AE23" s="138" t="s">
        <v>840</v>
      </c>
      <c r="AF23" s="136" t="s">
        <v>846</v>
      </c>
      <c r="AG23" s="137" t="b">
        <v>0</v>
      </c>
      <c r="AH23" s="137" t="s">
        <v>846</v>
      </c>
      <c r="AI23" s="137" t="s">
        <v>846</v>
      </c>
      <c r="AJ23" s="137" t="s">
        <v>846</v>
      </c>
      <c r="AK23" s="137" t="s">
        <v>846</v>
      </c>
      <c r="AL23" s="137" t="s">
        <v>846</v>
      </c>
      <c r="AM23" s="137" t="s">
        <v>846</v>
      </c>
      <c r="AN23" s="138" t="s">
        <v>846</v>
      </c>
      <c r="AO23" s="136" t="s">
        <v>846</v>
      </c>
      <c r="AP23" s="137" t="s">
        <v>846</v>
      </c>
      <c r="AQ23" s="137" t="s">
        <v>846</v>
      </c>
      <c r="AR23" s="137" t="s">
        <v>846</v>
      </c>
      <c r="AS23" s="137" t="s">
        <v>846</v>
      </c>
      <c r="AT23" s="137" t="s">
        <v>846</v>
      </c>
      <c r="AU23" s="137" t="s">
        <v>846</v>
      </c>
      <c r="AV23" s="137" t="s">
        <v>846</v>
      </c>
      <c r="AW23" s="137" t="s">
        <v>846</v>
      </c>
      <c r="AX23" s="137" t="s">
        <v>846</v>
      </c>
      <c r="AY23" s="137" t="s">
        <v>846</v>
      </c>
      <c r="AZ23" s="137" t="s">
        <v>840</v>
      </c>
      <c r="BA23" s="138" t="s">
        <v>846</v>
      </c>
      <c r="BB23" s="136" t="s">
        <v>846</v>
      </c>
      <c r="BC23" s="137" t="s">
        <v>846</v>
      </c>
      <c r="BD23" s="137" t="s">
        <v>846</v>
      </c>
      <c r="BE23" s="137" t="s">
        <v>846</v>
      </c>
      <c r="BF23" s="137" t="b">
        <v>0</v>
      </c>
      <c r="BG23" s="137" t="s">
        <v>846</v>
      </c>
      <c r="BH23" s="137" t="b">
        <v>0</v>
      </c>
      <c r="BI23" s="137" t="s">
        <v>846</v>
      </c>
      <c r="BJ23" s="137" t="s">
        <v>846</v>
      </c>
      <c r="BK23" s="137" t="s">
        <v>846</v>
      </c>
      <c r="BL23" s="137" t="s">
        <v>840</v>
      </c>
      <c r="BM23" s="137" t="s">
        <v>846</v>
      </c>
      <c r="BN23" s="137" t="s">
        <v>840</v>
      </c>
      <c r="BO23" s="137" t="s">
        <v>840</v>
      </c>
      <c r="BP23" s="137" t="s">
        <v>846</v>
      </c>
      <c r="BQ23" s="138" t="s">
        <v>846</v>
      </c>
      <c r="BR23" s="136" t="s">
        <v>846</v>
      </c>
      <c r="BS23" s="137" t="s">
        <v>846</v>
      </c>
      <c r="BT23" s="137" t="b">
        <v>0</v>
      </c>
      <c r="BU23" s="137" t="s">
        <v>846</v>
      </c>
      <c r="BV23" s="137" t="s">
        <v>846</v>
      </c>
      <c r="BW23" s="137" t="s">
        <v>846</v>
      </c>
      <c r="BX23" s="137" t="b">
        <v>0</v>
      </c>
      <c r="BY23" s="137" t="s">
        <v>846</v>
      </c>
      <c r="BZ23" s="137" t="b">
        <v>0</v>
      </c>
      <c r="CA23" s="137" t="s">
        <v>846</v>
      </c>
      <c r="CB23" s="138" t="s">
        <v>846</v>
      </c>
      <c r="CC23" s="136" t="s">
        <v>846</v>
      </c>
      <c r="CD23" s="137" t="s">
        <v>846</v>
      </c>
      <c r="CE23" s="137" t="s">
        <v>846</v>
      </c>
      <c r="CF23" s="137" t="s">
        <v>846</v>
      </c>
      <c r="CG23" s="137" t="s">
        <v>846</v>
      </c>
      <c r="CH23" s="137" t="s">
        <v>846</v>
      </c>
      <c r="CI23" s="137" t="s">
        <v>846</v>
      </c>
      <c r="CJ23" s="137" t="s">
        <v>846</v>
      </c>
      <c r="CK23" s="137" t="s">
        <v>846</v>
      </c>
      <c r="CL23" s="137" t="s">
        <v>840</v>
      </c>
      <c r="CM23" s="137" t="s">
        <v>846</v>
      </c>
      <c r="CN23" s="137" t="s">
        <v>846</v>
      </c>
      <c r="CO23" s="137" t="b">
        <v>0</v>
      </c>
      <c r="CP23" s="138" t="b">
        <v>0</v>
      </c>
      <c r="CQ23" s="136" t="s">
        <v>846</v>
      </c>
      <c r="CR23" s="137" t="s">
        <v>846</v>
      </c>
      <c r="CS23" s="137" t="b">
        <v>0</v>
      </c>
      <c r="CT23" s="137" t="b">
        <v>0</v>
      </c>
      <c r="CU23" s="137" t="s">
        <v>846</v>
      </c>
      <c r="CV23" s="137" t="s">
        <v>846</v>
      </c>
      <c r="CW23" s="137" t="s">
        <v>846</v>
      </c>
      <c r="CX23" s="137" t="s">
        <v>846</v>
      </c>
      <c r="CY23" s="137" t="b">
        <v>0</v>
      </c>
      <c r="CZ23" s="138" t="s">
        <v>846</v>
      </c>
      <c r="DA23" s="96">
        <v>16</v>
      </c>
      <c r="DB23" s="103">
        <f>COUNTIF(DonnéesBC[[#This Row],[1]:[16]],"FAUX")</f>
        <v>3</v>
      </c>
      <c r="DC23" s="103">
        <f>COUNTIF(DonnéesBC[[#This Row],[1]:[16]],"Je ne sais pas")</f>
        <v>1</v>
      </c>
      <c r="DD23" s="103">
        <f>COUNTIF(DonnéesBC[[#This Row],[1]:[16]],"Juste")</f>
        <v>12</v>
      </c>
      <c r="DE23" s="96">
        <v>12</v>
      </c>
      <c r="DF23" s="103">
        <f>COUNTIF(DonnéesBC[[#This Row],[17]:[28]],"FAUX")</f>
        <v>3</v>
      </c>
      <c r="DG23" s="103">
        <f>COUNTIF(DonnéesBC[[#This Row],[17]:[28]],"Je ne sais pas")</f>
        <v>1</v>
      </c>
      <c r="DH23" s="103">
        <f>COUNTIF(DonnéesBC[[#This Row],[17]:[28]],"Juste")</f>
        <v>8</v>
      </c>
      <c r="DI23" s="96">
        <v>9</v>
      </c>
      <c r="DJ23" s="103">
        <f>COUNTIF(DonnéesBC[[#This Row],[29]:[37]],"FAUX")</f>
        <v>1</v>
      </c>
      <c r="DK23" s="103">
        <f>COUNTIF(DonnéesBC[[#This Row],[29]:[37]],"Je ne sais pas")</f>
        <v>0</v>
      </c>
      <c r="DL23" s="103">
        <f>COUNTIF(DonnéesBC[[#This Row],[29]:[37]],"Juste")</f>
        <v>8</v>
      </c>
      <c r="DM23" s="96">
        <v>13</v>
      </c>
      <c r="DN23" s="103">
        <f>COUNTIF(DonnéesBC[[#This Row],[38]:[50]],"FAUX")</f>
        <v>0</v>
      </c>
      <c r="DO23" s="103">
        <f>COUNTIF(DonnéesBC[[#This Row],[38]:[50]],"Je ne sais pas")</f>
        <v>1</v>
      </c>
      <c r="DP23" s="103">
        <f>COUNTIF(DonnéesBC[[#This Row],[38]:[50]],"Juste")</f>
        <v>12</v>
      </c>
      <c r="DQ23" s="96">
        <v>16</v>
      </c>
      <c r="DR23" s="103">
        <f>COUNTIF(DonnéesBC[[#This Row],[51]:[66]],"FAUX")</f>
        <v>2</v>
      </c>
      <c r="DS23" s="103">
        <f>COUNTIF(DonnéesBC[[#This Row],[51]:[66]],"Je ne sais pas")</f>
        <v>3</v>
      </c>
      <c r="DT23" s="103">
        <f>COUNTIF(DonnéesBC[[#This Row],[51]:[66]],"Juste")</f>
        <v>11</v>
      </c>
      <c r="DU23" s="96">
        <v>11</v>
      </c>
      <c r="DV23" s="103">
        <f>COUNTIF(DonnéesBC[[#This Row],[67]:[77]],"FAUX")</f>
        <v>3</v>
      </c>
      <c r="DW23" s="103">
        <f>COUNTIF(DonnéesBC[[#This Row],[67]:[77]],"Je ne sais pas")</f>
        <v>0</v>
      </c>
      <c r="DX23" s="103">
        <f>COUNTIF(DonnéesBC[[#This Row],[67]:[77]],"Juste")</f>
        <v>8</v>
      </c>
      <c r="DY23" s="96">
        <v>14</v>
      </c>
      <c r="DZ23" s="103">
        <f>COUNTIF(DonnéesBC[[#This Row],[78]:[91]],"FAUX")</f>
        <v>2</v>
      </c>
      <c r="EA23" s="103">
        <f>COUNTIF(DonnéesBC[[#This Row],[78]:[91]],"Je ne sais pas")</f>
        <v>1</v>
      </c>
      <c r="EB23" s="103">
        <f>COUNTIF(DonnéesBC[[#This Row],[78]:[91]],"Juste")</f>
        <v>11</v>
      </c>
      <c r="EC23" s="96">
        <v>10</v>
      </c>
      <c r="ED23" s="103">
        <f>COUNTIF(DonnéesBC[[#This Row],[92]:[101]],"FAUX")</f>
        <v>3</v>
      </c>
      <c r="EE23" s="103">
        <f>COUNTIF(DonnéesBC[[#This Row],[92]:[101]],"Je ne sais pas")</f>
        <v>0</v>
      </c>
      <c r="EF23" s="103">
        <f>COUNTIF(DonnéesBC[[#This Row],[92]:[101]],"Juste")</f>
        <v>7</v>
      </c>
      <c r="EG23" s="96">
        <f>SUM(DonnéesBC[[#This Row],[A]]+DonnéesBC[[#This Row],[B]]+DonnéesBC[[#This Row],[C]]+DonnéesBC[[#This Row],[D]]+DonnéesBC[[#This Row],[E]]+DonnéesBC[[#This Row],[F]]+DonnéesBC[[#This Row],[G]]+DonnéesBC[[#This Row],[H]])</f>
        <v>101</v>
      </c>
      <c r="EH23" s="97">
        <f>SUM(DonnéesBC[[#This Row],[A2]]+DonnéesBC[[#This Row],[B2]]+DonnéesBC[[#This Row],[C2]]+DonnéesBC[[#This Row],[D2]]+DonnéesBC[[#This Row],[E2]]+DonnéesBC[[#This Row],[F2]]+DonnéesBC[[#This Row],[G2]]+DonnéesBC[[#This Row],[H2]])</f>
        <v>17</v>
      </c>
      <c r="EI23" s="98">
        <f>SUM(DonnéesBC[[#This Row],[A3]]+DonnéesBC[[#This Row],[B3]]+DonnéesBC[[#This Row],[C3]]+DonnéesBC[[#This Row],[D3]]+DonnéesBC[[#This Row],[E3]]+DonnéesBC[[#This Row],[F3]]+DonnéesBC[[#This Row],[G3]]+DonnéesBC[[#This Row],[H3]])</f>
        <v>7</v>
      </c>
      <c r="EJ23" s="103">
        <f>SUM(DonnéesBC[[#This Row],[A4]]+DonnéesBC[[#This Row],[B4]]+DonnéesBC[[#This Row],[C4]]+DonnéesBC[[#This Row],[D4]]+DonnéesBC[[#This Row],[E4]]+DonnéesBC[[#This Row],[F4]]+DonnéesBC[[#This Row],[G4]]+DonnéesBC[[#This Row],[H4]])</f>
        <v>77</v>
      </c>
      <c r="EK23" s="95"/>
      <c r="EL23">
        <v>37</v>
      </c>
    </row>
    <row r="24" spans="1:142" ht="14" customHeight="1">
      <c r="A24" s="101" t="str">
        <f>DonnéesBC[[#This Row],[Prénom]]&amp;" "&amp;DonnéesBC[[#This Row],[Nom]]</f>
        <v>Gregory Goumaz</v>
      </c>
      <c r="B24" s="97" t="s">
        <v>116</v>
      </c>
      <c r="C24" s="97" t="s">
        <v>117</v>
      </c>
      <c r="D24" s="132" t="s">
        <v>846</v>
      </c>
      <c r="E24" s="133" t="b">
        <v>0</v>
      </c>
      <c r="F24" s="133" t="s">
        <v>846</v>
      </c>
      <c r="G24" s="133" t="b">
        <v>0</v>
      </c>
      <c r="H24" s="133" t="s">
        <v>846</v>
      </c>
      <c r="I24" s="133" t="s">
        <v>846</v>
      </c>
      <c r="J24" s="133" t="s">
        <v>846</v>
      </c>
      <c r="K24" s="133" t="s">
        <v>846</v>
      </c>
      <c r="L24" s="133" t="s">
        <v>840</v>
      </c>
      <c r="M24" s="133" t="s">
        <v>846</v>
      </c>
      <c r="N24" s="133" t="s">
        <v>846</v>
      </c>
      <c r="O24" s="133" t="b">
        <v>0</v>
      </c>
      <c r="P24" s="133" t="b">
        <v>0</v>
      </c>
      <c r="Q24" s="133" t="b">
        <v>0</v>
      </c>
      <c r="R24" s="133" t="s">
        <v>846</v>
      </c>
      <c r="S24" s="135" t="s">
        <v>846</v>
      </c>
      <c r="T24" s="132" t="s">
        <v>846</v>
      </c>
      <c r="U24" s="133" t="s">
        <v>846</v>
      </c>
      <c r="V24" s="133" t="s">
        <v>846</v>
      </c>
      <c r="W24" s="133" t="s">
        <v>846</v>
      </c>
      <c r="X24" s="133" t="s">
        <v>846</v>
      </c>
      <c r="Y24" s="133" t="b">
        <v>0</v>
      </c>
      <c r="Z24" s="133" t="s">
        <v>840</v>
      </c>
      <c r="AA24" s="133" t="s">
        <v>846</v>
      </c>
      <c r="AB24" s="133" t="b">
        <v>0</v>
      </c>
      <c r="AC24" s="133" t="s">
        <v>840</v>
      </c>
      <c r="AD24" s="133" t="b">
        <v>0</v>
      </c>
      <c r="AE24" s="135" t="s">
        <v>840</v>
      </c>
      <c r="AF24" s="132" t="s">
        <v>846</v>
      </c>
      <c r="AG24" s="133" t="b">
        <v>0</v>
      </c>
      <c r="AH24" s="133" t="b">
        <v>0</v>
      </c>
      <c r="AI24" s="133" t="s">
        <v>846</v>
      </c>
      <c r="AJ24" s="133" t="s">
        <v>846</v>
      </c>
      <c r="AK24" s="133" t="s">
        <v>840</v>
      </c>
      <c r="AL24" s="133" t="s">
        <v>846</v>
      </c>
      <c r="AM24" s="133" t="s">
        <v>846</v>
      </c>
      <c r="AN24" s="135" t="s">
        <v>846</v>
      </c>
      <c r="AO24" s="132" t="s">
        <v>840</v>
      </c>
      <c r="AP24" s="133" t="s">
        <v>846</v>
      </c>
      <c r="AQ24" s="133" t="s">
        <v>846</v>
      </c>
      <c r="AR24" s="133" t="s">
        <v>846</v>
      </c>
      <c r="AS24" s="133" t="b">
        <v>0</v>
      </c>
      <c r="AT24" s="133" t="s">
        <v>846</v>
      </c>
      <c r="AU24" s="133" t="s">
        <v>846</v>
      </c>
      <c r="AV24" s="133" t="s">
        <v>846</v>
      </c>
      <c r="AW24" s="133" t="s">
        <v>846</v>
      </c>
      <c r="AX24" s="133" t="s">
        <v>846</v>
      </c>
      <c r="AY24" s="133" t="s">
        <v>846</v>
      </c>
      <c r="AZ24" s="133" t="s">
        <v>840</v>
      </c>
      <c r="BA24" s="135" t="s">
        <v>840</v>
      </c>
      <c r="BB24" s="132" t="b">
        <v>0</v>
      </c>
      <c r="BC24" s="133" t="s">
        <v>846</v>
      </c>
      <c r="BD24" s="133" t="s">
        <v>846</v>
      </c>
      <c r="BE24" s="133" t="s">
        <v>846</v>
      </c>
      <c r="BF24" s="133" t="s">
        <v>840</v>
      </c>
      <c r="BG24" s="133" t="s">
        <v>846</v>
      </c>
      <c r="BH24" s="133" t="b">
        <v>0</v>
      </c>
      <c r="BI24" s="133" t="s">
        <v>846</v>
      </c>
      <c r="BJ24" s="133" t="s">
        <v>840</v>
      </c>
      <c r="BK24" s="133" t="s">
        <v>846</v>
      </c>
      <c r="BL24" s="133" t="b">
        <v>0</v>
      </c>
      <c r="BM24" s="133" t="s">
        <v>846</v>
      </c>
      <c r="BN24" s="133" t="s">
        <v>840</v>
      </c>
      <c r="BO24" s="133" t="s">
        <v>840</v>
      </c>
      <c r="BP24" s="133" t="s">
        <v>840</v>
      </c>
      <c r="BQ24" s="135" t="s">
        <v>840</v>
      </c>
      <c r="BR24" s="132" t="s">
        <v>846</v>
      </c>
      <c r="BS24" s="133" t="b">
        <v>0</v>
      </c>
      <c r="BT24" s="133" t="s">
        <v>846</v>
      </c>
      <c r="BU24" s="133" t="s">
        <v>846</v>
      </c>
      <c r="BV24" s="133" t="s">
        <v>846</v>
      </c>
      <c r="BW24" s="133" t="s">
        <v>846</v>
      </c>
      <c r="BX24" s="133" t="s">
        <v>846</v>
      </c>
      <c r="BY24" s="133" t="s">
        <v>846</v>
      </c>
      <c r="BZ24" s="133" t="s">
        <v>846</v>
      </c>
      <c r="CA24" s="133" t="s">
        <v>846</v>
      </c>
      <c r="CB24" s="135" t="s">
        <v>840</v>
      </c>
      <c r="CC24" s="132" t="s">
        <v>840</v>
      </c>
      <c r="CD24" s="133" t="s">
        <v>846</v>
      </c>
      <c r="CE24" s="133" t="s">
        <v>846</v>
      </c>
      <c r="CF24" s="133" t="s">
        <v>846</v>
      </c>
      <c r="CG24" s="133" t="s">
        <v>846</v>
      </c>
      <c r="CH24" s="133" t="b">
        <v>0</v>
      </c>
      <c r="CI24" s="133" t="s">
        <v>846</v>
      </c>
      <c r="CJ24" s="133" t="s">
        <v>846</v>
      </c>
      <c r="CK24" s="133" t="s">
        <v>846</v>
      </c>
      <c r="CL24" s="133" t="s">
        <v>840</v>
      </c>
      <c r="CM24" s="133" t="b">
        <v>0</v>
      </c>
      <c r="CN24" s="133" t="s">
        <v>846</v>
      </c>
      <c r="CO24" s="133" t="s">
        <v>840</v>
      </c>
      <c r="CP24" s="135" t="s">
        <v>840</v>
      </c>
      <c r="CQ24" s="132" t="b">
        <v>0</v>
      </c>
      <c r="CR24" s="133" t="s">
        <v>846</v>
      </c>
      <c r="CS24" s="133" t="s">
        <v>840</v>
      </c>
      <c r="CT24" s="133" t="b">
        <v>0</v>
      </c>
      <c r="CU24" s="133" t="b">
        <v>0</v>
      </c>
      <c r="CV24" s="133" t="b">
        <v>0</v>
      </c>
      <c r="CW24" s="133" t="s">
        <v>846</v>
      </c>
      <c r="CX24" s="133" t="s">
        <v>846</v>
      </c>
      <c r="CY24" s="133" t="s">
        <v>846</v>
      </c>
      <c r="CZ24" s="135" t="s">
        <v>846</v>
      </c>
      <c r="DA24" s="96">
        <v>16</v>
      </c>
      <c r="DB24" s="103">
        <f>COUNTIF(DonnéesBC[[#This Row],[1]:[16]],"FAUX")</f>
        <v>5</v>
      </c>
      <c r="DC24" s="103">
        <f>COUNTIF(DonnéesBC[[#This Row],[1]:[16]],"Je ne sais pas")</f>
        <v>1</v>
      </c>
      <c r="DD24" s="103">
        <f>COUNTIF(DonnéesBC[[#This Row],[1]:[16]],"Juste")</f>
        <v>10</v>
      </c>
      <c r="DE24" s="96">
        <v>12</v>
      </c>
      <c r="DF24" s="103">
        <f>COUNTIF(DonnéesBC[[#This Row],[17]:[28]],"FAUX")</f>
        <v>3</v>
      </c>
      <c r="DG24" s="103">
        <f>COUNTIF(DonnéesBC[[#This Row],[17]:[28]],"Je ne sais pas")</f>
        <v>3</v>
      </c>
      <c r="DH24" s="103">
        <f>COUNTIF(DonnéesBC[[#This Row],[17]:[28]],"Juste")</f>
        <v>6</v>
      </c>
      <c r="DI24" s="96">
        <v>9</v>
      </c>
      <c r="DJ24" s="103">
        <f>COUNTIF(DonnéesBC[[#This Row],[29]:[37]],"FAUX")</f>
        <v>2</v>
      </c>
      <c r="DK24" s="103">
        <f>COUNTIF(DonnéesBC[[#This Row],[29]:[37]],"Je ne sais pas")</f>
        <v>1</v>
      </c>
      <c r="DL24" s="103">
        <f>COUNTIF(DonnéesBC[[#This Row],[29]:[37]],"Juste")</f>
        <v>6</v>
      </c>
      <c r="DM24" s="96">
        <v>13</v>
      </c>
      <c r="DN24" s="103">
        <f>COUNTIF(DonnéesBC[[#This Row],[38]:[50]],"FAUX")</f>
        <v>1</v>
      </c>
      <c r="DO24" s="103">
        <f>COUNTIF(DonnéesBC[[#This Row],[38]:[50]],"Je ne sais pas")</f>
        <v>3</v>
      </c>
      <c r="DP24" s="103">
        <f>COUNTIF(DonnéesBC[[#This Row],[38]:[50]],"Juste")</f>
        <v>9</v>
      </c>
      <c r="DQ24" s="96">
        <v>16</v>
      </c>
      <c r="DR24" s="103">
        <f>COUNTIF(DonnéesBC[[#This Row],[51]:[66]],"FAUX")</f>
        <v>3</v>
      </c>
      <c r="DS24" s="103">
        <f>COUNTIF(DonnéesBC[[#This Row],[51]:[66]],"Je ne sais pas")</f>
        <v>6</v>
      </c>
      <c r="DT24" s="103">
        <f>COUNTIF(DonnéesBC[[#This Row],[51]:[66]],"Juste")</f>
        <v>7</v>
      </c>
      <c r="DU24" s="96">
        <v>11</v>
      </c>
      <c r="DV24" s="103">
        <f>COUNTIF(DonnéesBC[[#This Row],[67]:[77]],"FAUX")</f>
        <v>1</v>
      </c>
      <c r="DW24" s="103">
        <f>COUNTIF(DonnéesBC[[#This Row],[67]:[77]],"Je ne sais pas")</f>
        <v>1</v>
      </c>
      <c r="DX24" s="103">
        <f>COUNTIF(DonnéesBC[[#This Row],[67]:[77]],"Juste")</f>
        <v>9</v>
      </c>
      <c r="DY24" s="96">
        <v>14</v>
      </c>
      <c r="DZ24" s="103">
        <f>COUNTIF(DonnéesBC[[#This Row],[78]:[91]],"FAUX")</f>
        <v>2</v>
      </c>
      <c r="EA24" s="103">
        <f>COUNTIF(DonnéesBC[[#This Row],[78]:[91]],"Je ne sais pas")</f>
        <v>4</v>
      </c>
      <c r="EB24" s="103">
        <f>COUNTIF(DonnéesBC[[#This Row],[78]:[91]],"Juste")</f>
        <v>8</v>
      </c>
      <c r="EC24" s="96">
        <v>10</v>
      </c>
      <c r="ED24" s="103">
        <f>COUNTIF(DonnéesBC[[#This Row],[92]:[101]],"FAUX")</f>
        <v>4</v>
      </c>
      <c r="EE24" s="103">
        <f>COUNTIF(DonnéesBC[[#This Row],[92]:[101]],"Je ne sais pas")</f>
        <v>1</v>
      </c>
      <c r="EF24" s="103">
        <f>COUNTIF(DonnéesBC[[#This Row],[92]:[101]],"Juste")</f>
        <v>5</v>
      </c>
      <c r="EG24" s="96">
        <f>SUM(DonnéesBC[[#This Row],[A]]+DonnéesBC[[#This Row],[B]]+DonnéesBC[[#This Row],[C]]+DonnéesBC[[#This Row],[D]]+DonnéesBC[[#This Row],[E]]+DonnéesBC[[#This Row],[F]]+DonnéesBC[[#This Row],[G]]+DonnéesBC[[#This Row],[H]])</f>
        <v>101</v>
      </c>
      <c r="EH24" s="97">
        <f>SUM(DonnéesBC[[#This Row],[A2]]+DonnéesBC[[#This Row],[B2]]+DonnéesBC[[#This Row],[C2]]+DonnéesBC[[#This Row],[D2]]+DonnéesBC[[#This Row],[E2]]+DonnéesBC[[#This Row],[F2]]+DonnéesBC[[#This Row],[G2]]+DonnéesBC[[#This Row],[H2]])</f>
        <v>21</v>
      </c>
      <c r="EI24" s="98">
        <f>SUM(DonnéesBC[[#This Row],[A3]]+DonnéesBC[[#This Row],[B3]]+DonnéesBC[[#This Row],[C3]]+DonnéesBC[[#This Row],[D3]]+DonnéesBC[[#This Row],[E3]]+DonnéesBC[[#This Row],[F3]]+DonnéesBC[[#This Row],[G3]]+DonnéesBC[[#This Row],[H3]])</f>
        <v>20</v>
      </c>
      <c r="EJ24" s="103">
        <f>SUM(DonnéesBC[[#This Row],[A4]]+DonnéesBC[[#This Row],[B4]]+DonnéesBC[[#This Row],[C4]]+DonnéesBC[[#This Row],[D4]]+DonnéesBC[[#This Row],[E4]]+DonnéesBC[[#This Row],[F4]]+DonnéesBC[[#This Row],[G4]]+DonnéesBC[[#This Row],[H4]])</f>
        <v>60</v>
      </c>
      <c r="EK24" s="95"/>
      <c r="EL24">
        <v>37</v>
      </c>
    </row>
    <row r="25" spans="1:142" ht="14" customHeight="1">
      <c r="A25" s="101" t="str">
        <f>DonnéesBC[[#This Row],[Prénom]]&amp;" "&amp;DonnéesBC[[#This Row],[Nom]]</f>
        <v>Hector Herrera</v>
      </c>
      <c r="B25" s="97" t="s">
        <v>118</v>
      </c>
      <c r="C25" s="97" t="s">
        <v>119</v>
      </c>
      <c r="D25" s="136" t="s">
        <v>846</v>
      </c>
      <c r="E25" s="137" t="b">
        <v>0</v>
      </c>
      <c r="F25" s="137" t="s">
        <v>846</v>
      </c>
      <c r="G25" s="137" t="s">
        <v>846</v>
      </c>
      <c r="H25" s="137" t="s">
        <v>846</v>
      </c>
      <c r="I25" s="137" t="s">
        <v>846</v>
      </c>
      <c r="J25" s="137" t="s">
        <v>846</v>
      </c>
      <c r="K25" s="137" t="s">
        <v>840</v>
      </c>
      <c r="L25" s="137" t="s">
        <v>846</v>
      </c>
      <c r="M25" s="137" t="b">
        <v>0</v>
      </c>
      <c r="N25" s="137" t="s">
        <v>846</v>
      </c>
      <c r="O25" s="137" t="s">
        <v>846</v>
      </c>
      <c r="P25" s="137" t="s">
        <v>846</v>
      </c>
      <c r="Q25" s="137" t="s">
        <v>846</v>
      </c>
      <c r="R25" s="137" t="s">
        <v>846</v>
      </c>
      <c r="S25" s="138" t="s">
        <v>846</v>
      </c>
      <c r="T25" s="136" t="s">
        <v>846</v>
      </c>
      <c r="U25" s="137" t="s">
        <v>846</v>
      </c>
      <c r="V25" s="137" t="b">
        <v>0</v>
      </c>
      <c r="W25" s="137" t="s">
        <v>846</v>
      </c>
      <c r="X25" s="137" t="b">
        <v>0</v>
      </c>
      <c r="Y25" s="137" t="s">
        <v>840</v>
      </c>
      <c r="Z25" s="137" t="b">
        <v>0</v>
      </c>
      <c r="AA25" s="137" t="s">
        <v>840</v>
      </c>
      <c r="AB25" s="137" t="b">
        <v>0</v>
      </c>
      <c r="AC25" s="137" t="s">
        <v>846</v>
      </c>
      <c r="AD25" s="137" t="s">
        <v>846</v>
      </c>
      <c r="AE25" s="138" t="s">
        <v>840</v>
      </c>
      <c r="AF25" s="136" t="s">
        <v>846</v>
      </c>
      <c r="AG25" s="137" t="s">
        <v>846</v>
      </c>
      <c r="AH25" s="137" t="s">
        <v>846</v>
      </c>
      <c r="AI25" s="137" t="s">
        <v>840</v>
      </c>
      <c r="AJ25" s="137" t="s">
        <v>846</v>
      </c>
      <c r="AK25" s="137" t="s">
        <v>846</v>
      </c>
      <c r="AL25" s="137" t="s">
        <v>846</v>
      </c>
      <c r="AM25" s="137" t="s">
        <v>846</v>
      </c>
      <c r="AN25" s="138" t="s">
        <v>846</v>
      </c>
      <c r="AO25" s="136" t="s">
        <v>840</v>
      </c>
      <c r="AP25" s="137" t="s">
        <v>846</v>
      </c>
      <c r="AQ25" s="137" t="s">
        <v>846</v>
      </c>
      <c r="AR25" s="137" t="s">
        <v>840</v>
      </c>
      <c r="AS25" s="137" t="s">
        <v>846</v>
      </c>
      <c r="AT25" s="137" t="s">
        <v>846</v>
      </c>
      <c r="AU25" s="137" t="s">
        <v>846</v>
      </c>
      <c r="AV25" s="137" t="s">
        <v>846</v>
      </c>
      <c r="AW25" s="137" t="s">
        <v>846</v>
      </c>
      <c r="AX25" s="137" t="s">
        <v>840</v>
      </c>
      <c r="AY25" s="137" t="s">
        <v>846</v>
      </c>
      <c r="AZ25" s="137" t="b">
        <v>0</v>
      </c>
      <c r="BA25" s="138" t="s">
        <v>846</v>
      </c>
      <c r="BB25" s="136" t="s">
        <v>846</v>
      </c>
      <c r="BC25" s="137" t="s">
        <v>846</v>
      </c>
      <c r="BD25" s="137" t="s">
        <v>846</v>
      </c>
      <c r="BE25" s="137" t="s">
        <v>846</v>
      </c>
      <c r="BF25" s="137" t="s">
        <v>846</v>
      </c>
      <c r="BG25" s="137" t="b">
        <v>0</v>
      </c>
      <c r="BH25" s="137" t="s">
        <v>846</v>
      </c>
      <c r="BI25" s="137" t="s">
        <v>846</v>
      </c>
      <c r="BJ25" s="137" t="s">
        <v>846</v>
      </c>
      <c r="BK25" s="137" t="s">
        <v>846</v>
      </c>
      <c r="BL25" s="137" t="s">
        <v>846</v>
      </c>
      <c r="BM25" s="137" t="b">
        <v>0</v>
      </c>
      <c r="BN25" s="137" t="b">
        <v>0</v>
      </c>
      <c r="BO25" s="137" t="s">
        <v>846</v>
      </c>
      <c r="BP25" s="137" t="s">
        <v>846</v>
      </c>
      <c r="BQ25" s="138" t="s">
        <v>846</v>
      </c>
      <c r="BR25" s="136" t="s">
        <v>846</v>
      </c>
      <c r="BS25" s="137" t="s">
        <v>846</v>
      </c>
      <c r="BT25" s="137" t="s">
        <v>846</v>
      </c>
      <c r="BU25" s="137" t="s">
        <v>846</v>
      </c>
      <c r="BV25" s="137" t="s">
        <v>846</v>
      </c>
      <c r="BW25" s="137" t="s">
        <v>846</v>
      </c>
      <c r="BX25" s="137" t="s">
        <v>846</v>
      </c>
      <c r="BY25" s="137" t="s">
        <v>846</v>
      </c>
      <c r="BZ25" s="137" t="b">
        <v>0</v>
      </c>
      <c r="CA25" s="137" t="s">
        <v>846</v>
      </c>
      <c r="CB25" s="138" t="s">
        <v>846</v>
      </c>
      <c r="CC25" s="136" t="s">
        <v>846</v>
      </c>
      <c r="CD25" s="137" t="s">
        <v>846</v>
      </c>
      <c r="CE25" s="137" t="s">
        <v>846</v>
      </c>
      <c r="CF25" s="137" t="s">
        <v>846</v>
      </c>
      <c r="CG25" s="137" t="s">
        <v>846</v>
      </c>
      <c r="CH25" s="137" t="b">
        <v>0</v>
      </c>
      <c r="CI25" s="137" t="s">
        <v>846</v>
      </c>
      <c r="CJ25" s="137" t="s">
        <v>846</v>
      </c>
      <c r="CK25" s="137" t="s">
        <v>846</v>
      </c>
      <c r="CL25" s="137" t="s">
        <v>846</v>
      </c>
      <c r="CM25" s="137" t="s">
        <v>846</v>
      </c>
      <c r="CN25" s="137" t="s">
        <v>846</v>
      </c>
      <c r="CO25" s="137" t="b">
        <v>0</v>
      </c>
      <c r="CP25" s="138" t="s">
        <v>840</v>
      </c>
      <c r="CQ25" s="136" t="s">
        <v>846</v>
      </c>
      <c r="CR25" s="137" t="s">
        <v>846</v>
      </c>
      <c r="CS25" s="137" t="s">
        <v>846</v>
      </c>
      <c r="CT25" s="137" t="s">
        <v>846</v>
      </c>
      <c r="CU25" s="137" t="s">
        <v>846</v>
      </c>
      <c r="CV25" s="137" t="s">
        <v>846</v>
      </c>
      <c r="CW25" s="137" t="s">
        <v>846</v>
      </c>
      <c r="CX25" s="137" t="s">
        <v>846</v>
      </c>
      <c r="CY25" s="137" t="s">
        <v>846</v>
      </c>
      <c r="CZ25" s="138" t="s">
        <v>846</v>
      </c>
      <c r="DA25" s="96">
        <v>16</v>
      </c>
      <c r="DB25" s="103">
        <f>COUNTIF(DonnéesBC[[#This Row],[1]:[16]],"FAUX")</f>
        <v>2</v>
      </c>
      <c r="DC25" s="103">
        <f>COUNTIF(DonnéesBC[[#This Row],[1]:[16]],"Je ne sais pas")</f>
        <v>1</v>
      </c>
      <c r="DD25" s="103">
        <f>COUNTIF(DonnéesBC[[#This Row],[1]:[16]],"Juste")</f>
        <v>13</v>
      </c>
      <c r="DE25" s="96">
        <v>12</v>
      </c>
      <c r="DF25" s="103">
        <f>COUNTIF(DonnéesBC[[#This Row],[17]:[28]],"FAUX")</f>
        <v>4</v>
      </c>
      <c r="DG25" s="103">
        <f>COUNTIF(DonnéesBC[[#This Row],[17]:[28]],"Je ne sais pas")</f>
        <v>3</v>
      </c>
      <c r="DH25" s="103">
        <f>COUNTIF(DonnéesBC[[#This Row],[17]:[28]],"Juste")</f>
        <v>5</v>
      </c>
      <c r="DI25" s="96">
        <v>9</v>
      </c>
      <c r="DJ25" s="103">
        <f>COUNTIF(DonnéesBC[[#This Row],[29]:[37]],"FAUX")</f>
        <v>0</v>
      </c>
      <c r="DK25" s="103">
        <f>COUNTIF(DonnéesBC[[#This Row],[29]:[37]],"Je ne sais pas")</f>
        <v>1</v>
      </c>
      <c r="DL25" s="103">
        <f>COUNTIF(DonnéesBC[[#This Row],[29]:[37]],"Juste")</f>
        <v>8</v>
      </c>
      <c r="DM25" s="96">
        <v>13</v>
      </c>
      <c r="DN25" s="103">
        <f>COUNTIF(DonnéesBC[[#This Row],[38]:[50]],"FAUX")</f>
        <v>1</v>
      </c>
      <c r="DO25" s="103">
        <f>COUNTIF(DonnéesBC[[#This Row],[38]:[50]],"Je ne sais pas")</f>
        <v>3</v>
      </c>
      <c r="DP25" s="103">
        <f>COUNTIF(DonnéesBC[[#This Row],[38]:[50]],"Juste")</f>
        <v>9</v>
      </c>
      <c r="DQ25" s="96">
        <v>16</v>
      </c>
      <c r="DR25" s="103">
        <f>COUNTIF(DonnéesBC[[#This Row],[51]:[66]],"FAUX")</f>
        <v>3</v>
      </c>
      <c r="DS25" s="103">
        <f>COUNTIF(DonnéesBC[[#This Row],[51]:[66]],"Je ne sais pas")</f>
        <v>0</v>
      </c>
      <c r="DT25" s="103">
        <f>COUNTIF(DonnéesBC[[#This Row],[51]:[66]],"Juste")</f>
        <v>13</v>
      </c>
      <c r="DU25" s="96">
        <v>11</v>
      </c>
      <c r="DV25" s="103">
        <f>COUNTIF(DonnéesBC[[#This Row],[67]:[77]],"FAUX")</f>
        <v>1</v>
      </c>
      <c r="DW25" s="103">
        <f>COUNTIF(DonnéesBC[[#This Row],[67]:[77]],"Je ne sais pas")</f>
        <v>0</v>
      </c>
      <c r="DX25" s="103">
        <f>COUNTIF(DonnéesBC[[#This Row],[67]:[77]],"Juste")</f>
        <v>10</v>
      </c>
      <c r="DY25" s="96">
        <v>14</v>
      </c>
      <c r="DZ25" s="103">
        <f>COUNTIF(DonnéesBC[[#This Row],[78]:[91]],"FAUX")</f>
        <v>2</v>
      </c>
      <c r="EA25" s="103">
        <f>COUNTIF(DonnéesBC[[#This Row],[78]:[91]],"Je ne sais pas")</f>
        <v>1</v>
      </c>
      <c r="EB25" s="103">
        <f>COUNTIF(DonnéesBC[[#This Row],[78]:[91]],"Juste")</f>
        <v>11</v>
      </c>
      <c r="EC25" s="96">
        <v>10</v>
      </c>
      <c r="ED25" s="103">
        <f>COUNTIF(DonnéesBC[[#This Row],[92]:[101]],"FAUX")</f>
        <v>0</v>
      </c>
      <c r="EE25" s="103">
        <f>COUNTIF(DonnéesBC[[#This Row],[92]:[101]],"Je ne sais pas")</f>
        <v>0</v>
      </c>
      <c r="EF25" s="103">
        <f>COUNTIF(DonnéesBC[[#This Row],[92]:[101]],"Juste")</f>
        <v>10</v>
      </c>
      <c r="EG25" s="96">
        <f>SUM(DonnéesBC[[#This Row],[A]]+DonnéesBC[[#This Row],[B]]+DonnéesBC[[#This Row],[C]]+DonnéesBC[[#This Row],[D]]+DonnéesBC[[#This Row],[E]]+DonnéesBC[[#This Row],[F]]+DonnéesBC[[#This Row],[G]]+DonnéesBC[[#This Row],[H]])</f>
        <v>101</v>
      </c>
      <c r="EH25" s="97">
        <f>SUM(DonnéesBC[[#This Row],[A2]]+DonnéesBC[[#This Row],[B2]]+DonnéesBC[[#This Row],[C2]]+DonnéesBC[[#This Row],[D2]]+DonnéesBC[[#This Row],[E2]]+DonnéesBC[[#This Row],[F2]]+DonnéesBC[[#This Row],[G2]]+DonnéesBC[[#This Row],[H2]])</f>
        <v>13</v>
      </c>
      <c r="EI25" s="98">
        <f>SUM(DonnéesBC[[#This Row],[A3]]+DonnéesBC[[#This Row],[B3]]+DonnéesBC[[#This Row],[C3]]+DonnéesBC[[#This Row],[D3]]+DonnéesBC[[#This Row],[E3]]+DonnéesBC[[#This Row],[F3]]+DonnéesBC[[#This Row],[G3]]+DonnéesBC[[#This Row],[H3]])</f>
        <v>9</v>
      </c>
      <c r="EJ25" s="103">
        <f>SUM(DonnéesBC[[#This Row],[A4]]+DonnéesBC[[#This Row],[B4]]+DonnéesBC[[#This Row],[C4]]+DonnéesBC[[#This Row],[D4]]+DonnéesBC[[#This Row],[E4]]+DonnéesBC[[#This Row],[F4]]+DonnéesBC[[#This Row],[G4]]+DonnéesBC[[#This Row],[H4]])</f>
        <v>79</v>
      </c>
      <c r="EK25" s="95"/>
      <c r="EL25">
        <v>36</v>
      </c>
    </row>
    <row r="26" spans="1:142" ht="14" customHeight="1">
      <c r="A26" s="101" t="str">
        <f>DonnéesBC[[#This Row],[Prénom]]&amp;" "&amp;DonnéesBC[[#This Row],[Nom]]</f>
        <v>Ines Ferreira</v>
      </c>
      <c r="B26" s="98" t="s">
        <v>311</v>
      </c>
      <c r="C26" s="98" t="s">
        <v>312</v>
      </c>
      <c r="D26" s="132" t="b">
        <v>0</v>
      </c>
      <c r="E26" s="133" t="b">
        <v>0</v>
      </c>
      <c r="F26" s="133" t="s">
        <v>846</v>
      </c>
      <c r="G26" s="133" t="s">
        <v>840</v>
      </c>
      <c r="H26" s="133" t="s">
        <v>846</v>
      </c>
      <c r="I26" s="133" t="b">
        <v>0</v>
      </c>
      <c r="J26" s="133" t="s">
        <v>846</v>
      </c>
      <c r="K26" s="133" t="b">
        <v>0</v>
      </c>
      <c r="L26" s="133" t="s">
        <v>840</v>
      </c>
      <c r="M26" s="133" t="s">
        <v>846</v>
      </c>
      <c r="N26" s="133" t="b">
        <v>0</v>
      </c>
      <c r="O26" s="133" t="b">
        <v>0</v>
      </c>
      <c r="P26" s="133" t="s">
        <v>840</v>
      </c>
      <c r="Q26" s="133" t="b">
        <v>0</v>
      </c>
      <c r="R26" s="133" t="s">
        <v>846</v>
      </c>
      <c r="S26" s="134" t="b">
        <v>0</v>
      </c>
      <c r="T26" s="132" t="s">
        <v>846</v>
      </c>
      <c r="U26" s="133" t="s">
        <v>846</v>
      </c>
      <c r="V26" s="133" t="s">
        <v>846</v>
      </c>
      <c r="W26" s="133" t="b">
        <v>0</v>
      </c>
      <c r="X26" s="133" t="s">
        <v>840</v>
      </c>
      <c r="Y26" s="133" t="s">
        <v>840</v>
      </c>
      <c r="Z26" s="133" t="s">
        <v>840</v>
      </c>
      <c r="AA26" s="133" t="b">
        <v>0</v>
      </c>
      <c r="AB26" s="133" t="b">
        <v>0</v>
      </c>
      <c r="AC26" s="133" t="b">
        <v>0</v>
      </c>
      <c r="AD26" s="133" t="s">
        <v>846</v>
      </c>
      <c r="AE26" s="134" t="s">
        <v>846</v>
      </c>
      <c r="AF26" s="132" t="s">
        <v>846</v>
      </c>
      <c r="AG26" s="133" t="b">
        <v>0</v>
      </c>
      <c r="AH26" s="133" t="s">
        <v>846</v>
      </c>
      <c r="AI26" s="133" t="b">
        <v>0</v>
      </c>
      <c r="AJ26" s="133" t="s">
        <v>846</v>
      </c>
      <c r="AK26" s="133" t="b">
        <v>0</v>
      </c>
      <c r="AL26" s="133" t="b">
        <v>0</v>
      </c>
      <c r="AM26" s="133" t="s">
        <v>846</v>
      </c>
      <c r="AN26" s="134" t="s">
        <v>840</v>
      </c>
      <c r="AO26" s="132" t="b">
        <v>0</v>
      </c>
      <c r="AP26" s="133" t="s">
        <v>846</v>
      </c>
      <c r="AQ26" s="133" t="s">
        <v>846</v>
      </c>
      <c r="AR26" s="133" t="s">
        <v>840</v>
      </c>
      <c r="AS26" s="133" t="b">
        <v>0</v>
      </c>
      <c r="AT26" s="133" t="s">
        <v>846</v>
      </c>
      <c r="AU26" s="133" t="s">
        <v>846</v>
      </c>
      <c r="AV26" s="133" t="s">
        <v>846</v>
      </c>
      <c r="AW26" s="133" t="s">
        <v>840</v>
      </c>
      <c r="AX26" s="133" t="s">
        <v>846</v>
      </c>
      <c r="AY26" s="133" t="s">
        <v>846</v>
      </c>
      <c r="AZ26" s="133" t="s">
        <v>840</v>
      </c>
      <c r="BA26" s="134" t="s">
        <v>840</v>
      </c>
      <c r="BB26" s="132" t="s">
        <v>840</v>
      </c>
      <c r="BC26" s="133" t="s">
        <v>846</v>
      </c>
      <c r="BD26" s="133" t="s">
        <v>840</v>
      </c>
      <c r="BE26" s="133" t="s">
        <v>846</v>
      </c>
      <c r="BF26" s="133" t="s">
        <v>840</v>
      </c>
      <c r="BG26" s="133" t="s">
        <v>840</v>
      </c>
      <c r="BH26" s="133" t="s">
        <v>846</v>
      </c>
      <c r="BI26" s="133" t="s">
        <v>846</v>
      </c>
      <c r="BJ26" s="133" t="b">
        <v>0</v>
      </c>
      <c r="BK26" s="133" t="s">
        <v>840</v>
      </c>
      <c r="BL26" s="133" t="b">
        <v>0</v>
      </c>
      <c r="BM26" s="133" t="s">
        <v>846</v>
      </c>
      <c r="BN26" s="133" t="s">
        <v>840</v>
      </c>
      <c r="BO26" s="133" t="s">
        <v>840</v>
      </c>
      <c r="BP26" s="133" t="s">
        <v>840</v>
      </c>
      <c r="BQ26" s="134" t="s">
        <v>840</v>
      </c>
      <c r="BR26" s="132" t="s">
        <v>846</v>
      </c>
      <c r="BS26" s="133" t="b">
        <v>0</v>
      </c>
      <c r="BT26" s="133" t="s">
        <v>846</v>
      </c>
      <c r="BU26" s="133" t="s">
        <v>840</v>
      </c>
      <c r="BV26" s="133" t="s">
        <v>846</v>
      </c>
      <c r="BW26" s="133" t="b">
        <v>0</v>
      </c>
      <c r="BX26" s="133" t="s">
        <v>846</v>
      </c>
      <c r="BY26" s="133" t="s">
        <v>840</v>
      </c>
      <c r="BZ26" s="133" t="s">
        <v>840</v>
      </c>
      <c r="CA26" s="133" t="s">
        <v>840</v>
      </c>
      <c r="CB26" s="134" t="s">
        <v>840</v>
      </c>
      <c r="CC26" s="132" t="s">
        <v>840</v>
      </c>
      <c r="CD26" s="133" t="s">
        <v>846</v>
      </c>
      <c r="CE26" s="133" t="b">
        <v>0</v>
      </c>
      <c r="CF26" s="133" t="b">
        <v>0</v>
      </c>
      <c r="CG26" s="133" t="s">
        <v>846</v>
      </c>
      <c r="CH26" s="133" t="s">
        <v>840</v>
      </c>
      <c r="CI26" s="133" t="s">
        <v>840</v>
      </c>
      <c r="CJ26" s="133" t="s">
        <v>840</v>
      </c>
      <c r="CK26" s="133" t="b">
        <v>0</v>
      </c>
      <c r="CL26" s="133" t="s">
        <v>840</v>
      </c>
      <c r="CM26" s="133" t="s">
        <v>840</v>
      </c>
      <c r="CN26" s="133" t="b">
        <v>0</v>
      </c>
      <c r="CO26" s="133" t="s">
        <v>840</v>
      </c>
      <c r="CP26" s="134" t="s">
        <v>846</v>
      </c>
      <c r="CQ26" s="132" t="s">
        <v>846</v>
      </c>
      <c r="CR26" s="133" t="s">
        <v>846</v>
      </c>
      <c r="CS26" s="133" t="b">
        <v>0</v>
      </c>
      <c r="CT26" s="133" t="b">
        <v>0</v>
      </c>
      <c r="CU26" s="133" t="s">
        <v>840</v>
      </c>
      <c r="CV26" s="133" t="s">
        <v>840</v>
      </c>
      <c r="CW26" s="133" t="s">
        <v>840</v>
      </c>
      <c r="CX26" s="133" t="s">
        <v>846</v>
      </c>
      <c r="CY26" s="133" t="b">
        <v>0</v>
      </c>
      <c r="CZ26" s="135" t="b">
        <v>0</v>
      </c>
      <c r="DA26" s="96">
        <v>16</v>
      </c>
      <c r="DB26" s="103">
        <f>COUNTIF(DonnéesBC[[#This Row],[1]:[16]],"FAUX")</f>
        <v>8</v>
      </c>
      <c r="DC26" s="103">
        <f>COUNTIF(DonnéesBC[[#This Row],[1]:[16]],"Je ne sais pas")</f>
        <v>3</v>
      </c>
      <c r="DD26" s="103">
        <f>COUNTIF(DonnéesBC[[#This Row],[1]:[16]],"Juste")</f>
        <v>5</v>
      </c>
      <c r="DE26" s="96">
        <v>12</v>
      </c>
      <c r="DF26" s="103">
        <f>COUNTIF(DonnéesBC[[#This Row],[17]:[28]],"FAUX")</f>
        <v>4</v>
      </c>
      <c r="DG26" s="103">
        <f>COUNTIF(DonnéesBC[[#This Row],[17]:[28]],"Je ne sais pas")</f>
        <v>3</v>
      </c>
      <c r="DH26" s="103">
        <f>COUNTIF(DonnéesBC[[#This Row],[17]:[28]],"Juste")</f>
        <v>5</v>
      </c>
      <c r="DI26" s="96">
        <v>9</v>
      </c>
      <c r="DJ26" s="103">
        <f>COUNTIF(DonnéesBC[[#This Row],[29]:[37]],"FAUX")</f>
        <v>4</v>
      </c>
      <c r="DK26" s="103">
        <f>COUNTIF(DonnéesBC[[#This Row],[29]:[37]],"Je ne sais pas")</f>
        <v>1</v>
      </c>
      <c r="DL26" s="103">
        <f>COUNTIF(DonnéesBC[[#This Row],[29]:[37]],"Juste")</f>
        <v>4</v>
      </c>
      <c r="DM26" s="96">
        <v>13</v>
      </c>
      <c r="DN26" s="103">
        <f>COUNTIF(DonnéesBC[[#This Row],[38]:[50]],"FAUX")</f>
        <v>2</v>
      </c>
      <c r="DO26" s="103">
        <f>COUNTIF(DonnéesBC[[#This Row],[38]:[50]],"Je ne sais pas")</f>
        <v>4</v>
      </c>
      <c r="DP26" s="103">
        <f>COUNTIF(DonnéesBC[[#This Row],[38]:[50]],"Juste")</f>
        <v>7</v>
      </c>
      <c r="DQ26" s="96">
        <v>16</v>
      </c>
      <c r="DR26" s="103">
        <f>COUNTIF(DonnéesBC[[#This Row],[51]:[66]],"FAUX")</f>
        <v>2</v>
      </c>
      <c r="DS26" s="103">
        <f>COUNTIF(DonnéesBC[[#This Row],[51]:[66]],"Je ne sais pas")</f>
        <v>9</v>
      </c>
      <c r="DT26" s="103">
        <f>COUNTIF(DonnéesBC[[#This Row],[51]:[66]],"Juste")</f>
        <v>5</v>
      </c>
      <c r="DU26" s="96">
        <v>11</v>
      </c>
      <c r="DV26" s="103">
        <f>COUNTIF(DonnéesBC[[#This Row],[67]:[77]],"FAUX")</f>
        <v>2</v>
      </c>
      <c r="DW26" s="103">
        <f>COUNTIF(DonnéesBC[[#This Row],[67]:[77]],"Je ne sais pas")</f>
        <v>5</v>
      </c>
      <c r="DX26" s="103">
        <f>COUNTIF(DonnéesBC[[#This Row],[67]:[77]],"Juste")</f>
        <v>4</v>
      </c>
      <c r="DY26" s="96">
        <v>14</v>
      </c>
      <c r="DZ26" s="103">
        <f>COUNTIF(DonnéesBC[[#This Row],[78]:[91]],"FAUX")</f>
        <v>4</v>
      </c>
      <c r="EA26" s="103">
        <f>COUNTIF(DonnéesBC[[#This Row],[78]:[91]],"Je ne sais pas")</f>
        <v>7</v>
      </c>
      <c r="EB26" s="103">
        <f>COUNTIF(DonnéesBC[[#This Row],[78]:[91]],"Juste")</f>
        <v>3</v>
      </c>
      <c r="EC26" s="96">
        <v>10</v>
      </c>
      <c r="ED26" s="103">
        <f>COUNTIF(DonnéesBC[[#This Row],[92]:[101]],"FAUX")</f>
        <v>4</v>
      </c>
      <c r="EE26" s="103">
        <f>COUNTIF(DonnéesBC[[#This Row],[92]:[101]],"Je ne sais pas")</f>
        <v>3</v>
      </c>
      <c r="EF26" s="103">
        <f>COUNTIF(DonnéesBC[[#This Row],[92]:[101]],"Juste")</f>
        <v>3</v>
      </c>
      <c r="EG26" s="96">
        <f>SUM(DonnéesBC[[#This Row],[A]]+DonnéesBC[[#This Row],[B]]+DonnéesBC[[#This Row],[C]]+DonnéesBC[[#This Row],[D]]+DonnéesBC[[#This Row],[E]]+DonnéesBC[[#This Row],[F]]+DonnéesBC[[#This Row],[G]]+DonnéesBC[[#This Row],[H]])</f>
        <v>101</v>
      </c>
      <c r="EH26" s="97">
        <f>SUM(DonnéesBC[[#This Row],[A2]]+DonnéesBC[[#This Row],[B2]]+DonnéesBC[[#This Row],[C2]]+DonnéesBC[[#This Row],[D2]]+DonnéesBC[[#This Row],[E2]]+DonnéesBC[[#This Row],[F2]]+DonnéesBC[[#This Row],[G2]]+DonnéesBC[[#This Row],[H2]])</f>
        <v>30</v>
      </c>
      <c r="EI26" s="98">
        <f>SUM(DonnéesBC[[#This Row],[A3]]+DonnéesBC[[#This Row],[B3]]+DonnéesBC[[#This Row],[C3]]+DonnéesBC[[#This Row],[D3]]+DonnéesBC[[#This Row],[E3]]+DonnéesBC[[#This Row],[F3]]+DonnéesBC[[#This Row],[G3]]+DonnéesBC[[#This Row],[H3]])</f>
        <v>35</v>
      </c>
      <c r="EJ26" s="103">
        <f>SUM(DonnéesBC[[#This Row],[A4]]+DonnéesBC[[#This Row],[B4]]+DonnéesBC[[#This Row],[C4]]+DonnéesBC[[#This Row],[D4]]+DonnéesBC[[#This Row],[E4]]+DonnéesBC[[#This Row],[F4]]+DonnéesBC[[#This Row],[G4]]+DonnéesBC[[#This Row],[H4]])</f>
        <v>36</v>
      </c>
      <c r="EK26" s="95"/>
      <c r="EL26">
        <v>34</v>
      </c>
    </row>
    <row r="27" spans="1:142" ht="14" customHeight="1">
      <c r="A27" s="101" t="str">
        <f>DonnéesBC[[#This Row],[Prénom]]&amp;" "&amp;DonnéesBC[[#This Row],[Nom]]</f>
        <v>Isabelle Ferrero</v>
      </c>
      <c r="B27" s="97" t="s">
        <v>120</v>
      </c>
      <c r="C27" s="97" t="s">
        <v>121</v>
      </c>
      <c r="D27" s="136" t="b">
        <v>0</v>
      </c>
      <c r="E27" s="137" t="s">
        <v>846</v>
      </c>
      <c r="F27" s="137" t="s">
        <v>846</v>
      </c>
      <c r="G27" s="137" t="s">
        <v>846</v>
      </c>
      <c r="H27" s="137" t="s">
        <v>846</v>
      </c>
      <c r="I27" s="137" t="s">
        <v>846</v>
      </c>
      <c r="J27" s="137" t="s">
        <v>846</v>
      </c>
      <c r="K27" s="137" t="b">
        <v>0</v>
      </c>
      <c r="L27" s="137" t="b">
        <v>0</v>
      </c>
      <c r="M27" s="137" t="s">
        <v>846</v>
      </c>
      <c r="N27" s="137" t="s">
        <v>846</v>
      </c>
      <c r="O27" s="137" t="s">
        <v>846</v>
      </c>
      <c r="P27" s="137" t="s">
        <v>846</v>
      </c>
      <c r="Q27" s="137" t="b">
        <v>0</v>
      </c>
      <c r="R27" s="137" t="s">
        <v>846</v>
      </c>
      <c r="S27" s="138" t="b">
        <v>0</v>
      </c>
      <c r="T27" s="136" t="s">
        <v>846</v>
      </c>
      <c r="U27" s="137" t="s">
        <v>846</v>
      </c>
      <c r="V27" s="137" t="s">
        <v>846</v>
      </c>
      <c r="W27" s="137" t="b">
        <v>0</v>
      </c>
      <c r="X27" s="137" t="b">
        <v>0</v>
      </c>
      <c r="Y27" s="137" t="s">
        <v>846</v>
      </c>
      <c r="Z27" s="137" t="s">
        <v>846</v>
      </c>
      <c r="AA27" s="137" t="s">
        <v>846</v>
      </c>
      <c r="AB27" s="137" t="b">
        <v>0</v>
      </c>
      <c r="AC27" s="137" t="b">
        <v>0</v>
      </c>
      <c r="AD27" s="137" t="b">
        <v>0</v>
      </c>
      <c r="AE27" s="138" t="b">
        <v>0</v>
      </c>
      <c r="AF27" s="136" t="s">
        <v>846</v>
      </c>
      <c r="AG27" s="137" t="s">
        <v>846</v>
      </c>
      <c r="AH27" s="137" t="b">
        <v>0</v>
      </c>
      <c r="AI27" s="137" t="s">
        <v>846</v>
      </c>
      <c r="AJ27" s="137" t="b">
        <v>0</v>
      </c>
      <c r="AK27" s="137" t="s">
        <v>846</v>
      </c>
      <c r="AL27" s="137" t="s">
        <v>846</v>
      </c>
      <c r="AM27" s="137" t="b">
        <v>0</v>
      </c>
      <c r="AN27" s="138" t="s">
        <v>846</v>
      </c>
      <c r="AO27" s="136" t="s">
        <v>840</v>
      </c>
      <c r="AP27" s="137" t="s">
        <v>846</v>
      </c>
      <c r="AQ27" s="137" t="s">
        <v>846</v>
      </c>
      <c r="AR27" s="137" t="s">
        <v>846</v>
      </c>
      <c r="AS27" s="137" t="b">
        <v>0</v>
      </c>
      <c r="AT27" s="137" t="s">
        <v>846</v>
      </c>
      <c r="AU27" s="137" t="s">
        <v>846</v>
      </c>
      <c r="AV27" s="137" t="s">
        <v>846</v>
      </c>
      <c r="AW27" s="137" t="s">
        <v>846</v>
      </c>
      <c r="AX27" s="137" t="s">
        <v>846</v>
      </c>
      <c r="AY27" s="137" t="s">
        <v>846</v>
      </c>
      <c r="AZ27" s="137" t="s">
        <v>846</v>
      </c>
      <c r="BA27" s="138" t="s">
        <v>840</v>
      </c>
      <c r="BB27" s="136" t="s">
        <v>846</v>
      </c>
      <c r="BC27" s="137" t="s">
        <v>846</v>
      </c>
      <c r="BD27" s="137" t="s">
        <v>846</v>
      </c>
      <c r="BE27" s="137" t="s">
        <v>846</v>
      </c>
      <c r="BF27" s="137" t="s">
        <v>846</v>
      </c>
      <c r="BG27" s="137" t="s">
        <v>840</v>
      </c>
      <c r="BH27" s="137" t="b">
        <v>0</v>
      </c>
      <c r="BI27" s="137" t="s">
        <v>846</v>
      </c>
      <c r="BJ27" s="137" t="s">
        <v>840</v>
      </c>
      <c r="BK27" s="137" t="s">
        <v>846</v>
      </c>
      <c r="BL27" s="137" t="b">
        <v>0</v>
      </c>
      <c r="BM27" s="137" t="s">
        <v>846</v>
      </c>
      <c r="BN27" s="137" t="s">
        <v>840</v>
      </c>
      <c r="BO27" s="137" t="s">
        <v>840</v>
      </c>
      <c r="BP27" s="137" t="b">
        <v>0</v>
      </c>
      <c r="BQ27" s="138" t="s">
        <v>840</v>
      </c>
      <c r="BR27" s="136" t="s">
        <v>846</v>
      </c>
      <c r="BS27" s="137" t="s">
        <v>846</v>
      </c>
      <c r="BT27" s="137" t="s">
        <v>846</v>
      </c>
      <c r="BU27" s="137" t="b">
        <v>0</v>
      </c>
      <c r="BV27" s="137" t="s">
        <v>846</v>
      </c>
      <c r="BW27" s="137" t="s">
        <v>846</v>
      </c>
      <c r="BX27" s="137" t="s">
        <v>846</v>
      </c>
      <c r="BY27" s="137" t="s">
        <v>846</v>
      </c>
      <c r="BZ27" s="137" t="s">
        <v>846</v>
      </c>
      <c r="CA27" s="137" t="b">
        <v>0</v>
      </c>
      <c r="CB27" s="138" t="s">
        <v>840</v>
      </c>
      <c r="CC27" s="136" t="s">
        <v>846</v>
      </c>
      <c r="CD27" s="137" t="s">
        <v>846</v>
      </c>
      <c r="CE27" s="137" t="s">
        <v>846</v>
      </c>
      <c r="CF27" s="137" t="b">
        <v>0</v>
      </c>
      <c r="CG27" s="137" t="s">
        <v>846</v>
      </c>
      <c r="CH27" s="137" t="s">
        <v>846</v>
      </c>
      <c r="CI27" s="137" t="s">
        <v>846</v>
      </c>
      <c r="CJ27" s="137" t="s">
        <v>846</v>
      </c>
      <c r="CK27" s="137" t="s">
        <v>846</v>
      </c>
      <c r="CL27" s="137" t="s">
        <v>846</v>
      </c>
      <c r="CM27" s="137" t="s">
        <v>846</v>
      </c>
      <c r="CN27" s="137" t="s">
        <v>846</v>
      </c>
      <c r="CO27" s="137" t="b">
        <v>0</v>
      </c>
      <c r="CP27" s="138" t="b">
        <v>0</v>
      </c>
      <c r="CQ27" s="136" t="b">
        <v>0</v>
      </c>
      <c r="CR27" s="137" t="s">
        <v>846</v>
      </c>
      <c r="CS27" s="137" t="b">
        <v>0</v>
      </c>
      <c r="CT27" s="137" t="b">
        <v>0</v>
      </c>
      <c r="CU27" s="137" t="s">
        <v>846</v>
      </c>
      <c r="CV27" s="137" t="b">
        <v>0</v>
      </c>
      <c r="CW27" s="137" t="s">
        <v>846</v>
      </c>
      <c r="CX27" s="137" t="s">
        <v>846</v>
      </c>
      <c r="CY27" s="137" t="s">
        <v>846</v>
      </c>
      <c r="CZ27" s="138" t="s">
        <v>846</v>
      </c>
      <c r="DA27" s="96">
        <v>16</v>
      </c>
      <c r="DB27" s="103">
        <f>COUNTIF(DonnéesBC[[#This Row],[1]:[16]],"FAUX")</f>
        <v>5</v>
      </c>
      <c r="DC27" s="103">
        <f>COUNTIF(DonnéesBC[[#This Row],[1]:[16]],"Je ne sais pas")</f>
        <v>0</v>
      </c>
      <c r="DD27" s="103">
        <f>COUNTIF(DonnéesBC[[#This Row],[1]:[16]],"Juste")</f>
        <v>11</v>
      </c>
      <c r="DE27" s="96">
        <v>12</v>
      </c>
      <c r="DF27" s="103">
        <f>COUNTIF(DonnéesBC[[#This Row],[17]:[28]],"FAUX")</f>
        <v>6</v>
      </c>
      <c r="DG27" s="103">
        <f>COUNTIF(DonnéesBC[[#This Row],[17]:[28]],"Je ne sais pas")</f>
        <v>0</v>
      </c>
      <c r="DH27" s="103">
        <f>COUNTIF(DonnéesBC[[#This Row],[17]:[28]],"Juste")</f>
        <v>6</v>
      </c>
      <c r="DI27" s="96">
        <v>9</v>
      </c>
      <c r="DJ27" s="103">
        <f>COUNTIF(DonnéesBC[[#This Row],[29]:[37]],"FAUX")</f>
        <v>3</v>
      </c>
      <c r="DK27" s="103">
        <f>COUNTIF(DonnéesBC[[#This Row],[29]:[37]],"Je ne sais pas")</f>
        <v>0</v>
      </c>
      <c r="DL27" s="103">
        <f>COUNTIF(DonnéesBC[[#This Row],[29]:[37]],"Juste")</f>
        <v>6</v>
      </c>
      <c r="DM27" s="96">
        <v>13</v>
      </c>
      <c r="DN27" s="103">
        <f>COUNTIF(DonnéesBC[[#This Row],[38]:[50]],"FAUX")</f>
        <v>1</v>
      </c>
      <c r="DO27" s="103">
        <f>COUNTIF(DonnéesBC[[#This Row],[38]:[50]],"Je ne sais pas")</f>
        <v>2</v>
      </c>
      <c r="DP27" s="103">
        <f>COUNTIF(DonnéesBC[[#This Row],[38]:[50]],"Juste")</f>
        <v>10</v>
      </c>
      <c r="DQ27" s="96">
        <v>16</v>
      </c>
      <c r="DR27" s="103">
        <f>COUNTIF(DonnéesBC[[#This Row],[51]:[66]],"FAUX")</f>
        <v>3</v>
      </c>
      <c r="DS27" s="103">
        <f>COUNTIF(DonnéesBC[[#This Row],[51]:[66]],"Je ne sais pas")</f>
        <v>5</v>
      </c>
      <c r="DT27" s="103">
        <f>COUNTIF(DonnéesBC[[#This Row],[51]:[66]],"Juste")</f>
        <v>8</v>
      </c>
      <c r="DU27" s="96">
        <v>11</v>
      </c>
      <c r="DV27" s="103">
        <f>COUNTIF(DonnéesBC[[#This Row],[67]:[77]],"FAUX")</f>
        <v>2</v>
      </c>
      <c r="DW27" s="103">
        <f>COUNTIF(DonnéesBC[[#This Row],[67]:[77]],"Je ne sais pas")</f>
        <v>1</v>
      </c>
      <c r="DX27" s="103">
        <f>COUNTIF(DonnéesBC[[#This Row],[67]:[77]],"Juste")</f>
        <v>8</v>
      </c>
      <c r="DY27" s="96">
        <v>14</v>
      </c>
      <c r="DZ27" s="103">
        <f>COUNTIF(DonnéesBC[[#This Row],[78]:[91]],"FAUX")</f>
        <v>3</v>
      </c>
      <c r="EA27" s="103">
        <f>COUNTIF(DonnéesBC[[#This Row],[78]:[91]],"Je ne sais pas")</f>
        <v>0</v>
      </c>
      <c r="EB27" s="103">
        <f>COUNTIF(DonnéesBC[[#This Row],[78]:[91]],"Juste")</f>
        <v>11</v>
      </c>
      <c r="EC27" s="96">
        <v>10</v>
      </c>
      <c r="ED27" s="103">
        <f>COUNTIF(DonnéesBC[[#This Row],[92]:[101]],"FAUX")</f>
        <v>4</v>
      </c>
      <c r="EE27" s="103">
        <f>COUNTIF(DonnéesBC[[#This Row],[92]:[101]],"Je ne sais pas")</f>
        <v>0</v>
      </c>
      <c r="EF27" s="103">
        <f>COUNTIF(DonnéesBC[[#This Row],[92]:[101]],"Juste")</f>
        <v>6</v>
      </c>
      <c r="EG27" s="96">
        <f>SUM(DonnéesBC[[#This Row],[A]]+DonnéesBC[[#This Row],[B]]+DonnéesBC[[#This Row],[C]]+DonnéesBC[[#This Row],[D]]+DonnéesBC[[#This Row],[E]]+DonnéesBC[[#This Row],[F]]+DonnéesBC[[#This Row],[G]]+DonnéesBC[[#This Row],[H]])</f>
        <v>101</v>
      </c>
      <c r="EH27" s="97">
        <f>SUM(DonnéesBC[[#This Row],[A2]]+DonnéesBC[[#This Row],[B2]]+DonnéesBC[[#This Row],[C2]]+DonnéesBC[[#This Row],[D2]]+DonnéesBC[[#This Row],[E2]]+DonnéesBC[[#This Row],[F2]]+DonnéesBC[[#This Row],[G2]]+DonnéesBC[[#This Row],[H2]])</f>
        <v>27</v>
      </c>
      <c r="EI27" s="98">
        <f>SUM(DonnéesBC[[#This Row],[A3]]+DonnéesBC[[#This Row],[B3]]+DonnéesBC[[#This Row],[C3]]+DonnéesBC[[#This Row],[D3]]+DonnéesBC[[#This Row],[E3]]+DonnéesBC[[#This Row],[F3]]+DonnéesBC[[#This Row],[G3]]+DonnéesBC[[#This Row],[H3]])</f>
        <v>8</v>
      </c>
      <c r="EJ27" s="103">
        <f>SUM(DonnéesBC[[#This Row],[A4]]+DonnéesBC[[#This Row],[B4]]+DonnéesBC[[#This Row],[C4]]+DonnéesBC[[#This Row],[D4]]+DonnéesBC[[#This Row],[E4]]+DonnéesBC[[#This Row],[F4]]+DonnéesBC[[#This Row],[G4]]+DonnéesBC[[#This Row],[H4]])</f>
        <v>66</v>
      </c>
      <c r="EK27" s="95"/>
      <c r="EL27">
        <v>34</v>
      </c>
    </row>
    <row r="28" spans="1:142" ht="14" customHeight="1">
      <c r="A28" s="101" t="str">
        <f>DonnéesBC[[#This Row],[Prénom]]&amp;" "&amp;DonnéesBC[[#This Row],[Nom]]</f>
        <v>Isabelle Neukomm</v>
      </c>
      <c r="B28" s="97" t="s">
        <v>122</v>
      </c>
      <c r="C28" s="97" t="s">
        <v>121</v>
      </c>
      <c r="D28" s="132" t="s">
        <v>846</v>
      </c>
      <c r="E28" s="133" t="s">
        <v>846</v>
      </c>
      <c r="F28" s="133" t="s">
        <v>846</v>
      </c>
      <c r="G28" s="133" t="s">
        <v>846</v>
      </c>
      <c r="H28" s="133" t="s">
        <v>846</v>
      </c>
      <c r="I28" s="133" t="s">
        <v>846</v>
      </c>
      <c r="J28" s="133" t="s">
        <v>846</v>
      </c>
      <c r="K28" s="133" t="s">
        <v>846</v>
      </c>
      <c r="L28" s="133" t="s">
        <v>846</v>
      </c>
      <c r="M28" s="133" t="s">
        <v>846</v>
      </c>
      <c r="N28" s="133" t="s">
        <v>846</v>
      </c>
      <c r="O28" s="133" t="s">
        <v>846</v>
      </c>
      <c r="P28" s="133" t="s">
        <v>846</v>
      </c>
      <c r="Q28" s="133" t="b">
        <v>0</v>
      </c>
      <c r="R28" s="133" t="s">
        <v>846</v>
      </c>
      <c r="S28" s="135" t="s">
        <v>846</v>
      </c>
      <c r="T28" s="132" t="s">
        <v>846</v>
      </c>
      <c r="U28" s="133" t="s">
        <v>846</v>
      </c>
      <c r="V28" s="133" t="s">
        <v>846</v>
      </c>
      <c r="W28" s="133" t="s">
        <v>846</v>
      </c>
      <c r="X28" s="133" t="s">
        <v>846</v>
      </c>
      <c r="Y28" s="133" t="s">
        <v>846</v>
      </c>
      <c r="Z28" s="133" t="s">
        <v>846</v>
      </c>
      <c r="AA28" s="133" t="s">
        <v>846</v>
      </c>
      <c r="AB28" s="133" t="s">
        <v>846</v>
      </c>
      <c r="AC28" s="133" t="b">
        <v>0</v>
      </c>
      <c r="AD28" s="133" t="s">
        <v>846</v>
      </c>
      <c r="AE28" s="135" t="s">
        <v>840</v>
      </c>
      <c r="AF28" s="132" t="s">
        <v>846</v>
      </c>
      <c r="AG28" s="133" t="s">
        <v>846</v>
      </c>
      <c r="AH28" s="133" t="s">
        <v>846</v>
      </c>
      <c r="AI28" s="133" t="s">
        <v>846</v>
      </c>
      <c r="AJ28" s="133" t="s">
        <v>846</v>
      </c>
      <c r="AK28" s="133" t="s">
        <v>846</v>
      </c>
      <c r="AL28" s="133" t="s">
        <v>846</v>
      </c>
      <c r="AM28" s="133" t="s">
        <v>846</v>
      </c>
      <c r="AN28" s="135" t="s">
        <v>846</v>
      </c>
      <c r="AO28" s="132" t="s">
        <v>840</v>
      </c>
      <c r="AP28" s="133" t="s">
        <v>846</v>
      </c>
      <c r="AQ28" s="133" t="s">
        <v>846</v>
      </c>
      <c r="AR28" s="133" t="s">
        <v>840</v>
      </c>
      <c r="AS28" s="133" t="s">
        <v>846</v>
      </c>
      <c r="AT28" s="133" t="s">
        <v>846</v>
      </c>
      <c r="AU28" s="133" t="s">
        <v>846</v>
      </c>
      <c r="AV28" s="133" t="s">
        <v>846</v>
      </c>
      <c r="AW28" s="133" t="s">
        <v>846</v>
      </c>
      <c r="AX28" s="133" t="s">
        <v>846</v>
      </c>
      <c r="AY28" s="133" t="s">
        <v>846</v>
      </c>
      <c r="AZ28" s="133" t="s">
        <v>840</v>
      </c>
      <c r="BA28" s="135" t="s">
        <v>840</v>
      </c>
      <c r="BB28" s="132" t="s">
        <v>846</v>
      </c>
      <c r="BC28" s="133" t="s">
        <v>846</v>
      </c>
      <c r="BD28" s="133" t="s">
        <v>846</v>
      </c>
      <c r="BE28" s="133" t="s">
        <v>846</v>
      </c>
      <c r="BF28" s="133" t="s">
        <v>840</v>
      </c>
      <c r="BG28" s="133" t="s">
        <v>840</v>
      </c>
      <c r="BH28" s="133" t="s">
        <v>846</v>
      </c>
      <c r="BI28" s="133" t="s">
        <v>846</v>
      </c>
      <c r="BJ28" s="133" t="s">
        <v>840</v>
      </c>
      <c r="BK28" s="133" t="b">
        <v>0</v>
      </c>
      <c r="BL28" s="133" t="s">
        <v>846</v>
      </c>
      <c r="BM28" s="133" t="b">
        <v>0</v>
      </c>
      <c r="BN28" s="133" t="s">
        <v>840</v>
      </c>
      <c r="BO28" s="133" t="s">
        <v>840</v>
      </c>
      <c r="BP28" s="133" t="s">
        <v>846</v>
      </c>
      <c r="BQ28" s="135" t="s">
        <v>840</v>
      </c>
      <c r="BR28" s="132" t="s">
        <v>846</v>
      </c>
      <c r="BS28" s="133" t="s">
        <v>846</v>
      </c>
      <c r="BT28" s="133" t="s">
        <v>846</v>
      </c>
      <c r="BU28" s="133" t="s">
        <v>846</v>
      </c>
      <c r="BV28" s="133" t="s">
        <v>846</v>
      </c>
      <c r="BW28" s="133" t="s">
        <v>846</v>
      </c>
      <c r="BX28" s="133" t="b">
        <v>0</v>
      </c>
      <c r="BY28" s="133" t="s">
        <v>846</v>
      </c>
      <c r="BZ28" s="133" t="s">
        <v>846</v>
      </c>
      <c r="CA28" s="133" t="s">
        <v>846</v>
      </c>
      <c r="CB28" s="135" t="s">
        <v>846</v>
      </c>
      <c r="CC28" s="132" t="s">
        <v>846</v>
      </c>
      <c r="CD28" s="133" t="s">
        <v>846</v>
      </c>
      <c r="CE28" s="133" t="s">
        <v>846</v>
      </c>
      <c r="CF28" s="133" t="s">
        <v>846</v>
      </c>
      <c r="CG28" s="133" t="s">
        <v>840</v>
      </c>
      <c r="CH28" s="133" t="s">
        <v>846</v>
      </c>
      <c r="CI28" s="133" t="s">
        <v>846</v>
      </c>
      <c r="CJ28" s="133" t="s">
        <v>846</v>
      </c>
      <c r="CK28" s="133" t="s">
        <v>846</v>
      </c>
      <c r="CL28" s="133" t="b">
        <v>0</v>
      </c>
      <c r="CM28" s="133" t="s">
        <v>846</v>
      </c>
      <c r="CN28" s="133" t="s">
        <v>840</v>
      </c>
      <c r="CO28" s="133" t="s">
        <v>846</v>
      </c>
      <c r="CP28" s="135" t="s">
        <v>846</v>
      </c>
      <c r="CQ28" s="132" t="s">
        <v>846</v>
      </c>
      <c r="CR28" s="133" t="s">
        <v>846</v>
      </c>
      <c r="CS28" s="133" t="s">
        <v>840</v>
      </c>
      <c r="CT28" s="133" t="b">
        <v>0</v>
      </c>
      <c r="CU28" s="133" t="s">
        <v>846</v>
      </c>
      <c r="CV28" s="133" t="s">
        <v>846</v>
      </c>
      <c r="CW28" s="133" t="s">
        <v>846</v>
      </c>
      <c r="CX28" s="133" t="b">
        <v>0</v>
      </c>
      <c r="CY28" s="133" t="s">
        <v>846</v>
      </c>
      <c r="CZ28" s="135" t="s">
        <v>840</v>
      </c>
      <c r="DA28" s="96">
        <v>16</v>
      </c>
      <c r="DB28" s="103">
        <f>COUNTIF(DonnéesBC[[#This Row],[1]:[16]],"FAUX")</f>
        <v>1</v>
      </c>
      <c r="DC28" s="103">
        <f>COUNTIF(DonnéesBC[[#This Row],[1]:[16]],"Je ne sais pas")</f>
        <v>0</v>
      </c>
      <c r="DD28" s="103">
        <f>COUNTIF(DonnéesBC[[#This Row],[1]:[16]],"Juste")</f>
        <v>15</v>
      </c>
      <c r="DE28" s="96">
        <v>12</v>
      </c>
      <c r="DF28" s="103">
        <f>COUNTIF(DonnéesBC[[#This Row],[17]:[28]],"FAUX")</f>
        <v>1</v>
      </c>
      <c r="DG28" s="103">
        <f>COUNTIF(DonnéesBC[[#This Row],[17]:[28]],"Je ne sais pas")</f>
        <v>1</v>
      </c>
      <c r="DH28" s="103">
        <f>COUNTIF(DonnéesBC[[#This Row],[17]:[28]],"Juste")</f>
        <v>10</v>
      </c>
      <c r="DI28" s="96">
        <v>9</v>
      </c>
      <c r="DJ28" s="103">
        <f>COUNTIF(DonnéesBC[[#This Row],[29]:[37]],"FAUX")</f>
        <v>0</v>
      </c>
      <c r="DK28" s="103">
        <f>COUNTIF(DonnéesBC[[#This Row],[29]:[37]],"Je ne sais pas")</f>
        <v>0</v>
      </c>
      <c r="DL28" s="103">
        <f>COUNTIF(DonnéesBC[[#This Row],[29]:[37]],"Juste")</f>
        <v>9</v>
      </c>
      <c r="DM28" s="96">
        <v>13</v>
      </c>
      <c r="DN28" s="103">
        <f>COUNTIF(DonnéesBC[[#This Row],[38]:[50]],"FAUX")</f>
        <v>0</v>
      </c>
      <c r="DO28" s="103">
        <f>COUNTIF(DonnéesBC[[#This Row],[38]:[50]],"Je ne sais pas")</f>
        <v>4</v>
      </c>
      <c r="DP28" s="103">
        <f>COUNTIF(DonnéesBC[[#This Row],[38]:[50]],"Juste")</f>
        <v>9</v>
      </c>
      <c r="DQ28" s="96">
        <v>16</v>
      </c>
      <c r="DR28" s="103">
        <f>COUNTIF(DonnéesBC[[#This Row],[51]:[66]],"FAUX")</f>
        <v>2</v>
      </c>
      <c r="DS28" s="103">
        <f>COUNTIF(DonnéesBC[[#This Row],[51]:[66]],"Je ne sais pas")</f>
        <v>6</v>
      </c>
      <c r="DT28" s="103">
        <f>COUNTIF(DonnéesBC[[#This Row],[51]:[66]],"Juste")</f>
        <v>8</v>
      </c>
      <c r="DU28" s="96">
        <v>11</v>
      </c>
      <c r="DV28" s="103">
        <f>COUNTIF(DonnéesBC[[#This Row],[67]:[77]],"FAUX")</f>
        <v>1</v>
      </c>
      <c r="DW28" s="103">
        <f>COUNTIF(DonnéesBC[[#This Row],[67]:[77]],"Je ne sais pas")</f>
        <v>0</v>
      </c>
      <c r="DX28" s="103">
        <f>COUNTIF(DonnéesBC[[#This Row],[67]:[77]],"Juste")</f>
        <v>10</v>
      </c>
      <c r="DY28" s="96">
        <v>14</v>
      </c>
      <c r="DZ28" s="103">
        <f>COUNTIF(DonnéesBC[[#This Row],[78]:[91]],"FAUX")</f>
        <v>1</v>
      </c>
      <c r="EA28" s="103">
        <f>COUNTIF(DonnéesBC[[#This Row],[78]:[91]],"Je ne sais pas")</f>
        <v>2</v>
      </c>
      <c r="EB28" s="103">
        <f>COUNTIF(DonnéesBC[[#This Row],[78]:[91]],"Juste")</f>
        <v>11</v>
      </c>
      <c r="EC28" s="96">
        <v>10</v>
      </c>
      <c r="ED28" s="103">
        <f>COUNTIF(DonnéesBC[[#This Row],[92]:[101]],"FAUX")</f>
        <v>2</v>
      </c>
      <c r="EE28" s="103">
        <f>COUNTIF(DonnéesBC[[#This Row],[92]:[101]],"Je ne sais pas")</f>
        <v>2</v>
      </c>
      <c r="EF28" s="103">
        <f>COUNTIF(DonnéesBC[[#This Row],[92]:[101]],"Juste")</f>
        <v>6</v>
      </c>
      <c r="EG28" s="96">
        <f>SUM(DonnéesBC[[#This Row],[A]]+DonnéesBC[[#This Row],[B]]+DonnéesBC[[#This Row],[C]]+DonnéesBC[[#This Row],[D]]+DonnéesBC[[#This Row],[E]]+DonnéesBC[[#This Row],[F]]+DonnéesBC[[#This Row],[G]]+DonnéesBC[[#This Row],[H]])</f>
        <v>101</v>
      </c>
      <c r="EH28" s="97">
        <f>SUM(DonnéesBC[[#This Row],[A2]]+DonnéesBC[[#This Row],[B2]]+DonnéesBC[[#This Row],[C2]]+DonnéesBC[[#This Row],[D2]]+DonnéesBC[[#This Row],[E2]]+DonnéesBC[[#This Row],[F2]]+DonnéesBC[[#This Row],[G2]]+DonnéesBC[[#This Row],[H2]])</f>
        <v>8</v>
      </c>
      <c r="EI28" s="98">
        <f>SUM(DonnéesBC[[#This Row],[A3]]+DonnéesBC[[#This Row],[B3]]+DonnéesBC[[#This Row],[C3]]+DonnéesBC[[#This Row],[D3]]+DonnéesBC[[#This Row],[E3]]+DonnéesBC[[#This Row],[F3]]+DonnéesBC[[#This Row],[G3]]+DonnéesBC[[#This Row],[H3]])</f>
        <v>15</v>
      </c>
      <c r="EJ28" s="103">
        <f>SUM(DonnéesBC[[#This Row],[A4]]+DonnéesBC[[#This Row],[B4]]+DonnéesBC[[#This Row],[C4]]+DonnéesBC[[#This Row],[D4]]+DonnéesBC[[#This Row],[E4]]+DonnéesBC[[#This Row],[F4]]+DonnéesBC[[#This Row],[G4]]+DonnéesBC[[#This Row],[H4]])</f>
        <v>78</v>
      </c>
      <c r="EK28" s="95"/>
      <c r="EL28">
        <v>28</v>
      </c>
    </row>
    <row r="29" spans="1:142" ht="14" customHeight="1">
      <c r="A29" s="101" t="str">
        <f>DonnéesBC[[#This Row],[Prénom]]&amp;" "&amp;DonnéesBC[[#This Row],[Nom]]</f>
        <v>Jaime Perez-Fiz</v>
      </c>
      <c r="B29" s="97" t="s">
        <v>123</v>
      </c>
      <c r="C29" s="97" t="s">
        <v>124</v>
      </c>
      <c r="D29" s="136" t="s">
        <v>846</v>
      </c>
      <c r="E29" s="137" t="s">
        <v>846</v>
      </c>
      <c r="F29" s="137" t="s">
        <v>846</v>
      </c>
      <c r="G29" s="137" t="b">
        <v>0</v>
      </c>
      <c r="H29" s="137" t="s">
        <v>846</v>
      </c>
      <c r="I29" s="137" t="s">
        <v>846</v>
      </c>
      <c r="J29" s="137" t="s">
        <v>846</v>
      </c>
      <c r="K29" s="137" t="b">
        <v>0</v>
      </c>
      <c r="L29" s="137" t="s">
        <v>846</v>
      </c>
      <c r="M29" s="137" t="s">
        <v>846</v>
      </c>
      <c r="N29" s="137" t="s">
        <v>846</v>
      </c>
      <c r="O29" s="137" t="s">
        <v>846</v>
      </c>
      <c r="P29" s="137" t="b">
        <v>0</v>
      </c>
      <c r="Q29" s="137" t="b">
        <v>0</v>
      </c>
      <c r="R29" s="137" t="s">
        <v>846</v>
      </c>
      <c r="S29" s="138" t="s">
        <v>846</v>
      </c>
      <c r="T29" s="136" t="s">
        <v>846</v>
      </c>
      <c r="U29" s="137" t="s">
        <v>846</v>
      </c>
      <c r="V29" s="137" t="s">
        <v>846</v>
      </c>
      <c r="W29" s="137" t="s">
        <v>846</v>
      </c>
      <c r="X29" s="137" t="s">
        <v>846</v>
      </c>
      <c r="Y29" s="137" t="s">
        <v>846</v>
      </c>
      <c r="Z29" s="137" t="b">
        <v>0</v>
      </c>
      <c r="AA29" s="137" t="s">
        <v>846</v>
      </c>
      <c r="AB29" s="137" t="b">
        <v>0</v>
      </c>
      <c r="AC29" s="137" t="s">
        <v>846</v>
      </c>
      <c r="AD29" s="137" t="s">
        <v>846</v>
      </c>
      <c r="AE29" s="138" t="s">
        <v>846</v>
      </c>
      <c r="AF29" s="136" t="s">
        <v>846</v>
      </c>
      <c r="AG29" s="137" t="s">
        <v>846</v>
      </c>
      <c r="AH29" s="137" t="s">
        <v>846</v>
      </c>
      <c r="AI29" s="137" t="b">
        <v>0</v>
      </c>
      <c r="AJ29" s="137" t="s">
        <v>846</v>
      </c>
      <c r="AK29" s="137" t="s">
        <v>846</v>
      </c>
      <c r="AL29" s="137" t="s">
        <v>846</v>
      </c>
      <c r="AM29" s="137" t="b">
        <v>0</v>
      </c>
      <c r="AN29" s="138" t="s">
        <v>846</v>
      </c>
      <c r="AO29" s="136" t="b">
        <v>0</v>
      </c>
      <c r="AP29" s="137" t="s">
        <v>846</v>
      </c>
      <c r="AQ29" s="137" t="s">
        <v>846</v>
      </c>
      <c r="AR29" s="137" t="s">
        <v>840</v>
      </c>
      <c r="AS29" s="137" t="s">
        <v>846</v>
      </c>
      <c r="AT29" s="137" t="s">
        <v>846</v>
      </c>
      <c r="AU29" s="137" t="b">
        <v>0</v>
      </c>
      <c r="AV29" s="137" t="s">
        <v>846</v>
      </c>
      <c r="AW29" s="137" t="s">
        <v>846</v>
      </c>
      <c r="AX29" s="137" t="b">
        <v>0</v>
      </c>
      <c r="AY29" s="137" t="s">
        <v>846</v>
      </c>
      <c r="AZ29" s="137" t="s">
        <v>846</v>
      </c>
      <c r="BA29" s="138" t="b">
        <v>0</v>
      </c>
      <c r="BB29" s="136" t="s">
        <v>846</v>
      </c>
      <c r="BC29" s="137" t="s">
        <v>846</v>
      </c>
      <c r="BD29" s="137" t="s">
        <v>846</v>
      </c>
      <c r="BE29" s="137" t="s">
        <v>846</v>
      </c>
      <c r="BF29" s="137" t="s">
        <v>846</v>
      </c>
      <c r="BG29" s="137" t="b">
        <v>0</v>
      </c>
      <c r="BH29" s="137" t="s">
        <v>846</v>
      </c>
      <c r="BI29" s="137" t="s">
        <v>846</v>
      </c>
      <c r="BJ29" s="137" t="b">
        <v>0</v>
      </c>
      <c r="BK29" s="137" t="s">
        <v>846</v>
      </c>
      <c r="BL29" s="137" t="b">
        <v>0</v>
      </c>
      <c r="BM29" s="137" t="b">
        <v>0</v>
      </c>
      <c r="BN29" s="137" t="s">
        <v>846</v>
      </c>
      <c r="BO29" s="137" t="s">
        <v>840</v>
      </c>
      <c r="BP29" s="137" t="b">
        <v>0</v>
      </c>
      <c r="BQ29" s="138" t="s">
        <v>846</v>
      </c>
      <c r="BR29" s="136" t="s">
        <v>846</v>
      </c>
      <c r="BS29" s="137" t="s">
        <v>846</v>
      </c>
      <c r="BT29" s="137" t="s">
        <v>846</v>
      </c>
      <c r="BU29" s="137" t="s">
        <v>846</v>
      </c>
      <c r="BV29" s="137" t="s">
        <v>846</v>
      </c>
      <c r="BW29" s="137" t="s">
        <v>846</v>
      </c>
      <c r="BX29" s="137" t="s">
        <v>846</v>
      </c>
      <c r="BY29" s="137" t="s">
        <v>846</v>
      </c>
      <c r="BZ29" s="137" t="b">
        <v>0</v>
      </c>
      <c r="CA29" s="137" t="s">
        <v>846</v>
      </c>
      <c r="CB29" s="138" t="b">
        <v>0</v>
      </c>
      <c r="CC29" s="136" t="s">
        <v>846</v>
      </c>
      <c r="CD29" s="137" t="s">
        <v>846</v>
      </c>
      <c r="CE29" s="137" t="s">
        <v>846</v>
      </c>
      <c r="CF29" s="137" t="s">
        <v>846</v>
      </c>
      <c r="CG29" s="137" t="s">
        <v>846</v>
      </c>
      <c r="CH29" s="137" t="s">
        <v>846</v>
      </c>
      <c r="CI29" s="137" t="s">
        <v>846</v>
      </c>
      <c r="CJ29" s="137" t="s">
        <v>846</v>
      </c>
      <c r="CK29" s="137" t="s">
        <v>846</v>
      </c>
      <c r="CL29" s="137" t="s">
        <v>846</v>
      </c>
      <c r="CM29" s="137" t="b">
        <v>0</v>
      </c>
      <c r="CN29" s="137" t="b">
        <v>0</v>
      </c>
      <c r="CO29" s="137" t="b">
        <v>0</v>
      </c>
      <c r="CP29" s="138" t="b">
        <v>0</v>
      </c>
      <c r="CQ29" s="136" t="s">
        <v>846</v>
      </c>
      <c r="CR29" s="137" t="s">
        <v>846</v>
      </c>
      <c r="CS29" s="137" t="b">
        <v>0</v>
      </c>
      <c r="CT29" s="137" t="b">
        <v>0</v>
      </c>
      <c r="CU29" s="137" t="s">
        <v>846</v>
      </c>
      <c r="CV29" s="137" t="s">
        <v>846</v>
      </c>
      <c r="CW29" s="137" t="s">
        <v>846</v>
      </c>
      <c r="CX29" s="137" t="b">
        <v>0</v>
      </c>
      <c r="CY29" s="137" t="b">
        <v>0</v>
      </c>
      <c r="CZ29" s="138" t="b">
        <v>0</v>
      </c>
      <c r="DA29" s="96">
        <v>16</v>
      </c>
      <c r="DB29" s="103">
        <f>COUNTIF(DonnéesBC[[#This Row],[1]:[16]],"FAUX")</f>
        <v>4</v>
      </c>
      <c r="DC29" s="103">
        <f>COUNTIF(DonnéesBC[[#This Row],[1]:[16]],"Je ne sais pas")</f>
        <v>0</v>
      </c>
      <c r="DD29" s="103">
        <f>COUNTIF(DonnéesBC[[#This Row],[1]:[16]],"Juste")</f>
        <v>12</v>
      </c>
      <c r="DE29" s="96">
        <v>12</v>
      </c>
      <c r="DF29" s="103">
        <f>COUNTIF(DonnéesBC[[#This Row],[17]:[28]],"FAUX")</f>
        <v>2</v>
      </c>
      <c r="DG29" s="103">
        <f>COUNTIF(DonnéesBC[[#This Row],[17]:[28]],"Je ne sais pas")</f>
        <v>0</v>
      </c>
      <c r="DH29" s="103">
        <f>COUNTIF(DonnéesBC[[#This Row],[17]:[28]],"Juste")</f>
        <v>10</v>
      </c>
      <c r="DI29" s="96">
        <v>9</v>
      </c>
      <c r="DJ29" s="103">
        <f>COUNTIF(DonnéesBC[[#This Row],[29]:[37]],"FAUX")</f>
        <v>2</v>
      </c>
      <c r="DK29" s="103">
        <f>COUNTIF(DonnéesBC[[#This Row],[29]:[37]],"Je ne sais pas")</f>
        <v>0</v>
      </c>
      <c r="DL29" s="103">
        <f>COUNTIF(DonnéesBC[[#This Row],[29]:[37]],"Juste")</f>
        <v>7</v>
      </c>
      <c r="DM29" s="96">
        <v>13</v>
      </c>
      <c r="DN29" s="103">
        <f>COUNTIF(DonnéesBC[[#This Row],[38]:[50]],"FAUX")</f>
        <v>4</v>
      </c>
      <c r="DO29" s="103">
        <f>COUNTIF(DonnéesBC[[#This Row],[38]:[50]],"Je ne sais pas")</f>
        <v>1</v>
      </c>
      <c r="DP29" s="103">
        <f>COUNTIF(DonnéesBC[[#This Row],[38]:[50]],"Juste")</f>
        <v>8</v>
      </c>
      <c r="DQ29" s="96">
        <v>16</v>
      </c>
      <c r="DR29" s="103">
        <f>COUNTIF(DonnéesBC[[#This Row],[51]:[66]],"FAUX")</f>
        <v>5</v>
      </c>
      <c r="DS29" s="103">
        <f>COUNTIF(DonnéesBC[[#This Row],[51]:[66]],"Je ne sais pas")</f>
        <v>1</v>
      </c>
      <c r="DT29" s="103">
        <f>COUNTIF(DonnéesBC[[#This Row],[51]:[66]],"Juste")</f>
        <v>10</v>
      </c>
      <c r="DU29" s="96">
        <v>11</v>
      </c>
      <c r="DV29" s="103">
        <f>COUNTIF(DonnéesBC[[#This Row],[67]:[77]],"FAUX")</f>
        <v>2</v>
      </c>
      <c r="DW29" s="103">
        <f>COUNTIF(DonnéesBC[[#This Row],[67]:[77]],"Je ne sais pas")</f>
        <v>0</v>
      </c>
      <c r="DX29" s="103">
        <f>COUNTIF(DonnéesBC[[#This Row],[67]:[77]],"Juste")</f>
        <v>9</v>
      </c>
      <c r="DY29" s="96">
        <v>14</v>
      </c>
      <c r="DZ29" s="103">
        <f>COUNTIF(DonnéesBC[[#This Row],[78]:[91]],"FAUX")</f>
        <v>4</v>
      </c>
      <c r="EA29" s="103">
        <f>COUNTIF(DonnéesBC[[#This Row],[78]:[91]],"Je ne sais pas")</f>
        <v>0</v>
      </c>
      <c r="EB29" s="103">
        <f>COUNTIF(DonnéesBC[[#This Row],[78]:[91]],"Juste")</f>
        <v>10</v>
      </c>
      <c r="EC29" s="96">
        <v>10</v>
      </c>
      <c r="ED29" s="103">
        <f>COUNTIF(DonnéesBC[[#This Row],[92]:[101]],"FAUX")</f>
        <v>5</v>
      </c>
      <c r="EE29" s="103">
        <f>COUNTIF(DonnéesBC[[#This Row],[92]:[101]],"Je ne sais pas")</f>
        <v>0</v>
      </c>
      <c r="EF29" s="103">
        <f>COUNTIF(DonnéesBC[[#This Row],[92]:[101]],"Juste")</f>
        <v>5</v>
      </c>
      <c r="EG29" s="96">
        <f>SUM(DonnéesBC[[#This Row],[A]]+DonnéesBC[[#This Row],[B]]+DonnéesBC[[#This Row],[C]]+DonnéesBC[[#This Row],[D]]+DonnéesBC[[#This Row],[E]]+DonnéesBC[[#This Row],[F]]+DonnéesBC[[#This Row],[G]]+DonnéesBC[[#This Row],[H]])</f>
        <v>101</v>
      </c>
      <c r="EH29" s="97">
        <f>SUM(DonnéesBC[[#This Row],[A2]]+DonnéesBC[[#This Row],[B2]]+DonnéesBC[[#This Row],[C2]]+DonnéesBC[[#This Row],[D2]]+DonnéesBC[[#This Row],[E2]]+DonnéesBC[[#This Row],[F2]]+DonnéesBC[[#This Row],[G2]]+DonnéesBC[[#This Row],[H2]])</f>
        <v>28</v>
      </c>
      <c r="EI29" s="98">
        <f>SUM(DonnéesBC[[#This Row],[A3]]+DonnéesBC[[#This Row],[B3]]+DonnéesBC[[#This Row],[C3]]+DonnéesBC[[#This Row],[D3]]+DonnéesBC[[#This Row],[E3]]+DonnéesBC[[#This Row],[F3]]+DonnéesBC[[#This Row],[G3]]+DonnéesBC[[#This Row],[H3]])</f>
        <v>2</v>
      </c>
      <c r="EJ29" s="103">
        <f>SUM(DonnéesBC[[#This Row],[A4]]+DonnéesBC[[#This Row],[B4]]+DonnéesBC[[#This Row],[C4]]+DonnéesBC[[#This Row],[D4]]+DonnéesBC[[#This Row],[E4]]+DonnéesBC[[#This Row],[F4]]+DonnéesBC[[#This Row],[G4]]+DonnéesBC[[#This Row],[H4]])</f>
        <v>71</v>
      </c>
      <c r="EK29" s="95"/>
      <c r="EL29">
        <v>28</v>
      </c>
    </row>
    <row r="30" spans="1:142" ht="14" customHeight="1">
      <c r="A30" s="101" t="str">
        <f>DonnéesBC[[#This Row],[Prénom]]&amp;" "&amp;DonnéesBC[[#This Row],[Nom]]</f>
        <v>Joana Eira Velha</v>
      </c>
      <c r="B30" s="97" t="s">
        <v>325</v>
      </c>
      <c r="C30" s="97" t="s">
        <v>125</v>
      </c>
      <c r="D30" s="132" t="s">
        <v>846</v>
      </c>
      <c r="E30" s="133" t="b">
        <v>0</v>
      </c>
      <c r="F30" s="133" t="s">
        <v>846</v>
      </c>
      <c r="G30" s="133" t="s">
        <v>840</v>
      </c>
      <c r="H30" s="133" t="s">
        <v>846</v>
      </c>
      <c r="I30" s="133" t="s">
        <v>846</v>
      </c>
      <c r="J30" s="133" t="s">
        <v>846</v>
      </c>
      <c r="K30" s="133" t="s">
        <v>840</v>
      </c>
      <c r="L30" s="133" t="s">
        <v>840</v>
      </c>
      <c r="M30" s="133" t="s">
        <v>846</v>
      </c>
      <c r="N30" s="133" t="s">
        <v>846</v>
      </c>
      <c r="O30" s="133" t="s">
        <v>846</v>
      </c>
      <c r="P30" s="133" t="s">
        <v>846</v>
      </c>
      <c r="Q30" s="133" t="s">
        <v>840</v>
      </c>
      <c r="R30" s="133" t="s">
        <v>846</v>
      </c>
      <c r="S30" s="135" t="b">
        <v>0</v>
      </c>
      <c r="T30" s="132" t="s">
        <v>846</v>
      </c>
      <c r="U30" s="133" t="s">
        <v>846</v>
      </c>
      <c r="V30" s="133" t="s">
        <v>846</v>
      </c>
      <c r="W30" s="133" t="s">
        <v>846</v>
      </c>
      <c r="X30" s="133" t="s">
        <v>840</v>
      </c>
      <c r="Y30" s="133" t="s">
        <v>846</v>
      </c>
      <c r="Z30" s="133" t="s">
        <v>846</v>
      </c>
      <c r="AA30" s="133" t="s">
        <v>840</v>
      </c>
      <c r="AB30" s="133" t="s">
        <v>840</v>
      </c>
      <c r="AC30" s="133" t="b">
        <v>0</v>
      </c>
      <c r="AD30" s="133" t="s">
        <v>846</v>
      </c>
      <c r="AE30" s="135" t="s">
        <v>840</v>
      </c>
      <c r="AF30" s="132" t="s">
        <v>846</v>
      </c>
      <c r="AG30" s="133" t="s">
        <v>846</v>
      </c>
      <c r="AH30" s="133" t="b">
        <v>0</v>
      </c>
      <c r="AI30" s="133" t="s">
        <v>840</v>
      </c>
      <c r="AJ30" s="133" t="s">
        <v>846</v>
      </c>
      <c r="AK30" s="133" t="b">
        <v>0</v>
      </c>
      <c r="AL30" s="133" t="s">
        <v>846</v>
      </c>
      <c r="AM30" s="133" t="b">
        <v>0</v>
      </c>
      <c r="AN30" s="135" t="s">
        <v>840</v>
      </c>
      <c r="AO30" s="132" t="s">
        <v>840</v>
      </c>
      <c r="AP30" s="133" t="s">
        <v>846</v>
      </c>
      <c r="AQ30" s="133" t="s">
        <v>846</v>
      </c>
      <c r="AR30" s="133" t="s">
        <v>846</v>
      </c>
      <c r="AS30" s="133" t="s">
        <v>846</v>
      </c>
      <c r="AT30" s="133" t="s">
        <v>846</v>
      </c>
      <c r="AU30" s="133" t="s">
        <v>840</v>
      </c>
      <c r="AV30" s="133" t="s">
        <v>846</v>
      </c>
      <c r="AW30" s="133" t="s">
        <v>846</v>
      </c>
      <c r="AX30" s="133" t="s">
        <v>840</v>
      </c>
      <c r="AY30" s="133" t="s">
        <v>846</v>
      </c>
      <c r="AZ30" s="133" t="s">
        <v>840</v>
      </c>
      <c r="BA30" s="135" t="s">
        <v>846</v>
      </c>
      <c r="BB30" s="132" t="s">
        <v>846</v>
      </c>
      <c r="BC30" s="133" t="s">
        <v>846</v>
      </c>
      <c r="BD30" s="133" t="s">
        <v>840</v>
      </c>
      <c r="BE30" s="133" t="s">
        <v>846</v>
      </c>
      <c r="BF30" s="133" t="s">
        <v>840</v>
      </c>
      <c r="BG30" s="133" t="s">
        <v>846</v>
      </c>
      <c r="BH30" s="133" t="b">
        <v>0</v>
      </c>
      <c r="BI30" s="133" t="s">
        <v>846</v>
      </c>
      <c r="BJ30" s="133" t="s">
        <v>846</v>
      </c>
      <c r="BK30" s="133" t="s">
        <v>840</v>
      </c>
      <c r="BL30" s="133" t="b">
        <v>0</v>
      </c>
      <c r="BM30" s="133" t="s">
        <v>840</v>
      </c>
      <c r="BN30" s="133" t="s">
        <v>840</v>
      </c>
      <c r="BO30" s="133" t="s">
        <v>840</v>
      </c>
      <c r="BP30" s="133" t="s">
        <v>840</v>
      </c>
      <c r="BQ30" s="135" t="s">
        <v>840</v>
      </c>
      <c r="BR30" s="132" t="s">
        <v>846</v>
      </c>
      <c r="BS30" s="133" t="s">
        <v>846</v>
      </c>
      <c r="BT30" s="133" t="s">
        <v>846</v>
      </c>
      <c r="BU30" s="133" t="s">
        <v>840</v>
      </c>
      <c r="BV30" s="133" t="s">
        <v>846</v>
      </c>
      <c r="BW30" s="133" t="s">
        <v>846</v>
      </c>
      <c r="BX30" s="133" t="b">
        <v>0</v>
      </c>
      <c r="BY30" s="133" t="s">
        <v>846</v>
      </c>
      <c r="BZ30" s="133" t="s">
        <v>840</v>
      </c>
      <c r="CA30" s="133" t="s">
        <v>846</v>
      </c>
      <c r="CB30" s="135" t="s">
        <v>840</v>
      </c>
      <c r="CC30" s="132" t="s">
        <v>840</v>
      </c>
      <c r="CD30" s="133" t="s">
        <v>846</v>
      </c>
      <c r="CE30" s="133" t="s">
        <v>846</v>
      </c>
      <c r="CF30" s="133" t="s">
        <v>846</v>
      </c>
      <c r="CG30" s="133" t="s">
        <v>846</v>
      </c>
      <c r="CH30" s="133" t="s">
        <v>846</v>
      </c>
      <c r="CI30" s="133" t="s">
        <v>846</v>
      </c>
      <c r="CJ30" s="133" t="s">
        <v>846</v>
      </c>
      <c r="CK30" s="133" t="s">
        <v>846</v>
      </c>
      <c r="CL30" s="133" t="s">
        <v>846</v>
      </c>
      <c r="CM30" s="133" t="s">
        <v>846</v>
      </c>
      <c r="CN30" s="133" t="s">
        <v>846</v>
      </c>
      <c r="CO30" s="133" t="s">
        <v>840</v>
      </c>
      <c r="CP30" s="135" t="b">
        <v>0</v>
      </c>
      <c r="CQ30" s="132" t="b">
        <v>0</v>
      </c>
      <c r="CR30" s="133" t="s">
        <v>846</v>
      </c>
      <c r="CS30" s="133" t="s">
        <v>846</v>
      </c>
      <c r="CT30" s="133" t="s">
        <v>846</v>
      </c>
      <c r="CU30" s="133" t="s">
        <v>846</v>
      </c>
      <c r="CV30" s="133" t="s">
        <v>840</v>
      </c>
      <c r="CW30" s="133" t="s">
        <v>840</v>
      </c>
      <c r="CX30" s="133" t="s">
        <v>846</v>
      </c>
      <c r="CY30" s="133" t="b">
        <v>0</v>
      </c>
      <c r="CZ30" s="135" t="s">
        <v>840</v>
      </c>
      <c r="DA30" s="96">
        <v>16</v>
      </c>
      <c r="DB30" s="103">
        <f>COUNTIF(DonnéesBC[[#This Row],[1]:[16]],"FAUX")</f>
        <v>2</v>
      </c>
      <c r="DC30" s="103">
        <f>COUNTIF(DonnéesBC[[#This Row],[1]:[16]],"Je ne sais pas")</f>
        <v>4</v>
      </c>
      <c r="DD30" s="103">
        <f>COUNTIF(DonnéesBC[[#This Row],[1]:[16]],"Juste")</f>
        <v>10</v>
      </c>
      <c r="DE30" s="96">
        <v>12</v>
      </c>
      <c r="DF30" s="103">
        <f>COUNTIF(DonnéesBC[[#This Row],[17]:[28]],"FAUX")</f>
        <v>1</v>
      </c>
      <c r="DG30" s="103">
        <f>COUNTIF(DonnéesBC[[#This Row],[17]:[28]],"Je ne sais pas")</f>
        <v>4</v>
      </c>
      <c r="DH30" s="103">
        <f>COUNTIF(DonnéesBC[[#This Row],[17]:[28]],"Juste")</f>
        <v>7</v>
      </c>
      <c r="DI30" s="96">
        <v>9</v>
      </c>
      <c r="DJ30" s="103">
        <f>COUNTIF(DonnéesBC[[#This Row],[29]:[37]],"FAUX")</f>
        <v>3</v>
      </c>
      <c r="DK30" s="103">
        <f>COUNTIF(DonnéesBC[[#This Row],[29]:[37]],"Je ne sais pas")</f>
        <v>2</v>
      </c>
      <c r="DL30" s="103">
        <f>COUNTIF(DonnéesBC[[#This Row],[29]:[37]],"Juste")</f>
        <v>4</v>
      </c>
      <c r="DM30" s="96">
        <v>13</v>
      </c>
      <c r="DN30" s="103">
        <f>COUNTIF(DonnéesBC[[#This Row],[38]:[50]],"FAUX")</f>
        <v>0</v>
      </c>
      <c r="DO30" s="103">
        <f>COUNTIF(DonnéesBC[[#This Row],[38]:[50]],"Je ne sais pas")</f>
        <v>4</v>
      </c>
      <c r="DP30" s="103">
        <f>COUNTIF(DonnéesBC[[#This Row],[38]:[50]],"Juste")</f>
        <v>9</v>
      </c>
      <c r="DQ30" s="96">
        <v>16</v>
      </c>
      <c r="DR30" s="103">
        <f>COUNTIF(DonnéesBC[[#This Row],[51]:[66]],"FAUX")</f>
        <v>2</v>
      </c>
      <c r="DS30" s="103">
        <f>COUNTIF(DonnéesBC[[#This Row],[51]:[66]],"Je ne sais pas")</f>
        <v>8</v>
      </c>
      <c r="DT30" s="103">
        <f>COUNTIF(DonnéesBC[[#This Row],[51]:[66]],"Juste")</f>
        <v>6</v>
      </c>
      <c r="DU30" s="96">
        <v>11</v>
      </c>
      <c r="DV30" s="103">
        <f>COUNTIF(DonnéesBC[[#This Row],[67]:[77]],"FAUX")</f>
        <v>1</v>
      </c>
      <c r="DW30" s="103">
        <f>COUNTIF(DonnéesBC[[#This Row],[67]:[77]],"Je ne sais pas")</f>
        <v>3</v>
      </c>
      <c r="DX30" s="103">
        <f>COUNTIF(DonnéesBC[[#This Row],[67]:[77]],"Juste")</f>
        <v>7</v>
      </c>
      <c r="DY30" s="96">
        <v>14</v>
      </c>
      <c r="DZ30" s="103">
        <f>COUNTIF(DonnéesBC[[#This Row],[78]:[91]],"FAUX")</f>
        <v>1</v>
      </c>
      <c r="EA30" s="103">
        <f>COUNTIF(DonnéesBC[[#This Row],[78]:[91]],"Je ne sais pas")</f>
        <v>2</v>
      </c>
      <c r="EB30" s="103">
        <f>COUNTIF(DonnéesBC[[#This Row],[78]:[91]],"Juste")</f>
        <v>11</v>
      </c>
      <c r="EC30" s="96">
        <v>10</v>
      </c>
      <c r="ED30" s="103">
        <f>COUNTIF(DonnéesBC[[#This Row],[92]:[101]],"FAUX")</f>
        <v>2</v>
      </c>
      <c r="EE30" s="103">
        <f>COUNTIF(DonnéesBC[[#This Row],[92]:[101]],"Je ne sais pas")</f>
        <v>3</v>
      </c>
      <c r="EF30" s="103">
        <f>COUNTIF(DonnéesBC[[#This Row],[92]:[101]],"Juste")</f>
        <v>5</v>
      </c>
      <c r="EG30" s="96">
        <f>SUM(DonnéesBC[[#This Row],[A]]+DonnéesBC[[#This Row],[B]]+DonnéesBC[[#This Row],[C]]+DonnéesBC[[#This Row],[D]]+DonnéesBC[[#This Row],[E]]+DonnéesBC[[#This Row],[F]]+DonnéesBC[[#This Row],[G]]+DonnéesBC[[#This Row],[H]])</f>
        <v>101</v>
      </c>
      <c r="EH30" s="97">
        <f>SUM(DonnéesBC[[#This Row],[A2]]+DonnéesBC[[#This Row],[B2]]+DonnéesBC[[#This Row],[C2]]+DonnéesBC[[#This Row],[D2]]+DonnéesBC[[#This Row],[E2]]+DonnéesBC[[#This Row],[F2]]+DonnéesBC[[#This Row],[G2]]+DonnéesBC[[#This Row],[H2]])</f>
        <v>12</v>
      </c>
      <c r="EI30" s="98">
        <f>SUM(DonnéesBC[[#This Row],[A3]]+DonnéesBC[[#This Row],[B3]]+DonnéesBC[[#This Row],[C3]]+DonnéesBC[[#This Row],[D3]]+DonnéesBC[[#This Row],[E3]]+DonnéesBC[[#This Row],[F3]]+DonnéesBC[[#This Row],[G3]]+DonnéesBC[[#This Row],[H3]])</f>
        <v>30</v>
      </c>
      <c r="EJ30" s="103">
        <f>SUM(DonnéesBC[[#This Row],[A4]]+DonnéesBC[[#This Row],[B4]]+DonnéesBC[[#This Row],[C4]]+DonnéesBC[[#This Row],[D4]]+DonnéesBC[[#This Row],[E4]]+DonnéesBC[[#This Row],[F4]]+DonnéesBC[[#This Row],[G4]]+DonnéesBC[[#This Row],[H4]])</f>
        <v>59</v>
      </c>
      <c r="EK30" s="95"/>
      <c r="EL30">
        <v>28</v>
      </c>
    </row>
    <row r="31" spans="1:142" ht="14" customHeight="1">
      <c r="A31" s="101" t="str">
        <f>DonnéesBC[[#This Row],[Prénom]]&amp;" "&amp;DonnéesBC[[#This Row],[Nom]]</f>
        <v>Joe Da Costa</v>
      </c>
      <c r="B31" s="97" t="s">
        <v>126</v>
      </c>
      <c r="C31" s="97" t="s">
        <v>127</v>
      </c>
      <c r="D31" s="136" t="s">
        <v>846</v>
      </c>
      <c r="E31" s="137" t="b">
        <v>0</v>
      </c>
      <c r="F31" s="137" t="s">
        <v>846</v>
      </c>
      <c r="G31" s="137" t="s">
        <v>846</v>
      </c>
      <c r="H31" s="137" t="s">
        <v>846</v>
      </c>
      <c r="I31" s="137" t="s">
        <v>846</v>
      </c>
      <c r="J31" s="137" t="s">
        <v>846</v>
      </c>
      <c r="K31" s="137" t="b">
        <v>0</v>
      </c>
      <c r="L31" s="137" t="b">
        <v>0</v>
      </c>
      <c r="M31" s="137" t="s">
        <v>846</v>
      </c>
      <c r="N31" s="137" t="s">
        <v>846</v>
      </c>
      <c r="O31" s="137" t="s">
        <v>846</v>
      </c>
      <c r="P31" s="137" t="s">
        <v>846</v>
      </c>
      <c r="Q31" s="137" t="s">
        <v>846</v>
      </c>
      <c r="R31" s="137" t="s">
        <v>846</v>
      </c>
      <c r="S31" s="138" t="s">
        <v>846</v>
      </c>
      <c r="T31" s="136" t="s">
        <v>846</v>
      </c>
      <c r="U31" s="137" t="s">
        <v>846</v>
      </c>
      <c r="V31" s="137" t="b">
        <v>0</v>
      </c>
      <c r="W31" s="137" t="s">
        <v>846</v>
      </c>
      <c r="X31" s="137" t="s">
        <v>846</v>
      </c>
      <c r="Y31" s="137" t="s">
        <v>846</v>
      </c>
      <c r="Z31" s="137" t="s">
        <v>846</v>
      </c>
      <c r="AA31" s="137" t="s">
        <v>846</v>
      </c>
      <c r="AB31" s="137" t="b">
        <v>0</v>
      </c>
      <c r="AC31" s="137" t="b">
        <v>0</v>
      </c>
      <c r="AD31" s="137" t="s">
        <v>846</v>
      </c>
      <c r="AE31" s="138" t="s">
        <v>846</v>
      </c>
      <c r="AF31" s="136" t="s">
        <v>846</v>
      </c>
      <c r="AG31" s="137" t="s">
        <v>846</v>
      </c>
      <c r="AH31" s="137" t="s">
        <v>846</v>
      </c>
      <c r="AI31" s="137" t="s">
        <v>846</v>
      </c>
      <c r="AJ31" s="137" t="s">
        <v>846</v>
      </c>
      <c r="AK31" s="137" t="b">
        <v>0</v>
      </c>
      <c r="AL31" s="137" t="s">
        <v>846</v>
      </c>
      <c r="AM31" s="137" t="s">
        <v>846</v>
      </c>
      <c r="AN31" s="138" t="s">
        <v>846</v>
      </c>
      <c r="AO31" s="136" t="b">
        <v>0</v>
      </c>
      <c r="AP31" s="137" t="s">
        <v>846</v>
      </c>
      <c r="AQ31" s="137" t="b">
        <v>0</v>
      </c>
      <c r="AR31" s="137" t="b">
        <v>0</v>
      </c>
      <c r="AS31" s="137" t="b">
        <v>0</v>
      </c>
      <c r="AT31" s="137" t="s">
        <v>846</v>
      </c>
      <c r="AU31" s="137" t="s">
        <v>846</v>
      </c>
      <c r="AV31" s="137" t="s">
        <v>846</v>
      </c>
      <c r="AW31" s="137" t="s">
        <v>846</v>
      </c>
      <c r="AX31" s="137" t="s">
        <v>846</v>
      </c>
      <c r="AY31" s="137" t="s">
        <v>846</v>
      </c>
      <c r="AZ31" s="137" t="s">
        <v>846</v>
      </c>
      <c r="BA31" s="138" t="s">
        <v>846</v>
      </c>
      <c r="BB31" s="136" t="s">
        <v>846</v>
      </c>
      <c r="BC31" s="137" t="s">
        <v>846</v>
      </c>
      <c r="BD31" s="137" t="s">
        <v>846</v>
      </c>
      <c r="BE31" s="137" t="s">
        <v>846</v>
      </c>
      <c r="BF31" s="137" t="s">
        <v>846</v>
      </c>
      <c r="BG31" s="137" t="b">
        <v>0</v>
      </c>
      <c r="BH31" s="137" t="s">
        <v>846</v>
      </c>
      <c r="BI31" s="137" t="s">
        <v>846</v>
      </c>
      <c r="BJ31" s="137" t="b">
        <v>0</v>
      </c>
      <c r="BK31" s="137" t="s">
        <v>846</v>
      </c>
      <c r="BL31" s="137" t="s">
        <v>846</v>
      </c>
      <c r="BM31" s="137" t="s">
        <v>846</v>
      </c>
      <c r="BN31" s="137" t="b">
        <v>0</v>
      </c>
      <c r="BO31" s="137" t="s">
        <v>846</v>
      </c>
      <c r="BP31" s="137" t="b">
        <v>0</v>
      </c>
      <c r="BQ31" s="138" t="s">
        <v>846</v>
      </c>
      <c r="BR31" s="136" t="s">
        <v>846</v>
      </c>
      <c r="BS31" s="137" t="s">
        <v>846</v>
      </c>
      <c r="BT31" s="137" t="s">
        <v>846</v>
      </c>
      <c r="BU31" s="137" t="s">
        <v>846</v>
      </c>
      <c r="BV31" s="137" t="s">
        <v>846</v>
      </c>
      <c r="BW31" s="137" t="b">
        <v>0</v>
      </c>
      <c r="BX31" s="137" t="s">
        <v>846</v>
      </c>
      <c r="BY31" s="137" t="s">
        <v>846</v>
      </c>
      <c r="BZ31" s="137" t="b">
        <v>0</v>
      </c>
      <c r="CA31" s="137" t="s">
        <v>846</v>
      </c>
      <c r="CB31" s="138" t="s">
        <v>846</v>
      </c>
      <c r="CC31" s="136" t="b">
        <v>0</v>
      </c>
      <c r="CD31" s="137" t="s">
        <v>846</v>
      </c>
      <c r="CE31" s="137" t="s">
        <v>846</v>
      </c>
      <c r="CF31" s="137" t="s">
        <v>846</v>
      </c>
      <c r="CG31" s="137" t="s">
        <v>846</v>
      </c>
      <c r="CH31" s="137" t="b">
        <v>0</v>
      </c>
      <c r="CI31" s="137" t="s">
        <v>846</v>
      </c>
      <c r="CJ31" s="137" t="s">
        <v>846</v>
      </c>
      <c r="CK31" s="137" t="s">
        <v>846</v>
      </c>
      <c r="CL31" s="137" t="s">
        <v>846</v>
      </c>
      <c r="CM31" s="137" t="s">
        <v>846</v>
      </c>
      <c r="CN31" s="137" t="s">
        <v>846</v>
      </c>
      <c r="CO31" s="137" t="s">
        <v>846</v>
      </c>
      <c r="CP31" s="138" t="b">
        <v>0</v>
      </c>
      <c r="CQ31" s="136" t="s">
        <v>846</v>
      </c>
      <c r="CR31" s="137" t="s">
        <v>846</v>
      </c>
      <c r="CS31" s="137" t="s">
        <v>846</v>
      </c>
      <c r="CT31" s="137" t="b">
        <v>0</v>
      </c>
      <c r="CU31" s="137" t="s">
        <v>846</v>
      </c>
      <c r="CV31" s="137" t="s">
        <v>846</v>
      </c>
      <c r="CW31" s="137" t="s">
        <v>846</v>
      </c>
      <c r="CX31" s="137" t="s">
        <v>846</v>
      </c>
      <c r="CY31" s="137" t="s">
        <v>846</v>
      </c>
      <c r="CZ31" s="138" t="b">
        <v>0</v>
      </c>
      <c r="DA31" s="96">
        <v>16</v>
      </c>
      <c r="DB31" s="103">
        <f>COUNTIF(DonnéesBC[[#This Row],[1]:[16]],"FAUX")</f>
        <v>3</v>
      </c>
      <c r="DC31" s="103">
        <f>COUNTIF(DonnéesBC[[#This Row],[1]:[16]],"Je ne sais pas")</f>
        <v>0</v>
      </c>
      <c r="DD31" s="103">
        <f>COUNTIF(DonnéesBC[[#This Row],[1]:[16]],"Juste")</f>
        <v>13</v>
      </c>
      <c r="DE31" s="96">
        <v>12</v>
      </c>
      <c r="DF31" s="103">
        <f>COUNTIF(DonnéesBC[[#This Row],[17]:[28]],"FAUX")</f>
        <v>3</v>
      </c>
      <c r="DG31" s="103">
        <f>COUNTIF(DonnéesBC[[#This Row],[17]:[28]],"Je ne sais pas")</f>
        <v>0</v>
      </c>
      <c r="DH31" s="103">
        <f>COUNTIF(DonnéesBC[[#This Row],[17]:[28]],"Juste")</f>
        <v>9</v>
      </c>
      <c r="DI31" s="96">
        <v>9</v>
      </c>
      <c r="DJ31" s="103">
        <f>COUNTIF(DonnéesBC[[#This Row],[29]:[37]],"FAUX")</f>
        <v>1</v>
      </c>
      <c r="DK31" s="103">
        <f>COUNTIF(DonnéesBC[[#This Row],[29]:[37]],"Je ne sais pas")</f>
        <v>0</v>
      </c>
      <c r="DL31" s="103">
        <f>COUNTIF(DonnéesBC[[#This Row],[29]:[37]],"Juste")</f>
        <v>8</v>
      </c>
      <c r="DM31" s="96">
        <v>13</v>
      </c>
      <c r="DN31" s="103">
        <f>COUNTIF(DonnéesBC[[#This Row],[38]:[50]],"FAUX")</f>
        <v>4</v>
      </c>
      <c r="DO31" s="103">
        <f>COUNTIF(DonnéesBC[[#This Row],[38]:[50]],"Je ne sais pas")</f>
        <v>0</v>
      </c>
      <c r="DP31" s="103">
        <f>COUNTIF(DonnéesBC[[#This Row],[38]:[50]],"Juste")</f>
        <v>9</v>
      </c>
      <c r="DQ31" s="96">
        <v>16</v>
      </c>
      <c r="DR31" s="103">
        <f>COUNTIF(DonnéesBC[[#This Row],[51]:[66]],"FAUX")</f>
        <v>4</v>
      </c>
      <c r="DS31" s="103">
        <f>COUNTIF(DonnéesBC[[#This Row],[51]:[66]],"Je ne sais pas")</f>
        <v>0</v>
      </c>
      <c r="DT31" s="103">
        <f>COUNTIF(DonnéesBC[[#This Row],[51]:[66]],"Juste")</f>
        <v>12</v>
      </c>
      <c r="DU31" s="96">
        <v>11</v>
      </c>
      <c r="DV31" s="103">
        <f>COUNTIF(DonnéesBC[[#This Row],[67]:[77]],"FAUX")</f>
        <v>2</v>
      </c>
      <c r="DW31" s="103">
        <f>COUNTIF(DonnéesBC[[#This Row],[67]:[77]],"Je ne sais pas")</f>
        <v>0</v>
      </c>
      <c r="DX31" s="103">
        <f>COUNTIF(DonnéesBC[[#This Row],[67]:[77]],"Juste")</f>
        <v>9</v>
      </c>
      <c r="DY31" s="96">
        <v>14</v>
      </c>
      <c r="DZ31" s="103">
        <f>COUNTIF(DonnéesBC[[#This Row],[78]:[91]],"FAUX")</f>
        <v>3</v>
      </c>
      <c r="EA31" s="103">
        <f>COUNTIF(DonnéesBC[[#This Row],[78]:[91]],"Je ne sais pas")</f>
        <v>0</v>
      </c>
      <c r="EB31" s="103">
        <f>COUNTIF(DonnéesBC[[#This Row],[78]:[91]],"Juste")</f>
        <v>11</v>
      </c>
      <c r="EC31" s="96">
        <v>10</v>
      </c>
      <c r="ED31" s="103">
        <f>COUNTIF(DonnéesBC[[#This Row],[92]:[101]],"FAUX")</f>
        <v>2</v>
      </c>
      <c r="EE31" s="103">
        <f>COUNTIF(DonnéesBC[[#This Row],[92]:[101]],"Je ne sais pas")</f>
        <v>0</v>
      </c>
      <c r="EF31" s="103">
        <f>COUNTIF(DonnéesBC[[#This Row],[92]:[101]],"Juste")</f>
        <v>8</v>
      </c>
      <c r="EG31" s="96">
        <f>SUM(DonnéesBC[[#This Row],[A]]+DonnéesBC[[#This Row],[B]]+DonnéesBC[[#This Row],[C]]+DonnéesBC[[#This Row],[D]]+DonnéesBC[[#This Row],[E]]+DonnéesBC[[#This Row],[F]]+DonnéesBC[[#This Row],[G]]+DonnéesBC[[#This Row],[H]])</f>
        <v>101</v>
      </c>
      <c r="EH31" s="97">
        <f>SUM(DonnéesBC[[#This Row],[A2]]+DonnéesBC[[#This Row],[B2]]+DonnéesBC[[#This Row],[C2]]+DonnéesBC[[#This Row],[D2]]+DonnéesBC[[#This Row],[E2]]+DonnéesBC[[#This Row],[F2]]+DonnéesBC[[#This Row],[G2]]+DonnéesBC[[#This Row],[H2]])</f>
        <v>22</v>
      </c>
      <c r="EI31" s="98">
        <f>SUM(DonnéesBC[[#This Row],[A3]]+DonnéesBC[[#This Row],[B3]]+DonnéesBC[[#This Row],[C3]]+DonnéesBC[[#This Row],[D3]]+DonnéesBC[[#This Row],[E3]]+DonnéesBC[[#This Row],[F3]]+DonnéesBC[[#This Row],[G3]]+DonnéesBC[[#This Row],[H3]])</f>
        <v>0</v>
      </c>
      <c r="EJ31" s="103">
        <f>SUM(DonnéesBC[[#This Row],[A4]]+DonnéesBC[[#This Row],[B4]]+DonnéesBC[[#This Row],[C4]]+DonnéesBC[[#This Row],[D4]]+DonnéesBC[[#This Row],[E4]]+DonnéesBC[[#This Row],[F4]]+DonnéesBC[[#This Row],[G4]]+DonnéesBC[[#This Row],[H4]])</f>
        <v>79</v>
      </c>
      <c r="EK31" s="95"/>
      <c r="EL31">
        <v>28</v>
      </c>
    </row>
    <row r="32" spans="1:142" ht="14" customHeight="1">
      <c r="A32" s="101" t="str">
        <f>DonnéesBC[[#This Row],[Prénom]]&amp;" "&amp;DonnéesBC[[#This Row],[Nom]]</f>
        <v>Jonathan Aeberli</v>
      </c>
      <c r="B32" s="98" t="s">
        <v>128</v>
      </c>
      <c r="C32" s="98" t="s">
        <v>129</v>
      </c>
      <c r="D32" s="132" t="b">
        <v>0</v>
      </c>
      <c r="E32" s="133" t="s">
        <v>846</v>
      </c>
      <c r="F32" s="133" t="s">
        <v>846</v>
      </c>
      <c r="G32" s="133" t="b">
        <v>0</v>
      </c>
      <c r="H32" s="133" t="s">
        <v>846</v>
      </c>
      <c r="I32" s="133" t="s">
        <v>846</v>
      </c>
      <c r="J32" s="133" t="s">
        <v>846</v>
      </c>
      <c r="K32" s="133" t="s">
        <v>846</v>
      </c>
      <c r="L32" s="133" t="b">
        <v>0</v>
      </c>
      <c r="M32" s="133" t="s">
        <v>846</v>
      </c>
      <c r="N32" s="133" t="b">
        <v>0</v>
      </c>
      <c r="O32" s="133" t="s">
        <v>846</v>
      </c>
      <c r="P32" s="133" t="s">
        <v>846</v>
      </c>
      <c r="Q32" s="133" t="b">
        <v>0</v>
      </c>
      <c r="R32" s="133" t="s">
        <v>846</v>
      </c>
      <c r="S32" s="134" t="b">
        <v>0</v>
      </c>
      <c r="T32" s="132" t="s">
        <v>846</v>
      </c>
      <c r="U32" s="133" t="s">
        <v>846</v>
      </c>
      <c r="V32" s="133" t="s">
        <v>846</v>
      </c>
      <c r="W32" s="133" t="s">
        <v>846</v>
      </c>
      <c r="X32" s="133" t="b">
        <v>0</v>
      </c>
      <c r="Y32" s="133" t="s">
        <v>846</v>
      </c>
      <c r="Z32" s="133" t="s">
        <v>846</v>
      </c>
      <c r="AA32" s="133" t="b">
        <v>0</v>
      </c>
      <c r="AB32" s="133" t="b">
        <v>0</v>
      </c>
      <c r="AC32" s="133" t="b">
        <v>0</v>
      </c>
      <c r="AD32" s="133" t="b">
        <v>0</v>
      </c>
      <c r="AE32" s="134" t="s">
        <v>846</v>
      </c>
      <c r="AF32" s="132" t="b">
        <v>0</v>
      </c>
      <c r="AG32" s="133" t="b">
        <v>0</v>
      </c>
      <c r="AH32" s="133" t="b">
        <v>0</v>
      </c>
      <c r="AI32" s="133" t="b">
        <v>0</v>
      </c>
      <c r="AJ32" s="133" t="s">
        <v>846</v>
      </c>
      <c r="AK32" s="133" t="b">
        <v>0</v>
      </c>
      <c r="AL32" s="133" t="s">
        <v>846</v>
      </c>
      <c r="AM32" s="133" t="b">
        <v>0</v>
      </c>
      <c r="AN32" s="134" t="s">
        <v>846</v>
      </c>
      <c r="AO32" s="132" t="s">
        <v>846</v>
      </c>
      <c r="AP32" s="133" t="b">
        <v>0</v>
      </c>
      <c r="AQ32" s="133" t="s">
        <v>846</v>
      </c>
      <c r="AR32" s="133" t="s">
        <v>846</v>
      </c>
      <c r="AS32" s="133" t="b">
        <v>0</v>
      </c>
      <c r="AT32" s="133" t="s">
        <v>846</v>
      </c>
      <c r="AU32" s="133" t="s">
        <v>846</v>
      </c>
      <c r="AV32" s="133" t="s">
        <v>846</v>
      </c>
      <c r="AW32" s="133" t="s">
        <v>846</v>
      </c>
      <c r="AX32" s="133" t="s">
        <v>846</v>
      </c>
      <c r="AY32" s="133" t="b">
        <v>0</v>
      </c>
      <c r="AZ32" s="133" t="s">
        <v>846</v>
      </c>
      <c r="BA32" s="134" t="s">
        <v>846</v>
      </c>
      <c r="BB32" s="132" t="s">
        <v>846</v>
      </c>
      <c r="BC32" s="133" t="b">
        <v>0</v>
      </c>
      <c r="BD32" s="133" t="s">
        <v>846</v>
      </c>
      <c r="BE32" s="133" t="s">
        <v>846</v>
      </c>
      <c r="BF32" s="133" t="s">
        <v>846</v>
      </c>
      <c r="BG32" s="133" t="b">
        <v>0</v>
      </c>
      <c r="BH32" s="133" t="b">
        <v>0</v>
      </c>
      <c r="BI32" s="133" t="s">
        <v>846</v>
      </c>
      <c r="BJ32" s="133" t="s">
        <v>846</v>
      </c>
      <c r="BK32" s="133" t="s">
        <v>846</v>
      </c>
      <c r="BL32" s="133" t="s">
        <v>846</v>
      </c>
      <c r="BM32" s="133" t="b">
        <v>0</v>
      </c>
      <c r="BN32" s="133" t="b">
        <v>0</v>
      </c>
      <c r="BO32" s="133" t="b">
        <v>0</v>
      </c>
      <c r="BP32" s="133" t="s">
        <v>846</v>
      </c>
      <c r="BQ32" s="134" t="b">
        <v>0</v>
      </c>
      <c r="BR32" s="132" t="s">
        <v>846</v>
      </c>
      <c r="BS32" s="133" t="s">
        <v>846</v>
      </c>
      <c r="BT32" s="133" t="s">
        <v>846</v>
      </c>
      <c r="BU32" s="133" t="b">
        <v>0</v>
      </c>
      <c r="BV32" s="133" t="s">
        <v>846</v>
      </c>
      <c r="BW32" s="133" t="s">
        <v>846</v>
      </c>
      <c r="BX32" s="133" t="s">
        <v>846</v>
      </c>
      <c r="BY32" s="133" t="s">
        <v>846</v>
      </c>
      <c r="BZ32" s="133" t="b">
        <v>0</v>
      </c>
      <c r="CA32" s="133" t="s">
        <v>846</v>
      </c>
      <c r="CB32" s="134" t="b">
        <v>0</v>
      </c>
      <c r="CC32" s="132" t="b">
        <v>0</v>
      </c>
      <c r="CD32" s="133" t="s">
        <v>846</v>
      </c>
      <c r="CE32" s="133" t="s">
        <v>846</v>
      </c>
      <c r="CF32" s="133" t="b">
        <v>0</v>
      </c>
      <c r="CG32" s="133" t="b">
        <v>0</v>
      </c>
      <c r="CH32" s="133" t="b">
        <v>0</v>
      </c>
      <c r="CI32" s="133" t="s">
        <v>846</v>
      </c>
      <c r="CJ32" s="133" t="s">
        <v>846</v>
      </c>
      <c r="CK32" s="133" t="s">
        <v>846</v>
      </c>
      <c r="CL32" s="133" t="s">
        <v>846</v>
      </c>
      <c r="CM32" s="133" t="s">
        <v>846</v>
      </c>
      <c r="CN32" s="133" t="s">
        <v>846</v>
      </c>
      <c r="CO32" s="133" t="b">
        <v>0</v>
      </c>
      <c r="CP32" s="134" t="b">
        <v>0</v>
      </c>
      <c r="CQ32" s="132" t="b">
        <v>0</v>
      </c>
      <c r="CR32" s="133" t="b">
        <v>0</v>
      </c>
      <c r="CS32" s="133" t="b">
        <v>0</v>
      </c>
      <c r="CT32" s="133" t="s">
        <v>846</v>
      </c>
      <c r="CU32" s="133" t="b">
        <v>0</v>
      </c>
      <c r="CV32" s="133" t="s">
        <v>846</v>
      </c>
      <c r="CW32" s="133" t="s">
        <v>846</v>
      </c>
      <c r="CX32" s="133" t="s">
        <v>846</v>
      </c>
      <c r="CY32" s="133" t="b">
        <v>0</v>
      </c>
      <c r="CZ32" s="135" t="b">
        <v>0</v>
      </c>
      <c r="DA32" s="96">
        <v>16</v>
      </c>
      <c r="DB32" s="103">
        <f>COUNTIF(DonnéesBC[[#This Row],[1]:[16]],"FAUX")</f>
        <v>6</v>
      </c>
      <c r="DC32" s="103">
        <f>COUNTIF(DonnéesBC[[#This Row],[1]:[16]],"Je ne sais pas")</f>
        <v>0</v>
      </c>
      <c r="DD32" s="103">
        <f>COUNTIF(DonnéesBC[[#This Row],[1]:[16]],"Juste")</f>
        <v>10</v>
      </c>
      <c r="DE32" s="96">
        <v>12</v>
      </c>
      <c r="DF32" s="103">
        <f>COUNTIF(DonnéesBC[[#This Row],[17]:[28]],"FAUX")</f>
        <v>5</v>
      </c>
      <c r="DG32" s="103">
        <f>COUNTIF(DonnéesBC[[#This Row],[17]:[28]],"Je ne sais pas")</f>
        <v>0</v>
      </c>
      <c r="DH32" s="103">
        <f>COUNTIF(DonnéesBC[[#This Row],[17]:[28]],"Juste")</f>
        <v>7</v>
      </c>
      <c r="DI32" s="96">
        <v>9</v>
      </c>
      <c r="DJ32" s="103">
        <f>COUNTIF(DonnéesBC[[#This Row],[29]:[37]],"FAUX")</f>
        <v>6</v>
      </c>
      <c r="DK32" s="103">
        <f>COUNTIF(DonnéesBC[[#This Row],[29]:[37]],"Je ne sais pas")</f>
        <v>0</v>
      </c>
      <c r="DL32" s="103">
        <f>COUNTIF(DonnéesBC[[#This Row],[29]:[37]],"Juste")</f>
        <v>3</v>
      </c>
      <c r="DM32" s="96">
        <v>13</v>
      </c>
      <c r="DN32" s="103">
        <f>COUNTIF(DonnéesBC[[#This Row],[38]:[50]],"FAUX")</f>
        <v>3</v>
      </c>
      <c r="DO32" s="103">
        <f>COUNTIF(DonnéesBC[[#This Row],[38]:[50]],"Je ne sais pas")</f>
        <v>0</v>
      </c>
      <c r="DP32" s="103">
        <f>COUNTIF(DonnéesBC[[#This Row],[38]:[50]],"Juste")</f>
        <v>10</v>
      </c>
      <c r="DQ32" s="96">
        <v>16</v>
      </c>
      <c r="DR32" s="103">
        <f>COUNTIF(DonnéesBC[[#This Row],[51]:[66]],"FAUX")</f>
        <v>7</v>
      </c>
      <c r="DS32" s="103">
        <f>COUNTIF(DonnéesBC[[#This Row],[51]:[66]],"Je ne sais pas")</f>
        <v>0</v>
      </c>
      <c r="DT32" s="103">
        <f>COUNTIF(DonnéesBC[[#This Row],[51]:[66]],"Juste")</f>
        <v>9</v>
      </c>
      <c r="DU32" s="96">
        <v>11</v>
      </c>
      <c r="DV32" s="103">
        <f>COUNTIF(DonnéesBC[[#This Row],[67]:[77]],"FAUX")</f>
        <v>3</v>
      </c>
      <c r="DW32" s="103">
        <f>COUNTIF(DonnéesBC[[#This Row],[67]:[77]],"Je ne sais pas")</f>
        <v>0</v>
      </c>
      <c r="DX32" s="103">
        <f>COUNTIF(DonnéesBC[[#This Row],[67]:[77]],"Juste")</f>
        <v>8</v>
      </c>
      <c r="DY32" s="96">
        <v>14</v>
      </c>
      <c r="DZ32" s="103">
        <f>COUNTIF(DonnéesBC[[#This Row],[78]:[91]],"FAUX")</f>
        <v>6</v>
      </c>
      <c r="EA32" s="103">
        <f>COUNTIF(DonnéesBC[[#This Row],[78]:[91]],"Je ne sais pas")</f>
        <v>0</v>
      </c>
      <c r="EB32" s="103">
        <f>COUNTIF(DonnéesBC[[#This Row],[78]:[91]],"Juste")</f>
        <v>8</v>
      </c>
      <c r="EC32" s="96">
        <v>10</v>
      </c>
      <c r="ED32" s="103">
        <f>COUNTIF(DonnéesBC[[#This Row],[92]:[101]],"FAUX")</f>
        <v>6</v>
      </c>
      <c r="EE32" s="103">
        <f>COUNTIF(DonnéesBC[[#This Row],[92]:[101]],"Je ne sais pas")</f>
        <v>0</v>
      </c>
      <c r="EF32" s="103">
        <f>COUNTIF(DonnéesBC[[#This Row],[92]:[101]],"Juste")</f>
        <v>4</v>
      </c>
      <c r="EG32" s="96">
        <f>SUM(DonnéesBC[[#This Row],[A]]+DonnéesBC[[#This Row],[B]]+DonnéesBC[[#This Row],[C]]+DonnéesBC[[#This Row],[D]]+DonnéesBC[[#This Row],[E]]+DonnéesBC[[#This Row],[F]]+DonnéesBC[[#This Row],[G]]+DonnéesBC[[#This Row],[H]])</f>
        <v>101</v>
      </c>
      <c r="EH32" s="97">
        <f>SUM(DonnéesBC[[#This Row],[A2]]+DonnéesBC[[#This Row],[B2]]+DonnéesBC[[#This Row],[C2]]+DonnéesBC[[#This Row],[D2]]+DonnéesBC[[#This Row],[E2]]+DonnéesBC[[#This Row],[F2]]+DonnéesBC[[#This Row],[G2]]+DonnéesBC[[#This Row],[H2]])</f>
        <v>42</v>
      </c>
      <c r="EI32" s="98">
        <f>SUM(DonnéesBC[[#This Row],[A3]]+DonnéesBC[[#This Row],[B3]]+DonnéesBC[[#This Row],[C3]]+DonnéesBC[[#This Row],[D3]]+DonnéesBC[[#This Row],[E3]]+DonnéesBC[[#This Row],[F3]]+DonnéesBC[[#This Row],[G3]]+DonnéesBC[[#This Row],[H3]])</f>
        <v>0</v>
      </c>
      <c r="EJ32" s="103">
        <f>SUM(DonnéesBC[[#This Row],[A4]]+DonnéesBC[[#This Row],[B4]]+DonnéesBC[[#This Row],[C4]]+DonnéesBC[[#This Row],[D4]]+DonnéesBC[[#This Row],[E4]]+DonnéesBC[[#This Row],[F4]]+DonnéesBC[[#This Row],[G4]]+DonnéesBC[[#This Row],[H4]])</f>
        <v>59</v>
      </c>
      <c r="EK32" s="95"/>
      <c r="EL32">
        <v>28</v>
      </c>
    </row>
    <row r="33" spans="1:142" ht="14" customHeight="1">
      <c r="A33" s="101" t="str">
        <f>DonnéesBC[[#This Row],[Prénom]]&amp;" "&amp;DonnéesBC[[#This Row],[Nom]]</f>
        <v>Jonathan Pernet</v>
      </c>
      <c r="B33" s="97" t="s">
        <v>130</v>
      </c>
      <c r="C33" s="97" t="s">
        <v>129</v>
      </c>
      <c r="D33" s="136" t="b">
        <v>0</v>
      </c>
      <c r="E33" s="137" t="s">
        <v>846</v>
      </c>
      <c r="F33" s="137" t="s">
        <v>846</v>
      </c>
      <c r="G33" s="137" t="s">
        <v>846</v>
      </c>
      <c r="H33" s="137" t="s">
        <v>846</v>
      </c>
      <c r="I33" s="137" t="s">
        <v>846</v>
      </c>
      <c r="J33" s="137" t="s">
        <v>846</v>
      </c>
      <c r="K33" s="137" t="s">
        <v>846</v>
      </c>
      <c r="L33" s="137" t="s">
        <v>846</v>
      </c>
      <c r="M33" s="137" t="s">
        <v>846</v>
      </c>
      <c r="N33" s="137" t="s">
        <v>846</v>
      </c>
      <c r="O33" s="137" t="s">
        <v>846</v>
      </c>
      <c r="P33" s="137" t="s">
        <v>846</v>
      </c>
      <c r="Q33" s="137" t="b">
        <v>0</v>
      </c>
      <c r="R33" s="137" t="s">
        <v>846</v>
      </c>
      <c r="S33" s="138" t="b">
        <v>0</v>
      </c>
      <c r="T33" s="136" t="s">
        <v>846</v>
      </c>
      <c r="U33" s="137" t="s">
        <v>846</v>
      </c>
      <c r="V33" s="137" t="s">
        <v>846</v>
      </c>
      <c r="W33" s="137" t="b">
        <v>0</v>
      </c>
      <c r="X33" s="137" t="s">
        <v>846</v>
      </c>
      <c r="Y33" s="137" t="s">
        <v>846</v>
      </c>
      <c r="Z33" s="137" t="b">
        <v>0</v>
      </c>
      <c r="AA33" s="137" t="s">
        <v>846</v>
      </c>
      <c r="AB33" s="137" t="b">
        <v>0</v>
      </c>
      <c r="AC33" s="137" t="b">
        <v>0</v>
      </c>
      <c r="AD33" s="137" t="s">
        <v>846</v>
      </c>
      <c r="AE33" s="138" t="s">
        <v>846</v>
      </c>
      <c r="AF33" s="136" t="b">
        <v>0</v>
      </c>
      <c r="AG33" s="137" t="s">
        <v>846</v>
      </c>
      <c r="AH33" s="137" t="s">
        <v>846</v>
      </c>
      <c r="AI33" s="137" t="s">
        <v>846</v>
      </c>
      <c r="AJ33" s="137" t="s">
        <v>846</v>
      </c>
      <c r="AK33" s="137" t="s">
        <v>846</v>
      </c>
      <c r="AL33" s="137" t="s">
        <v>846</v>
      </c>
      <c r="AM33" s="137" t="b">
        <v>0</v>
      </c>
      <c r="AN33" s="138" t="s">
        <v>846</v>
      </c>
      <c r="AO33" s="136" t="b">
        <v>0</v>
      </c>
      <c r="AP33" s="137" t="s">
        <v>846</v>
      </c>
      <c r="AQ33" s="137" t="s">
        <v>846</v>
      </c>
      <c r="AR33" s="137" t="s">
        <v>846</v>
      </c>
      <c r="AS33" s="137" t="b">
        <v>0</v>
      </c>
      <c r="AT33" s="137" t="s">
        <v>846</v>
      </c>
      <c r="AU33" s="137" t="b">
        <v>0</v>
      </c>
      <c r="AV33" s="137" t="s">
        <v>846</v>
      </c>
      <c r="AW33" s="137" t="s">
        <v>846</v>
      </c>
      <c r="AX33" s="137" t="b">
        <v>0</v>
      </c>
      <c r="AY33" s="137" t="s">
        <v>846</v>
      </c>
      <c r="AZ33" s="137" t="s">
        <v>846</v>
      </c>
      <c r="BA33" s="138" t="b">
        <v>0</v>
      </c>
      <c r="BB33" s="136" t="s">
        <v>846</v>
      </c>
      <c r="BC33" s="137" t="s">
        <v>846</v>
      </c>
      <c r="BD33" s="137" t="s">
        <v>846</v>
      </c>
      <c r="BE33" s="137" t="s">
        <v>846</v>
      </c>
      <c r="BF33" s="137" t="s">
        <v>846</v>
      </c>
      <c r="BG33" s="137" t="s">
        <v>846</v>
      </c>
      <c r="BH33" s="137" t="s">
        <v>846</v>
      </c>
      <c r="BI33" s="137" t="s">
        <v>846</v>
      </c>
      <c r="BJ33" s="137" t="s">
        <v>846</v>
      </c>
      <c r="BK33" s="137" t="s">
        <v>846</v>
      </c>
      <c r="BL33" s="137" t="b">
        <v>0</v>
      </c>
      <c r="BM33" s="137" t="b">
        <v>0</v>
      </c>
      <c r="BN33" s="137" t="b">
        <v>0</v>
      </c>
      <c r="BO33" s="137" t="b">
        <v>0</v>
      </c>
      <c r="BP33" s="137" t="b">
        <v>0</v>
      </c>
      <c r="BQ33" s="138" t="s">
        <v>846</v>
      </c>
      <c r="BR33" s="136" t="s">
        <v>846</v>
      </c>
      <c r="BS33" s="137" t="s">
        <v>846</v>
      </c>
      <c r="BT33" s="137" t="s">
        <v>846</v>
      </c>
      <c r="BU33" s="137" t="b">
        <v>0</v>
      </c>
      <c r="BV33" s="137" t="s">
        <v>846</v>
      </c>
      <c r="BW33" s="137" t="s">
        <v>846</v>
      </c>
      <c r="BX33" s="137" t="s">
        <v>846</v>
      </c>
      <c r="BY33" s="137" t="s">
        <v>846</v>
      </c>
      <c r="BZ33" s="137" t="s">
        <v>846</v>
      </c>
      <c r="CA33" s="137" t="s">
        <v>846</v>
      </c>
      <c r="CB33" s="138" t="s">
        <v>846</v>
      </c>
      <c r="CC33" s="136" t="b">
        <v>0</v>
      </c>
      <c r="CD33" s="137" t="s">
        <v>846</v>
      </c>
      <c r="CE33" s="137" t="s">
        <v>846</v>
      </c>
      <c r="CF33" s="137" t="s">
        <v>846</v>
      </c>
      <c r="CG33" s="137" t="s">
        <v>846</v>
      </c>
      <c r="CH33" s="137" t="b">
        <v>0</v>
      </c>
      <c r="CI33" s="137" t="s">
        <v>846</v>
      </c>
      <c r="CJ33" s="137" t="s">
        <v>846</v>
      </c>
      <c r="CK33" s="137" t="b">
        <v>0</v>
      </c>
      <c r="CL33" s="137" t="s">
        <v>846</v>
      </c>
      <c r="CM33" s="137" t="s">
        <v>846</v>
      </c>
      <c r="CN33" s="137" t="s">
        <v>846</v>
      </c>
      <c r="CO33" s="137" t="s">
        <v>846</v>
      </c>
      <c r="CP33" s="138" t="s">
        <v>846</v>
      </c>
      <c r="CQ33" s="136" t="b">
        <v>0</v>
      </c>
      <c r="CR33" s="137" t="s">
        <v>846</v>
      </c>
      <c r="CS33" s="137" t="s">
        <v>846</v>
      </c>
      <c r="CT33" s="137" t="b">
        <v>0</v>
      </c>
      <c r="CU33" s="137" t="b">
        <v>0</v>
      </c>
      <c r="CV33" s="137" t="s">
        <v>846</v>
      </c>
      <c r="CW33" s="137" t="s">
        <v>846</v>
      </c>
      <c r="CX33" s="137" t="s">
        <v>846</v>
      </c>
      <c r="CY33" s="137" t="s">
        <v>846</v>
      </c>
      <c r="CZ33" s="138" t="s">
        <v>846</v>
      </c>
      <c r="DA33" s="96">
        <v>16</v>
      </c>
      <c r="DB33" s="103">
        <f>COUNTIF(DonnéesBC[[#This Row],[1]:[16]],"FAUX")</f>
        <v>3</v>
      </c>
      <c r="DC33" s="103">
        <f>COUNTIF(DonnéesBC[[#This Row],[1]:[16]],"Je ne sais pas")</f>
        <v>0</v>
      </c>
      <c r="DD33" s="103">
        <f>COUNTIF(DonnéesBC[[#This Row],[1]:[16]],"Juste")</f>
        <v>13</v>
      </c>
      <c r="DE33" s="96">
        <v>12</v>
      </c>
      <c r="DF33" s="103">
        <f>COUNTIF(DonnéesBC[[#This Row],[17]:[28]],"FAUX")</f>
        <v>4</v>
      </c>
      <c r="DG33" s="103">
        <f>COUNTIF(DonnéesBC[[#This Row],[17]:[28]],"Je ne sais pas")</f>
        <v>0</v>
      </c>
      <c r="DH33" s="103">
        <f>COUNTIF(DonnéesBC[[#This Row],[17]:[28]],"Juste")</f>
        <v>8</v>
      </c>
      <c r="DI33" s="96">
        <v>9</v>
      </c>
      <c r="DJ33" s="103">
        <f>COUNTIF(DonnéesBC[[#This Row],[29]:[37]],"FAUX")</f>
        <v>2</v>
      </c>
      <c r="DK33" s="103">
        <f>COUNTIF(DonnéesBC[[#This Row],[29]:[37]],"Je ne sais pas")</f>
        <v>0</v>
      </c>
      <c r="DL33" s="103">
        <f>COUNTIF(DonnéesBC[[#This Row],[29]:[37]],"Juste")</f>
        <v>7</v>
      </c>
      <c r="DM33" s="96">
        <v>13</v>
      </c>
      <c r="DN33" s="103">
        <f>COUNTIF(DonnéesBC[[#This Row],[38]:[50]],"FAUX")</f>
        <v>5</v>
      </c>
      <c r="DO33" s="103">
        <f>COUNTIF(DonnéesBC[[#This Row],[38]:[50]],"Je ne sais pas")</f>
        <v>0</v>
      </c>
      <c r="DP33" s="103">
        <f>COUNTIF(DonnéesBC[[#This Row],[38]:[50]],"Juste")</f>
        <v>8</v>
      </c>
      <c r="DQ33" s="96">
        <v>16</v>
      </c>
      <c r="DR33" s="103">
        <f>COUNTIF(DonnéesBC[[#This Row],[51]:[66]],"FAUX")</f>
        <v>5</v>
      </c>
      <c r="DS33" s="103">
        <f>COUNTIF(DonnéesBC[[#This Row],[51]:[66]],"Je ne sais pas")</f>
        <v>0</v>
      </c>
      <c r="DT33" s="103">
        <f>COUNTIF(DonnéesBC[[#This Row],[51]:[66]],"Juste")</f>
        <v>11</v>
      </c>
      <c r="DU33" s="96">
        <v>11</v>
      </c>
      <c r="DV33" s="103">
        <f>COUNTIF(DonnéesBC[[#This Row],[67]:[77]],"FAUX")</f>
        <v>1</v>
      </c>
      <c r="DW33" s="103">
        <f>COUNTIF(DonnéesBC[[#This Row],[67]:[77]],"Je ne sais pas")</f>
        <v>0</v>
      </c>
      <c r="DX33" s="103">
        <f>COUNTIF(DonnéesBC[[#This Row],[67]:[77]],"Juste")</f>
        <v>10</v>
      </c>
      <c r="DY33" s="96">
        <v>14</v>
      </c>
      <c r="DZ33" s="103">
        <f>COUNTIF(DonnéesBC[[#This Row],[78]:[91]],"FAUX")</f>
        <v>3</v>
      </c>
      <c r="EA33" s="103">
        <f>COUNTIF(DonnéesBC[[#This Row],[78]:[91]],"Je ne sais pas")</f>
        <v>0</v>
      </c>
      <c r="EB33" s="103">
        <f>COUNTIF(DonnéesBC[[#This Row],[78]:[91]],"Juste")</f>
        <v>11</v>
      </c>
      <c r="EC33" s="96">
        <v>10</v>
      </c>
      <c r="ED33" s="103">
        <f>COUNTIF(DonnéesBC[[#This Row],[92]:[101]],"FAUX")</f>
        <v>3</v>
      </c>
      <c r="EE33" s="103">
        <f>COUNTIF(DonnéesBC[[#This Row],[92]:[101]],"Je ne sais pas")</f>
        <v>0</v>
      </c>
      <c r="EF33" s="103">
        <f>COUNTIF(DonnéesBC[[#This Row],[92]:[101]],"Juste")</f>
        <v>7</v>
      </c>
      <c r="EG33" s="96">
        <f>SUM(DonnéesBC[[#This Row],[A]]+DonnéesBC[[#This Row],[B]]+DonnéesBC[[#This Row],[C]]+DonnéesBC[[#This Row],[D]]+DonnéesBC[[#This Row],[E]]+DonnéesBC[[#This Row],[F]]+DonnéesBC[[#This Row],[G]]+DonnéesBC[[#This Row],[H]])</f>
        <v>101</v>
      </c>
      <c r="EH33" s="97">
        <f>SUM(DonnéesBC[[#This Row],[A2]]+DonnéesBC[[#This Row],[B2]]+DonnéesBC[[#This Row],[C2]]+DonnéesBC[[#This Row],[D2]]+DonnéesBC[[#This Row],[E2]]+DonnéesBC[[#This Row],[F2]]+DonnéesBC[[#This Row],[G2]]+DonnéesBC[[#This Row],[H2]])</f>
        <v>26</v>
      </c>
      <c r="EI33" s="98">
        <f>SUM(DonnéesBC[[#This Row],[A3]]+DonnéesBC[[#This Row],[B3]]+DonnéesBC[[#This Row],[C3]]+DonnéesBC[[#This Row],[D3]]+DonnéesBC[[#This Row],[E3]]+DonnéesBC[[#This Row],[F3]]+DonnéesBC[[#This Row],[G3]]+DonnéesBC[[#This Row],[H3]])</f>
        <v>0</v>
      </c>
      <c r="EJ33" s="103">
        <f>SUM(DonnéesBC[[#This Row],[A4]]+DonnéesBC[[#This Row],[B4]]+DonnéesBC[[#This Row],[C4]]+DonnéesBC[[#This Row],[D4]]+DonnéesBC[[#This Row],[E4]]+DonnéesBC[[#This Row],[F4]]+DonnéesBC[[#This Row],[G4]]+DonnéesBC[[#This Row],[H4]])</f>
        <v>75</v>
      </c>
      <c r="EK33" s="95"/>
      <c r="EL33">
        <v>28</v>
      </c>
    </row>
    <row r="34" spans="1:142" ht="14" customHeight="1">
      <c r="A34" s="101" t="str">
        <f>DonnéesBC[[#This Row],[Prénom]]&amp;" "&amp;DonnéesBC[[#This Row],[Nom]]</f>
        <v>Jorge Cavalheiro</v>
      </c>
      <c r="B34" s="98" t="s">
        <v>313</v>
      </c>
      <c r="C34" s="98" t="s">
        <v>314</v>
      </c>
      <c r="D34" s="132" t="b">
        <v>0</v>
      </c>
      <c r="E34" s="133" t="b">
        <v>0</v>
      </c>
      <c r="F34" s="133" t="s">
        <v>846</v>
      </c>
      <c r="G34" s="133" t="s">
        <v>846</v>
      </c>
      <c r="H34" s="133" t="s">
        <v>846</v>
      </c>
      <c r="I34" s="133" t="s">
        <v>846</v>
      </c>
      <c r="J34" s="133" t="s">
        <v>846</v>
      </c>
      <c r="K34" s="133" t="s">
        <v>846</v>
      </c>
      <c r="L34" s="133" t="s">
        <v>846</v>
      </c>
      <c r="M34" s="133" t="b">
        <v>0</v>
      </c>
      <c r="N34" s="133" t="s">
        <v>840</v>
      </c>
      <c r="O34" s="133" t="s">
        <v>846</v>
      </c>
      <c r="P34" s="133" t="s">
        <v>840</v>
      </c>
      <c r="Q34" s="133" t="b">
        <v>0</v>
      </c>
      <c r="R34" s="133" t="s">
        <v>846</v>
      </c>
      <c r="S34" s="134" t="s">
        <v>846</v>
      </c>
      <c r="T34" s="132" t="s">
        <v>846</v>
      </c>
      <c r="U34" s="133" t="s">
        <v>846</v>
      </c>
      <c r="V34" s="133" t="s">
        <v>846</v>
      </c>
      <c r="W34" s="133" t="s">
        <v>840</v>
      </c>
      <c r="X34" s="133" t="s">
        <v>840</v>
      </c>
      <c r="Y34" s="133" t="b">
        <v>0</v>
      </c>
      <c r="Z34" s="133" t="s">
        <v>840</v>
      </c>
      <c r="AA34" s="133" t="s">
        <v>840</v>
      </c>
      <c r="AB34" s="133" t="b">
        <v>0</v>
      </c>
      <c r="AC34" s="133" t="s">
        <v>840</v>
      </c>
      <c r="AD34" s="133" t="s">
        <v>846</v>
      </c>
      <c r="AE34" s="134" t="s">
        <v>840</v>
      </c>
      <c r="AF34" s="132" t="s">
        <v>846</v>
      </c>
      <c r="AG34" s="133" t="s">
        <v>840</v>
      </c>
      <c r="AH34" s="133" t="b">
        <v>0</v>
      </c>
      <c r="AI34" s="133" t="b">
        <v>0</v>
      </c>
      <c r="AJ34" s="133" t="s">
        <v>846</v>
      </c>
      <c r="AK34" s="133" t="b">
        <v>0</v>
      </c>
      <c r="AL34" s="133" t="s">
        <v>846</v>
      </c>
      <c r="AM34" s="133" t="b">
        <v>0</v>
      </c>
      <c r="AN34" s="134" t="s">
        <v>846</v>
      </c>
      <c r="AO34" s="132" t="s">
        <v>840</v>
      </c>
      <c r="AP34" s="133" t="s">
        <v>846</v>
      </c>
      <c r="AQ34" s="133" t="s">
        <v>846</v>
      </c>
      <c r="AR34" s="133" t="s">
        <v>846</v>
      </c>
      <c r="AS34" s="133" t="s">
        <v>846</v>
      </c>
      <c r="AT34" s="133" t="s">
        <v>846</v>
      </c>
      <c r="AU34" s="133" t="b">
        <v>0</v>
      </c>
      <c r="AV34" s="133" t="s">
        <v>846</v>
      </c>
      <c r="AW34" s="133" t="s">
        <v>846</v>
      </c>
      <c r="AX34" s="133" t="s">
        <v>846</v>
      </c>
      <c r="AY34" s="133" t="s">
        <v>846</v>
      </c>
      <c r="AZ34" s="133" t="s">
        <v>840</v>
      </c>
      <c r="BA34" s="134" t="s">
        <v>846</v>
      </c>
      <c r="BB34" s="132" t="s">
        <v>846</v>
      </c>
      <c r="BC34" s="133" t="s">
        <v>846</v>
      </c>
      <c r="BD34" s="133" t="s">
        <v>846</v>
      </c>
      <c r="BE34" s="133" t="s">
        <v>846</v>
      </c>
      <c r="BF34" s="133" t="s">
        <v>840</v>
      </c>
      <c r="BG34" s="133" t="b">
        <v>0</v>
      </c>
      <c r="BH34" s="133" t="b">
        <v>0</v>
      </c>
      <c r="BI34" s="133" t="s">
        <v>846</v>
      </c>
      <c r="BJ34" s="133" t="s">
        <v>846</v>
      </c>
      <c r="BK34" s="133" t="s">
        <v>840</v>
      </c>
      <c r="BL34" s="133" t="s">
        <v>846</v>
      </c>
      <c r="BM34" s="133" t="b">
        <v>0</v>
      </c>
      <c r="BN34" s="133" t="b">
        <v>0</v>
      </c>
      <c r="BO34" s="133" t="b">
        <v>0</v>
      </c>
      <c r="BP34" s="133" t="s">
        <v>846</v>
      </c>
      <c r="BQ34" s="134" t="s">
        <v>846</v>
      </c>
      <c r="BR34" s="132" t="s">
        <v>846</v>
      </c>
      <c r="BS34" s="133" t="s">
        <v>846</v>
      </c>
      <c r="BT34" s="133" t="s">
        <v>846</v>
      </c>
      <c r="BU34" s="133" t="s">
        <v>840</v>
      </c>
      <c r="BV34" s="133" t="s">
        <v>846</v>
      </c>
      <c r="BW34" s="133" t="s">
        <v>840</v>
      </c>
      <c r="BX34" s="133" t="s">
        <v>846</v>
      </c>
      <c r="BY34" s="133" t="s">
        <v>846</v>
      </c>
      <c r="BZ34" s="133" t="s">
        <v>840</v>
      </c>
      <c r="CA34" s="133" t="s">
        <v>846</v>
      </c>
      <c r="CB34" s="134" t="b">
        <v>0</v>
      </c>
      <c r="CC34" s="132" t="s">
        <v>840</v>
      </c>
      <c r="CD34" s="133" t="s">
        <v>846</v>
      </c>
      <c r="CE34" s="133" t="b">
        <v>0</v>
      </c>
      <c r="CF34" s="133" t="b">
        <v>0</v>
      </c>
      <c r="CG34" s="133" t="s">
        <v>846</v>
      </c>
      <c r="CH34" s="133" t="s">
        <v>840</v>
      </c>
      <c r="CI34" s="133" t="s">
        <v>846</v>
      </c>
      <c r="CJ34" s="133" t="s">
        <v>840</v>
      </c>
      <c r="CK34" s="133" t="s">
        <v>846</v>
      </c>
      <c r="CL34" s="133" t="s">
        <v>840</v>
      </c>
      <c r="CM34" s="133" t="b">
        <v>0</v>
      </c>
      <c r="CN34" s="133" t="s">
        <v>846</v>
      </c>
      <c r="CO34" s="133" t="s">
        <v>840</v>
      </c>
      <c r="CP34" s="134" t="s">
        <v>846</v>
      </c>
      <c r="CQ34" s="132" t="b">
        <v>0</v>
      </c>
      <c r="CR34" s="133" t="s">
        <v>846</v>
      </c>
      <c r="CS34" s="133" t="b">
        <v>0</v>
      </c>
      <c r="CT34" s="133" t="s">
        <v>840</v>
      </c>
      <c r="CU34" s="133" t="b">
        <v>0</v>
      </c>
      <c r="CV34" s="133" t="s">
        <v>846</v>
      </c>
      <c r="CW34" s="133" t="s">
        <v>840</v>
      </c>
      <c r="CX34" s="133" t="b">
        <v>0</v>
      </c>
      <c r="CY34" s="133" t="s">
        <v>846</v>
      </c>
      <c r="CZ34" s="135" t="b">
        <v>0</v>
      </c>
      <c r="DA34" s="96">
        <v>16</v>
      </c>
      <c r="DB34" s="103">
        <f>COUNTIF(DonnéesBC[[#This Row],[1]:[16]],"FAUX")</f>
        <v>4</v>
      </c>
      <c r="DC34" s="103">
        <f>COUNTIF(DonnéesBC[[#This Row],[1]:[16]],"Je ne sais pas")</f>
        <v>2</v>
      </c>
      <c r="DD34" s="103">
        <f>COUNTIF(DonnéesBC[[#This Row],[1]:[16]],"Juste")</f>
        <v>10</v>
      </c>
      <c r="DE34" s="96">
        <v>12</v>
      </c>
      <c r="DF34" s="103">
        <f>COUNTIF(DonnéesBC[[#This Row],[17]:[28]],"FAUX")</f>
        <v>2</v>
      </c>
      <c r="DG34" s="103">
        <f>COUNTIF(DonnéesBC[[#This Row],[17]:[28]],"Je ne sais pas")</f>
        <v>6</v>
      </c>
      <c r="DH34" s="103">
        <f>COUNTIF(DonnéesBC[[#This Row],[17]:[28]],"Juste")</f>
        <v>4</v>
      </c>
      <c r="DI34" s="96">
        <v>9</v>
      </c>
      <c r="DJ34" s="103">
        <f>COUNTIF(DonnéesBC[[#This Row],[29]:[37]],"FAUX")</f>
        <v>4</v>
      </c>
      <c r="DK34" s="103">
        <f>COUNTIF(DonnéesBC[[#This Row],[29]:[37]],"Je ne sais pas")</f>
        <v>1</v>
      </c>
      <c r="DL34" s="103">
        <f>COUNTIF(DonnéesBC[[#This Row],[29]:[37]],"Juste")</f>
        <v>4</v>
      </c>
      <c r="DM34" s="96">
        <v>13</v>
      </c>
      <c r="DN34" s="103">
        <f>COUNTIF(DonnéesBC[[#This Row],[38]:[50]],"FAUX")</f>
        <v>1</v>
      </c>
      <c r="DO34" s="103">
        <f>COUNTIF(DonnéesBC[[#This Row],[38]:[50]],"Je ne sais pas")</f>
        <v>2</v>
      </c>
      <c r="DP34" s="103">
        <f>COUNTIF(DonnéesBC[[#This Row],[38]:[50]],"Juste")</f>
        <v>10</v>
      </c>
      <c r="DQ34" s="96">
        <v>16</v>
      </c>
      <c r="DR34" s="103">
        <f>COUNTIF(DonnéesBC[[#This Row],[51]:[66]],"FAUX")</f>
        <v>5</v>
      </c>
      <c r="DS34" s="103">
        <f>COUNTIF(DonnéesBC[[#This Row],[51]:[66]],"Je ne sais pas")</f>
        <v>2</v>
      </c>
      <c r="DT34" s="103">
        <f>COUNTIF(DonnéesBC[[#This Row],[51]:[66]],"Juste")</f>
        <v>9</v>
      </c>
      <c r="DU34" s="96">
        <v>11</v>
      </c>
      <c r="DV34" s="103">
        <f>COUNTIF(DonnéesBC[[#This Row],[67]:[77]],"FAUX")</f>
        <v>1</v>
      </c>
      <c r="DW34" s="103">
        <f>COUNTIF(DonnéesBC[[#This Row],[67]:[77]],"Je ne sais pas")</f>
        <v>3</v>
      </c>
      <c r="DX34" s="103">
        <f>COUNTIF(DonnéesBC[[#This Row],[67]:[77]],"Juste")</f>
        <v>7</v>
      </c>
      <c r="DY34" s="96">
        <v>14</v>
      </c>
      <c r="DZ34" s="103">
        <f>COUNTIF(DonnéesBC[[#This Row],[78]:[91]],"FAUX")</f>
        <v>3</v>
      </c>
      <c r="EA34" s="103">
        <f>COUNTIF(DonnéesBC[[#This Row],[78]:[91]],"Je ne sais pas")</f>
        <v>5</v>
      </c>
      <c r="EB34" s="103">
        <f>COUNTIF(DonnéesBC[[#This Row],[78]:[91]],"Juste")</f>
        <v>6</v>
      </c>
      <c r="EC34" s="96">
        <v>10</v>
      </c>
      <c r="ED34" s="103">
        <f>COUNTIF(DonnéesBC[[#This Row],[92]:[101]],"FAUX")</f>
        <v>5</v>
      </c>
      <c r="EE34" s="103">
        <f>COUNTIF(DonnéesBC[[#This Row],[92]:[101]],"Je ne sais pas")</f>
        <v>2</v>
      </c>
      <c r="EF34" s="103">
        <f>COUNTIF(DonnéesBC[[#This Row],[92]:[101]],"Juste")</f>
        <v>3</v>
      </c>
      <c r="EG34" s="96">
        <f>SUM(DonnéesBC[[#This Row],[A]]+DonnéesBC[[#This Row],[B]]+DonnéesBC[[#This Row],[C]]+DonnéesBC[[#This Row],[D]]+DonnéesBC[[#This Row],[E]]+DonnéesBC[[#This Row],[F]]+DonnéesBC[[#This Row],[G]]+DonnéesBC[[#This Row],[H]])</f>
        <v>101</v>
      </c>
      <c r="EH34" s="97">
        <f>SUM(DonnéesBC[[#This Row],[A2]]+DonnéesBC[[#This Row],[B2]]+DonnéesBC[[#This Row],[C2]]+DonnéesBC[[#This Row],[D2]]+DonnéesBC[[#This Row],[E2]]+DonnéesBC[[#This Row],[F2]]+DonnéesBC[[#This Row],[G2]]+DonnéesBC[[#This Row],[H2]])</f>
        <v>25</v>
      </c>
      <c r="EI34" s="98">
        <f>SUM(DonnéesBC[[#This Row],[A3]]+DonnéesBC[[#This Row],[B3]]+DonnéesBC[[#This Row],[C3]]+DonnéesBC[[#This Row],[D3]]+DonnéesBC[[#This Row],[E3]]+DonnéesBC[[#This Row],[F3]]+DonnéesBC[[#This Row],[G3]]+DonnéesBC[[#This Row],[H3]])</f>
        <v>23</v>
      </c>
      <c r="EJ34" s="103">
        <f>SUM(DonnéesBC[[#This Row],[A4]]+DonnéesBC[[#This Row],[B4]]+DonnéesBC[[#This Row],[C4]]+DonnéesBC[[#This Row],[D4]]+DonnéesBC[[#This Row],[E4]]+DonnéesBC[[#This Row],[F4]]+DonnéesBC[[#This Row],[G4]]+DonnéesBC[[#This Row],[H4]])</f>
        <v>53</v>
      </c>
      <c r="EK34" s="95"/>
      <c r="EL34">
        <v>26</v>
      </c>
    </row>
    <row r="35" spans="1:142" ht="14" customHeight="1">
      <c r="A35" s="101" t="str">
        <f>DonnéesBC[[#This Row],[Prénom]]&amp;" "&amp;DonnéesBC[[#This Row],[Nom]]</f>
        <v>Logan Werder</v>
      </c>
      <c r="B35" s="97" t="s">
        <v>135</v>
      </c>
      <c r="C35" s="97" t="s">
        <v>136</v>
      </c>
      <c r="D35" s="136" t="b">
        <v>0</v>
      </c>
      <c r="E35" s="137" t="s">
        <v>846</v>
      </c>
      <c r="F35" s="137" t="s">
        <v>846</v>
      </c>
      <c r="G35" s="137" t="s">
        <v>846</v>
      </c>
      <c r="H35" s="137" t="s">
        <v>846</v>
      </c>
      <c r="I35" s="137" t="s">
        <v>846</v>
      </c>
      <c r="J35" s="137" t="s">
        <v>846</v>
      </c>
      <c r="K35" s="137" t="b">
        <v>0</v>
      </c>
      <c r="L35" s="137" t="s">
        <v>846</v>
      </c>
      <c r="M35" s="137" t="s">
        <v>846</v>
      </c>
      <c r="N35" s="137" t="s">
        <v>846</v>
      </c>
      <c r="O35" s="137" t="s">
        <v>846</v>
      </c>
      <c r="P35" s="137" t="s">
        <v>846</v>
      </c>
      <c r="Q35" s="137" t="b">
        <v>0</v>
      </c>
      <c r="R35" s="137" t="s">
        <v>846</v>
      </c>
      <c r="S35" s="138" t="b">
        <v>0</v>
      </c>
      <c r="T35" s="136" t="b">
        <v>0</v>
      </c>
      <c r="U35" s="137" t="s">
        <v>846</v>
      </c>
      <c r="V35" s="137" t="s">
        <v>846</v>
      </c>
      <c r="W35" s="137" t="b">
        <v>0</v>
      </c>
      <c r="X35" s="137" t="s">
        <v>846</v>
      </c>
      <c r="Y35" s="137" t="s">
        <v>846</v>
      </c>
      <c r="Z35" s="137" t="b">
        <v>0</v>
      </c>
      <c r="AA35" s="137" t="s">
        <v>846</v>
      </c>
      <c r="AB35" s="137" t="s">
        <v>846</v>
      </c>
      <c r="AC35" s="137" t="b">
        <v>0</v>
      </c>
      <c r="AD35" s="137" t="b">
        <v>0</v>
      </c>
      <c r="AE35" s="138" t="s">
        <v>846</v>
      </c>
      <c r="AF35" s="136" t="s">
        <v>846</v>
      </c>
      <c r="AG35" s="137" t="b">
        <v>0</v>
      </c>
      <c r="AH35" s="137" t="s">
        <v>846</v>
      </c>
      <c r="AI35" s="137" t="b">
        <v>0</v>
      </c>
      <c r="AJ35" s="137" t="s">
        <v>846</v>
      </c>
      <c r="AK35" s="137" t="s">
        <v>846</v>
      </c>
      <c r="AL35" s="137" t="s">
        <v>846</v>
      </c>
      <c r="AM35" s="137" t="s">
        <v>846</v>
      </c>
      <c r="AN35" s="138" t="s">
        <v>846</v>
      </c>
      <c r="AO35" s="136" t="s">
        <v>840</v>
      </c>
      <c r="AP35" s="137" t="s">
        <v>846</v>
      </c>
      <c r="AQ35" s="137" t="s">
        <v>846</v>
      </c>
      <c r="AR35" s="137" t="s">
        <v>846</v>
      </c>
      <c r="AS35" s="137" t="s">
        <v>846</v>
      </c>
      <c r="AT35" s="137" t="s">
        <v>846</v>
      </c>
      <c r="AU35" s="137" t="b">
        <v>0</v>
      </c>
      <c r="AV35" s="137" t="s">
        <v>846</v>
      </c>
      <c r="AW35" s="137" t="s">
        <v>846</v>
      </c>
      <c r="AX35" s="137" t="s">
        <v>846</v>
      </c>
      <c r="AY35" s="137" t="s">
        <v>846</v>
      </c>
      <c r="AZ35" s="137" t="s">
        <v>840</v>
      </c>
      <c r="BA35" s="138" t="s">
        <v>840</v>
      </c>
      <c r="BB35" s="136" t="s">
        <v>846</v>
      </c>
      <c r="BC35" s="137" t="s">
        <v>846</v>
      </c>
      <c r="BD35" s="137" t="s">
        <v>846</v>
      </c>
      <c r="BE35" s="137" t="s">
        <v>846</v>
      </c>
      <c r="BF35" s="137" t="s">
        <v>840</v>
      </c>
      <c r="BG35" s="137" t="s">
        <v>840</v>
      </c>
      <c r="BH35" s="137" t="s">
        <v>846</v>
      </c>
      <c r="BI35" s="137" t="s">
        <v>846</v>
      </c>
      <c r="BJ35" s="137" t="s">
        <v>840</v>
      </c>
      <c r="BK35" s="137" t="b">
        <v>0</v>
      </c>
      <c r="BL35" s="137" t="b">
        <v>0</v>
      </c>
      <c r="BM35" s="137" t="s">
        <v>846</v>
      </c>
      <c r="BN35" s="137" t="b">
        <v>0</v>
      </c>
      <c r="BO35" s="137" t="s">
        <v>840</v>
      </c>
      <c r="BP35" s="137" t="b">
        <v>0</v>
      </c>
      <c r="BQ35" s="138" t="s">
        <v>840</v>
      </c>
      <c r="BR35" s="136" t="s">
        <v>846</v>
      </c>
      <c r="BS35" s="137" t="b">
        <v>0</v>
      </c>
      <c r="BT35" s="137" t="s">
        <v>846</v>
      </c>
      <c r="BU35" s="137" t="b">
        <v>0</v>
      </c>
      <c r="BV35" s="137" t="s">
        <v>846</v>
      </c>
      <c r="BW35" s="137" t="s">
        <v>840</v>
      </c>
      <c r="BX35" s="137" t="b">
        <v>0</v>
      </c>
      <c r="BY35" s="137" t="s">
        <v>846</v>
      </c>
      <c r="BZ35" s="137" t="s">
        <v>846</v>
      </c>
      <c r="CA35" s="137" t="b">
        <v>0</v>
      </c>
      <c r="CB35" s="138" t="s">
        <v>846</v>
      </c>
      <c r="CC35" s="136" t="b">
        <v>0</v>
      </c>
      <c r="CD35" s="137" t="s">
        <v>846</v>
      </c>
      <c r="CE35" s="137" t="s">
        <v>846</v>
      </c>
      <c r="CF35" s="137" t="s">
        <v>840</v>
      </c>
      <c r="CG35" s="137" t="s">
        <v>846</v>
      </c>
      <c r="CH35" s="137" t="b">
        <v>0</v>
      </c>
      <c r="CI35" s="137" t="s">
        <v>840</v>
      </c>
      <c r="CJ35" s="137" t="s">
        <v>840</v>
      </c>
      <c r="CK35" s="137" t="s">
        <v>846</v>
      </c>
      <c r="CL35" s="137" t="s">
        <v>840</v>
      </c>
      <c r="CM35" s="137" t="b">
        <v>0</v>
      </c>
      <c r="CN35" s="137" t="s">
        <v>840</v>
      </c>
      <c r="CO35" s="137" t="s">
        <v>840</v>
      </c>
      <c r="CP35" s="138" t="s">
        <v>840</v>
      </c>
      <c r="CQ35" s="136" t="s">
        <v>846</v>
      </c>
      <c r="CR35" s="137" t="s">
        <v>846</v>
      </c>
      <c r="CS35" s="137" t="b">
        <v>0</v>
      </c>
      <c r="CT35" s="137" t="s">
        <v>840</v>
      </c>
      <c r="CU35" s="137" t="s">
        <v>846</v>
      </c>
      <c r="CV35" s="137" t="b">
        <v>0</v>
      </c>
      <c r="CW35" s="137" t="s">
        <v>840</v>
      </c>
      <c r="CX35" s="137" t="s">
        <v>846</v>
      </c>
      <c r="CY35" s="137" t="b">
        <v>0</v>
      </c>
      <c r="CZ35" s="138" t="b">
        <v>0</v>
      </c>
      <c r="DA35" s="96">
        <v>16</v>
      </c>
      <c r="DB35" s="103">
        <f>COUNTIF(DonnéesBC[[#This Row],[1]:[16]],"FAUX")</f>
        <v>4</v>
      </c>
      <c r="DC35" s="103">
        <f>COUNTIF(DonnéesBC[[#This Row],[1]:[16]],"Je ne sais pas")</f>
        <v>0</v>
      </c>
      <c r="DD35" s="103">
        <f>COUNTIF(DonnéesBC[[#This Row],[1]:[16]],"Juste")</f>
        <v>12</v>
      </c>
      <c r="DE35" s="96">
        <v>12</v>
      </c>
      <c r="DF35" s="103">
        <f>COUNTIF(DonnéesBC[[#This Row],[17]:[28]],"FAUX")</f>
        <v>5</v>
      </c>
      <c r="DG35" s="103">
        <f>COUNTIF(DonnéesBC[[#This Row],[17]:[28]],"Je ne sais pas")</f>
        <v>0</v>
      </c>
      <c r="DH35" s="103">
        <f>COUNTIF(DonnéesBC[[#This Row],[17]:[28]],"Juste")</f>
        <v>7</v>
      </c>
      <c r="DI35" s="96">
        <v>9</v>
      </c>
      <c r="DJ35" s="103">
        <f>COUNTIF(DonnéesBC[[#This Row],[29]:[37]],"FAUX")</f>
        <v>2</v>
      </c>
      <c r="DK35" s="103">
        <f>COUNTIF(DonnéesBC[[#This Row],[29]:[37]],"Je ne sais pas")</f>
        <v>0</v>
      </c>
      <c r="DL35" s="103">
        <f>COUNTIF(DonnéesBC[[#This Row],[29]:[37]],"Juste")</f>
        <v>7</v>
      </c>
      <c r="DM35" s="96">
        <v>13</v>
      </c>
      <c r="DN35" s="103">
        <f>COUNTIF(DonnéesBC[[#This Row],[38]:[50]],"FAUX")</f>
        <v>1</v>
      </c>
      <c r="DO35" s="103">
        <f>COUNTIF(DonnéesBC[[#This Row],[38]:[50]],"Je ne sais pas")</f>
        <v>3</v>
      </c>
      <c r="DP35" s="103">
        <f>COUNTIF(DonnéesBC[[#This Row],[38]:[50]],"Juste")</f>
        <v>9</v>
      </c>
      <c r="DQ35" s="96">
        <v>16</v>
      </c>
      <c r="DR35" s="103">
        <f>COUNTIF(DonnéesBC[[#This Row],[51]:[66]],"FAUX")</f>
        <v>4</v>
      </c>
      <c r="DS35" s="103">
        <f>COUNTIF(DonnéesBC[[#This Row],[51]:[66]],"Je ne sais pas")</f>
        <v>5</v>
      </c>
      <c r="DT35" s="103">
        <f>COUNTIF(DonnéesBC[[#This Row],[51]:[66]],"Juste")</f>
        <v>7</v>
      </c>
      <c r="DU35" s="96">
        <v>11</v>
      </c>
      <c r="DV35" s="103">
        <f>COUNTIF(DonnéesBC[[#This Row],[67]:[77]],"FAUX")</f>
        <v>4</v>
      </c>
      <c r="DW35" s="103">
        <f>COUNTIF(DonnéesBC[[#This Row],[67]:[77]],"Je ne sais pas")</f>
        <v>1</v>
      </c>
      <c r="DX35" s="103">
        <f>COUNTIF(DonnéesBC[[#This Row],[67]:[77]],"Juste")</f>
        <v>6</v>
      </c>
      <c r="DY35" s="96">
        <v>14</v>
      </c>
      <c r="DZ35" s="103">
        <f>COUNTIF(DonnéesBC[[#This Row],[78]:[91]],"FAUX")</f>
        <v>3</v>
      </c>
      <c r="EA35" s="103">
        <f>COUNTIF(DonnéesBC[[#This Row],[78]:[91]],"Je ne sais pas")</f>
        <v>7</v>
      </c>
      <c r="EB35" s="103">
        <f>COUNTIF(DonnéesBC[[#This Row],[78]:[91]],"Juste")</f>
        <v>4</v>
      </c>
      <c r="EC35" s="96">
        <v>10</v>
      </c>
      <c r="ED35" s="103">
        <f>COUNTIF(DonnéesBC[[#This Row],[92]:[101]],"FAUX")</f>
        <v>4</v>
      </c>
      <c r="EE35" s="103">
        <f>COUNTIF(DonnéesBC[[#This Row],[92]:[101]],"Je ne sais pas")</f>
        <v>2</v>
      </c>
      <c r="EF35" s="103">
        <f>COUNTIF(DonnéesBC[[#This Row],[92]:[101]],"Juste")</f>
        <v>4</v>
      </c>
      <c r="EG35" s="96">
        <f>SUM(DonnéesBC[[#This Row],[A]]+DonnéesBC[[#This Row],[B]]+DonnéesBC[[#This Row],[C]]+DonnéesBC[[#This Row],[D]]+DonnéesBC[[#This Row],[E]]+DonnéesBC[[#This Row],[F]]+DonnéesBC[[#This Row],[G]]+DonnéesBC[[#This Row],[H]])</f>
        <v>101</v>
      </c>
      <c r="EH35" s="97">
        <f>SUM(DonnéesBC[[#This Row],[A2]]+DonnéesBC[[#This Row],[B2]]+DonnéesBC[[#This Row],[C2]]+DonnéesBC[[#This Row],[D2]]+DonnéesBC[[#This Row],[E2]]+DonnéesBC[[#This Row],[F2]]+DonnéesBC[[#This Row],[G2]]+DonnéesBC[[#This Row],[H2]])</f>
        <v>27</v>
      </c>
      <c r="EI35" s="98">
        <f>SUM(DonnéesBC[[#This Row],[A3]]+DonnéesBC[[#This Row],[B3]]+DonnéesBC[[#This Row],[C3]]+DonnéesBC[[#This Row],[D3]]+DonnéesBC[[#This Row],[E3]]+DonnéesBC[[#This Row],[F3]]+DonnéesBC[[#This Row],[G3]]+DonnéesBC[[#This Row],[H3]])</f>
        <v>18</v>
      </c>
      <c r="EJ35" s="103">
        <f>SUM(DonnéesBC[[#This Row],[A4]]+DonnéesBC[[#This Row],[B4]]+DonnéesBC[[#This Row],[C4]]+DonnéesBC[[#This Row],[D4]]+DonnéesBC[[#This Row],[E4]]+DonnéesBC[[#This Row],[F4]]+DonnéesBC[[#This Row],[G4]]+DonnéesBC[[#This Row],[H4]])</f>
        <v>56</v>
      </c>
      <c r="EK35" s="95"/>
      <c r="EL35">
        <v>26</v>
      </c>
    </row>
    <row r="36" spans="1:142" ht="14" customHeight="1">
      <c r="A36" s="101" t="str">
        <f>DonnéesBC[[#This Row],[Prénom]]&amp;" "&amp;DonnéesBC[[#This Row],[Nom]]</f>
        <v>Lucas Nespolo</v>
      </c>
      <c r="B36" s="97" t="s">
        <v>137</v>
      </c>
      <c r="C36" s="97" t="s">
        <v>138</v>
      </c>
      <c r="D36" s="132" t="s">
        <v>846</v>
      </c>
      <c r="E36" s="133" t="b">
        <v>0</v>
      </c>
      <c r="F36" s="133" t="s">
        <v>846</v>
      </c>
      <c r="G36" s="133" t="b">
        <v>0</v>
      </c>
      <c r="H36" s="133" t="s">
        <v>846</v>
      </c>
      <c r="I36" s="133" t="s">
        <v>846</v>
      </c>
      <c r="J36" s="133" t="s">
        <v>846</v>
      </c>
      <c r="K36" s="133" t="b">
        <v>0</v>
      </c>
      <c r="L36" s="133" t="b">
        <v>0</v>
      </c>
      <c r="M36" s="133" t="s">
        <v>846</v>
      </c>
      <c r="N36" s="133" t="s">
        <v>846</v>
      </c>
      <c r="O36" s="133" t="s">
        <v>846</v>
      </c>
      <c r="P36" s="133" t="s">
        <v>846</v>
      </c>
      <c r="Q36" s="133" t="b">
        <v>0</v>
      </c>
      <c r="R36" s="133" t="s">
        <v>846</v>
      </c>
      <c r="S36" s="135" t="b">
        <v>0</v>
      </c>
      <c r="T36" s="132" t="s">
        <v>846</v>
      </c>
      <c r="U36" s="133" t="s">
        <v>846</v>
      </c>
      <c r="V36" s="133" t="b">
        <v>0</v>
      </c>
      <c r="W36" s="133" t="s">
        <v>846</v>
      </c>
      <c r="X36" s="133" t="b">
        <v>0</v>
      </c>
      <c r="Y36" s="133" t="b">
        <v>0</v>
      </c>
      <c r="Z36" s="133" t="b">
        <v>0</v>
      </c>
      <c r="AA36" s="133" t="b">
        <v>0</v>
      </c>
      <c r="AB36" s="133" t="b">
        <v>0</v>
      </c>
      <c r="AC36" s="133" t="b">
        <v>0</v>
      </c>
      <c r="AD36" s="133" t="s">
        <v>846</v>
      </c>
      <c r="AE36" s="135" t="b">
        <v>0</v>
      </c>
      <c r="AF36" s="132" t="s">
        <v>846</v>
      </c>
      <c r="AG36" s="133" t="b">
        <v>0</v>
      </c>
      <c r="AH36" s="133" t="s">
        <v>846</v>
      </c>
      <c r="AI36" s="133" t="s">
        <v>846</v>
      </c>
      <c r="AJ36" s="133" t="b">
        <v>0</v>
      </c>
      <c r="AK36" s="133" t="s">
        <v>846</v>
      </c>
      <c r="AL36" s="133" t="s">
        <v>846</v>
      </c>
      <c r="AM36" s="133" t="s">
        <v>846</v>
      </c>
      <c r="AN36" s="135" t="s">
        <v>846</v>
      </c>
      <c r="AO36" s="132" t="s">
        <v>846</v>
      </c>
      <c r="AP36" s="133" t="s">
        <v>846</v>
      </c>
      <c r="AQ36" s="133" t="s">
        <v>846</v>
      </c>
      <c r="AR36" s="133" t="s">
        <v>846</v>
      </c>
      <c r="AS36" s="133" t="s">
        <v>846</v>
      </c>
      <c r="AT36" s="133" t="s">
        <v>846</v>
      </c>
      <c r="AU36" s="133" t="b">
        <v>0</v>
      </c>
      <c r="AV36" s="133" t="s">
        <v>846</v>
      </c>
      <c r="AW36" s="133" t="s">
        <v>846</v>
      </c>
      <c r="AX36" s="133" t="b">
        <v>0</v>
      </c>
      <c r="AY36" s="133" t="b">
        <v>0</v>
      </c>
      <c r="AZ36" s="133" t="b">
        <v>0</v>
      </c>
      <c r="BA36" s="135" t="s">
        <v>846</v>
      </c>
      <c r="BB36" s="132" t="s">
        <v>846</v>
      </c>
      <c r="BC36" s="133" t="s">
        <v>846</v>
      </c>
      <c r="BD36" s="133" t="s">
        <v>846</v>
      </c>
      <c r="BE36" s="133" t="s">
        <v>846</v>
      </c>
      <c r="BF36" s="133" t="b">
        <v>0</v>
      </c>
      <c r="BG36" s="133" t="b">
        <v>0</v>
      </c>
      <c r="BH36" s="133" t="b">
        <v>0</v>
      </c>
      <c r="BI36" s="133" t="s">
        <v>846</v>
      </c>
      <c r="BJ36" s="133" t="s">
        <v>846</v>
      </c>
      <c r="BK36" s="133" t="b">
        <v>0</v>
      </c>
      <c r="BL36" s="133" t="b">
        <v>0</v>
      </c>
      <c r="BM36" s="133" t="s">
        <v>846</v>
      </c>
      <c r="BN36" s="133" t="b">
        <v>0</v>
      </c>
      <c r="BO36" s="133" t="s">
        <v>846</v>
      </c>
      <c r="BP36" s="133" t="b">
        <v>0</v>
      </c>
      <c r="BQ36" s="135" t="s">
        <v>846</v>
      </c>
      <c r="BR36" s="132" t="s">
        <v>846</v>
      </c>
      <c r="BS36" s="133" t="s">
        <v>846</v>
      </c>
      <c r="BT36" s="133" t="s">
        <v>846</v>
      </c>
      <c r="BU36" s="133" t="s">
        <v>846</v>
      </c>
      <c r="BV36" s="133" t="s">
        <v>846</v>
      </c>
      <c r="BW36" s="133" t="s">
        <v>846</v>
      </c>
      <c r="BX36" s="133" t="s">
        <v>846</v>
      </c>
      <c r="BY36" s="133" t="s">
        <v>846</v>
      </c>
      <c r="BZ36" s="133" t="s">
        <v>846</v>
      </c>
      <c r="CA36" s="133" t="b">
        <v>0</v>
      </c>
      <c r="CB36" s="135" t="s">
        <v>846</v>
      </c>
      <c r="CC36" s="132" t="b">
        <v>0</v>
      </c>
      <c r="CD36" s="133" t="s">
        <v>846</v>
      </c>
      <c r="CE36" s="133" t="b">
        <v>0</v>
      </c>
      <c r="CF36" s="133" t="s">
        <v>846</v>
      </c>
      <c r="CG36" s="133" t="s">
        <v>846</v>
      </c>
      <c r="CH36" s="133" t="b">
        <v>0</v>
      </c>
      <c r="CI36" s="133" t="s">
        <v>846</v>
      </c>
      <c r="CJ36" s="133" t="s">
        <v>846</v>
      </c>
      <c r="CK36" s="133" t="s">
        <v>846</v>
      </c>
      <c r="CL36" s="133" t="s">
        <v>846</v>
      </c>
      <c r="CM36" s="133" t="s">
        <v>846</v>
      </c>
      <c r="CN36" s="133" t="s">
        <v>846</v>
      </c>
      <c r="CO36" s="133" t="s">
        <v>846</v>
      </c>
      <c r="CP36" s="135" t="b">
        <v>0</v>
      </c>
      <c r="CQ36" s="132" t="s">
        <v>846</v>
      </c>
      <c r="CR36" s="133" t="s">
        <v>846</v>
      </c>
      <c r="CS36" s="133" t="b">
        <v>0</v>
      </c>
      <c r="CT36" s="133" t="s">
        <v>846</v>
      </c>
      <c r="CU36" s="133" t="s">
        <v>846</v>
      </c>
      <c r="CV36" s="133" t="b">
        <v>0</v>
      </c>
      <c r="CW36" s="133" t="s">
        <v>846</v>
      </c>
      <c r="CX36" s="133" t="s">
        <v>846</v>
      </c>
      <c r="CY36" s="133" t="b">
        <v>0</v>
      </c>
      <c r="CZ36" s="135" t="s">
        <v>846</v>
      </c>
      <c r="DA36" s="96">
        <v>16</v>
      </c>
      <c r="DB36" s="103">
        <f>COUNTIF(DonnéesBC[[#This Row],[1]:[16]],"FAUX")</f>
        <v>6</v>
      </c>
      <c r="DC36" s="103">
        <f>COUNTIF(DonnéesBC[[#This Row],[1]:[16]],"Je ne sais pas")</f>
        <v>0</v>
      </c>
      <c r="DD36" s="103">
        <f>COUNTIF(DonnéesBC[[#This Row],[1]:[16]],"Juste")</f>
        <v>10</v>
      </c>
      <c r="DE36" s="96">
        <v>12</v>
      </c>
      <c r="DF36" s="103">
        <f>COUNTIF(DonnéesBC[[#This Row],[17]:[28]],"FAUX")</f>
        <v>8</v>
      </c>
      <c r="DG36" s="103">
        <f>COUNTIF(DonnéesBC[[#This Row],[17]:[28]],"Je ne sais pas")</f>
        <v>0</v>
      </c>
      <c r="DH36" s="103">
        <f>COUNTIF(DonnéesBC[[#This Row],[17]:[28]],"Juste")</f>
        <v>4</v>
      </c>
      <c r="DI36" s="96">
        <v>9</v>
      </c>
      <c r="DJ36" s="103">
        <f>COUNTIF(DonnéesBC[[#This Row],[29]:[37]],"FAUX")</f>
        <v>2</v>
      </c>
      <c r="DK36" s="103">
        <f>COUNTIF(DonnéesBC[[#This Row],[29]:[37]],"Je ne sais pas")</f>
        <v>0</v>
      </c>
      <c r="DL36" s="103">
        <f>COUNTIF(DonnéesBC[[#This Row],[29]:[37]],"Juste")</f>
        <v>7</v>
      </c>
      <c r="DM36" s="96">
        <v>13</v>
      </c>
      <c r="DN36" s="103">
        <f>COUNTIF(DonnéesBC[[#This Row],[38]:[50]],"FAUX")</f>
        <v>4</v>
      </c>
      <c r="DO36" s="103">
        <f>COUNTIF(DonnéesBC[[#This Row],[38]:[50]],"Je ne sais pas")</f>
        <v>0</v>
      </c>
      <c r="DP36" s="103">
        <f>COUNTIF(DonnéesBC[[#This Row],[38]:[50]],"Juste")</f>
        <v>9</v>
      </c>
      <c r="DQ36" s="96">
        <v>16</v>
      </c>
      <c r="DR36" s="103">
        <f>COUNTIF(DonnéesBC[[#This Row],[51]:[66]],"FAUX")</f>
        <v>7</v>
      </c>
      <c r="DS36" s="103">
        <f>COUNTIF(DonnéesBC[[#This Row],[51]:[66]],"Je ne sais pas")</f>
        <v>0</v>
      </c>
      <c r="DT36" s="103">
        <f>COUNTIF(DonnéesBC[[#This Row],[51]:[66]],"Juste")</f>
        <v>9</v>
      </c>
      <c r="DU36" s="96">
        <v>11</v>
      </c>
      <c r="DV36" s="103">
        <f>COUNTIF(DonnéesBC[[#This Row],[67]:[77]],"FAUX")</f>
        <v>1</v>
      </c>
      <c r="DW36" s="103">
        <f>COUNTIF(DonnéesBC[[#This Row],[67]:[77]],"Je ne sais pas")</f>
        <v>0</v>
      </c>
      <c r="DX36" s="103">
        <f>COUNTIF(DonnéesBC[[#This Row],[67]:[77]],"Juste")</f>
        <v>10</v>
      </c>
      <c r="DY36" s="96">
        <v>14</v>
      </c>
      <c r="DZ36" s="103">
        <f>COUNTIF(DonnéesBC[[#This Row],[78]:[91]],"FAUX")</f>
        <v>4</v>
      </c>
      <c r="EA36" s="103">
        <f>COUNTIF(DonnéesBC[[#This Row],[78]:[91]],"Je ne sais pas")</f>
        <v>0</v>
      </c>
      <c r="EB36" s="103">
        <f>COUNTIF(DonnéesBC[[#This Row],[78]:[91]],"Juste")</f>
        <v>10</v>
      </c>
      <c r="EC36" s="96">
        <v>10</v>
      </c>
      <c r="ED36" s="103">
        <f>COUNTIF(DonnéesBC[[#This Row],[92]:[101]],"FAUX")</f>
        <v>3</v>
      </c>
      <c r="EE36" s="103">
        <f>COUNTIF(DonnéesBC[[#This Row],[92]:[101]],"Je ne sais pas")</f>
        <v>0</v>
      </c>
      <c r="EF36" s="103">
        <f>COUNTIF(DonnéesBC[[#This Row],[92]:[101]],"Juste")</f>
        <v>7</v>
      </c>
      <c r="EG36" s="96">
        <f>SUM(DonnéesBC[[#This Row],[A]]+DonnéesBC[[#This Row],[B]]+DonnéesBC[[#This Row],[C]]+DonnéesBC[[#This Row],[D]]+DonnéesBC[[#This Row],[E]]+DonnéesBC[[#This Row],[F]]+DonnéesBC[[#This Row],[G]]+DonnéesBC[[#This Row],[H]])</f>
        <v>101</v>
      </c>
      <c r="EH36" s="97">
        <f>SUM(DonnéesBC[[#This Row],[A2]]+DonnéesBC[[#This Row],[B2]]+DonnéesBC[[#This Row],[C2]]+DonnéesBC[[#This Row],[D2]]+DonnéesBC[[#This Row],[E2]]+DonnéesBC[[#This Row],[F2]]+DonnéesBC[[#This Row],[G2]]+DonnéesBC[[#This Row],[H2]])</f>
        <v>35</v>
      </c>
      <c r="EI36" s="98">
        <f>SUM(DonnéesBC[[#This Row],[A3]]+DonnéesBC[[#This Row],[B3]]+DonnéesBC[[#This Row],[C3]]+DonnéesBC[[#This Row],[D3]]+DonnéesBC[[#This Row],[E3]]+DonnéesBC[[#This Row],[F3]]+DonnéesBC[[#This Row],[G3]]+DonnéesBC[[#This Row],[H3]])</f>
        <v>0</v>
      </c>
      <c r="EJ36" s="103">
        <f>SUM(DonnéesBC[[#This Row],[A4]]+DonnéesBC[[#This Row],[B4]]+DonnéesBC[[#This Row],[C4]]+DonnéesBC[[#This Row],[D4]]+DonnéesBC[[#This Row],[E4]]+DonnéesBC[[#This Row],[F4]]+DonnéesBC[[#This Row],[G4]]+DonnéesBC[[#This Row],[H4]])</f>
        <v>66</v>
      </c>
      <c r="EK36" s="95"/>
      <c r="EL36">
        <v>24</v>
      </c>
    </row>
    <row r="37" spans="1:142" ht="14" customHeight="1">
      <c r="A37" s="101" t="str">
        <f>DonnéesBC[[#This Row],[Prénom]]&amp;" "&amp;DonnéesBC[[#This Row],[Nom]]</f>
        <v>Lydia Campana</v>
      </c>
      <c r="B37" s="97" t="s">
        <v>139</v>
      </c>
      <c r="C37" s="97" t="s">
        <v>140</v>
      </c>
      <c r="D37" s="136" t="s">
        <v>846</v>
      </c>
      <c r="E37" s="137" t="b">
        <v>0</v>
      </c>
      <c r="F37" s="137" t="s">
        <v>846</v>
      </c>
      <c r="G37" s="137" t="s">
        <v>846</v>
      </c>
      <c r="H37" s="137" t="s">
        <v>846</v>
      </c>
      <c r="I37" s="137" t="b">
        <v>0</v>
      </c>
      <c r="J37" s="137" t="s">
        <v>846</v>
      </c>
      <c r="K37" s="137" t="b">
        <v>0</v>
      </c>
      <c r="L37" s="137" t="b">
        <v>0</v>
      </c>
      <c r="M37" s="137" t="s">
        <v>846</v>
      </c>
      <c r="N37" s="137" t="b">
        <v>0</v>
      </c>
      <c r="O37" s="137" t="s">
        <v>846</v>
      </c>
      <c r="P37" s="137" t="b">
        <v>0</v>
      </c>
      <c r="Q37" s="137" t="b">
        <v>0</v>
      </c>
      <c r="R37" s="137" t="s">
        <v>846</v>
      </c>
      <c r="S37" s="138" t="b">
        <v>0</v>
      </c>
      <c r="T37" s="136" t="s">
        <v>846</v>
      </c>
      <c r="U37" s="137" t="s">
        <v>846</v>
      </c>
      <c r="V37" s="137" t="s">
        <v>846</v>
      </c>
      <c r="W37" s="137" t="b">
        <v>0</v>
      </c>
      <c r="X37" s="137" t="s">
        <v>846</v>
      </c>
      <c r="Y37" s="137" t="s">
        <v>846</v>
      </c>
      <c r="Z37" s="137" t="b">
        <v>0</v>
      </c>
      <c r="AA37" s="137" t="s">
        <v>840</v>
      </c>
      <c r="AB37" s="137" t="b">
        <v>0</v>
      </c>
      <c r="AC37" s="137" t="b">
        <v>0</v>
      </c>
      <c r="AD37" s="137" t="b">
        <v>0</v>
      </c>
      <c r="AE37" s="138" t="s">
        <v>840</v>
      </c>
      <c r="AF37" s="136" t="s">
        <v>846</v>
      </c>
      <c r="AG37" s="137" t="b">
        <v>0</v>
      </c>
      <c r="AH37" s="137" t="s">
        <v>846</v>
      </c>
      <c r="AI37" s="137" t="b">
        <v>0</v>
      </c>
      <c r="AJ37" s="137" t="s">
        <v>846</v>
      </c>
      <c r="AK37" s="137" t="s">
        <v>846</v>
      </c>
      <c r="AL37" s="137" t="s">
        <v>846</v>
      </c>
      <c r="AM37" s="137" t="b">
        <v>0</v>
      </c>
      <c r="AN37" s="138" t="s">
        <v>840</v>
      </c>
      <c r="AO37" s="136" t="b">
        <v>0</v>
      </c>
      <c r="AP37" s="137" t="s">
        <v>846</v>
      </c>
      <c r="AQ37" s="137" t="s">
        <v>846</v>
      </c>
      <c r="AR37" s="137" t="s">
        <v>846</v>
      </c>
      <c r="AS37" s="137" t="b">
        <v>0</v>
      </c>
      <c r="AT37" s="137" t="s">
        <v>846</v>
      </c>
      <c r="AU37" s="137" t="b">
        <v>0</v>
      </c>
      <c r="AV37" s="137" t="s">
        <v>846</v>
      </c>
      <c r="AW37" s="137" t="b">
        <v>0</v>
      </c>
      <c r="AX37" s="137" t="b">
        <v>0</v>
      </c>
      <c r="AY37" s="137" t="b">
        <v>0</v>
      </c>
      <c r="AZ37" s="137" t="s">
        <v>840</v>
      </c>
      <c r="BA37" s="138" t="s">
        <v>840</v>
      </c>
      <c r="BB37" s="136" t="s">
        <v>846</v>
      </c>
      <c r="BC37" s="137" t="s">
        <v>846</v>
      </c>
      <c r="BD37" s="137" t="s">
        <v>846</v>
      </c>
      <c r="BE37" s="137" t="s">
        <v>846</v>
      </c>
      <c r="BF37" s="137" t="b">
        <v>0</v>
      </c>
      <c r="BG37" s="137" t="s">
        <v>846</v>
      </c>
      <c r="BH37" s="137" t="b">
        <v>0</v>
      </c>
      <c r="BI37" s="137" t="s">
        <v>846</v>
      </c>
      <c r="BJ37" s="137" t="s">
        <v>846</v>
      </c>
      <c r="BK37" s="137" t="b">
        <v>0</v>
      </c>
      <c r="BL37" s="137" t="b">
        <v>0</v>
      </c>
      <c r="BM37" s="137" t="s">
        <v>846</v>
      </c>
      <c r="BN37" s="137" t="b">
        <v>0</v>
      </c>
      <c r="BO37" s="137" t="s">
        <v>840</v>
      </c>
      <c r="BP37" s="137" t="b">
        <v>0</v>
      </c>
      <c r="BQ37" s="138" t="s">
        <v>846</v>
      </c>
      <c r="BR37" s="136" t="s">
        <v>846</v>
      </c>
      <c r="BS37" s="137" t="s">
        <v>846</v>
      </c>
      <c r="BT37" s="137" t="s">
        <v>846</v>
      </c>
      <c r="BU37" s="137" t="s">
        <v>846</v>
      </c>
      <c r="BV37" s="137" t="s">
        <v>846</v>
      </c>
      <c r="BW37" s="137" t="b">
        <v>0</v>
      </c>
      <c r="BX37" s="137" t="b">
        <v>0</v>
      </c>
      <c r="BY37" s="137" t="s">
        <v>846</v>
      </c>
      <c r="BZ37" s="137" t="s">
        <v>846</v>
      </c>
      <c r="CA37" s="137" t="s">
        <v>846</v>
      </c>
      <c r="CB37" s="138" t="s">
        <v>840</v>
      </c>
      <c r="CC37" s="136" t="s">
        <v>840</v>
      </c>
      <c r="CD37" s="137" t="s">
        <v>846</v>
      </c>
      <c r="CE37" s="137" t="s">
        <v>846</v>
      </c>
      <c r="CF37" s="137" t="b">
        <v>0</v>
      </c>
      <c r="CG37" s="137" t="b">
        <v>0</v>
      </c>
      <c r="CH37" s="137" t="b">
        <v>0</v>
      </c>
      <c r="CI37" s="137" t="s">
        <v>846</v>
      </c>
      <c r="CJ37" s="137" t="s">
        <v>840</v>
      </c>
      <c r="CK37" s="137" t="s">
        <v>846</v>
      </c>
      <c r="CL37" s="137" t="b">
        <v>0</v>
      </c>
      <c r="CM37" s="137" t="b">
        <v>0</v>
      </c>
      <c r="CN37" s="137" t="s">
        <v>846</v>
      </c>
      <c r="CO37" s="137" t="b">
        <v>0</v>
      </c>
      <c r="CP37" s="138" t="b">
        <v>0</v>
      </c>
      <c r="CQ37" s="136" t="s">
        <v>846</v>
      </c>
      <c r="CR37" s="137" t="s">
        <v>846</v>
      </c>
      <c r="CS37" s="137" t="b">
        <v>0</v>
      </c>
      <c r="CT37" s="137" t="s">
        <v>846</v>
      </c>
      <c r="CU37" s="137" t="b">
        <v>0</v>
      </c>
      <c r="CV37" s="137" t="b">
        <v>0</v>
      </c>
      <c r="CW37" s="137" t="s">
        <v>846</v>
      </c>
      <c r="CX37" s="137" t="s">
        <v>846</v>
      </c>
      <c r="CY37" s="137" t="b">
        <v>0</v>
      </c>
      <c r="CZ37" s="138" t="s">
        <v>846</v>
      </c>
      <c r="DA37" s="96">
        <v>16</v>
      </c>
      <c r="DB37" s="103">
        <f>COUNTIF(DonnéesBC[[#This Row],[1]:[16]],"FAUX")</f>
        <v>8</v>
      </c>
      <c r="DC37" s="103">
        <f>COUNTIF(DonnéesBC[[#This Row],[1]:[16]],"Je ne sais pas")</f>
        <v>0</v>
      </c>
      <c r="DD37" s="103">
        <f>COUNTIF(DonnéesBC[[#This Row],[1]:[16]],"Juste")</f>
        <v>8</v>
      </c>
      <c r="DE37" s="96">
        <v>12</v>
      </c>
      <c r="DF37" s="103">
        <f>COUNTIF(DonnéesBC[[#This Row],[17]:[28]],"FAUX")</f>
        <v>5</v>
      </c>
      <c r="DG37" s="103">
        <f>COUNTIF(DonnéesBC[[#This Row],[17]:[28]],"Je ne sais pas")</f>
        <v>2</v>
      </c>
      <c r="DH37" s="103">
        <f>COUNTIF(DonnéesBC[[#This Row],[17]:[28]],"Juste")</f>
        <v>5</v>
      </c>
      <c r="DI37" s="96">
        <v>9</v>
      </c>
      <c r="DJ37" s="103">
        <f>COUNTIF(DonnéesBC[[#This Row],[29]:[37]],"FAUX")</f>
        <v>3</v>
      </c>
      <c r="DK37" s="103">
        <f>COUNTIF(DonnéesBC[[#This Row],[29]:[37]],"Je ne sais pas")</f>
        <v>1</v>
      </c>
      <c r="DL37" s="103">
        <f>COUNTIF(DonnéesBC[[#This Row],[29]:[37]],"Juste")</f>
        <v>5</v>
      </c>
      <c r="DM37" s="96">
        <v>13</v>
      </c>
      <c r="DN37" s="103">
        <f>COUNTIF(DonnéesBC[[#This Row],[38]:[50]],"FAUX")</f>
        <v>6</v>
      </c>
      <c r="DO37" s="103">
        <f>COUNTIF(DonnéesBC[[#This Row],[38]:[50]],"Je ne sais pas")</f>
        <v>2</v>
      </c>
      <c r="DP37" s="103">
        <f>COUNTIF(DonnéesBC[[#This Row],[38]:[50]],"Juste")</f>
        <v>5</v>
      </c>
      <c r="DQ37" s="96">
        <v>16</v>
      </c>
      <c r="DR37" s="103">
        <f>COUNTIF(DonnéesBC[[#This Row],[51]:[66]],"FAUX")</f>
        <v>6</v>
      </c>
      <c r="DS37" s="103">
        <f>COUNTIF(DonnéesBC[[#This Row],[51]:[66]],"Je ne sais pas")</f>
        <v>1</v>
      </c>
      <c r="DT37" s="103">
        <f>COUNTIF(DonnéesBC[[#This Row],[51]:[66]],"Juste")</f>
        <v>9</v>
      </c>
      <c r="DU37" s="96">
        <v>11</v>
      </c>
      <c r="DV37" s="103">
        <f>COUNTIF(DonnéesBC[[#This Row],[67]:[77]],"FAUX")</f>
        <v>2</v>
      </c>
      <c r="DW37" s="103">
        <f>COUNTIF(DonnéesBC[[#This Row],[67]:[77]],"Je ne sais pas")</f>
        <v>1</v>
      </c>
      <c r="DX37" s="103">
        <f>COUNTIF(DonnéesBC[[#This Row],[67]:[77]],"Juste")</f>
        <v>8</v>
      </c>
      <c r="DY37" s="96">
        <v>14</v>
      </c>
      <c r="DZ37" s="103">
        <f>COUNTIF(DonnéesBC[[#This Row],[78]:[91]],"FAUX")</f>
        <v>7</v>
      </c>
      <c r="EA37" s="103">
        <f>COUNTIF(DonnéesBC[[#This Row],[78]:[91]],"Je ne sais pas")</f>
        <v>2</v>
      </c>
      <c r="EB37" s="103">
        <f>COUNTIF(DonnéesBC[[#This Row],[78]:[91]],"Juste")</f>
        <v>5</v>
      </c>
      <c r="EC37" s="96">
        <v>10</v>
      </c>
      <c r="ED37" s="103">
        <f>COUNTIF(DonnéesBC[[#This Row],[92]:[101]],"FAUX")</f>
        <v>4</v>
      </c>
      <c r="EE37" s="103">
        <f>COUNTIF(DonnéesBC[[#This Row],[92]:[101]],"Je ne sais pas")</f>
        <v>0</v>
      </c>
      <c r="EF37" s="103">
        <f>COUNTIF(DonnéesBC[[#This Row],[92]:[101]],"Juste")</f>
        <v>6</v>
      </c>
      <c r="EG37" s="96">
        <f>SUM(DonnéesBC[[#This Row],[A]]+DonnéesBC[[#This Row],[B]]+DonnéesBC[[#This Row],[C]]+DonnéesBC[[#This Row],[D]]+DonnéesBC[[#This Row],[E]]+DonnéesBC[[#This Row],[F]]+DonnéesBC[[#This Row],[G]]+DonnéesBC[[#This Row],[H]])</f>
        <v>101</v>
      </c>
      <c r="EH37" s="97">
        <f>SUM(DonnéesBC[[#This Row],[A2]]+DonnéesBC[[#This Row],[B2]]+DonnéesBC[[#This Row],[C2]]+DonnéesBC[[#This Row],[D2]]+DonnéesBC[[#This Row],[E2]]+DonnéesBC[[#This Row],[F2]]+DonnéesBC[[#This Row],[G2]]+DonnéesBC[[#This Row],[H2]])</f>
        <v>41</v>
      </c>
      <c r="EI37" s="98">
        <f>SUM(DonnéesBC[[#This Row],[A3]]+DonnéesBC[[#This Row],[B3]]+DonnéesBC[[#This Row],[C3]]+DonnéesBC[[#This Row],[D3]]+DonnéesBC[[#This Row],[E3]]+DonnéesBC[[#This Row],[F3]]+DonnéesBC[[#This Row],[G3]]+DonnéesBC[[#This Row],[H3]])</f>
        <v>9</v>
      </c>
      <c r="EJ37" s="103">
        <f>SUM(DonnéesBC[[#This Row],[A4]]+DonnéesBC[[#This Row],[B4]]+DonnéesBC[[#This Row],[C4]]+DonnéesBC[[#This Row],[D4]]+DonnéesBC[[#This Row],[E4]]+DonnéesBC[[#This Row],[F4]]+DonnéesBC[[#This Row],[G4]]+DonnéesBC[[#This Row],[H4]])</f>
        <v>51</v>
      </c>
      <c r="EK37" s="95"/>
      <c r="EL37">
        <v>24</v>
      </c>
    </row>
    <row r="38" spans="1:142" ht="14" customHeight="1">
      <c r="A38" s="101" t="str">
        <f>DonnéesBC[[#This Row],[Prénom]]&amp;" "&amp;DonnéesBC[[#This Row],[Nom]]</f>
        <v>Marc Bergundthal</v>
      </c>
      <c r="B38" s="98" t="s">
        <v>141</v>
      </c>
      <c r="C38" s="98" t="s">
        <v>142</v>
      </c>
      <c r="D38" s="132" t="b">
        <v>0</v>
      </c>
      <c r="E38" s="133" t="s">
        <v>846</v>
      </c>
      <c r="F38" s="133" t="s">
        <v>846</v>
      </c>
      <c r="G38" s="133" t="b">
        <v>0</v>
      </c>
      <c r="H38" s="133" t="s">
        <v>846</v>
      </c>
      <c r="I38" s="133" t="s">
        <v>846</v>
      </c>
      <c r="J38" s="133" t="s">
        <v>846</v>
      </c>
      <c r="K38" s="133" t="b">
        <v>0</v>
      </c>
      <c r="L38" s="133" t="s">
        <v>840</v>
      </c>
      <c r="M38" s="133" t="b">
        <v>0</v>
      </c>
      <c r="N38" s="133" t="s">
        <v>846</v>
      </c>
      <c r="O38" s="133" t="b">
        <v>0</v>
      </c>
      <c r="P38" s="133" t="b">
        <v>0</v>
      </c>
      <c r="Q38" s="133" t="b">
        <v>0</v>
      </c>
      <c r="R38" s="133" t="s">
        <v>846</v>
      </c>
      <c r="S38" s="134" t="b">
        <v>0</v>
      </c>
      <c r="T38" s="132" t="s">
        <v>846</v>
      </c>
      <c r="U38" s="133" t="b">
        <v>0</v>
      </c>
      <c r="V38" s="133" t="s">
        <v>846</v>
      </c>
      <c r="W38" s="133" t="s">
        <v>846</v>
      </c>
      <c r="X38" s="133" t="b">
        <v>0</v>
      </c>
      <c r="Y38" s="133" t="s">
        <v>846</v>
      </c>
      <c r="Z38" s="133" t="b">
        <v>0</v>
      </c>
      <c r="AA38" s="133" t="s">
        <v>846</v>
      </c>
      <c r="AB38" s="133" t="b">
        <v>0</v>
      </c>
      <c r="AC38" s="133" t="s">
        <v>846</v>
      </c>
      <c r="AD38" s="133" t="s">
        <v>840</v>
      </c>
      <c r="AE38" s="134" t="s">
        <v>840</v>
      </c>
      <c r="AF38" s="132" t="s">
        <v>846</v>
      </c>
      <c r="AG38" s="133" t="s">
        <v>840</v>
      </c>
      <c r="AH38" s="133" t="s">
        <v>846</v>
      </c>
      <c r="AI38" s="133" t="s">
        <v>846</v>
      </c>
      <c r="AJ38" s="133" t="s">
        <v>846</v>
      </c>
      <c r="AK38" s="133" t="s">
        <v>840</v>
      </c>
      <c r="AL38" s="133" t="s">
        <v>846</v>
      </c>
      <c r="AM38" s="133" t="s">
        <v>846</v>
      </c>
      <c r="AN38" s="134" t="s">
        <v>846</v>
      </c>
      <c r="AO38" s="132" t="s">
        <v>840</v>
      </c>
      <c r="AP38" s="133" t="s">
        <v>840</v>
      </c>
      <c r="AQ38" s="133" t="s">
        <v>846</v>
      </c>
      <c r="AR38" s="133" t="s">
        <v>846</v>
      </c>
      <c r="AS38" s="133" t="b">
        <v>0</v>
      </c>
      <c r="AT38" s="133" t="s">
        <v>846</v>
      </c>
      <c r="AU38" s="133" t="b">
        <v>0</v>
      </c>
      <c r="AV38" s="133" t="s">
        <v>846</v>
      </c>
      <c r="AW38" s="133" t="s">
        <v>840</v>
      </c>
      <c r="AX38" s="133" t="b">
        <v>0</v>
      </c>
      <c r="AY38" s="133" t="b">
        <v>0</v>
      </c>
      <c r="AZ38" s="133" t="s">
        <v>840</v>
      </c>
      <c r="BA38" s="134" t="s">
        <v>840</v>
      </c>
      <c r="BB38" s="132" t="s">
        <v>840</v>
      </c>
      <c r="BC38" s="133" t="s">
        <v>846</v>
      </c>
      <c r="BD38" s="133" t="s">
        <v>840</v>
      </c>
      <c r="BE38" s="133" t="s">
        <v>840</v>
      </c>
      <c r="BF38" s="133" t="s">
        <v>840</v>
      </c>
      <c r="BG38" s="133" t="s">
        <v>846</v>
      </c>
      <c r="BH38" s="133" t="s">
        <v>840</v>
      </c>
      <c r="BI38" s="133" t="s">
        <v>846</v>
      </c>
      <c r="BJ38" s="133" t="s">
        <v>840</v>
      </c>
      <c r="BK38" s="133" t="s">
        <v>840</v>
      </c>
      <c r="BL38" s="133" t="b">
        <v>0</v>
      </c>
      <c r="BM38" s="133" t="b">
        <v>0</v>
      </c>
      <c r="BN38" s="133" t="s">
        <v>846</v>
      </c>
      <c r="BO38" s="133" t="s">
        <v>840</v>
      </c>
      <c r="BP38" s="133" t="s">
        <v>840</v>
      </c>
      <c r="BQ38" s="134" t="s">
        <v>840</v>
      </c>
      <c r="BR38" s="132" t="s">
        <v>846</v>
      </c>
      <c r="BS38" s="133" t="s">
        <v>840</v>
      </c>
      <c r="BT38" s="133" t="s">
        <v>846</v>
      </c>
      <c r="BU38" s="133" t="s">
        <v>846</v>
      </c>
      <c r="BV38" s="133" t="s">
        <v>846</v>
      </c>
      <c r="BW38" s="133" t="s">
        <v>840</v>
      </c>
      <c r="BX38" s="133" t="s">
        <v>840</v>
      </c>
      <c r="BY38" s="133" t="s">
        <v>840</v>
      </c>
      <c r="BZ38" s="133" t="s">
        <v>846</v>
      </c>
      <c r="CA38" s="133" t="b">
        <v>0</v>
      </c>
      <c r="CB38" s="134" t="s">
        <v>846</v>
      </c>
      <c r="CC38" s="132" t="s">
        <v>840</v>
      </c>
      <c r="CD38" s="133" t="b">
        <v>0</v>
      </c>
      <c r="CE38" s="133" t="b">
        <v>0</v>
      </c>
      <c r="CF38" s="133" t="b">
        <v>0</v>
      </c>
      <c r="CG38" s="133" t="s">
        <v>840</v>
      </c>
      <c r="CH38" s="133" t="b">
        <v>0</v>
      </c>
      <c r="CI38" s="133" t="s">
        <v>846</v>
      </c>
      <c r="CJ38" s="133" t="s">
        <v>840</v>
      </c>
      <c r="CK38" s="133" t="s">
        <v>846</v>
      </c>
      <c r="CL38" s="133" t="s">
        <v>840</v>
      </c>
      <c r="CM38" s="133" t="b">
        <v>0</v>
      </c>
      <c r="CN38" s="133" t="s">
        <v>840</v>
      </c>
      <c r="CO38" s="133" t="s">
        <v>840</v>
      </c>
      <c r="CP38" s="134" t="s">
        <v>840</v>
      </c>
      <c r="CQ38" s="132" t="s">
        <v>840</v>
      </c>
      <c r="CR38" s="133" t="s">
        <v>846</v>
      </c>
      <c r="CS38" s="133" t="s">
        <v>840</v>
      </c>
      <c r="CT38" s="133" t="s">
        <v>840</v>
      </c>
      <c r="CU38" s="133" t="s">
        <v>840</v>
      </c>
      <c r="CV38" s="133" t="s">
        <v>846</v>
      </c>
      <c r="CW38" s="133" t="s">
        <v>840</v>
      </c>
      <c r="CX38" s="133" t="s">
        <v>840</v>
      </c>
      <c r="CY38" s="133" t="s">
        <v>846</v>
      </c>
      <c r="CZ38" s="135" t="s">
        <v>840</v>
      </c>
      <c r="DA38" s="96">
        <v>16</v>
      </c>
      <c r="DB38" s="103">
        <f>COUNTIF(DonnéesBC[[#This Row],[1]:[16]],"FAUX")</f>
        <v>8</v>
      </c>
      <c r="DC38" s="103">
        <f>COUNTIF(DonnéesBC[[#This Row],[1]:[16]],"Je ne sais pas")</f>
        <v>1</v>
      </c>
      <c r="DD38" s="103">
        <f>COUNTIF(DonnéesBC[[#This Row],[1]:[16]],"Juste")</f>
        <v>7</v>
      </c>
      <c r="DE38" s="96">
        <v>12</v>
      </c>
      <c r="DF38" s="103">
        <f>COUNTIF(DonnéesBC[[#This Row],[17]:[28]],"FAUX")</f>
        <v>4</v>
      </c>
      <c r="DG38" s="103">
        <f>COUNTIF(DonnéesBC[[#This Row],[17]:[28]],"Je ne sais pas")</f>
        <v>2</v>
      </c>
      <c r="DH38" s="103">
        <f>COUNTIF(DonnéesBC[[#This Row],[17]:[28]],"Juste")</f>
        <v>6</v>
      </c>
      <c r="DI38" s="96">
        <v>9</v>
      </c>
      <c r="DJ38" s="103">
        <f>COUNTIF(DonnéesBC[[#This Row],[29]:[37]],"FAUX")</f>
        <v>0</v>
      </c>
      <c r="DK38" s="103">
        <f>COUNTIF(DonnéesBC[[#This Row],[29]:[37]],"Je ne sais pas")</f>
        <v>2</v>
      </c>
      <c r="DL38" s="103">
        <f>COUNTIF(DonnéesBC[[#This Row],[29]:[37]],"Juste")</f>
        <v>7</v>
      </c>
      <c r="DM38" s="96">
        <v>13</v>
      </c>
      <c r="DN38" s="103">
        <f>COUNTIF(DonnéesBC[[#This Row],[38]:[50]],"FAUX")</f>
        <v>4</v>
      </c>
      <c r="DO38" s="103">
        <f>COUNTIF(DonnéesBC[[#This Row],[38]:[50]],"Je ne sais pas")</f>
        <v>5</v>
      </c>
      <c r="DP38" s="103">
        <f>COUNTIF(DonnéesBC[[#This Row],[38]:[50]],"Juste")</f>
        <v>4</v>
      </c>
      <c r="DQ38" s="96">
        <v>16</v>
      </c>
      <c r="DR38" s="103">
        <f>COUNTIF(DonnéesBC[[#This Row],[51]:[66]],"FAUX")</f>
        <v>2</v>
      </c>
      <c r="DS38" s="103">
        <f>COUNTIF(DonnéesBC[[#This Row],[51]:[66]],"Je ne sais pas")</f>
        <v>10</v>
      </c>
      <c r="DT38" s="103">
        <f>COUNTIF(DonnéesBC[[#This Row],[51]:[66]],"Juste")</f>
        <v>4</v>
      </c>
      <c r="DU38" s="96">
        <v>11</v>
      </c>
      <c r="DV38" s="103">
        <f>COUNTIF(DonnéesBC[[#This Row],[67]:[77]],"FAUX")</f>
        <v>1</v>
      </c>
      <c r="DW38" s="103">
        <f>COUNTIF(DonnéesBC[[#This Row],[67]:[77]],"Je ne sais pas")</f>
        <v>4</v>
      </c>
      <c r="DX38" s="103">
        <f>COUNTIF(DonnéesBC[[#This Row],[67]:[77]],"Juste")</f>
        <v>6</v>
      </c>
      <c r="DY38" s="96">
        <v>14</v>
      </c>
      <c r="DZ38" s="103">
        <f>COUNTIF(DonnéesBC[[#This Row],[78]:[91]],"FAUX")</f>
        <v>5</v>
      </c>
      <c r="EA38" s="103">
        <f>COUNTIF(DonnéesBC[[#This Row],[78]:[91]],"Je ne sais pas")</f>
        <v>7</v>
      </c>
      <c r="EB38" s="103">
        <f>COUNTIF(DonnéesBC[[#This Row],[78]:[91]],"Juste")</f>
        <v>2</v>
      </c>
      <c r="EC38" s="96">
        <v>10</v>
      </c>
      <c r="ED38" s="103">
        <f>COUNTIF(DonnéesBC[[#This Row],[92]:[101]],"FAUX")</f>
        <v>0</v>
      </c>
      <c r="EE38" s="103">
        <f>COUNTIF(DonnéesBC[[#This Row],[92]:[101]],"Je ne sais pas")</f>
        <v>7</v>
      </c>
      <c r="EF38" s="103">
        <f>COUNTIF(DonnéesBC[[#This Row],[92]:[101]],"Juste")</f>
        <v>3</v>
      </c>
      <c r="EG38" s="96">
        <f>SUM(DonnéesBC[[#This Row],[A]]+DonnéesBC[[#This Row],[B]]+DonnéesBC[[#This Row],[C]]+DonnéesBC[[#This Row],[D]]+DonnéesBC[[#This Row],[E]]+DonnéesBC[[#This Row],[F]]+DonnéesBC[[#This Row],[G]]+DonnéesBC[[#This Row],[H]])</f>
        <v>101</v>
      </c>
      <c r="EH38" s="97">
        <f>SUM(DonnéesBC[[#This Row],[A2]]+DonnéesBC[[#This Row],[B2]]+DonnéesBC[[#This Row],[C2]]+DonnéesBC[[#This Row],[D2]]+DonnéesBC[[#This Row],[E2]]+DonnéesBC[[#This Row],[F2]]+DonnéesBC[[#This Row],[G2]]+DonnéesBC[[#This Row],[H2]])</f>
        <v>24</v>
      </c>
      <c r="EI38" s="98">
        <f>SUM(DonnéesBC[[#This Row],[A3]]+DonnéesBC[[#This Row],[B3]]+DonnéesBC[[#This Row],[C3]]+DonnéesBC[[#This Row],[D3]]+DonnéesBC[[#This Row],[E3]]+DonnéesBC[[#This Row],[F3]]+DonnéesBC[[#This Row],[G3]]+DonnéesBC[[#This Row],[H3]])</f>
        <v>38</v>
      </c>
      <c r="EJ38" s="103">
        <f>SUM(DonnéesBC[[#This Row],[A4]]+DonnéesBC[[#This Row],[B4]]+DonnéesBC[[#This Row],[C4]]+DonnéesBC[[#This Row],[D4]]+DonnéesBC[[#This Row],[E4]]+DonnéesBC[[#This Row],[F4]]+DonnéesBC[[#This Row],[G4]]+DonnéesBC[[#This Row],[H4]])</f>
        <v>39</v>
      </c>
      <c r="EK38" s="95"/>
      <c r="EL38">
        <v>21</v>
      </c>
    </row>
    <row r="39" spans="1:142" ht="14" customHeight="1">
      <c r="A39" s="101" t="str">
        <f>DonnéesBC[[#This Row],[Prénom]]&amp;" "&amp;DonnéesBC[[#This Row],[Nom]]</f>
        <v>Marc Diacon</v>
      </c>
      <c r="B39" s="97" t="s">
        <v>143</v>
      </c>
      <c r="C39" s="97" t="s">
        <v>142</v>
      </c>
      <c r="D39" s="136" t="b">
        <v>0</v>
      </c>
      <c r="E39" s="137" t="s">
        <v>846</v>
      </c>
      <c r="F39" s="137" t="s">
        <v>846</v>
      </c>
      <c r="G39" s="137" t="b">
        <v>0</v>
      </c>
      <c r="H39" s="137" t="s">
        <v>846</v>
      </c>
      <c r="I39" s="137" t="s">
        <v>846</v>
      </c>
      <c r="J39" s="137" t="s">
        <v>846</v>
      </c>
      <c r="K39" s="137" t="s">
        <v>840</v>
      </c>
      <c r="L39" s="137" t="s">
        <v>846</v>
      </c>
      <c r="M39" s="137" t="b">
        <v>0</v>
      </c>
      <c r="N39" s="137" t="s">
        <v>846</v>
      </c>
      <c r="O39" s="137" t="s">
        <v>846</v>
      </c>
      <c r="P39" s="137" t="s">
        <v>846</v>
      </c>
      <c r="Q39" s="137" t="b">
        <v>0</v>
      </c>
      <c r="R39" s="137" t="s">
        <v>846</v>
      </c>
      <c r="S39" s="138" t="s">
        <v>846</v>
      </c>
      <c r="T39" s="136" t="s">
        <v>846</v>
      </c>
      <c r="U39" s="137" t="s">
        <v>846</v>
      </c>
      <c r="V39" s="137" t="b">
        <v>0</v>
      </c>
      <c r="W39" s="137" t="s">
        <v>846</v>
      </c>
      <c r="X39" s="137" t="s">
        <v>846</v>
      </c>
      <c r="Y39" s="137" t="s">
        <v>840</v>
      </c>
      <c r="Z39" s="137" t="s">
        <v>840</v>
      </c>
      <c r="AA39" s="137" t="s">
        <v>840</v>
      </c>
      <c r="AB39" s="137" t="s">
        <v>846</v>
      </c>
      <c r="AC39" s="137" t="s">
        <v>840</v>
      </c>
      <c r="AD39" s="137" t="s">
        <v>846</v>
      </c>
      <c r="AE39" s="138" t="s">
        <v>840</v>
      </c>
      <c r="AF39" s="136" t="s">
        <v>846</v>
      </c>
      <c r="AG39" s="137" t="s">
        <v>846</v>
      </c>
      <c r="AH39" s="137" t="b">
        <v>0</v>
      </c>
      <c r="AI39" s="137" t="s">
        <v>846</v>
      </c>
      <c r="AJ39" s="137" t="s">
        <v>846</v>
      </c>
      <c r="AK39" s="137" t="s">
        <v>846</v>
      </c>
      <c r="AL39" s="137" t="s">
        <v>846</v>
      </c>
      <c r="AM39" s="137" t="b">
        <v>0</v>
      </c>
      <c r="AN39" s="138" t="s">
        <v>846</v>
      </c>
      <c r="AO39" s="136" t="s">
        <v>840</v>
      </c>
      <c r="AP39" s="137" t="s">
        <v>846</v>
      </c>
      <c r="AQ39" s="137" t="b">
        <v>0</v>
      </c>
      <c r="AR39" s="137" t="s">
        <v>840</v>
      </c>
      <c r="AS39" s="137" t="s">
        <v>840</v>
      </c>
      <c r="AT39" s="137" t="s">
        <v>846</v>
      </c>
      <c r="AU39" s="137" t="b">
        <v>0</v>
      </c>
      <c r="AV39" s="137" t="s">
        <v>846</v>
      </c>
      <c r="AW39" s="137" t="s">
        <v>840</v>
      </c>
      <c r="AX39" s="137" t="b">
        <v>0</v>
      </c>
      <c r="AY39" s="137" t="s">
        <v>846</v>
      </c>
      <c r="AZ39" s="137" t="s">
        <v>846</v>
      </c>
      <c r="BA39" s="138" t="s">
        <v>840</v>
      </c>
      <c r="BB39" s="136" t="s">
        <v>846</v>
      </c>
      <c r="BC39" s="137" t="s">
        <v>846</v>
      </c>
      <c r="BD39" s="137" t="s">
        <v>840</v>
      </c>
      <c r="BE39" s="137" t="s">
        <v>846</v>
      </c>
      <c r="BF39" s="137" t="s">
        <v>840</v>
      </c>
      <c r="BG39" s="137" t="s">
        <v>840</v>
      </c>
      <c r="BH39" s="137" t="s">
        <v>846</v>
      </c>
      <c r="BI39" s="137" t="s">
        <v>846</v>
      </c>
      <c r="BJ39" s="137" t="s">
        <v>840</v>
      </c>
      <c r="BK39" s="137" t="s">
        <v>846</v>
      </c>
      <c r="BL39" s="137" t="s">
        <v>846</v>
      </c>
      <c r="BM39" s="137" t="s">
        <v>840</v>
      </c>
      <c r="BN39" s="137" t="b">
        <v>0</v>
      </c>
      <c r="BO39" s="137" t="s">
        <v>840</v>
      </c>
      <c r="BP39" s="137" t="s">
        <v>840</v>
      </c>
      <c r="BQ39" s="138" t="s">
        <v>840</v>
      </c>
      <c r="BR39" s="136" t="s">
        <v>846</v>
      </c>
      <c r="BS39" s="137" t="b">
        <v>0</v>
      </c>
      <c r="BT39" s="137" t="s">
        <v>846</v>
      </c>
      <c r="BU39" s="137" t="s">
        <v>846</v>
      </c>
      <c r="BV39" s="137" t="s">
        <v>846</v>
      </c>
      <c r="BW39" s="137" t="s">
        <v>846</v>
      </c>
      <c r="BX39" s="137" t="b">
        <v>0</v>
      </c>
      <c r="BY39" s="137" t="b">
        <v>0</v>
      </c>
      <c r="BZ39" s="137" t="s">
        <v>846</v>
      </c>
      <c r="CA39" s="137" t="b">
        <v>0</v>
      </c>
      <c r="CB39" s="138" t="b">
        <v>0</v>
      </c>
      <c r="CC39" s="136" t="s">
        <v>846</v>
      </c>
      <c r="CD39" s="137" t="s">
        <v>846</v>
      </c>
      <c r="CE39" s="137" t="s">
        <v>846</v>
      </c>
      <c r="CF39" s="137" t="s">
        <v>846</v>
      </c>
      <c r="CG39" s="137" t="s">
        <v>846</v>
      </c>
      <c r="CH39" s="137" t="s">
        <v>846</v>
      </c>
      <c r="CI39" s="137" t="s">
        <v>846</v>
      </c>
      <c r="CJ39" s="137" t="s">
        <v>846</v>
      </c>
      <c r="CK39" s="137" t="s">
        <v>846</v>
      </c>
      <c r="CL39" s="137" t="s">
        <v>840</v>
      </c>
      <c r="CM39" s="137" t="s">
        <v>846</v>
      </c>
      <c r="CN39" s="137" t="s">
        <v>846</v>
      </c>
      <c r="CO39" s="137" t="s">
        <v>840</v>
      </c>
      <c r="CP39" s="138" t="s">
        <v>840</v>
      </c>
      <c r="CQ39" s="136" t="b">
        <v>0</v>
      </c>
      <c r="CR39" s="137" t="b">
        <v>0</v>
      </c>
      <c r="CS39" s="137" t="s">
        <v>840</v>
      </c>
      <c r="CT39" s="137" t="s">
        <v>840</v>
      </c>
      <c r="CU39" s="137" t="b">
        <v>0</v>
      </c>
      <c r="CV39" s="137" t="s">
        <v>846</v>
      </c>
      <c r="CW39" s="137" t="s">
        <v>840</v>
      </c>
      <c r="CX39" s="137" t="s">
        <v>846</v>
      </c>
      <c r="CY39" s="137" t="b">
        <v>0</v>
      </c>
      <c r="CZ39" s="138" t="s">
        <v>840</v>
      </c>
      <c r="DA39" s="96">
        <v>16</v>
      </c>
      <c r="DB39" s="103">
        <f>COUNTIF(DonnéesBC[[#This Row],[1]:[16]],"FAUX")</f>
        <v>4</v>
      </c>
      <c r="DC39" s="103">
        <f>COUNTIF(DonnéesBC[[#This Row],[1]:[16]],"Je ne sais pas")</f>
        <v>1</v>
      </c>
      <c r="DD39" s="103">
        <f>COUNTIF(DonnéesBC[[#This Row],[1]:[16]],"Juste")</f>
        <v>11</v>
      </c>
      <c r="DE39" s="96">
        <v>12</v>
      </c>
      <c r="DF39" s="103">
        <f>COUNTIF(DonnéesBC[[#This Row],[17]:[28]],"FAUX")</f>
        <v>1</v>
      </c>
      <c r="DG39" s="103">
        <f>COUNTIF(DonnéesBC[[#This Row],[17]:[28]],"Je ne sais pas")</f>
        <v>5</v>
      </c>
      <c r="DH39" s="103">
        <f>COUNTIF(DonnéesBC[[#This Row],[17]:[28]],"Juste")</f>
        <v>6</v>
      </c>
      <c r="DI39" s="96">
        <v>9</v>
      </c>
      <c r="DJ39" s="103">
        <f>COUNTIF(DonnéesBC[[#This Row],[29]:[37]],"FAUX")</f>
        <v>2</v>
      </c>
      <c r="DK39" s="103">
        <f>COUNTIF(DonnéesBC[[#This Row],[29]:[37]],"Je ne sais pas")</f>
        <v>0</v>
      </c>
      <c r="DL39" s="103">
        <f>COUNTIF(DonnéesBC[[#This Row],[29]:[37]],"Juste")</f>
        <v>7</v>
      </c>
      <c r="DM39" s="96">
        <v>13</v>
      </c>
      <c r="DN39" s="103">
        <f>COUNTIF(DonnéesBC[[#This Row],[38]:[50]],"FAUX")</f>
        <v>3</v>
      </c>
      <c r="DO39" s="103">
        <f>COUNTIF(DonnéesBC[[#This Row],[38]:[50]],"Je ne sais pas")</f>
        <v>5</v>
      </c>
      <c r="DP39" s="103">
        <f>COUNTIF(DonnéesBC[[#This Row],[38]:[50]],"Juste")</f>
        <v>5</v>
      </c>
      <c r="DQ39" s="96">
        <v>16</v>
      </c>
      <c r="DR39" s="103">
        <f>COUNTIF(DonnéesBC[[#This Row],[51]:[66]],"FAUX")</f>
        <v>1</v>
      </c>
      <c r="DS39" s="103">
        <f>COUNTIF(DonnéesBC[[#This Row],[51]:[66]],"Je ne sais pas")</f>
        <v>8</v>
      </c>
      <c r="DT39" s="103">
        <f>COUNTIF(DonnéesBC[[#This Row],[51]:[66]],"Juste")</f>
        <v>7</v>
      </c>
      <c r="DU39" s="96">
        <v>11</v>
      </c>
      <c r="DV39" s="103">
        <f>COUNTIF(DonnéesBC[[#This Row],[67]:[77]],"FAUX")</f>
        <v>5</v>
      </c>
      <c r="DW39" s="103">
        <f>COUNTIF(DonnéesBC[[#This Row],[67]:[77]],"Je ne sais pas")</f>
        <v>0</v>
      </c>
      <c r="DX39" s="103">
        <f>COUNTIF(DonnéesBC[[#This Row],[67]:[77]],"Juste")</f>
        <v>6</v>
      </c>
      <c r="DY39" s="96">
        <v>14</v>
      </c>
      <c r="DZ39" s="103">
        <f>COUNTIF(DonnéesBC[[#This Row],[78]:[91]],"FAUX")</f>
        <v>0</v>
      </c>
      <c r="EA39" s="103">
        <f>COUNTIF(DonnéesBC[[#This Row],[78]:[91]],"Je ne sais pas")</f>
        <v>3</v>
      </c>
      <c r="EB39" s="103">
        <f>COUNTIF(DonnéesBC[[#This Row],[78]:[91]],"Juste")</f>
        <v>11</v>
      </c>
      <c r="EC39" s="96">
        <v>10</v>
      </c>
      <c r="ED39" s="103">
        <f>COUNTIF(DonnéesBC[[#This Row],[92]:[101]],"FAUX")</f>
        <v>4</v>
      </c>
      <c r="EE39" s="103">
        <f>COUNTIF(DonnéesBC[[#This Row],[92]:[101]],"Je ne sais pas")</f>
        <v>4</v>
      </c>
      <c r="EF39" s="103">
        <f>COUNTIF(DonnéesBC[[#This Row],[92]:[101]],"Juste")</f>
        <v>2</v>
      </c>
      <c r="EG39" s="96">
        <f>SUM(DonnéesBC[[#This Row],[A]]+DonnéesBC[[#This Row],[B]]+DonnéesBC[[#This Row],[C]]+DonnéesBC[[#This Row],[D]]+DonnéesBC[[#This Row],[E]]+DonnéesBC[[#This Row],[F]]+DonnéesBC[[#This Row],[G]]+DonnéesBC[[#This Row],[H]])</f>
        <v>101</v>
      </c>
      <c r="EH39" s="97">
        <f>SUM(DonnéesBC[[#This Row],[A2]]+DonnéesBC[[#This Row],[B2]]+DonnéesBC[[#This Row],[C2]]+DonnéesBC[[#This Row],[D2]]+DonnéesBC[[#This Row],[E2]]+DonnéesBC[[#This Row],[F2]]+DonnéesBC[[#This Row],[G2]]+DonnéesBC[[#This Row],[H2]])</f>
        <v>20</v>
      </c>
      <c r="EI39" s="98">
        <f>SUM(DonnéesBC[[#This Row],[A3]]+DonnéesBC[[#This Row],[B3]]+DonnéesBC[[#This Row],[C3]]+DonnéesBC[[#This Row],[D3]]+DonnéesBC[[#This Row],[E3]]+DonnéesBC[[#This Row],[F3]]+DonnéesBC[[#This Row],[G3]]+DonnéesBC[[#This Row],[H3]])</f>
        <v>26</v>
      </c>
      <c r="EJ39" s="103">
        <f>SUM(DonnéesBC[[#This Row],[A4]]+DonnéesBC[[#This Row],[B4]]+DonnéesBC[[#This Row],[C4]]+DonnéesBC[[#This Row],[D4]]+DonnéesBC[[#This Row],[E4]]+DonnéesBC[[#This Row],[F4]]+DonnéesBC[[#This Row],[G4]]+DonnéesBC[[#This Row],[H4]])</f>
        <v>55</v>
      </c>
      <c r="EK39" s="95"/>
      <c r="EL39">
        <v>21</v>
      </c>
    </row>
    <row r="40" spans="1:142" ht="14" customHeight="1">
      <c r="A40" s="101" t="str">
        <f>DonnéesBC[[#This Row],[Prénom]]&amp;" "&amp;DonnéesBC[[#This Row],[Nom]]</f>
        <v>Marie-Joëlle Haldimann</v>
      </c>
      <c r="B40" s="97" t="s">
        <v>146</v>
      </c>
      <c r="C40" s="97" t="s">
        <v>147</v>
      </c>
      <c r="D40" s="132" t="b">
        <v>0</v>
      </c>
      <c r="E40" s="133" t="s">
        <v>846</v>
      </c>
      <c r="F40" s="133" t="s">
        <v>846</v>
      </c>
      <c r="G40" s="133" t="b">
        <v>0</v>
      </c>
      <c r="H40" s="133" t="s">
        <v>840</v>
      </c>
      <c r="I40" s="133" t="s">
        <v>846</v>
      </c>
      <c r="J40" s="133" t="s">
        <v>846</v>
      </c>
      <c r="K40" s="133" t="s">
        <v>846</v>
      </c>
      <c r="L40" s="133" t="s">
        <v>840</v>
      </c>
      <c r="M40" s="133" t="s">
        <v>846</v>
      </c>
      <c r="N40" s="133" t="b">
        <v>0</v>
      </c>
      <c r="O40" s="133" t="s">
        <v>846</v>
      </c>
      <c r="P40" s="133" t="s">
        <v>846</v>
      </c>
      <c r="Q40" s="133" t="s">
        <v>846</v>
      </c>
      <c r="R40" s="133" t="s">
        <v>846</v>
      </c>
      <c r="S40" s="135" t="b">
        <v>0</v>
      </c>
      <c r="T40" s="132" t="s">
        <v>846</v>
      </c>
      <c r="U40" s="133" t="s">
        <v>846</v>
      </c>
      <c r="V40" s="133" t="s">
        <v>846</v>
      </c>
      <c r="W40" s="133" t="b">
        <v>0</v>
      </c>
      <c r="X40" s="133" t="s">
        <v>846</v>
      </c>
      <c r="Y40" s="133" t="s">
        <v>846</v>
      </c>
      <c r="Z40" s="133" t="b">
        <v>0</v>
      </c>
      <c r="AA40" s="133" t="b">
        <v>0</v>
      </c>
      <c r="AB40" s="133" t="s">
        <v>846</v>
      </c>
      <c r="AC40" s="133" t="b">
        <v>0</v>
      </c>
      <c r="AD40" s="133" t="s">
        <v>846</v>
      </c>
      <c r="AE40" s="135" t="s">
        <v>840</v>
      </c>
      <c r="AF40" s="132" t="s">
        <v>846</v>
      </c>
      <c r="AG40" s="133" t="s">
        <v>846</v>
      </c>
      <c r="AH40" s="133" t="s">
        <v>846</v>
      </c>
      <c r="AI40" s="133" t="b">
        <v>0</v>
      </c>
      <c r="AJ40" s="133" t="s">
        <v>846</v>
      </c>
      <c r="AK40" s="133" t="s">
        <v>846</v>
      </c>
      <c r="AL40" s="133" t="s">
        <v>846</v>
      </c>
      <c r="AM40" s="133" t="s">
        <v>840</v>
      </c>
      <c r="AN40" s="135" t="s">
        <v>846</v>
      </c>
      <c r="AO40" s="132" t="s">
        <v>840</v>
      </c>
      <c r="AP40" s="133" t="s">
        <v>846</v>
      </c>
      <c r="AQ40" s="133" t="s">
        <v>846</v>
      </c>
      <c r="AR40" s="133" t="s">
        <v>846</v>
      </c>
      <c r="AS40" s="133" t="s">
        <v>846</v>
      </c>
      <c r="AT40" s="133" t="s">
        <v>846</v>
      </c>
      <c r="AU40" s="133" t="b">
        <v>0</v>
      </c>
      <c r="AV40" s="133" t="s">
        <v>846</v>
      </c>
      <c r="AW40" s="133" t="s">
        <v>846</v>
      </c>
      <c r="AX40" s="133" t="s">
        <v>840</v>
      </c>
      <c r="AY40" s="133" t="s">
        <v>846</v>
      </c>
      <c r="AZ40" s="133" t="s">
        <v>846</v>
      </c>
      <c r="BA40" s="135" t="s">
        <v>846</v>
      </c>
      <c r="BB40" s="132" t="s">
        <v>846</v>
      </c>
      <c r="BC40" s="133" t="s">
        <v>846</v>
      </c>
      <c r="BD40" s="133" t="s">
        <v>846</v>
      </c>
      <c r="BE40" s="133" t="s">
        <v>846</v>
      </c>
      <c r="BF40" s="133" t="s">
        <v>840</v>
      </c>
      <c r="BG40" s="133" t="b">
        <v>0</v>
      </c>
      <c r="BH40" s="133" t="s">
        <v>846</v>
      </c>
      <c r="BI40" s="133" t="b">
        <v>0</v>
      </c>
      <c r="BJ40" s="133" t="s">
        <v>840</v>
      </c>
      <c r="BK40" s="133" t="b">
        <v>0</v>
      </c>
      <c r="BL40" s="133" t="s">
        <v>846</v>
      </c>
      <c r="BM40" s="133" t="s">
        <v>846</v>
      </c>
      <c r="BN40" s="133" t="b">
        <v>0</v>
      </c>
      <c r="BO40" s="133" t="s">
        <v>846</v>
      </c>
      <c r="BP40" s="133" t="s">
        <v>840</v>
      </c>
      <c r="BQ40" s="135" t="s">
        <v>840</v>
      </c>
      <c r="BR40" s="132" t="s">
        <v>846</v>
      </c>
      <c r="BS40" s="133" t="s">
        <v>846</v>
      </c>
      <c r="BT40" s="133" t="s">
        <v>846</v>
      </c>
      <c r="BU40" s="133" t="s">
        <v>846</v>
      </c>
      <c r="BV40" s="133" t="b">
        <v>0</v>
      </c>
      <c r="BW40" s="133" t="s">
        <v>846</v>
      </c>
      <c r="BX40" s="133" t="b">
        <v>0</v>
      </c>
      <c r="BY40" s="133" t="b">
        <v>0</v>
      </c>
      <c r="BZ40" s="133" t="s">
        <v>846</v>
      </c>
      <c r="CA40" s="133" t="s">
        <v>846</v>
      </c>
      <c r="CB40" s="135" t="s">
        <v>846</v>
      </c>
      <c r="CC40" s="132" t="s">
        <v>846</v>
      </c>
      <c r="CD40" s="133" t="s">
        <v>846</v>
      </c>
      <c r="CE40" s="133" t="s">
        <v>846</v>
      </c>
      <c r="CF40" s="133" t="s">
        <v>846</v>
      </c>
      <c r="CG40" s="133" t="s">
        <v>846</v>
      </c>
      <c r="CH40" s="133" t="s">
        <v>846</v>
      </c>
      <c r="CI40" s="133" t="s">
        <v>846</v>
      </c>
      <c r="CJ40" s="133" t="s">
        <v>846</v>
      </c>
      <c r="CK40" s="133" t="s">
        <v>846</v>
      </c>
      <c r="CL40" s="133" t="s">
        <v>846</v>
      </c>
      <c r="CM40" s="133" t="s">
        <v>846</v>
      </c>
      <c r="CN40" s="133" t="s">
        <v>840</v>
      </c>
      <c r="CO40" s="133" t="s">
        <v>846</v>
      </c>
      <c r="CP40" s="135" t="b">
        <v>0</v>
      </c>
      <c r="CQ40" s="132" t="s">
        <v>840</v>
      </c>
      <c r="CR40" s="133" t="s">
        <v>846</v>
      </c>
      <c r="CS40" s="133" t="s">
        <v>840</v>
      </c>
      <c r="CT40" s="133" t="b">
        <v>0</v>
      </c>
      <c r="CU40" s="133" t="s">
        <v>846</v>
      </c>
      <c r="CV40" s="133" t="s">
        <v>846</v>
      </c>
      <c r="CW40" s="133" t="s">
        <v>840</v>
      </c>
      <c r="CX40" s="133" t="s">
        <v>846</v>
      </c>
      <c r="CY40" s="133" t="b">
        <v>0</v>
      </c>
      <c r="CZ40" s="135" t="s">
        <v>846</v>
      </c>
      <c r="DA40" s="96">
        <v>16</v>
      </c>
      <c r="DB40" s="103">
        <f>COUNTIF(DonnéesBC[[#This Row],[1]:[16]],"FAUX")</f>
        <v>4</v>
      </c>
      <c r="DC40" s="103">
        <f>COUNTIF(DonnéesBC[[#This Row],[1]:[16]],"Je ne sais pas")</f>
        <v>2</v>
      </c>
      <c r="DD40" s="103">
        <f>COUNTIF(DonnéesBC[[#This Row],[1]:[16]],"Juste")</f>
        <v>10</v>
      </c>
      <c r="DE40" s="96">
        <v>12</v>
      </c>
      <c r="DF40" s="103">
        <f>COUNTIF(DonnéesBC[[#This Row],[17]:[28]],"FAUX")</f>
        <v>4</v>
      </c>
      <c r="DG40" s="103">
        <f>COUNTIF(DonnéesBC[[#This Row],[17]:[28]],"Je ne sais pas")</f>
        <v>1</v>
      </c>
      <c r="DH40" s="103">
        <f>COUNTIF(DonnéesBC[[#This Row],[17]:[28]],"Juste")</f>
        <v>7</v>
      </c>
      <c r="DI40" s="96">
        <v>9</v>
      </c>
      <c r="DJ40" s="103">
        <f>COUNTIF(DonnéesBC[[#This Row],[29]:[37]],"FAUX")</f>
        <v>1</v>
      </c>
      <c r="DK40" s="103">
        <f>COUNTIF(DonnéesBC[[#This Row],[29]:[37]],"Je ne sais pas")</f>
        <v>1</v>
      </c>
      <c r="DL40" s="103">
        <f>COUNTIF(DonnéesBC[[#This Row],[29]:[37]],"Juste")</f>
        <v>7</v>
      </c>
      <c r="DM40" s="96">
        <v>13</v>
      </c>
      <c r="DN40" s="103">
        <f>COUNTIF(DonnéesBC[[#This Row],[38]:[50]],"FAUX")</f>
        <v>1</v>
      </c>
      <c r="DO40" s="103">
        <f>COUNTIF(DonnéesBC[[#This Row],[38]:[50]],"Je ne sais pas")</f>
        <v>2</v>
      </c>
      <c r="DP40" s="103">
        <f>COUNTIF(DonnéesBC[[#This Row],[38]:[50]],"Juste")</f>
        <v>10</v>
      </c>
      <c r="DQ40" s="96">
        <v>16</v>
      </c>
      <c r="DR40" s="103">
        <f>COUNTIF(DonnéesBC[[#This Row],[51]:[66]],"FAUX")</f>
        <v>4</v>
      </c>
      <c r="DS40" s="103">
        <f>COUNTIF(DonnéesBC[[#This Row],[51]:[66]],"Je ne sais pas")</f>
        <v>4</v>
      </c>
      <c r="DT40" s="103">
        <f>COUNTIF(DonnéesBC[[#This Row],[51]:[66]],"Juste")</f>
        <v>8</v>
      </c>
      <c r="DU40" s="96">
        <v>11</v>
      </c>
      <c r="DV40" s="103">
        <f>COUNTIF(DonnéesBC[[#This Row],[67]:[77]],"FAUX")</f>
        <v>3</v>
      </c>
      <c r="DW40" s="103">
        <f>COUNTIF(DonnéesBC[[#This Row],[67]:[77]],"Je ne sais pas")</f>
        <v>0</v>
      </c>
      <c r="DX40" s="103">
        <f>COUNTIF(DonnéesBC[[#This Row],[67]:[77]],"Juste")</f>
        <v>8</v>
      </c>
      <c r="DY40" s="96">
        <v>14</v>
      </c>
      <c r="DZ40" s="103">
        <f>COUNTIF(DonnéesBC[[#This Row],[78]:[91]],"FAUX")</f>
        <v>1</v>
      </c>
      <c r="EA40" s="103">
        <f>COUNTIF(DonnéesBC[[#This Row],[78]:[91]],"Je ne sais pas")</f>
        <v>1</v>
      </c>
      <c r="EB40" s="103">
        <f>COUNTIF(DonnéesBC[[#This Row],[78]:[91]],"Juste")</f>
        <v>12</v>
      </c>
      <c r="EC40" s="96">
        <v>10</v>
      </c>
      <c r="ED40" s="103">
        <f>COUNTIF(DonnéesBC[[#This Row],[92]:[101]],"FAUX")</f>
        <v>2</v>
      </c>
      <c r="EE40" s="103">
        <f>COUNTIF(DonnéesBC[[#This Row],[92]:[101]],"Je ne sais pas")</f>
        <v>3</v>
      </c>
      <c r="EF40" s="103">
        <f>COUNTIF(DonnéesBC[[#This Row],[92]:[101]],"Juste")</f>
        <v>5</v>
      </c>
      <c r="EG40" s="96">
        <f>SUM(DonnéesBC[[#This Row],[A]]+DonnéesBC[[#This Row],[B]]+DonnéesBC[[#This Row],[C]]+DonnéesBC[[#This Row],[D]]+DonnéesBC[[#This Row],[E]]+DonnéesBC[[#This Row],[F]]+DonnéesBC[[#This Row],[G]]+DonnéesBC[[#This Row],[H]])</f>
        <v>101</v>
      </c>
      <c r="EH40" s="97">
        <f>SUM(DonnéesBC[[#This Row],[A2]]+DonnéesBC[[#This Row],[B2]]+DonnéesBC[[#This Row],[C2]]+DonnéesBC[[#This Row],[D2]]+DonnéesBC[[#This Row],[E2]]+DonnéesBC[[#This Row],[F2]]+DonnéesBC[[#This Row],[G2]]+DonnéesBC[[#This Row],[H2]])</f>
        <v>20</v>
      </c>
      <c r="EI40" s="98">
        <f>SUM(DonnéesBC[[#This Row],[A3]]+DonnéesBC[[#This Row],[B3]]+DonnéesBC[[#This Row],[C3]]+DonnéesBC[[#This Row],[D3]]+DonnéesBC[[#This Row],[E3]]+DonnéesBC[[#This Row],[F3]]+DonnéesBC[[#This Row],[G3]]+DonnéesBC[[#This Row],[H3]])</f>
        <v>14</v>
      </c>
      <c r="EJ40" s="103">
        <f>SUM(DonnéesBC[[#This Row],[A4]]+DonnéesBC[[#This Row],[B4]]+DonnéesBC[[#This Row],[C4]]+DonnéesBC[[#This Row],[D4]]+DonnéesBC[[#This Row],[E4]]+DonnéesBC[[#This Row],[F4]]+DonnéesBC[[#This Row],[G4]]+DonnéesBC[[#This Row],[H4]])</f>
        <v>67</v>
      </c>
      <c r="EK40" s="95" t="s">
        <v>687</v>
      </c>
      <c r="EL40">
        <v>21</v>
      </c>
    </row>
    <row r="41" spans="1:142" ht="14" customHeight="1">
      <c r="A41" s="101" t="str">
        <f>DonnéesBC[[#This Row],[Prénom]]&amp;" "&amp;DonnéesBC[[#This Row],[Nom]]</f>
        <v>Marine Bizet</v>
      </c>
      <c r="B41" s="98" t="s">
        <v>296</v>
      </c>
      <c r="C41" s="98" t="s">
        <v>297</v>
      </c>
      <c r="D41" s="136" t="b">
        <v>0</v>
      </c>
      <c r="E41" s="137" t="b">
        <v>0</v>
      </c>
      <c r="F41" s="137" t="s">
        <v>846</v>
      </c>
      <c r="G41" s="137" t="s">
        <v>846</v>
      </c>
      <c r="H41" s="137" t="s">
        <v>846</v>
      </c>
      <c r="I41" s="137" t="s">
        <v>846</v>
      </c>
      <c r="J41" s="137" t="s">
        <v>846</v>
      </c>
      <c r="K41" s="137" t="s">
        <v>846</v>
      </c>
      <c r="L41" s="137" t="s">
        <v>846</v>
      </c>
      <c r="M41" s="137" t="s">
        <v>846</v>
      </c>
      <c r="N41" s="137" t="b">
        <v>0</v>
      </c>
      <c r="O41" s="137" t="b">
        <v>0</v>
      </c>
      <c r="P41" s="137" t="s">
        <v>846</v>
      </c>
      <c r="Q41" s="137" t="b">
        <v>0</v>
      </c>
      <c r="R41" s="137" t="s">
        <v>846</v>
      </c>
      <c r="S41" s="139" t="b">
        <v>0</v>
      </c>
      <c r="T41" s="136" t="b">
        <v>0</v>
      </c>
      <c r="U41" s="137" t="s">
        <v>846</v>
      </c>
      <c r="V41" s="137" t="s">
        <v>846</v>
      </c>
      <c r="W41" s="137" t="s">
        <v>846</v>
      </c>
      <c r="X41" s="137" t="s">
        <v>846</v>
      </c>
      <c r="Y41" s="137" t="s">
        <v>846</v>
      </c>
      <c r="Z41" s="137" t="b">
        <v>0</v>
      </c>
      <c r="AA41" s="137" t="s">
        <v>846</v>
      </c>
      <c r="AB41" s="137" t="b">
        <v>0</v>
      </c>
      <c r="AC41" s="137" t="b">
        <v>0</v>
      </c>
      <c r="AD41" s="137" t="s">
        <v>846</v>
      </c>
      <c r="AE41" s="139" t="s">
        <v>840</v>
      </c>
      <c r="AF41" s="136" t="s">
        <v>846</v>
      </c>
      <c r="AG41" s="137" t="s">
        <v>846</v>
      </c>
      <c r="AH41" s="137" t="s">
        <v>846</v>
      </c>
      <c r="AI41" s="137" t="s">
        <v>846</v>
      </c>
      <c r="AJ41" s="137" t="s">
        <v>846</v>
      </c>
      <c r="AK41" s="137" t="s">
        <v>846</v>
      </c>
      <c r="AL41" s="137" t="s">
        <v>846</v>
      </c>
      <c r="AM41" s="137" t="s">
        <v>846</v>
      </c>
      <c r="AN41" s="139" t="s">
        <v>846</v>
      </c>
      <c r="AO41" s="136" t="s">
        <v>846</v>
      </c>
      <c r="AP41" s="137" t="s">
        <v>846</v>
      </c>
      <c r="AQ41" s="137" t="s">
        <v>846</v>
      </c>
      <c r="AR41" s="137" t="s">
        <v>846</v>
      </c>
      <c r="AS41" s="137" t="b">
        <v>0</v>
      </c>
      <c r="AT41" s="137" t="s">
        <v>846</v>
      </c>
      <c r="AU41" s="137" t="s">
        <v>846</v>
      </c>
      <c r="AV41" s="137" t="s">
        <v>846</v>
      </c>
      <c r="AW41" s="137" t="s">
        <v>846</v>
      </c>
      <c r="AX41" s="137" t="s">
        <v>846</v>
      </c>
      <c r="AY41" s="137" t="s">
        <v>846</v>
      </c>
      <c r="AZ41" s="137" t="s">
        <v>846</v>
      </c>
      <c r="BA41" s="139" t="s">
        <v>846</v>
      </c>
      <c r="BB41" s="136" t="b">
        <v>0</v>
      </c>
      <c r="BC41" s="137" t="s">
        <v>846</v>
      </c>
      <c r="BD41" s="137" t="s">
        <v>846</v>
      </c>
      <c r="BE41" s="137" t="s">
        <v>846</v>
      </c>
      <c r="BF41" s="137" t="b">
        <v>0</v>
      </c>
      <c r="BG41" s="137" t="s">
        <v>846</v>
      </c>
      <c r="BH41" s="137" t="s">
        <v>846</v>
      </c>
      <c r="BI41" s="137" t="b">
        <v>0</v>
      </c>
      <c r="BJ41" s="137" t="s">
        <v>846</v>
      </c>
      <c r="BK41" s="137" t="b">
        <v>0</v>
      </c>
      <c r="BL41" s="137" t="s">
        <v>846</v>
      </c>
      <c r="BM41" s="137" t="s">
        <v>846</v>
      </c>
      <c r="BN41" s="137" t="b">
        <v>0</v>
      </c>
      <c r="BO41" s="137" t="s">
        <v>846</v>
      </c>
      <c r="BP41" s="137" t="b">
        <v>0</v>
      </c>
      <c r="BQ41" s="139" t="s">
        <v>846</v>
      </c>
      <c r="BR41" s="136" t="s">
        <v>846</v>
      </c>
      <c r="BS41" s="137" t="s">
        <v>846</v>
      </c>
      <c r="BT41" s="137" t="s">
        <v>846</v>
      </c>
      <c r="BU41" s="137" t="s">
        <v>846</v>
      </c>
      <c r="BV41" s="137" t="s">
        <v>846</v>
      </c>
      <c r="BW41" s="137" t="b">
        <v>0</v>
      </c>
      <c r="BX41" s="137" t="s">
        <v>846</v>
      </c>
      <c r="BY41" s="137" t="s">
        <v>846</v>
      </c>
      <c r="BZ41" s="137" t="b">
        <v>0</v>
      </c>
      <c r="CA41" s="137" t="s">
        <v>846</v>
      </c>
      <c r="CB41" s="139" t="s">
        <v>846</v>
      </c>
      <c r="CC41" s="136" t="b">
        <v>0</v>
      </c>
      <c r="CD41" s="137" t="s">
        <v>846</v>
      </c>
      <c r="CE41" s="137" t="s">
        <v>846</v>
      </c>
      <c r="CF41" s="137" t="b">
        <v>0</v>
      </c>
      <c r="CG41" s="137" t="s">
        <v>846</v>
      </c>
      <c r="CH41" s="137" t="s">
        <v>846</v>
      </c>
      <c r="CI41" s="137" t="s">
        <v>846</v>
      </c>
      <c r="CJ41" s="137" t="s">
        <v>846</v>
      </c>
      <c r="CK41" s="137" t="s">
        <v>846</v>
      </c>
      <c r="CL41" s="137" t="s">
        <v>846</v>
      </c>
      <c r="CM41" s="137" t="s">
        <v>846</v>
      </c>
      <c r="CN41" s="137" t="s">
        <v>846</v>
      </c>
      <c r="CO41" s="137" t="b">
        <v>0</v>
      </c>
      <c r="CP41" s="139" t="b">
        <v>0</v>
      </c>
      <c r="CQ41" s="136" t="s">
        <v>846</v>
      </c>
      <c r="CR41" s="137" t="s">
        <v>846</v>
      </c>
      <c r="CS41" s="137" t="b">
        <v>0</v>
      </c>
      <c r="CT41" s="137" t="s">
        <v>846</v>
      </c>
      <c r="CU41" s="137" t="s">
        <v>846</v>
      </c>
      <c r="CV41" s="137" t="b">
        <v>0</v>
      </c>
      <c r="CW41" s="137" t="s">
        <v>846</v>
      </c>
      <c r="CX41" s="137" t="s">
        <v>846</v>
      </c>
      <c r="CY41" s="137" t="s">
        <v>846</v>
      </c>
      <c r="CZ41" s="138" t="s">
        <v>846</v>
      </c>
      <c r="DA41" s="96">
        <v>16</v>
      </c>
      <c r="DB41" s="103">
        <f>COUNTIF(DonnéesBC[[#This Row],[1]:[16]],"FAUX")</f>
        <v>6</v>
      </c>
      <c r="DC41" s="103">
        <f>COUNTIF(DonnéesBC[[#This Row],[1]:[16]],"Je ne sais pas")</f>
        <v>0</v>
      </c>
      <c r="DD41" s="103">
        <f>COUNTIF(DonnéesBC[[#This Row],[1]:[16]],"Juste")</f>
        <v>10</v>
      </c>
      <c r="DE41" s="96">
        <v>12</v>
      </c>
      <c r="DF41" s="103">
        <f>COUNTIF(DonnéesBC[[#This Row],[17]:[28]],"FAUX")</f>
        <v>4</v>
      </c>
      <c r="DG41" s="103">
        <f>COUNTIF(DonnéesBC[[#This Row],[17]:[28]],"Je ne sais pas")</f>
        <v>1</v>
      </c>
      <c r="DH41" s="103">
        <f>COUNTIF(DonnéesBC[[#This Row],[17]:[28]],"Juste")</f>
        <v>7</v>
      </c>
      <c r="DI41" s="96">
        <v>9</v>
      </c>
      <c r="DJ41" s="103">
        <f>COUNTIF(DonnéesBC[[#This Row],[29]:[37]],"FAUX")</f>
        <v>0</v>
      </c>
      <c r="DK41" s="103">
        <f>COUNTIF(DonnéesBC[[#This Row],[29]:[37]],"Je ne sais pas")</f>
        <v>0</v>
      </c>
      <c r="DL41" s="103">
        <f>COUNTIF(DonnéesBC[[#This Row],[29]:[37]],"Juste")</f>
        <v>9</v>
      </c>
      <c r="DM41" s="96">
        <v>13</v>
      </c>
      <c r="DN41" s="103">
        <f>COUNTIF(DonnéesBC[[#This Row],[38]:[50]],"FAUX")</f>
        <v>1</v>
      </c>
      <c r="DO41" s="103">
        <f>COUNTIF(DonnéesBC[[#This Row],[38]:[50]],"Je ne sais pas")</f>
        <v>0</v>
      </c>
      <c r="DP41" s="103">
        <f>COUNTIF(DonnéesBC[[#This Row],[38]:[50]],"Juste")</f>
        <v>12</v>
      </c>
      <c r="DQ41" s="96">
        <v>16</v>
      </c>
      <c r="DR41" s="103">
        <f>COUNTIF(DonnéesBC[[#This Row],[51]:[66]],"FAUX")</f>
        <v>6</v>
      </c>
      <c r="DS41" s="103">
        <f>COUNTIF(DonnéesBC[[#This Row],[51]:[66]],"Je ne sais pas")</f>
        <v>0</v>
      </c>
      <c r="DT41" s="103">
        <f>COUNTIF(DonnéesBC[[#This Row],[51]:[66]],"Juste")</f>
        <v>10</v>
      </c>
      <c r="DU41" s="96">
        <v>11</v>
      </c>
      <c r="DV41" s="103">
        <f>COUNTIF(DonnéesBC[[#This Row],[67]:[77]],"FAUX")</f>
        <v>2</v>
      </c>
      <c r="DW41" s="103">
        <f>COUNTIF(DonnéesBC[[#This Row],[67]:[77]],"Je ne sais pas")</f>
        <v>0</v>
      </c>
      <c r="DX41" s="103">
        <f>COUNTIF(DonnéesBC[[#This Row],[67]:[77]],"Juste")</f>
        <v>9</v>
      </c>
      <c r="DY41" s="96">
        <v>14</v>
      </c>
      <c r="DZ41" s="103">
        <f>COUNTIF(DonnéesBC[[#This Row],[78]:[91]],"FAUX")</f>
        <v>4</v>
      </c>
      <c r="EA41" s="103">
        <f>COUNTIF(DonnéesBC[[#This Row],[78]:[91]],"Je ne sais pas")</f>
        <v>0</v>
      </c>
      <c r="EB41" s="103">
        <f>COUNTIF(DonnéesBC[[#This Row],[78]:[91]],"Juste")</f>
        <v>10</v>
      </c>
      <c r="EC41" s="96">
        <v>10</v>
      </c>
      <c r="ED41" s="103">
        <f>COUNTIF(DonnéesBC[[#This Row],[92]:[101]],"FAUX")</f>
        <v>2</v>
      </c>
      <c r="EE41" s="103">
        <f>COUNTIF(DonnéesBC[[#This Row],[92]:[101]],"Je ne sais pas")</f>
        <v>0</v>
      </c>
      <c r="EF41" s="103">
        <f>COUNTIF(DonnéesBC[[#This Row],[92]:[101]],"Juste")</f>
        <v>8</v>
      </c>
      <c r="EG41" s="96">
        <f>SUM(DonnéesBC[[#This Row],[A]]+DonnéesBC[[#This Row],[B]]+DonnéesBC[[#This Row],[C]]+DonnéesBC[[#This Row],[D]]+DonnéesBC[[#This Row],[E]]+DonnéesBC[[#This Row],[F]]+DonnéesBC[[#This Row],[G]]+DonnéesBC[[#This Row],[H]])</f>
        <v>101</v>
      </c>
      <c r="EH41" s="97">
        <f>SUM(DonnéesBC[[#This Row],[A2]]+DonnéesBC[[#This Row],[B2]]+DonnéesBC[[#This Row],[C2]]+DonnéesBC[[#This Row],[D2]]+DonnéesBC[[#This Row],[E2]]+DonnéesBC[[#This Row],[F2]]+DonnéesBC[[#This Row],[G2]]+DonnéesBC[[#This Row],[H2]])</f>
        <v>25</v>
      </c>
      <c r="EI41" s="98">
        <f>SUM(DonnéesBC[[#This Row],[A3]]+DonnéesBC[[#This Row],[B3]]+DonnéesBC[[#This Row],[C3]]+DonnéesBC[[#This Row],[D3]]+DonnéesBC[[#This Row],[E3]]+DonnéesBC[[#This Row],[F3]]+DonnéesBC[[#This Row],[G3]]+DonnéesBC[[#This Row],[H3]])</f>
        <v>1</v>
      </c>
      <c r="EJ41" s="103">
        <f>SUM(DonnéesBC[[#This Row],[A4]]+DonnéesBC[[#This Row],[B4]]+DonnéesBC[[#This Row],[C4]]+DonnéesBC[[#This Row],[D4]]+DonnéesBC[[#This Row],[E4]]+DonnéesBC[[#This Row],[F4]]+DonnéesBC[[#This Row],[G4]]+DonnéesBC[[#This Row],[H4]])</f>
        <v>75</v>
      </c>
      <c r="EK41" s="95"/>
      <c r="EL41">
        <v>18</v>
      </c>
    </row>
    <row r="42" spans="1:142" ht="14" customHeight="1">
      <c r="A42" s="101" t="str">
        <f>DonnéesBC[[#This Row],[Prénom]]&amp;" "&amp;DonnéesBC[[#This Row],[Nom]]</f>
        <v>Marta Paternain-Martinez</v>
      </c>
      <c r="B42" s="97" t="s">
        <v>148</v>
      </c>
      <c r="C42" s="97" t="s">
        <v>149</v>
      </c>
      <c r="D42" s="132" t="b">
        <v>0</v>
      </c>
      <c r="E42" s="133" t="s">
        <v>846</v>
      </c>
      <c r="F42" s="133" t="s">
        <v>846</v>
      </c>
      <c r="G42" s="133" t="s">
        <v>846</v>
      </c>
      <c r="H42" s="133" t="s">
        <v>846</v>
      </c>
      <c r="I42" s="133" t="s">
        <v>846</v>
      </c>
      <c r="J42" s="133" t="s">
        <v>846</v>
      </c>
      <c r="K42" s="133" t="s">
        <v>840</v>
      </c>
      <c r="L42" s="133" t="b">
        <v>0</v>
      </c>
      <c r="M42" s="133" t="s">
        <v>846</v>
      </c>
      <c r="N42" s="133" t="b">
        <v>0</v>
      </c>
      <c r="O42" s="133" t="s">
        <v>846</v>
      </c>
      <c r="P42" s="133" t="s">
        <v>846</v>
      </c>
      <c r="Q42" s="133" t="b">
        <v>0</v>
      </c>
      <c r="R42" s="133" t="s">
        <v>846</v>
      </c>
      <c r="S42" s="135" t="b">
        <v>0</v>
      </c>
      <c r="T42" s="132" t="s">
        <v>846</v>
      </c>
      <c r="U42" s="133" t="b">
        <v>0</v>
      </c>
      <c r="V42" s="133" t="b">
        <v>0</v>
      </c>
      <c r="W42" s="133" t="b">
        <v>0</v>
      </c>
      <c r="X42" s="133" t="s">
        <v>846</v>
      </c>
      <c r="Y42" s="133" t="s">
        <v>840</v>
      </c>
      <c r="Z42" s="133" t="s">
        <v>846</v>
      </c>
      <c r="AA42" s="133" t="s">
        <v>846</v>
      </c>
      <c r="AB42" s="133" t="s">
        <v>846</v>
      </c>
      <c r="AC42" s="133" t="b">
        <v>0</v>
      </c>
      <c r="AD42" s="133" t="b">
        <v>0</v>
      </c>
      <c r="AE42" s="135" t="s">
        <v>840</v>
      </c>
      <c r="AF42" s="132" t="b">
        <v>0</v>
      </c>
      <c r="AG42" s="133" t="s">
        <v>846</v>
      </c>
      <c r="AH42" s="133" t="s">
        <v>846</v>
      </c>
      <c r="AI42" s="133" t="s">
        <v>846</v>
      </c>
      <c r="AJ42" s="133" t="s">
        <v>846</v>
      </c>
      <c r="AK42" s="133" t="s">
        <v>846</v>
      </c>
      <c r="AL42" s="133" t="s">
        <v>846</v>
      </c>
      <c r="AM42" s="133" t="s">
        <v>840</v>
      </c>
      <c r="AN42" s="135" t="s">
        <v>846</v>
      </c>
      <c r="AO42" s="132" t="s">
        <v>840</v>
      </c>
      <c r="AP42" s="133" t="s">
        <v>846</v>
      </c>
      <c r="AQ42" s="133" t="s">
        <v>846</v>
      </c>
      <c r="AR42" s="133" t="s">
        <v>846</v>
      </c>
      <c r="AS42" s="133" t="b">
        <v>0</v>
      </c>
      <c r="AT42" s="133" t="s">
        <v>846</v>
      </c>
      <c r="AU42" s="133" t="s">
        <v>846</v>
      </c>
      <c r="AV42" s="133" t="s">
        <v>846</v>
      </c>
      <c r="AW42" s="133" t="s">
        <v>846</v>
      </c>
      <c r="AX42" s="133" t="s">
        <v>846</v>
      </c>
      <c r="AY42" s="133" t="s">
        <v>846</v>
      </c>
      <c r="AZ42" s="133" t="s">
        <v>840</v>
      </c>
      <c r="BA42" s="135" t="s">
        <v>840</v>
      </c>
      <c r="BB42" s="132" t="s">
        <v>846</v>
      </c>
      <c r="BC42" s="133" t="s">
        <v>846</v>
      </c>
      <c r="BD42" s="133" t="s">
        <v>846</v>
      </c>
      <c r="BE42" s="133" t="s">
        <v>840</v>
      </c>
      <c r="BF42" s="133" t="b">
        <v>0</v>
      </c>
      <c r="BG42" s="133" t="b">
        <v>0</v>
      </c>
      <c r="BH42" s="133" t="s">
        <v>846</v>
      </c>
      <c r="BI42" s="133" t="s">
        <v>846</v>
      </c>
      <c r="BJ42" s="133" t="s">
        <v>840</v>
      </c>
      <c r="BK42" s="133" t="b">
        <v>0</v>
      </c>
      <c r="BL42" s="133" t="b">
        <v>0</v>
      </c>
      <c r="BM42" s="133" t="s">
        <v>840</v>
      </c>
      <c r="BN42" s="133" t="b">
        <v>0</v>
      </c>
      <c r="BO42" s="133" t="b">
        <v>0</v>
      </c>
      <c r="BP42" s="133" t="s">
        <v>840</v>
      </c>
      <c r="BQ42" s="135" t="s">
        <v>846</v>
      </c>
      <c r="BR42" s="132" t="s">
        <v>846</v>
      </c>
      <c r="BS42" s="133" t="s">
        <v>846</v>
      </c>
      <c r="BT42" s="133" t="s">
        <v>846</v>
      </c>
      <c r="BU42" s="133" t="b">
        <v>0</v>
      </c>
      <c r="BV42" s="133" t="s">
        <v>846</v>
      </c>
      <c r="BW42" s="133" t="s">
        <v>846</v>
      </c>
      <c r="BX42" s="133" t="s">
        <v>846</v>
      </c>
      <c r="BY42" s="133" t="b">
        <v>0</v>
      </c>
      <c r="BZ42" s="133" t="s">
        <v>840</v>
      </c>
      <c r="CA42" s="133" t="s">
        <v>846</v>
      </c>
      <c r="CB42" s="135" t="s">
        <v>840</v>
      </c>
      <c r="CC42" s="132" t="s">
        <v>840</v>
      </c>
      <c r="CD42" s="133" t="s">
        <v>846</v>
      </c>
      <c r="CE42" s="133" t="s">
        <v>846</v>
      </c>
      <c r="CF42" s="133" t="s">
        <v>846</v>
      </c>
      <c r="CG42" s="133" t="s">
        <v>846</v>
      </c>
      <c r="CH42" s="133" t="s">
        <v>846</v>
      </c>
      <c r="CI42" s="133" t="s">
        <v>840</v>
      </c>
      <c r="CJ42" s="133" t="s">
        <v>840</v>
      </c>
      <c r="CK42" s="133" t="s">
        <v>846</v>
      </c>
      <c r="CL42" s="133" t="s">
        <v>840</v>
      </c>
      <c r="CM42" s="133" t="b">
        <v>0</v>
      </c>
      <c r="CN42" s="133" t="s">
        <v>846</v>
      </c>
      <c r="CO42" s="133" t="s">
        <v>840</v>
      </c>
      <c r="CP42" s="135" t="b">
        <v>0</v>
      </c>
      <c r="CQ42" s="132" t="s">
        <v>846</v>
      </c>
      <c r="CR42" s="133" t="s">
        <v>846</v>
      </c>
      <c r="CS42" s="133" t="b">
        <v>0</v>
      </c>
      <c r="CT42" s="133" t="s">
        <v>840</v>
      </c>
      <c r="CU42" s="133" t="s">
        <v>846</v>
      </c>
      <c r="CV42" s="133" t="s">
        <v>846</v>
      </c>
      <c r="CW42" s="133" t="b">
        <v>0</v>
      </c>
      <c r="CX42" s="133" t="s">
        <v>846</v>
      </c>
      <c r="CY42" s="133" t="b">
        <v>0</v>
      </c>
      <c r="CZ42" s="135" t="b">
        <v>0</v>
      </c>
      <c r="DA42" s="96">
        <v>16</v>
      </c>
      <c r="DB42" s="103">
        <f>COUNTIF(DonnéesBC[[#This Row],[1]:[16]],"FAUX")</f>
        <v>5</v>
      </c>
      <c r="DC42" s="103">
        <f>COUNTIF(DonnéesBC[[#This Row],[1]:[16]],"Je ne sais pas")</f>
        <v>1</v>
      </c>
      <c r="DD42" s="103">
        <f>COUNTIF(DonnéesBC[[#This Row],[1]:[16]],"Juste")</f>
        <v>10</v>
      </c>
      <c r="DE42" s="96">
        <v>12</v>
      </c>
      <c r="DF42" s="103">
        <f>COUNTIF(DonnéesBC[[#This Row],[17]:[28]],"FAUX")</f>
        <v>5</v>
      </c>
      <c r="DG42" s="103">
        <f>COUNTIF(DonnéesBC[[#This Row],[17]:[28]],"Je ne sais pas")</f>
        <v>2</v>
      </c>
      <c r="DH42" s="103">
        <f>COUNTIF(DonnéesBC[[#This Row],[17]:[28]],"Juste")</f>
        <v>5</v>
      </c>
      <c r="DI42" s="96">
        <v>9</v>
      </c>
      <c r="DJ42" s="103">
        <f>COUNTIF(DonnéesBC[[#This Row],[29]:[37]],"FAUX")</f>
        <v>1</v>
      </c>
      <c r="DK42" s="103">
        <f>COUNTIF(DonnéesBC[[#This Row],[29]:[37]],"Je ne sais pas")</f>
        <v>1</v>
      </c>
      <c r="DL42" s="103">
        <f>COUNTIF(DonnéesBC[[#This Row],[29]:[37]],"Juste")</f>
        <v>7</v>
      </c>
      <c r="DM42" s="96">
        <v>13</v>
      </c>
      <c r="DN42" s="103">
        <f>COUNTIF(DonnéesBC[[#This Row],[38]:[50]],"FAUX")</f>
        <v>1</v>
      </c>
      <c r="DO42" s="103">
        <f>COUNTIF(DonnéesBC[[#This Row],[38]:[50]],"Je ne sais pas")</f>
        <v>3</v>
      </c>
      <c r="DP42" s="103">
        <f>COUNTIF(DonnéesBC[[#This Row],[38]:[50]],"Juste")</f>
        <v>9</v>
      </c>
      <c r="DQ42" s="96">
        <v>16</v>
      </c>
      <c r="DR42" s="103">
        <f>COUNTIF(DonnéesBC[[#This Row],[51]:[66]],"FAUX")</f>
        <v>6</v>
      </c>
      <c r="DS42" s="103">
        <f>COUNTIF(DonnéesBC[[#This Row],[51]:[66]],"Je ne sais pas")</f>
        <v>4</v>
      </c>
      <c r="DT42" s="103">
        <f>COUNTIF(DonnéesBC[[#This Row],[51]:[66]],"Juste")</f>
        <v>6</v>
      </c>
      <c r="DU42" s="96">
        <v>11</v>
      </c>
      <c r="DV42" s="103">
        <f>COUNTIF(DonnéesBC[[#This Row],[67]:[77]],"FAUX")</f>
        <v>2</v>
      </c>
      <c r="DW42" s="103">
        <f>COUNTIF(DonnéesBC[[#This Row],[67]:[77]],"Je ne sais pas")</f>
        <v>2</v>
      </c>
      <c r="DX42" s="103">
        <f>COUNTIF(DonnéesBC[[#This Row],[67]:[77]],"Juste")</f>
        <v>7</v>
      </c>
      <c r="DY42" s="96">
        <v>14</v>
      </c>
      <c r="DZ42" s="103">
        <f>COUNTIF(DonnéesBC[[#This Row],[78]:[91]],"FAUX")</f>
        <v>2</v>
      </c>
      <c r="EA42" s="103">
        <f>COUNTIF(DonnéesBC[[#This Row],[78]:[91]],"Je ne sais pas")</f>
        <v>5</v>
      </c>
      <c r="EB42" s="103">
        <f>COUNTIF(DonnéesBC[[#This Row],[78]:[91]],"Juste")</f>
        <v>7</v>
      </c>
      <c r="EC42" s="96">
        <v>10</v>
      </c>
      <c r="ED42" s="103">
        <f>COUNTIF(DonnéesBC[[#This Row],[92]:[101]],"FAUX")</f>
        <v>4</v>
      </c>
      <c r="EE42" s="103">
        <f>COUNTIF(DonnéesBC[[#This Row],[92]:[101]],"Je ne sais pas")</f>
        <v>1</v>
      </c>
      <c r="EF42" s="103">
        <f>COUNTIF(DonnéesBC[[#This Row],[92]:[101]],"Juste")</f>
        <v>5</v>
      </c>
      <c r="EG42" s="96">
        <f>SUM(DonnéesBC[[#This Row],[A]]+DonnéesBC[[#This Row],[B]]+DonnéesBC[[#This Row],[C]]+DonnéesBC[[#This Row],[D]]+DonnéesBC[[#This Row],[E]]+DonnéesBC[[#This Row],[F]]+DonnéesBC[[#This Row],[G]]+DonnéesBC[[#This Row],[H]])</f>
        <v>101</v>
      </c>
      <c r="EH42" s="97">
        <f>SUM(DonnéesBC[[#This Row],[A2]]+DonnéesBC[[#This Row],[B2]]+DonnéesBC[[#This Row],[C2]]+DonnéesBC[[#This Row],[D2]]+DonnéesBC[[#This Row],[E2]]+DonnéesBC[[#This Row],[F2]]+DonnéesBC[[#This Row],[G2]]+DonnéesBC[[#This Row],[H2]])</f>
        <v>26</v>
      </c>
      <c r="EI42" s="98">
        <f>SUM(DonnéesBC[[#This Row],[A3]]+DonnéesBC[[#This Row],[B3]]+DonnéesBC[[#This Row],[C3]]+DonnéesBC[[#This Row],[D3]]+DonnéesBC[[#This Row],[E3]]+DonnéesBC[[#This Row],[F3]]+DonnéesBC[[#This Row],[G3]]+DonnéesBC[[#This Row],[H3]])</f>
        <v>19</v>
      </c>
      <c r="EJ42" s="103">
        <f>SUM(DonnéesBC[[#This Row],[A4]]+DonnéesBC[[#This Row],[B4]]+DonnéesBC[[#This Row],[C4]]+DonnéesBC[[#This Row],[D4]]+DonnéesBC[[#This Row],[E4]]+DonnéesBC[[#This Row],[F4]]+DonnéesBC[[#This Row],[G4]]+DonnéesBC[[#This Row],[H4]])</f>
        <v>56</v>
      </c>
      <c r="EK42" s="95"/>
      <c r="EL42">
        <v>18</v>
      </c>
    </row>
    <row r="43" spans="1:142" ht="14" customHeight="1">
      <c r="A43" s="101" t="str">
        <f>DonnéesBC[[#This Row],[Prénom]]&amp;" "&amp;DonnéesBC[[#This Row],[Nom]]</f>
        <v>Maxime Dupont</v>
      </c>
      <c r="B43" s="97" t="s">
        <v>151</v>
      </c>
      <c r="C43" s="97" t="s">
        <v>150</v>
      </c>
      <c r="D43" s="136" t="b">
        <v>0</v>
      </c>
      <c r="E43" s="137" t="s">
        <v>846</v>
      </c>
      <c r="F43" s="137" t="s">
        <v>846</v>
      </c>
      <c r="G43" s="137" t="s">
        <v>846</v>
      </c>
      <c r="H43" s="137" t="s">
        <v>846</v>
      </c>
      <c r="I43" s="137" t="s">
        <v>846</v>
      </c>
      <c r="J43" s="137" t="s">
        <v>846</v>
      </c>
      <c r="K43" s="137" t="b">
        <v>0</v>
      </c>
      <c r="L43" s="137" t="s">
        <v>846</v>
      </c>
      <c r="M43" s="137" t="s">
        <v>846</v>
      </c>
      <c r="N43" s="137" t="s">
        <v>846</v>
      </c>
      <c r="O43" s="137" t="s">
        <v>846</v>
      </c>
      <c r="P43" s="137" t="s">
        <v>846</v>
      </c>
      <c r="Q43" s="137" t="b">
        <v>0</v>
      </c>
      <c r="R43" s="137" t="s">
        <v>846</v>
      </c>
      <c r="S43" s="138" t="s">
        <v>846</v>
      </c>
      <c r="T43" s="136" t="s">
        <v>846</v>
      </c>
      <c r="U43" s="137" t="b">
        <v>0</v>
      </c>
      <c r="V43" s="137" t="b">
        <v>0</v>
      </c>
      <c r="W43" s="137" t="s">
        <v>846</v>
      </c>
      <c r="X43" s="137" t="s">
        <v>846</v>
      </c>
      <c r="Y43" s="137" t="b">
        <v>0</v>
      </c>
      <c r="Z43" s="137" t="b">
        <v>0</v>
      </c>
      <c r="AA43" s="137" t="s">
        <v>846</v>
      </c>
      <c r="AB43" s="137" t="s">
        <v>846</v>
      </c>
      <c r="AC43" s="137" t="b">
        <v>0</v>
      </c>
      <c r="AD43" s="137" t="s">
        <v>846</v>
      </c>
      <c r="AE43" s="138" t="s">
        <v>846</v>
      </c>
      <c r="AF43" s="136" t="s">
        <v>846</v>
      </c>
      <c r="AG43" s="137" t="b">
        <v>0</v>
      </c>
      <c r="AH43" s="137" t="b">
        <v>0</v>
      </c>
      <c r="AI43" s="137" t="s">
        <v>846</v>
      </c>
      <c r="AJ43" s="137" t="s">
        <v>846</v>
      </c>
      <c r="AK43" s="137" t="b">
        <v>0</v>
      </c>
      <c r="AL43" s="137" t="s">
        <v>846</v>
      </c>
      <c r="AM43" s="137" t="s">
        <v>846</v>
      </c>
      <c r="AN43" s="138" t="s">
        <v>846</v>
      </c>
      <c r="AO43" s="136" t="b">
        <v>0</v>
      </c>
      <c r="AP43" s="137" t="b">
        <v>0</v>
      </c>
      <c r="AQ43" s="137" t="s">
        <v>846</v>
      </c>
      <c r="AR43" s="137" t="s">
        <v>846</v>
      </c>
      <c r="AS43" s="137" t="b">
        <v>0</v>
      </c>
      <c r="AT43" s="137" t="s">
        <v>846</v>
      </c>
      <c r="AU43" s="137" t="b">
        <v>0</v>
      </c>
      <c r="AV43" s="137" t="s">
        <v>846</v>
      </c>
      <c r="AW43" s="137" t="b">
        <v>0</v>
      </c>
      <c r="AX43" s="137" t="b">
        <v>0</v>
      </c>
      <c r="AY43" s="137" t="s">
        <v>846</v>
      </c>
      <c r="AZ43" s="137" t="s">
        <v>846</v>
      </c>
      <c r="BA43" s="138" t="s">
        <v>846</v>
      </c>
      <c r="BB43" s="136" t="s">
        <v>846</v>
      </c>
      <c r="BC43" s="137" t="s">
        <v>846</v>
      </c>
      <c r="BD43" s="137" t="s">
        <v>846</v>
      </c>
      <c r="BE43" s="137" t="s">
        <v>846</v>
      </c>
      <c r="BF43" s="137" t="b">
        <v>0</v>
      </c>
      <c r="BG43" s="137" t="s">
        <v>846</v>
      </c>
      <c r="BH43" s="137" t="s">
        <v>846</v>
      </c>
      <c r="BI43" s="137" t="s">
        <v>846</v>
      </c>
      <c r="BJ43" s="137" t="b">
        <v>0</v>
      </c>
      <c r="BK43" s="137" t="b">
        <v>0</v>
      </c>
      <c r="BL43" s="137" t="b">
        <v>0</v>
      </c>
      <c r="BM43" s="137" t="s">
        <v>846</v>
      </c>
      <c r="BN43" s="137" t="s">
        <v>846</v>
      </c>
      <c r="BO43" s="137" t="s">
        <v>846</v>
      </c>
      <c r="BP43" s="137" t="b">
        <v>0</v>
      </c>
      <c r="BQ43" s="138" t="b">
        <v>0</v>
      </c>
      <c r="BR43" s="136" t="s">
        <v>846</v>
      </c>
      <c r="BS43" s="137" t="s">
        <v>846</v>
      </c>
      <c r="BT43" s="137" t="b">
        <v>0</v>
      </c>
      <c r="BU43" s="137" t="b">
        <v>0</v>
      </c>
      <c r="BV43" s="137" t="s">
        <v>846</v>
      </c>
      <c r="BW43" s="137" t="s">
        <v>846</v>
      </c>
      <c r="BX43" s="137" t="s">
        <v>846</v>
      </c>
      <c r="BY43" s="137" t="s">
        <v>846</v>
      </c>
      <c r="BZ43" s="137" t="b">
        <v>0</v>
      </c>
      <c r="CA43" s="137" t="s">
        <v>846</v>
      </c>
      <c r="CB43" s="138" t="b">
        <v>0</v>
      </c>
      <c r="CC43" s="136" t="s">
        <v>846</v>
      </c>
      <c r="CD43" s="137" t="s">
        <v>846</v>
      </c>
      <c r="CE43" s="137" t="s">
        <v>846</v>
      </c>
      <c r="CF43" s="137" t="s">
        <v>846</v>
      </c>
      <c r="CG43" s="137" t="s">
        <v>846</v>
      </c>
      <c r="CH43" s="137" t="s">
        <v>846</v>
      </c>
      <c r="CI43" s="137" t="s">
        <v>846</v>
      </c>
      <c r="CJ43" s="137" t="s">
        <v>846</v>
      </c>
      <c r="CK43" s="137" t="b">
        <v>0</v>
      </c>
      <c r="CL43" s="137" t="b">
        <v>0</v>
      </c>
      <c r="CM43" s="137" t="b">
        <v>0</v>
      </c>
      <c r="CN43" s="137" t="s">
        <v>846</v>
      </c>
      <c r="CO43" s="137" t="b">
        <v>0</v>
      </c>
      <c r="CP43" s="138" t="b">
        <v>0</v>
      </c>
      <c r="CQ43" s="136" t="s">
        <v>846</v>
      </c>
      <c r="CR43" s="137" t="s">
        <v>846</v>
      </c>
      <c r="CS43" s="137" t="b">
        <v>0</v>
      </c>
      <c r="CT43" s="137" t="s">
        <v>846</v>
      </c>
      <c r="CU43" s="137" t="b">
        <v>0</v>
      </c>
      <c r="CV43" s="137" t="s">
        <v>846</v>
      </c>
      <c r="CW43" s="137" t="s">
        <v>846</v>
      </c>
      <c r="CX43" s="137" t="s">
        <v>846</v>
      </c>
      <c r="CY43" s="137" t="s">
        <v>846</v>
      </c>
      <c r="CZ43" s="138" t="b">
        <v>0</v>
      </c>
      <c r="DA43" s="96">
        <v>16</v>
      </c>
      <c r="DB43" s="103">
        <f>COUNTIF(DonnéesBC[[#This Row],[1]:[16]],"FAUX")</f>
        <v>3</v>
      </c>
      <c r="DC43" s="103">
        <f>COUNTIF(DonnéesBC[[#This Row],[1]:[16]],"Je ne sais pas")</f>
        <v>0</v>
      </c>
      <c r="DD43" s="103">
        <f>COUNTIF(DonnéesBC[[#This Row],[1]:[16]],"Juste")</f>
        <v>13</v>
      </c>
      <c r="DE43" s="96">
        <v>12</v>
      </c>
      <c r="DF43" s="103">
        <f>COUNTIF(DonnéesBC[[#This Row],[17]:[28]],"FAUX")</f>
        <v>5</v>
      </c>
      <c r="DG43" s="103">
        <f>COUNTIF(DonnéesBC[[#This Row],[17]:[28]],"Je ne sais pas")</f>
        <v>0</v>
      </c>
      <c r="DH43" s="103">
        <f>COUNTIF(DonnéesBC[[#This Row],[17]:[28]],"Juste")</f>
        <v>7</v>
      </c>
      <c r="DI43" s="96">
        <v>9</v>
      </c>
      <c r="DJ43" s="103">
        <f>COUNTIF(DonnéesBC[[#This Row],[29]:[37]],"FAUX")</f>
        <v>3</v>
      </c>
      <c r="DK43" s="103">
        <f>COUNTIF(DonnéesBC[[#This Row],[29]:[37]],"Je ne sais pas")</f>
        <v>0</v>
      </c>
      <c r="DL43" s="103">
        <f>COUNTIF(DonnéesBC[[#This Row],[29]:[37]],"Juste")</f>
        <v>6</v>
      </c>
      <c r="DM43" s="96">
        <v>13</v>
      </c>
      <c r="DN43" s="103">
        <f>COUNTIF(DonnéesBC[[#This Row],[38]:[50]],"FAUX")</f>
        <v>6</v>
      </c>
      <c r="DO43" s="103">
        <f>COUNTIF(DonnéesBC[[#This Row],[38]:[50]],"Je ne sais pas")</f>
        <v>0</v>
      </c>
      <c r="DP43" s="103">
        <f>COUNTIF(DonnéesBC[[#This Row],[38]:[50]],"Juste")</f>
        <v>7</v>
      </c>
      <c r="DQ43" s="96">
        <v>16</v>
      </c>
      <c r="DR43" s="103">
        <f>COUNTIF(DonnéesBC[[#This Row],[51]:[66]],"FAUX")</f>
        <v>6</v>
      </c>
      <c r="DS43" s="103">
        <f>COUNTIF(DonnéesBC[[#This Row],[51]:[66]],"Je ne sais pas")</f>
        <v>0</v>
      </c>
      <c r="DT43" s="103">
        <f>COUNTIF(DonnéesBC[[#This Row],[51]:[66]],"Juste")</f>
        <v>10</v>
      </c>
      <c r="DU43" s="96">
        <v>11</v>
      </c>
      <c r="DV43" s="103">
        <f>COUNTIF(DonnéesBC[[#This Row],[67]:[77]],"FAUX")</f>
        <v>4</v>
      </c>
      <c r="DW43" s="103">
        <f>COUNTIF(DonnéesBC[[#This Row],[67]:[77]],"Je ne sais pas")</f>
        <v>0</v>
      </c>
      <c r="DX43" s="103">
        <f>COUNTIF(DonnéesBC[[#This Row],[67]:[77]],"Juste")</f>
        <v>7</v>
      </c>
      <c r="DY43" s="96">
        <v>14</v>
      </c>
      <c r="DZ43" s="103">
        <f>COUNTIF(DonnéesBC[[#This Row],[78]:[91]],"FAUX")</f>
        <v>5</v>
      </c>
      <c r="EA43" s="103">
        <f>COUNTIF(DonnéesBC[[#This Row],[78]:[91]],"Je ne sais pas")</f>
        <v>0</v>
      </c>
      <c r="EB43" s="103">
        <f>COUNTIF(DonnéesBC[[#This Row],[78]:[91]],"Juste")</f>
        <v>9</v>
      </c>
      <c r="EC43" s="96">
        <v>10</v>
      </c>
      <c r="ED43" s="103">
        <f>COUNTIF(DonnéesBC[[#This Row],[92]:[101]],"FAUX")</f>
        <v>3</v>
      </c>
      <c r="EE43" s="103">
        <f>COUNTIF(DonnéesBC[[#This Row],[92]:[101]],"Je ne sais pas")</f>
        <v>0</v>
      </c>
      <c r="EF43" s="103">
        <f>COUNTIF(DonnéesBC[[#This Row],[92]:[101]],"Juste")</f>
        <v>7</v>
      </c>
      <c r="EG43" s="96">
        <f>SUM(DonnéesBC[[#This Row],[A]]+DonnéesBC[[#This Row],[B]]+DonnéesBC[[#This Row],[C]]+DonnéesBC[[#This Row],[D]]+DonnéesBC[[#This Row],[E]]+DonnéesBC[[#This Row],[F]]+DonnéesBC[[#This Row],[G]]+DonnéesBC[[#This Row],[H]])</f>
        <v>101</v>
      </c>
      <c r="EH43" s="97">
        <f>SUM(DonnéesBC[[#This Row],[A2]]+DonnéesBC[[#This Row],[B2]]+DonnéesBC[[#This Row],[C2]]+DonnéesBC[[#This Row],[D2]]+DonnéesBC[[#This Row],[E2]]+DonnéesBC[[#This Row],[F2]]+DonnéesBC[[#This Row],[G2]]+DonnéesBC[[#This Row],[H2]])</f>
        <v>35</v>
      </c>
      <c r="EI43" s="98">
        <f>SUM(DonnéesBC[[#This Row],[A3]]+DonnéesBC[[#This Row],[B3]]+DonnéesBC[[#This Row],[C3]]+DonnéesBC[[#This Row],[D3]]+DonnéesBC[[#This Row],[E3]]+DonnéesBC[[#This Row],[F3]]+DonnéesBC[[#This Row],[G3]]+DonnéesBC[[#This Row],[H3]])</f>
        <v>0</v>
      </c>
      <c r="EJ43" s="103">
        <f>SUM(DonnéesBC[[#This Row],[A4]]+DonnéesBC[[#This Row],[B4]]+DonnéesBC[[#This Row],[C4]]+DonnéesBC[[#This Row],[D4]]+DonnéesBC[[#This Row],[E4]]+DonnéesBC[[#This Row],[F4]]+DonnéesBC[[#This Row],[G4]]+DonnéesBC[[#This Row],[H4]])</f>
        <v>66</v>
      </c>
      <c r="EK43" s="95" t="s">
        <v>678</v>
      </c>
      <c r="EL43">
        <v>18</v>
      </c>
    </row>
    <row r="44" spans="1:142" ht="14" customHeight="1">
      <c r="A44" s="101" t="str">
        <f>DonnéesBC[[#This Row],[Prénom]]&amp;" "&amp;DonnéesBC[[#This Row],[Nom]]</f>
        <v>Mélanie Monsciani</v>
      </c>
      <c r="B44" s="97" t="s">
        <v>152</v>
      </c>
      <c r="C44" s="97" t="s">
        <v>153</v>
      </c>
      <c r="D44" s="132" t="b">
        <v>0</v>
      </c>
      <c r="E44" s="133" t="s">
        <v>846</v>
      </c>
      <c r="F44" s="133" t="s">
        <v>846</v>
      </c>
      <c r="G44" s="133" t="b">
        <v>0</v>
      </c>
      <c r="H44" s="133" t="s">
        <v>846</v>
      </c>
      <c r="I44" s="133" t="s">
        <v>846</v>
      </c>
      <c r="J44" s="133" t="s">
        <v>846</v>
      </c>
      <c r="K44" s="133" t="s">
        <v>846</v>
      </c>
      <c r="L44" s="133" t="b">
        <v>0</v>
      </c>
      <c r="M44" s="133" t="s">
        <v>846</v>
      </c>
      <c r="N44" s="133" t="b">
        <v>0</v>
      </c>
      <c r="O44" s="133" t="s">
        <v>846</v>
      </c>
      <c r="P44" s="133" t="s">
        <v>846</v>
      </c>
      <c r="Q44" s="133" t="b">
        <v>0</v>
      </c>
      <c r="R44" s="133" t="s">
        <v>846</v>
      </c>
      <c r="S44" s="135" t="b">
        <v>0</v>
      </c>
      <c r="T44" s="132" t="s">
        <v>846</v>
      </c>
      <c r="U44" s="133" t="s">
        <v>846</v>
      </c>
      <c r="V44" s="133" t="s">
        <v>846</v>
      </c>
      <c r="W44" s="133" t="s">
        <v>846</v>
      </c>
      <c r="X44" s="133" t="s">
        <v>846</v>
      </c>
      <c r="Y44" s="133" t="s">
        <v>846</v>
      </c>
      <c r="Z44" s="133" t="b">
        <v>0</v>
      </c>
      <c r="AA44" s="133" t="b">
        <v>0</v>
      </c>
      <c r="AB44" s="133" t="b">
        <v>0</v>
      </c>
      <c r="AC44" s="133" t="b">
        <v>0</v>
      </c>
      <c r="AD44" s="133" t="s">
        <v>846</v>
      </c>
      <c r="AE44" s="135" t="s">
        <v>846</v>
      </c>
      <c r="AF44" s="132" t="s">
        <v>846</v>
      </c>
      <c r="AG44" s="133" t="b">
        <v>0</v>
      </c>
      <c r="AH44" s="133" t="s">
        <v>846</v>
      </c>
      <c r="AI44" s="133" t="b">
        <v>0</v>
      </c>
      <c r="AJ44" s="133" t="s">
        <v>846</v>
      </c>
      <c r="AK44" s="133" t="s">
        <v>846</v>
      </c>
      <c r="AL44" s="133" t="s">
        <v>846</v>
      </c>
      <c r="AM44" s="133" t="b">
        <v>0</v>
      </c>
      <c r="AN44" s="135" t="s">
        <v>846</v>
      </c>
      <c r="AO44" s="132" t="b">
        <v>0</v>
      </c>
      <c r="AP44" s="133" t="s">
        <v>846</v>
      </c>
      <c r="AQ44" s="133" t="s">
        <v>846</v>
      </c>
      <c r="AR44" s="133" t="s">
        <v>846</v>
      </c>
      <c r="AS44" s="133" t="b">
        <v>0</v>
      </c>
      <c r="AT44" s="133" t="s">
        <v>846</v>
      </c>
      <c r="AU44" s="133" t="s">
        <v>846</v>
      </c>
      <c r="AV44" s="133" t="s">
        <v>846</v>
      </c>
      <c r="AW44" s="133" t="s">
        <v>846</v>
      </c>
      <c r="AX44" s="133" t="s">
        <v>846</v>
      </c>
      <c r="AY44" s="133" t="s">
        <v>846</v>
      </c>
      <c r="AZ44" s="133" t="b">
        <v>0</v>
      </c>
      <c r="BA44" s="135" t="s">
        <v>846</v>
      </c>
      <c r="BB44" s="132" t="b">
        <v>0</v>
      </c>
      <c r="BC44" s="133" t="s">
        <v>846</v>
      </c>
      <c r="BD44" s="133" t="s">
        <v>846</v>
      </c>
      <c r="BE44" s="133" t="s">
        <v>846</v>
      </c>
      <c r="BF44" s="133" t="b">
        <v>0</v>
      </c>
      <c r="BG44" s="133" t="s">
        <v>846</v>
      </c>
      <c r="BH44" s="133" t="s">
        <v>846</v>
      </c>
      <c r="BI44" s="133" t="s">
        <v>846</v>
      </c>
      <c r="BJ44" s="133" t="s">
        <v>846</v>
      </c>
      <c r="BK44" s="133" t="b">
        <v>0</v>
      </c>
      <c r="BL44" s="133" t="s">
        <v>846</v>
      </c>
      <c r="BM44" s="133" t="s">
        <v>846</v>
      </c>
      <c r="BN44" s="133" t="b">
        <v>0</v>
      </c>
      <c r="BO44" s="133" t="s">
        <v>846</v>
      </c>
      <c r="BP44" s="133" t="b">
        <v>0</v>
      </c>
      <c r="BQ44" s="135" t="s">
        <v>846</v>
      </c>
      <c r="BR44" s="132" t="s">
        <v>846</v>
      </c>
      <c r="BS44" s="133" t="s">
        <v>846</v>
      </c>
      <c r="BT44" s="133" t="s">
        <v>846</v>
      </c>
      <c r="BU44" s="133" t="s">
        <v>846</v>
      </c>
      <c r="BV44" s="133" t="s">
        <v>846</v>
      </c>
      <c r="BW44" s="133" t="b">
        <v>0</v>
      </c>
      <c r="BX44" s="133" t="s">
        <v>846</v>
      </c>
      <c r="BY44" s="133" t="s">
        <v>846</v>
      </c>
      <c r="BZ44" s="133" t="s">
        <v>846</v>
      </c>
      <c r="CA44" s="133" t="s">
        <v>846</v>
      </c>
      <c r="CB44" s="135" t="b">
        <v>0</v>
      </c>
      <c r="CC44" s="132" t="b">
        <v>0</v>
      </c>
      <c r="CD44" s="133" t="s">
        <v>846</v>
      </c>
      <c r="CE44" s="133" t="s">
        <v>846</v>
      </c>
      <c r="CF44" s="133" t="s">
        <v>846</v>
      </c>
      <c r="CG44" s="133" t="s">
        <v>846</v>
      </c>
      <c r="CH44" s="133" t="s">
        <v>846</v>
      </c>
      <c r="CI44" s="133" t="s">
        <v>846</v>
      </c>
      <c r="CJ44" s="133" t="b">
        <v>0</v>
      </c>
      <c r="CK44" s="133" t="b">
        <v>0</v>
      </c>
      <c r="CL44" s="133" t="s">
        <v>846</v>
      </c>
      <c r="CM44" s="133" t="s">
        <v>846</v>
      </c>
      <c r="CN44" s="133" t="s">
        <v>846</v>
      </c>
      <c r="CO44" s="133" t="s">
        <v>846</v>
      </c>
      <c r="CP44" s="135" t="b">
        <v>0</v>
      </c>
      <c r="CQ44" s="132" t="s">
        <v>846</v>
      </c>
      <c r="CR44" s="133" t="s">
        <v>846</v>
      </c>
      <c r="CS44" s="133" t="s">
        <v>846</v>
      </c>
      <c r="CT44" s="133" t="b">
        <v>0</v>
      </c>
      <c r="CU44" s="133" t="s">
        <v>846</v>
      </c>
      <c r="CV44" s="133" t="s">
        <v>846</v>
      </c>
      <c r="CW44" s="133" t="s">
        <v>846</v>
      </c>
      <c r="CX44" s="133" t="s">
        <v>846</v>
      </c>
      <c r="CY44" s="133" t="b">
        <v>0</v>
      </c>
      <c r="CZ44" s="135" t="b">
        <v>0</v>
      </c>
      <c r="DA44" s="96">
        <v>16</v>
      </c>
      <c r="DB44" s="103">
        <f>COUNTIF(DonnéesBC[[#This Row],[1]:[16]],"FAUX")</f>
        <v>6</v>
      </c>
      <c r="DC44" s="103">
        <f>COUNTIF(DonnéesBC[[#This Row],[1]:[16]],"Je ne sais pas")</f>
        <v>0</v>
      </c>
      <c r="DD44" s="103">
        <f>COUNTIF(DonnéesBC[[#This Row],[1]:[16]],"Juste")</f>
        <v>10</v>
      </c>
      <c r="DE44" s="96">
        <v>12</v>
      </c>
      <c r="DF44" s="103">
        <f>COUNTIF(DonnéesBC[[#This Row],[17]:[28]],"FAUX")</f>
        <v>4</v>
      </c>
      <c r="DG44" s="103">
        <f>COUNTIF(DonnéesBC[[#This Row],[17]:[28]],"Je ne sais pas")</f>
        <v>0</v>
      </c>
      <c r="DH44" s="103">
        <f>COUNTIF(DonnéesBC[[#This Row],[17]:[28]],"Juste")</f>
        <v>8</v>
      </c>
      <c r="DI44" s="96">
        <v>9</v>
      </c>
      <c r="DJ44" s="103">
        <f>COUNTIF(DonnéesBC[[#This Row],[29]:[37]],"FAUX")</f>
        <v>3</v>
      </c>
      <c r="DK44" s="103">
        <f>COUNTIF(DonnéesBC[[#This Row],[29]:[37]],"Je ne sais pas")</f>
        <v>0</v>
      </c>
      <c r="DL44" s="103">
        <f>COUNTIF(DonnéesBC[[#This Row],[29]:[37]],"Juste")</f>
        <v>6</v>
      </c>
      <c r="DM44" s="96">
        <v>13</v>
      </c>
      <c r="DN44" s="103">
        <f>COUNTIF(DonnéesBC[[#This Row],[38]:[50]],"FAUX")</f>
        <v>3</v>
      </c>
      <c r="DO44" s="103">
        <f>COUNTIF(DonnéesBC[[#This Row],[38]:[50]],"Je ne sais pas")</f>
        <v>0</v>
      </c>
      <c r="DP44" s="103">
        <f>COUNTIF(DonnéesBC[[#This Row],[38]:[50]],"Juste")</f>
        <v>10</v>
      </c>
      <c r="DQ44" s="96">
        <v>16</v>
      </c>
      <c r="DR44" s="103">
        <f>COUNTIF(DonnéesBC[[#This Row],[51]:[66]],"FAUX")</f>
        <v>5</v>
      </c>
      <c r="DS44" s="103">
        <f>COUNTIF(DonnéesBC[[#This Row],[51]:[66]],"Je ne sais pas")</f>
        <v>0</v>
      </c>
      <c r="DT44" s="103">
        <f>COUNTIF(DonnéesBC[[#This Row],[51]:[66]],"Juste")</f>
        <v>11</v>
      </c>
      <c r="DU44" s="96">
        <v>11</v>
      </c>
      <c r="DV44" s="103">
        <f>COUNTIF(DonnéesBC[[#This Row],[67]:[77]],"FAUX")</f>
        <v>2</v>
      </c>
      <c r="DW44" s="103">
        <f>COUNTIF(DonnéesBC[[#This Row],[67]:[77]],"Je ne sais pas")</f>
        <v>0</v>
      </c>
      <c r="DX44" s="103">
        <f>COUNTIF(DonnéesBC[[#This Row],[67]:[77]],"Juste")</f>
        <v>9</v>
      </c>
      <c r="DY44" s="96">
        <v>14</v>
      </c>
      <c r="DZ44" s="103">
        <f>COUNTIF(DonnéesBC[[#This Row],[78]:[91]],"FAUX")</f>
        <v>4</v>
      </c>
      <c r="EA44" s="103">
        <f>COUNTIF(DonnéesBC[[#This Row],[78]:[91]],"Je ne sais pas")</f>
        <v>0</v>
      </c>
      <c r="EB44" s="103">
        <f>COUNTIF(DonnéesBC[[#This Row],[78]:[91]],"Juste")</f>
        <v>10</v>
      </c>
      <c r="EC44" s="96">
        <v>10</v>
      </c>
      <c r="ED44" s="103">
        <f>COUNTIF(DonnéesBC[[#This Row],[92]:[101]],"FAUX")</f>
        <v>3</v>
      </c>
      <c r="EE44" s="103">
        <f>COUNTIF(DonnéesBC[[#This Row],[92]:[101]],"Je ne sais pas")</f>
        <v>0</v>
      </c>
      <c r="EF44" s="103">
        <f>COUNTIF(DonnéesBC[[#This Row],[92]:[101]],"Juste")</f>
        <v>7</v>
      </c>
      <c r="EG44" s="96">
        <f>SUM(DonnéesBC[[#This Row],[A]]+DonnéesBC[[#This Row],[B]]+DonnéesBC[[#This Row],[C]]+DonnéesBC[[#This Row],[D]]+DonnéesBC[[#This Row],[E]]+DonnéesBC[[#This Row],[F]]+DonnéesBC[[#This Row],[G]]+DonnéesBC[[#This Row],[H]])</f>
        <v>101</v>
      </c>
      <c r="EH44" s="97">
        <f>SUM(DonnéesBC[[#This Row],[A2]]+DonnéesBC[[#This Row],[B2]]+DonnéesBC[[#This Row],[C2]]+DonnéesBC[[#This Row],[D2]]+DonnéesBC[[#This Row],[E2]]+DonnéesBC[[#This Row],[F2]]+DonnéesBC[[#This Row],[G2]]+DonnéesBC[[#This Row],[H2]])</f>
        <v>30</v>
      </c>
      <c r="EI44" s="98">
        <f>SUM(DonnéesBC[[#This Row],[A3]]+DonnéesBC[[#This Row],[B3]]+DonnéesBC[[#This Row],[C3]]+DonnéesBC[[#This Row],[D3]]+DonnéesBC[[#This Row],[E3]]+DonnéesBC[[#This Row],[F3]]+DonnéesBC[[#This Row],[G3]]+DonnéesBC[[#This Row],[H3]])</f>
        <v>0</v>
      </c>
      <c r="EJ44" s="103">
        <f>SUM(DonnéesBC[[#This Row],[A4]]+DonnéesBC[[#This Row],[B4]]+DonnéesBC[[#This Row],[C4]]+DonnéesBC[[#This Row],[D4]]+DonnéesBC[[#This Row],[E4]]+DonnéesBC[[#This Row],[F4]]+DonnéesBC[[#This Row],[G4]]+DonnéesBC[[#This Row],[H4]])</f>
        <v>71</v>
      </c>
      <c r="EK44" s="95"/>
      <c r="EL44">
        <v>16</v>
      </c>
    </row>
    <row r="45" spans="1:142" ht="14" customHeight="1">
      <c r="A45" s="101" t="str">
        <f>DonnéesBC[[#This Row],[Prénom]]&amp;" "&amp;DonnéesBC[[#This Row],[Nom]]</f>
        <v>Mélissa Armand</v>
      </c>
      <c r="B45" s="97" t="s">
        <v>58</v>
      </c>
      <c r="C45" s="97" t="s">
        <v>154</v>
      </c>
      <c r="D45" s="136" t="s">
        <v>846</v>
      </c>
      <c r="E45" s="137" t="s">
        <v>846</v>
      </c>
      <c r="F45" s="137" t="s">
        <v>846</v>
      </c>
      <c r="G45" s="137" t="b">
        <v>0</v>
      </c>
      <c r="H45" s="137" t="s">
        <v>846</v>
      </c>
      <c r="I45" s="137" t="s">
        <v>846</v>
      </c>
      <c r="J45" s="137" t="s">
        <v>846</v>
      </c>
      <c r="K45" s="137" t="s">
        <v>846</v>
      </c>
      <c r="L45" s="137" t="b">
        <v>0</v>
      </c>
      <c r="M45" s="137" t="s">
        <v>846</v>
      </c>
      <c r="N45" s="137" t="b">
        <v>0</v>
      </c>
      <c r="O45" s="137" t="s">
        <v>846</v>
      </c>
      <c r="P45" s="137" t="b">
        <v>0</v>
      </c>
      <c r="Q45" s="137" t="b">
        <v>0</v>
      </c>
      <c r="R45" s="137" t="s">
        <v>846</v>
      </c>
      <c r="S45" s="138" t="s">
        <v>846</v>
      </c>
      <c r="T45" s="136" t="s">
        <v>846</v>
      </c>
      <c r="U45" s="137" t="b">
        <v>0</v>
      </c>
      <c r="V45" s="137" t="s">
        <v>846</v>
      </c>
      <c r="W45" s="137" t="b">
        <v>0</v>
      </c>
      <c r="X45" s="137" t="b">
        <v>0</v>
      </c>
      <c r="Y45" s="137" t="s">
        <v>846</v>
      </c>
      <c r="Z45" s="137" t="b">
        <v>0</v>
      </c>
      <c r="AA45" s="137" t="b">
        <v>0</v>
      </c>
      <c r="AB45" s="137" t="b">
        <v>0</v>
      </c>
      <c r="AC45" s="137" t="b">
        <v>0</v>
      </c>
      <c r="AD45" s="137" t="s">
        <v>846</v>
      </c>
      <c r="AE45" s="138" t="b">
        <v>0</v>
      </c>
      <c r="AF45" s="136" t="s">
        <v>846</v>
      </c>
      <c r="AG45" s="137" t="s">
        <v>846</v>
      </c>
      <c r="AH45" s="137" t="s">
        <v>846</v>
      </c>
      <c r="AI45" s="137" t="b">
        <v>0</v>
      </c>
      <c r="AJ45" s="137" t="s">
        <v>846</v>
      </c>
      <c r="AK45" s="137" t="s">
        <v>846</v>
      </c>
      <c r="AL45" s="137" t="s">
        <v>846</v>
      </c>
      <c r="AM45" s="137" t="s">
        <v>846</v>
      </c>
      <c r="AN45" s="138" t="s">
        <v>846</v>
      </c>
      <c r="AO45" s="136" t="s">
        <v>840</v>
      </c>
      <c r="AP45" s="137" t="s">
        <v>846</v>
      </c>
      <c r="AQ45" s="137" t="s">
        <v>846</v>
      </c>
      <c r="AR45" s="137" t="s">
        <v>846</v>
      </c>
      <c r="AS45" s="137" t="b">
        <v>0</v>
      </c>
      <c r="AT45" s="137" t="s">
        <v>846</v>
      </c>
      <c r="AU45" s="137" t="s">
        <v>846</v>
      </c>
      <c r="AV45" s="137" t="s">
        <v>846</v>
      </c>
      <c r="AW45" s="137" t="s">
        <v>846</v>
      </c>
      <c r="AX45" s="137" t="s">
        <v>846</v>
      </c>
      <c r="AY45" s="137" t="s">
        <v>846</v>
      </c>
      <c r="AZ45" s="137" t="s">
        <v>846</v>
      </c>
      <c r="BA45" s="138" t="s">
        <v>846</v>
      </c>
      <c r="BB45" s="136" t="s">
        <v>846</v>
      </c>
      <c r="BC45" s="137" t="s">
        <v>846</v>
      </c>
      <c r="BD45" s="137" t="s">
        <v>846</v>
      </c>
      <c r="BE45" s="137" t="s">
        <v>846</v>
      </c>
      <c r="BF45" s="137" t="b">
        <v>0</v>
      </c>
      <c r="BG45" s="137" t="b">
        <v>0</v>
      </c>
      <c r="BH45" s="137" t="s">
        <v>846</v>
      </c>
      <c r="BI45" s="137" t="b">
        <v>0</v>
      </c>
      <c r="BJ45" s="137" t="b">
        <v>0</v>
      </c>
      <c r="BK45" s="137" t="b">
        <v>0</v>
      </c>
      <c r="BL45" s="137" t="s">
        <v>846</v>
      </c>
      <c r="BM45" s="137" t="s">
        <v>846</v>
      </c>
      <c r="BN45" s="137" t="b">
        <v>0</v>
      </c>
      <c r="BO45" s="137" t="s">
        <v>840</v>
      </c>
      <c r="BP45" s="137" t="b">
        <v>0</v>
      </c>
      <c r="BQ45" s="138" t="s">
        <v>840</v>
      </c>
      <c r="BR45" s="136" t="s">
        <v>846</v>
      </c>
      <c r="BS45" s="137" t="s">
        <v>846</v>
      </c>
      <c r="BT45" s="137" t="s">
        <v>846</v>
      </c>
      <c r="BU45" s="137" t="s">
        <v>846</v>
      </c>
      <c r="BV45" s="137" t="b">
        <v>0</v>
      </c>
      <c r="BW45" s="137" t="s">
        <v>846</v>
      </c>
      <c r="BX45" s="137" t="s">
        <v>846</v>
      </c>
      <c r="BY45" s="137" t="b">
        <v>0</v>
      </c>
      <c r="BZ45" s="137" t="s">
        <v>846</v>
      </c>
      <c r="CA45" s="137" t="b">
        <v>0</v>
      </c>
      <c r="CB45" s="138" t="b">
        <v>0</v>
      </c>
      <c r="CC45" s="136" t="b">
        <v>0</v>
      </c>
      <c r="CD45" s="137" t="s">
        <v>846</v>
      </c>
      <c r="CE45" s="137" t="s">
        <v>846</v>
      </c>
      <c r="CF45" s="137" t="s">
        <v>846</v>
      </c>
      <c r="CG45" s="137" t="s">
        <v>846</v>
      </c>
      <c r="CH45" s="137" t="b">
        <v>0</v>
      </c>
      <c r="CI45" s="137" t="s">
        <v>846</v>
      </c>
      <c r="CJ45" s="137" t="s">
        <v>846</v>
      </c>
      <c r="CK45" s="137" t="s">
        <v>846</v>
      </c>
      <c r="CL45" s="137" t="s">
        <v>846</v>
      </c>
      <c r="CM45" s="137" t="s">
        <v>846</v>
      </c>
      <c r="CN45" s="137" t="s">
        <v>846</v>
      </c>
      <c r="CO45" s="137" t="b">
        <v>0</v>
      </c>
      <c r="CP45" s="138" t="b">
        <v>0</v>
      </c>
      <c r="CQ45" s="136" t="s">
        <v>846</v>
      </c>
      <c r="CR45" s="137" t="s">
        <v>846</v>
      </c>
      <c r="CS45" s="137" t="b">
        <v>0</v>
      </c>
      <c r="CT45" s="137" t="s">
        <v>846</v>
      </c>
      <c r="CU45" s="137" t="s">
        <v>846</v>
      </c>
      <c r="CV45" s="137" t="b">
        <v>0</v>
      </c>
      <c r="CW45" s="137" t="s">
        <v>846</v>
      </c>
      <c r="CX45" s="137" t="s">
        <v>846</v>
      </c>
      <c r="CY45" s="137" t="s">
        <v>846</v>
      </c>
      <c r="CZ45" s="138" t="s">
        <v>846</v>
      </c>
      <c r="DA45" s="96">
        <v>16</v>
      </c>
      <c r="DB45" s="103">
        <f>COUNTIF(DonnéesBC[[#This Row],[1]:[16]],"FAUX")</f>
        <v>5</v>
      </c>
      <c r="DC45" s="103">
        <f>COUNTIF(DonnéesBC[[#This Row],[1]:[16]],"Je ne sais pas")</f>
        <v>0</v>
      </c>
      <c r="DD45" s="103">
        <f>COUNTIF(DonnéesBC[[#This Row],[1]:[16]],"Juste")</f>
        <v>11</v>
      </c>
      <c r="DE45" s="96">
        <v>12</v>
      </c>
      <c r="DF45" s="103">
        <f>COUNTIF(DonnéesBC[[#This Row],[17]:[28]],"FAUX")</f>
        <v>8</v>
      </c>
      <c r="DG45" s="103">
        <f>COUNTIF(DonnéesBC[[#This Row],[17]:[28]],"Je ne sais pas")</f>
        <v>0</v>
      </c>
      <c r="DH45" s="103">
        <f>COUNTIF(DonnéesBC[[#This Row],[17]:[28]],"Juste")</f>
        <v>4</v>
      </c>
      <c r="DI45" s="96">
        <v>9</v>
      </c>
      <c r="DJ45" s="103">
        <f>COUNTIF(DonnéesBC[[#This Row],[29]:[37]],"FAUX")</f>
        <v>1</v>
      </c>
      <c r="DK45" s="103">
        <f>COUNTIF(DonnéesBC[[#This Row],[29]:[37]],"Je ne sais pas")</f>
        <v>0</v>
      </c>
      <c r="DL45" s="103">
        <f>COUNTIF(DonnéesBC[[#This Row],[29]:[37]],"Juste")</f>
        <v>8</v>
      </c>
      <c r="DM45" s="96">
        <v>13</v>
      </c>
      <c r="DN45" s="103">
        <f>COUNTIF(DonnéesBC[[#This Row],[38]:[50]],"FAUX")</f>
        <v>1</v>
      </c>
      <c r="DO45" s="103">
        <f>COUNTIF(DonnéesBC[[#This Row],[38]:[50]],"Je ne sais pas")</f>
        <v>1</v>
      </c>
      <c r="DP45" s="103">
        <f>COUNTIF(DonnéesBC[[#This Row],[38]:[50]],"Juste")</f>
        <v>11</v>
      </c>
      <c r="DQ45" s="96">
        <v>16</v>
      </c>
      <c r="DR45" s="103">
        <f>COUNTIF(DonnéesBC[[#This Row],[51]:[66]],"FAUX")</f>
        <v>7</v>
      </c>
      <c r="DS45" s="103">
        <f>COUNTIF(DonnéesBC[[#This Row],[51]:[66]],"Je ne sais pas")</f>
        <v>2</v>
      </c>
      <c r="DT45" s="103">
        <f>COUNTIF(DonnéesBC[[#This Row],[51]:[66]],"Juste")</f>
        <v>7</v>
      </c>
      <c r="DU45" s="96">
        <v>11</v>
      </c>
      <c r="DV45" s="103">
        <f>COUNTIF(DonnéesBC[[#This Row],[67]:[77]],"FAUX")</f>
        <v>4</v>
      </c>
      <c r="DW45" s="103">
        <f>COUNTIF(DonnéesBC[[#This Row],[67]:[77]],"Je ne sais pas")</f>
        <v>0</v>
      </c>
      <c r="DX45" s="103">
        <f>COUNTIF(DonnéesBC[[#This Row],[67]:[77]],"Juste")</f>
        <v>7</v>
      </c>
      <c r="DY45" s="96">
        <v>14</v>
      </c>
      <c r="DZ45" s="103">
        <f>COUNTIF(DonnéesBC[[#This Row],[78]:[91]],"FAUX")</f>
        <v>4</v>
      </c>
      <c r="EA45" s="103">
        <f>COUNTIF(DonnéesBC[[#This Row],[78]:[91]],"Je ne sais pas")</f>
        <v>0</v>
      </c>
      <c r="EB45" s="103">
        <f>COUNTIF(DonnéesBC[[#This Row],[78]:[91]],"Juste")</f>
        <v>10</v>
      </c>
      <c r="EC45" s="96">
        <v>10</v>
      </c>
      <c r="ED45" s="103">
        <f>COUNTIF(DonnéesBC[[#This Row],[92]:[101]],"FAUX")</f>
        <v>2</v>
      </c>
      <c r="EE45" s="103">
        <f>COUNTIF(DonnéesBC[[#This Row],[92]:[101]],"Je ne sais pas")</f>
        <v>0</v>
      </c>
      <c r="EF45" s="103">
        <f>COUNTIF(DonnéesBC[[#This Row],[92]:[101]],"Juste")</f>
        <v>8</v>
      </c>
      <c r="EG45" s="96">
        <f>SUM(DonnéesBC[[#This Row],[A]]+DonnéesBC[[#This Row],[B]]+DonnéesBC[[#This Row],[C]]+DonnéesBC[[#This Row],[D]]+DonnéesBC[[#This Row],[E]]+DonnéesBC[[#This Row],[F]]+DonnéesBC[[#This Row],[G]]+DonnéesBC[[#This Row],[H]])</f>
        <v>101</v>
      </c>
      <c r="EH45" s="97">
        <f>SUM(DonnéesBC[[#This Row],[A2]]+DonnéesBC[[#This Row],[B2]]+DonnéesBC[[#This Row],[C2]]+DonnéesBC[[#This Row],[D2]]+DonnéesBC[[#This Row],[E2]]+DonnéesBC[[#This Row],[F2]]+DonnéesBC[[#This Row],[G2]]+DonnéesBC[[#This Row],[H2]])</f>
        <v>32</v>
      </c>
      <c r="EI45" s="98">
        <f>SUM(DonnéesBC[[#This Row],[A3]]+DonnéesBC[[#This Row],[B3]]+DonnéesBC[[#This Row],[C3]]+DonnéesBC[[#This Row],[D3]]+DonnéesBC[[#This Row],[E3]]+DonnéesBC[[#This Row],[F3]]+DonnéesBC[[#This Row],[G3]]+DonnéesBC[[#This Row],[H3]])</f>
        <v>3</v>
      </c>
      <c r="EJ45" s="103">
        <f>SUM(DonnéesBC[[#This Row],[A4]]+DonnéesBC[[#This Row],[B4]]+DonnéesBC[[#This Row],[C4]]+DonnéesBC[[#This Row],[D4]]+DonnéesBC[[#This Row],[E4]]+DonnéesBC[[#This Row],[F4]]+DonnéesBC[[#This Row],[G4]]+DonnéesBC[[#This Row],[H4]])</f>
        <v>66</v>
      </c>
      <c r="EK45" s="95"/>
      <c r="EL45">
        <v>16</v>
      </c>
    </row>
    <row r="46" spans="1:142" ht="14" customHeight="1">
      <c r="A46" s="101" t="str">
        <f>DonnéesBC[[#This Row],[Prénom]]&amp;" "&amp;DonnéesBC[[#This Row],[Nom]]</f>
        <v>Michal Fok</v>
      </c>
      <c r="B46" s="98" t="s">
        <v>294</v>
      </c>
      <c r="C46" s="98" t="s">
        <v>295</v>
      </c>
      <c r="D46" s="132" t="s">
        <v>846</v>
      </c>
      <c r="E46" s="133" t="b">
        <v>0</v>
      </c>
      <c r="F46" s="133" t="s">
        <v>846</v>
      </c>
      <c r="G46" s="133" t="s">
        <v>846</v>
      </c>
      <c r="H46" s="133" t="s">
        <v>846</v>
      </c>
      <c r="I46" s="133" t="b">
        <v>0</v>
      </c>
      <c r="J46" s="133" t="s">
        <v>846</v>
      </c>
      <c r="K46" s="133" t="b">
        <v>0</v>
      </c>
      <c r="L46" s="133" t="s">
        <v>846</v>
      </c>
      <c r="M46" s="133" t="s">
        <v>846</v>
      </c>
      <c r="N46" s="133" t="b">
        <v>0</v>
      </c>
      <c r="O46" s="133" t="b">
        <v>0</v>
      </c>
      <c r="P46" s="133" t="s">
        <v>846</v>
      </c>
      <c r="Q46" s="133" t="b">
        <v>0</v>
      </c>
      <c r="R46" s="133" t="s">
        <v>846</v>
      </c>
      <c r="S46" s="134" t="s">
        <v>846</v>
      </c>
      <c r="T46" s="132" t="s">
        <v>846</v>
      </c>
      <c r="U46" s="133" t="b">
        <v>0</v>
      </c>
      <c r="V46" s="133" t="s">
        <v>846</v>
      </c>
      <c r="W46" s="133" t="s">
        <v>846</v>
      </c>
      <c r="X46" s="133" t="b">
        <v>0</v>
      </c>
      <c r="Y46" s="133" t="s">
        <v>846</v>
      </c>
      <c r="Z46" s="133" t="b">
        <v>0</v>
      </c>
      <c r="AA46" s="133" t="s">
        <v>846</v>
      </c>
      <c r="AB46" s="133" t="b">
        <v>0</v>
      </c>
      <c r="AC46" s="133" t="b">
        <v>0</v>
      </c>
      <c r="AD46" s="133" t="s">
        <v>846</v>
      </c>
      <c r="AE46" s="134" t="b">
        <v>0</v>
      </c>
      <c r="AF46" s="132" t="s">
        <v>846</v>
      </c>
      <c r="AG46" s="133" t="b">
        <v>0</v>
      </c>
      <c r="AH46" s="133" t="b">
        <v>0</v>
      </c>
      <c r="AI46" s="133" t="s">
        <v>846</v>
      </c>
      <c r="AJ46" s="133" t="s">
        <v>846</v>
      </c>
      <c r="AK46" s="133" t="s">
        <v>846</v>
      </c>
      <c r="AL46" s="133" t="s">
        <v>846</v>
      </c>
      <c r="AM46" s="133" t="s">
        <v>846</v>
      </c>
      <c r="AN46" s="134" t="s">
        <v>846</v>
      </c>
      <c r="AO46" s="132" t="b">
        <v>0</v>
      </c>
      <c r="AP46" s="133" t="s">
        <v>846</v>
      </c>
      <c r="AQ46" s="133" t="s">
        <v>846</v>
      </c>
      <c r="AR46" s="133" t="s">
        <v>846</v>
      </c>
      <c r="AS46" s="133" t="b">
        <v>0</v>
      </c>
      <c r="AT46" s="133" t="s">
        <v>846</v>
      </c>
      <c r="AU46" s="133" t="s">
        <v>846</v>
      </c>
      <c r="AV46" s="133" t="s">
        <v>846</v>
      </c>
      <c r="AW46" s="133" t="s">
        <v>846</v>
      </c>
      <c r="AX46" s="133" t="s">
        <v>846</v>
      </c>
      <c r="AY46" s="133" t="s">
        <v>846</v>
      </c>
      <c r="AZ46" s="133" t="s">
        <v>846</v>
      </c>
      <c r="BA46" s="134" t="s">
        <v>846</v>
      </c>
      <c r="BB46" s="132" t="b">
        <v>0</v>
      </c>
      <c r="BC46" s="133" t="s">
        <v>846</v>
      </c>
      <c r="BD46" s="133" t="s">
        <v>846</v>
      </c>
      <c r="BE46" s="133" t="s">
        <v>846</v>
      </c>
      <c r="BF46" s="133" t="b">
        <v>0</v>
      </c>
      <c r="BG46" s="133" t="s">
        <v>846</v>
      </c>
      <c r="BH46" s="133" t="s">
        <v>846</v>
      </c>
      <c r="BI46" s="133" t="s">
        <v>846</v>
      </c>
      <c r="BJ46" s="133" t="s">
        <v>846</v>
      </c>
      <c r="BK46" s="133" t="b">
        <v>0</v>
      </c>
      <c r="BL46" s="133" t="b">
        <v>0</v>
      </c>
      <c r="BM46" s="133" t="s">
        <v>846</v>
      </c>
      <c r="BN46" s="133" t="b">
        <v>0</v>
      </c>
      <c r="BO46" s="133" t="s">
        <v>846</v>
      </c>
      <c r="BP46" s="133" t="s">
        <v>846</v>
      </c>
      <c r="BQ46" s="134" t="s">
        <v>846</v>
      </c>
      <c r="BR46" s="132" t="s">
        <v>846</v>
      </c>
      <c r="BS46" s="133" t="b">
        <v>0</v>
      </c>
      <c r="BT46" s="133" t="s">
        <v>846</v>
      </c>
      <c r="BU46" s="133" t="b">
        <v>0</v>
      </c>
      <c r="BV46" s="133" t="s">
        <v>846</v>
      </c>
      <c r="BW46" s="133" t="s">
        <v>846</v>
      </c>
      <c r="BX46" s="133" t="s">
        <v>846</v>
      </c>
      <c r="BY46" s="133" t="b">
        <v>0</v>
      </c>
      <c r="BZ46" s="133" t="s">
        <v>846</v>
      </c>
      <c r="CA46" s="133" t="s">
        <v>846</v>
      </c>
      <c r="CB46" s="134" t="b">
        <v>0</v>
      </c>
      <c r="CC46" s="132" t="b">
        <v>0</v>
      </c>
      <c r="CD46" s="133" t="s">
        <v>846</v>
      </c>
      <c r="CE46" s="133" t="s">
        <v>846</v>
      </c>
      <c r="CF46" s="133" t="s">
        <v>846</v>
      </c>
      <c r="CG46" s="133" t="s">
        <v>846</v>
      </c>
      <c r="CH46" s="133" t="s">
        <v>846</v>
      </c>
      <c r="CI46" s="133" t="s">
        <v>846</v>
      </c>
      <c r="CJ46" s="133" t="s">
        <v>846</v>
      </c>
      <c r="CK46" s="133" t="b">
        <v>0</v>
      </c>
      <c r="CL46" s="133" t="b">
        <v>0</v>
      </c>
      <c r="CM46" s="133" t="b">
        <v>0</v>
      </c>
      <c r="CN46" s="133" t="s">
        <v>846</v>
      </c>
      <c r="CO46" s="133" t="b">
        <v>0</v>
      </c>
      <c r="CP46" s="134" t="b">
        <v>0</v>
      </c>
      <c r="CQ46" s="132" t="b">
        <v>0</v>
      </c>
      <c r="CR46" s="133" t="s">
        <v>846</v>
      </c>
      <c r="CS46" s="133" t="s">
        <v>846</v>
      </c>
      <c r="CT46" s="133" t="s">
        <v>846</v>
      </c>
      <c r="CU46" s="133" t="b">
        <v>0</v>
      </c>
      <c r="CV46" s="133" t="s">
        <v>846</v>
      </c>
      <c r="CW46" s="133" t="s">
        <v>846</v>
      </c>
      <c r="CX46" s="133" t="s">
        <v>846</v>
      </c>
      <c r="CY46" s="133" t="b">
        <v>0</v>
      </c>
      <c r="CZ46" s="135" t="b">
        <v>0</v>
      </c>
      <c r="DA46" s="96">
        <v>16</v>
      </c>
      <c r="DB46" s="103">
        <f>COUNTIF(DonnéesBC[[#This Row],[1]:[16]],"FAUX")</f>
        <v>6</v>
      </c>
      <c r="DC46" s="103">
        <f>COUNTIF(DonnéesBC[[#This Row],[1]:[16]],"Je ne sais pas")</f>
        <v>0</v>
      </c>
      <c r="DD46" s="103">
        <f>COUNTIF(DonnéesBC[[#This Row],[1]:[16]],"Juste")</f>
        <v>10</v>
      </c>
      <c r="DE46" s="96">
        <v>12</v>
      </c>
      <c r="DF46" s="103">
        <f>COUNTIF(DonnéesBC[[#This Row],[17]:[28]],"FAUX")</f>
        <v>6</v>
      </c>
      <c r="DG46" s="103">
        <f>COUNTIF(DonnéesBC[[#This Row],[17]:[28]],"Je ne sais pas")</f>
        <v>0</v>
      </c>
      <c r="DH46" s="103">
        <f>COUNTIF(DonnéesBC[[#This Row],[17]:[28]],"Juste")</f>
        <v>6</v>
      </c>
      <c r="DI46" s="96">
        <v>9</v>
      </c>
      <c r="DJ46" s="103">
        <f>COUNTIF(DonnéesBC[[#This Row],[29]:[37]],"FAUX")</f>
        <v>2</v>
      </c>
      <c r="DK46" s="103">
        <f>COUNTIF(DonnéesBC[[#This Row],[29]:[37]],"Je ne sais pas")</f>
        <v>0</v>
      </c>
      <c r="DL46" s="103">
        <f>COUNTIF(DonnéesBC[[#This Row],[29]:[37]],"Juste")</f>
        <v>7</v>
      </c>
      <c r="DM46" s="96">
        <v>13</v>
      </c>
      <c r="DN46" s="103">
        <f>COUNTIF(DonnéesBC[[#This Row],[38]:[50]],"FAUX")</f>
        <v>2</v>
      </c>
      <c r="DO46" s="103">
        <f>COUNTIF(DonnéesBC[[#This Row],[38]:[50]],"Je ne sais pas")</f>
        <v>0</v>
      </c>
      <c r="DP46" s="103">
        <f>COUNTIF(DonnéesBC[[#This Row],[38]:[50]],"Juste")</f>
        <v>11</v>
      </c>
      <c r="DQ46" s="96">
        <v>16</v>
      </c>
      <c r="DR46" s="103">
        <f>COUNTIF(DonnéesBC[[#This Row],[51]:[66]],"FAUX")</f>
        <v>5</v>
      </c>
      <c r="DS46" s="103">
        <f>COUNTIF(DonnéesBC[[#This Row],[51]:[66]],"Je ne sais pas")</f>
        <v>0</v>
      </c>
      <c r="DT46" s="103">
        <f>COUNTIF(DonnéesBC[[#This Row],[51]:[66]],"Juste")</f>
        <v>11</v>
      </c>
      <c r="DU46" s="96">
        <v>11</v>
      </c>
      <c r="DV46" s="103">
        <f>COUNTIF(DonnéesBC[[#This Row],[67]:[77]],"FAUX")</f>
        <v>4</v>
      </c>
      <c r="DW46" s="103">
        <f>COUNTIF(DonnéesBC[[#This Row],[67]:[77]],"Je ne sais pas")</f>
        <v>0</v>
      </c>
      <c r="DX46" s="103">
        <f>COUNTIF(DonnéesBC[[#This Row],[67]:[77]],"Juste")</f>
        <v>7</v>
      </c>
      <c r="DY46" s="96">
        <v>14</v>
      </c>
      <c r="DZ46" s="103">
        <f>COUNTIF(DonnéesBC[[#This Row],[78]:[91]],"FAUX")</f>
        <v>6</v>
      </c>
      <c r="EA46" s="103">
        <f>COUNTIF(DonnéesBC[[#This Row],[78]:[91]],"Je ne sais pas")</f>
        <v>0</v>
      </c>
      <c r="EB46" s="103">
        <f>COUNTIF(DonnéesBC[[#This Row],[78]:[91]],"Juste")</f>
        <v>8</v>
      </c>
      <c r="EC46" s="96">
        <v>10</v>
      </c>
      <c r="ED46" s="103">
        <f>COUNTIF(DonnéesBC[[#This Row],[92]:[101]],"FAUX")</f>
        <v>4</v>
      </c>
      <c r="EE46" s="103">
        <f>COUNTIF(DonnéesBC[[#This Row],[92]:[101]],"Je ne sais pas")</f>
        <v>0</v>
      </c>
      <c r="EF46" s="103">
        <f>COUNTIF(DonnéesBC[[#This Row],[92]:[101]],"Juste")</f>
        <v>6</v>
      </c>
      <c r="EG46" s="96">
        <f>SUM(DonnéesBC[[#This Row],[A]]+DonnéesBC[[#This Row],[B]]+DonnéesBC[[#This Row],[C]]+DonnéesBC[[#This Row],[D]]+DonnéesBC[[#This Row],[E]]+DonnéesBC[[#This Row],[F]]+DonnéesBC[[#This Row],[G]]+DonnéesBC[[#This Row],[H]])</f>
        <v>101</v>
      </c>
      <c r="EH46" s="97">
        <f>SUM(DonnéesBC[[#This Row],[A2]]+DonnéesBC[[#This Row],[B2]]+DonnéesBC[[#This Row],[C2]]+DonnéesBC[[#This Row],[D2]]+DonnéesBC[[#This Row],[E2]]+DonnéesBC[[#This Row],[F2]]+DonnéesBC[[#This Row],[G2]]+DonnéesBC[[#This Row],[H2]])</f>
        <v>35</v>
      </c>
      <c r="EI46" s="98">
        <f>SUM(DonnéesBC[[#This Row],[A3]]+DonnéesBC[[#This Row],[B3]]+DonnéesBC[[#This Row],[C3]]+DonnéesBC[[#This Row],[D3]]+DonnéesBC[[#This Row],[E3]]+DonnéesBC[[#This Row],[F3]]+DonnéesBC[[#This Row],[G3]]+DonnéesBC[[#This Row],[H3]])</f>
        <v>0</v>
      </c>
      <c r="EJ46" s="103">
        <f>SUM(DonnéesBC[[#This Row],[A4]]+DonnéesBC[[#This Row],[B4]]+DonnéesBC[[#This Row],[C4]]+DonnéesBC[[#This Row],[D4]]+DonnéesBC[[#This Row],[E4]]+DonnéesBC[[#This Row],[F4]]+DonnéesBC[[#This Row],[G4]]+DonnéesBC[[#This Row],[H4]])</f>
        <v>66</v>
      </c>
      <c r="EK46" s="95"/>
      <c r="EL46">
        <v>14</v>
      </c>
    </row>
    <row r="47" spans="1:142" ht="14" customHeight="1">
      <c r="A47" s="101" t="str">
        <f>DonnéesBC[[#This Row],[Prénom]]&amp;" "&amp;DonnéesBC[[#This Row],[Nom]]</f>
        <v>Miguel Gomes-Perdigao</v>
      </c>
      <c r="B47" s="97" t="s">
        <v>155</v>
      </c>
      <c r="C47" s="97" t="s">
        <v>50</v>
      </c>
      <c r="D47" s="136" t="s">
        <v>846</v>
      </c>
      <c r="E47" s="137" t="s">
        <v>846</v>
      </c>
      <c r="F47" s="137" t="s">
        <v>846</v>
      </c>
      <c r="G47" s="137" t="s">
        <v>846</v>
      </c>
      <c r="H47" s="137" t="s">
        <v>846</v>
      </c>
      <c r="I47" s="137" t="s">
        <v>846</v>
      </c>
      <c r="J47" s="137" t="s">
        <v>846</v>
      </c>
      <c r="K47" s="137" t="s">
        <v>846</v>
      </c>
      <c r="L47" s="137" t="s">
        <v>846</v>
      </c>
      <c r="M47" s="137" t="s">
        <v>846</v>
      </c>
      <c r="N47" s="137" t="s">
        <v>846</v>
      </c>
      <c r="O47" s="137" t="s">
        <v>846</v>
      </c>
      <c r="P47" s="137" t="s">
        <v>846</v>
      </c>
      <c r="Q47" s="137" t="b">
        <v>0</v>
      </c>
      <c r="R47" s="137" t="s">
        <v>846</v>
      </c>
      <c r="S47" s="138" t="s">
        <v>846</v>
      </c>
      <c r="T47" s="136" t="s">
        <v>846</v>
      </c>
      <c r="U47" s="137" t="s">
        <v>846</v>
      </c>
      <c r="V47" s="137" t="s">
        <v>846</v>
      </c>
      <c r="W47" s="137" t="s">
        <v>846</v>
      </c>
      <c r="X47" s="137" t="b">
        <v>0</v>
      </c>
      <c r="Y47" s="137" t="s">
        <v>846</v>
      </c>
      <c r="Z47" s="137" t="b">
        <v>0</v>
      </c>
      <c r="AA47" s="137" t="s">
        <v>846</v>
      </c>
      <c r="AB47" s="137" t="s">
        <v>846</v>
      </c>
      <c r="AC47" s="137" t="s">
        <v>846</v>
      </c>
      <c r="AD47" s="137" t="s">
        <v>846</v>
      </c>
      <c r="AE47" s="138" t="s">
        <v>846</v>
      </c>
      <c r="AF47" s="136" t="s">
        <v>846</v>
      </c>
      <c r="AG47" s="137" t="s">
        <v>846</v>
      </c>
      <c r="AH47" s="137" t="s">
        <v>846</v>
      </c>
      <c r="AI47" s="137" t="s">
        <v>846</v>
      </c>
      <c r="AJ47" s="137" t="s">
        <v>846</v>
      </c>
      <c r="AK47" s="137" t="s">
        <v>846</v>
      </c>
      <c r="AL47" s="137" t="s">
        <v>846</v>
      </c>
      <c r="AM47" s="137" t="b">
        <v>0</v>
      </c>
      <c r="AN47" s="138" t="s">
        <v>846</v>
      </c>
      <c r="AO47" s="136" t="s">
        <v>846</v>
      </c>
      <c r="AP47" s="137" t="s">
        <v>846</v>
      </c>
      <c r="AQ47" s="137" t="s">
        <v>846</v>
      </c>
      <c r="AR47" s="137" t="s">
        <v>846</v>
      </c>
      <c r="AS47" s="137" t="b">
        <v>0</v>
      </c>
      <c r="AT47" s="137" t="s">
        <v>846</v>
      </c>
      <c r="AU47" s="137" t="s">
        <v>846</v>
      </c>
      <c r="AV47" s="137" t="s">
        <v>846</v>
      </c>
      <c r="AW47" s="137" t="s">
        <v>846</v>
      </c>
      <c r="AX47" s="137" t="s">
        <v>846</v>
      </c>
      <c r="AY47" s="137" t="b">
        <v>0</v>
      </c>
      <c r="AZ47" s="137" t="s">
        <v>846</v>
      </c>
      <c r="BA47" s="138" t="s">
        <v>846</v>
      </c>
      <c r="BB47" s="136" t="s">
        <v>846</v>
      </c>
      <c r="BC47" s="137" t="s">
        <v>846</v>
      </c>
      <c r="BD47" s="137" t="s">
        <v>846</v>
      </c>
      <c r="BE47" s="137" t="s">
        <v>846</v>
      </c>
      <c r="BF47" s="137" t="b">
        <v>0</v>
      </c>
      <c r="BG47" s="137" t="s">
        <v>846</v>
      </c>
      <c r="BH47" s="137" t="s">
        <v>846</v>
      </c>
      <c r="BI47" s="137" t="s">
        <v>846</v>
      </c>
      <c r="BJ47" s="137" t="s">
        <v>846</v>
      </c>
      <c r="BK47" s="137" t="s">
        <v>846</v>
      </c>
      <c r="BL47" s="137" t="s">
        <v>846</v>
      </c>
      <c r="BM47" s="137" t="s">
        <v>846</v>
      </c>
      <c r="BN47" s="137" t="s">
        <v>846</v>
      </c>
      <c r="BO47" s="137" t="b">
        <v>0</v>
      </c>
      <c r="BP47" s="137" t="b">
        <v>0</v>
      </c>
      <c r="BQ47" s="138" t="s">
        <v>846</v>
      </c>
      <c r="BR47" s="136" t="s">
        <v>846</v>
      </c>
      <c r="BS47" s="137" t="s">
        <v>846</v>
      </c>
      <c r="BT47" s="137" t="s">
        <v>846</v>
      </c>
      <c r="BU47" s="137" t="s">
        <v>846</v>
      </c>
      <c r="BV47" s="137" t="s">
        <v>846</v>
      </c>
      <c r="BW47" s="137" t="s">
        <v>846</v>
      </c>
      <c r="BX47" s="137" t="b">
        <v>0</v>
      </c>
      <c r="BY47" s="137" t="s">
        <v>846</v>
      </c>
      <c r="BZ47" s="137" t="s">
        <v>840</v>
      </c>
      <c r="CA47" s="137" t="s">
        <v>846</v>
      </c>
      <c r="CB47" s="138" t="s">
        <v>846</v>
      </c>
      <c r="CC47" s="136" t="b">
        <v>0</v>
      </c>
      <c r="CD47" s="137" t="s">
        <v>846</v>
      </c>
      <c r="CE47" s="137" t="s">
        <v>846</v>
      </c>
      <c r="CF47" s="137" t="s">
        <v>846</v>
      </c>
      <c r="CG47" s="137" t="s">
        <v>846</v>
      </c>
      <c r="CH47" s="137" t="s">
        <v>846</v>
      </c>
      <c r="CI47" s="137" t="s">
        <v>846</v>
      </c>
      <c r="CJ47" s="137" t="s">
        <v>846</v>
      </c>
      <c r="CK47" s="137" t="s">
        <v>846</v>
      </c>
      <c r="CL47" s="137" t="s">
        <v>846</v>
      </c>
      <c r="CM47" s="137" t="s">
        <v>846</v>
      </c>
      <c r="CN47" s="137" t="s">
        <v>846</v>
      </c>
      <c r="CO47" s="137" t="s">
        <v>840</v>
      </c>
      <c r="CP47" s="138" t="s">
        <v>846</v>
      </c>
      <c r="CQ47" s="136" t="s">
        <v>846</v>
      </c>
      <c r="CR47" s="137" t="s">
        <v>846</v>
      </c>
      <c r="CS47" s="137" t="s">
        <v>846</v>
      </c>
      <c r="CT47" s="137" t="b">
        <v>0</v>
      </c>
      <c r="CU47" s="137" t="s">
        <v>846</v>
      </c>
      <c r="CV47" s="137" t="s">
        <v>846</v>
      </c>
      <c r="CW47" s="137" t="s">
        <v>846</v>
      </c>
      <c r="CX47" s="137" t="s">
        <v>846</v>
      </c>
      <c r="CY47" s="137" t="b">
        <v>0</v>
      </c>
      <c r="CZ47" s="138" t="s">
        <v>846</v>
      </c>
      <c r="DA47" s="96">
        <v>16</v>
      </c>
      <c r="DB47" s="103">
        <f>COUNTIF(DonnéesBC[[#This Row],[1]:[16]],"FAUX")</f>
        <v>1</v>
      </c>
      <c r="DC47" s="103">
        <f>COUNTIF(DonnéesBC[[#This Row],[1]:[16]],"Je ne sais pas")</f>
        <v>0</v>
      </c>
      <c r="DD47" s="103">
        <f>COUNTIF(DonnéesBC[[#This Row],[1]:[16]],"Juste")</f>
        <v>15</v>
      </c>
      <c r="DE47" s="96">
        <v>12</v>
      </c>
      <c r="DF47" s="103">
        <f>COUNTIF(DonnéesBC[[#This Row],[17]:[28]],"FAUX")</f>
        <v>2</v>
      </c>
      <c r="DG47" s="103">
        <f>COUNTIF(DonnéesBC[[#This Row],[17]:[28]],"Je ne sais pas")</f>
        <v>0</v>
      </c>
      <c r="DH47" s="103">
        <f>COUNTIF(DonnéesBC[[#This Row],[17]:[28]],"Juste")</f>
        <v>10</v>
      </c>
      <c r="DI47" s="96">
        <v>9</v>
      </c>
      <c r="DJ47" s="103">
        <f>COUNTIF(DonnéesBC[[#This Row],[29]:[37]],"FAUX")</f>
        <v>1</v>
      </c>
      <c r="DK47" s="103">
        <f>COUNTIF(DonnéesBC[[#This Row],[29]:[37]],"Je ne sais pas")</f>
        <v>0</v>
      </c>
      <c r="DL47" s="103">
        <f>COUNTIF(DonnéesBC[[#This Row],[29]:[37]],"Juste")</f>
        <v>8</v>
      </c>
      <c r="DM47" s="96">
        <v>13</v>
      </c>
      <c r="DN47" s="103">
        <f>COUNTIF(DonnéesBC[[#This Row],[38]:[50]],"FAUX")</f>
        <v>2</v>
      </c>
      <c r="DO47" s="103">
        <f>COUNTIF(DonnéesBC[[#This Row],[38]:[50]],"Je ne sais pas")</f>
        <v>0</v>
      </c>
      <c r="DP47" s="103">
        <f>COUNTIF(DonnéesBC[[#This Row],[38]:[50]],"Juste")</f>
        <v>11</v>
      </c>
      <c r="DQ47" s="96">
        <v>16</v>
      </c>
      <c r="DR47" s="103">
        <f>COUNTIF(DonnéesBC[[#This Row],[51]:[66]],"FAUX")</f>
        <v>3</v>
      </c>
      <c r="DS47" s="103">
        <f>COUNTIF(DonnéesBC[[#This Row],[51]:[66]],"Je ne sais pas")</f>
        <v>0</v>
      </c>
      <c r="DT47" s="103">
        <f>COUNTIF(DonnéesBC[[#This Row],[51]:[66]],"Juste")</f>
        <v>13</v>
      </c>
      <c r="DU47" s="96">
        <v>11</v>
      </c>
      <c r="DV47" s="103">
        <f>COUNTIF(DonnéesBC[[#This Row],[67]:[77]],"FAUX")</f>
        <v>1</v>
      </c>
      <c r="DW47" s="103">
        <f>COUNTIF(DonnéesBC[[#This Row],[67]:[77]],"Je ne sais pas")</f>
        <v>1</v>
      </c>
      <c r="DX47" s="103">
        <f>COUNTIF(DonnéesBC[[#This Row],[67]:[77]],"Juste")</f>
        <v>9</v>
      </c>
      <c r="DY47" s="96">
        <v>14</v>
      </c>
      <c r="DZ47" s="103">
        <f>COUNTIF(DonnéesBC[[#This Row],[78]:[91]],"FAUX")</f>
        <v>1</v>
      </c>
      <c r="EA47" s="103">
        <f>COUNTIF(DonnéesBC[[#This Row],[78]:[91]],"Je ne sais pas")</f>
        <v>1</v>
      </c>
      <c r="EB47" s="103">
        <f>COUNTIF(DonnéesBC[[#This Row],[78]:[91]],"Juste")</f>
        <v>12</v>
      </c>
      <c r="EC47" s="96">
        <v>10</v>
      </c>
      <c r="ED47" s="103">
        <f>COUNTIF(DonnéesBC[[#This Row],[92]:[101]],"FAUX")</f>
        <v>2</v>
      </c>
      <c r="EE47" s="103">
        <f>COUNTIF(DonnéesBC[[#This Row],[92]:[101]],"Je ne sais pas")</f>
        <v>0</v>
      </c>
      <c r="EF47" s="103">
        <f>COUNTIF(DonnéesBC[[#This Row],[92]:[101]],"Juste")</f>
        <v>8</v>
      </c>
      <c r="EG47" s="96">
        <f>SUM(DonnéesBC[[#This Row],[A]]+DonnéesBC[[#This Row],[B]]+DonnéesBC[[#This Row],[C]]+DonnéesBC[[#This Row],[D]]+DonnéesBC[[#This Row],[E]]+DonnéesBC[[#This Row],[F]]+DonnéesBC[[#This Row],[G]]+DonnéesBC[[#This Row],[H]])</f>
        <v>101</v>
      </c>
      <c r="EH47" s="97">
        <f>SUM(DonnéesBC[[#This Row],[A2]]+DonnéesBC[[#This Row],[B2]]+DonnéesBC[[#This Row],[C2]]+DonnéesBC[[#This Row],[D2]]+DonnéesBC[[#This Row],[E2]]+DonnéesBC[[#This Row],[F2]]+DonnéesBC[[#This Row],[G2]]+DonnéesBC[[#This Row],[H2]])</f>
        <v>13</v>
      </c>
      <c r="EI47" s="98">
        <f>SUM(DonnéesBC[[#This Row],[A3]]+DonnéesBC[[#This Row],[B3]]+DonnéesBC[[#This Row],[C3]]+DonnéesBC[[#This Row],[D3]]+DonnéesBC[[#This Row],[E3]]+DonnéesBC[[#This Row],[F3]]+DonnéesBC[[#This Row],[G3]]+DonnéesBC[[#This Row],[H3]])</f>
        <v>2</v>
      </c>
      <c r="EJ47" s="103">
        <f>SUM(DonnéesBC[[#This Row],[A4]]+DonnéesBC[[#This Row],[B4]]+DonnéesBC[[#This Row],[C4]]+DonnéesBC[[#This Row],[D4]]+DonnéesBC[[#This Row],[E4]]+DonnéesBC[[#This Row],[F4]]+DonnéesBC[[#This Row],[G4]]+DonnéesBC[[#This Row],[H4]])</f>
        <v>86</v>
      </c>
      <c r="EK47" s="95" t="s">
        <v>688</v>
      </c>
      <c r="EL47">
        <v>14</v>
      </c>
    </row>
    <row r="48" spans="1:142" ht="14" customHeight="1">
      <c r="A48" s="101" t="str">
        <f>DonnéesBC[[#This Row],[Prénom]]&amp;" "&amp;DonnéesBC[[#This Row],[Nom]]</f>
        <v>Ondrej Bechyne</v>
      </c>
      <c r="B48" s="97" t="s">
        <v>158</v>
      </c>
      <c r="C48" s="97" t="s">
        <v>159</v>
      </c>
      <c r="D48" s="132" t="b">
        <v>0</v>
      </c>
      <c r="E48" s="133" t="s">
        <v>846</v>
      </c>
      <c r="F48" s="133" t="s">
        <v>846</v>
      </c>
      <c r="G48" s="133" t="s">
        <v>846</v>
      </c>
      <c r="H48" s="133" t="s">
        <v>846</v>
      </c>
      <c r="I48" s="133" t="s">
        <v>846</v>
      </c>
      <c r="J48" s="133" t="s">
        <v>846</v>
      </c>
      <c r="K48" s="133" t="b">
        <v>0</v>
      </c>
      <c r="L48" s="133" t="s">
        <v>846</v>
      </c>
      <c r="M48" s="133" t="s">
        <v>846</v>
      </c>
      <c r="N48" s="133" t="s">
        <v>846</v>
      </c>
      <c r="O48" s="133" t="b">
        <v>0</v>
      </c>
      <c r="P48" s="133" t="b">
        <v>0</v>
      </c>
      <c r="Q48" s="133" t="s">
        <v>840</v>
      </c>
      <c r="R48" s="133" t="s">
        <v>846</v>
      </c>
      <c r="S48" s="135" t="s">
        <v>840</v>
      </c>
      <c r="T48" s="132" t="s">
        <v>846</v>
      </c>
      <c r="U48" s="133" t="b">
        <v>0</v>
      </c>
      <c r="V48" s="133" t="b">
        <v>0</v>
      </c>
      <c r="W48" s="133" t="b">
        <v>0</v>
      </c>
      <c r="X48" s="133" t="s">
        <v>840</v>
      </c>
      <c r="Y48" s="133" t="s">
        <v>846</v>
      </c>
      <c r="Z48" s="133" t="s">
        <v>846</v>
      </c>
      <c r="AA48" s="133" t="s">
        <v>846</v>
      </c>
      <c r="AB48" s="133" t="b">
        <v>0</v>
      </c>
      <c r="AC48" s="133" t="b">
        <v>0</v>
      </c>
      <c r="AD48" s="133" t="s">
        <v>846</v>
      </c>
      <c r="AE48" s="135" t="b">
        <v>0</v>
      </c>
      <c r="AF48" s="132" t="b">
        <v>0</v>
      </c>
      <c r="AG48" s="133" t="s">
        <v>846</v>
      </c>
      <c r="AH48" s="133" t="b">
        <v>0</v>
      </c>
      <c r="AI48" s="133" t="b">
        <v>0</v>
      </c>
      <c r="AJ48" s="133" t="s">
        <v>846</v>
      </c>
      <c r="AK48" s="133" t="s">
        <v>846</v>
      </c>
      <c r="AL48" s="133" t="s">
        <v>846</v>
      </c>
      <c r="AM48" s="133" t="b">
        <v>0</v>
      </c>
      <c r="AN48" s="135" t="s">
        <v>840</v>
      </c>
      <c r="AO48" s="132" t="s">
        <v>840</v>
      </c>
      <c r="AP48" s="133" t="s">
        <v>846</v>
      </c>
      <c r="AQ48" s="133" t="s">
        <v>846</v>
      </c>
      <c r="AR48" s="133" t="s">
        <v>846</v>
      </c>
      <c r="AS48" s="133" t="s">
        <v>846</v>
      </c>
      <c r="AT48" s="133" t="s">
        <v>846</v>
      </c>
      <c r="AU48" s="133" t="b">
        <v>0</v>
      </c>
      <c r="AV48" s="133" t="s">
        <v>846</v>
      </c>
      <c r="AW48" s="133" t="s">
        <v>846</v>
      </c>
      <c r="AX48" s="133" t="b">
        <v>0</v>
      </c>
      <c r="AY48" s="133" t="s">
        <v>846</v>
      </c>
      <c r="AZ48" s="133" t="s">
        <v>840</v>
      </c>
      <c r="BA48" s="135" t="s">
        <v>846</v>
      </c>
      <c r="BB48" s="132" t="s">
        <v>846</v>
      </c>
      <c r="BC48" s="133" t="s">
        <v>846</v>
      </c>
      <c r="BD48" s="133" t="s">
        <v>846</v>
      </c>
      <c r="BE48" s="133" t="s">
        <v>846</v>
      </c>
      <c r="BF48" s="133" t="b">
        <v>0</v>
      </c>
      <c r="BG48" s="133" t="s">
        <v>840</v>
      </c>
      <c r="BH48" s="133" t="b">
        <v>0</v>
      </c>
      <c r="BI48" s="133" t="s">
        <v>846</v>
      </c>
      <c r="BJ48" s="133" t="s">
        <v>846</v>
      </c>
      <c r="BK48" s="133" t="b">
        <v>0</v>
      </c>
      <c r="BL48" s="133" t="s">
        <v>846</v>
      </c>
      <c r="BM48" s="133" t="s">
        <v>846</v>
      </c>
      <c r="BN48" s="133" t="b">
        <v>0</v>
      </c>
      <c r="BO48" s="133" t="s">
        <v>846</v>
      </c>
      <c r="BP48" s="133" t="s">
        <v>840</v>
      </c>
      <c r="BQ48" s="135" t="s">
        <v>840</v>
      </c>
      <c r="BR48" s="132" t="s">
        <v>846</v>
      </c>
      <c r="BS48" s="133" t="s">
        <v>846</v>
      </c>
      <c r="BT48" s="133" t="s">
        <v>846</v>
      </c>
      <c r="BU48" s="133" t="s">
        <v>840</v>
      </c>
      <c r="BV48" s="133" t="s">
        <v>846</v>
      </c>
      <c r="BW48" s="133" t="s">
        <v>840</v>
      </c>
      <c r="BX48" s="133" t="s">
        <v>846</v>
      </c>
      <c r="BY48" s="133" t="s">
        <v>846</v>
      </c>
      <c r="BZ48" s="133" t="b">
        <v>0</v>
      </c>
      <c r="CA48" s="133" t="s">
        <v>840</v>
      </c>
      <c r="CB48" s="135" t="s">
        <v>840</v>
      </c>
      <c r="CC48" s="132" t="s">
        <v>840</v>
      </c>
      <c r="CD48" s="133" t="s">
        <v>846</v>
      </c>
      <c r="CE48" s="133" t="b">
        <v>0</v>
      </c>
      <c r="CF48" s="133" t="b">
        <v>0</v>
      </c>
      <c r="CG48" s="133" t="s">
        <v>846</v>
      </c>
      <c r="CH48" s="133" t="s">
        <v>846</v>
      </c>
      <c r="CI48" s="133" t="s">
        <v>846</v>
      </c>
      <c r="CJ48" s="133" t="s">
        <v>846</v>
      </c>
      <c r="CK48" s="133" t="s">
        <v>846</v>
      </c>
      <c r="CL48" s="133" t="b">
        <v>0</v>
      </c>
      <c r="CM48" s="133" t="s">
        <v>840</v>
      </c>
      <c r="CN48" s="133" t="b">
        <v>0</v>
      </c>
      <c r="CO48" s="133" t="s">
        <v>840</v>
      </c>
      <c r="CP48" s="135" t="b">
        <v>0</v>
      </c>
      <c r="CQ48" s="132" t="b">
        <v>0</v>
      </c>
      <c r="CR48" s="133" t="s">
        <v>846</v>
      </c>
      <c r="CS48" s="133" t="s">
        <v>846</v>
      </c>
      <c r="CT48" s="133" t="s">
        <v>840</v>
      </c>
      <c r="CU48" s="133" t="b">
        <v>0</v>
      </c>
      <c r="CV48" s="133" t="b">
        <v>0</v>
      </c>
      <c r="CW48" s="133" t="s">
        <v>840</v>
      </c>
      <c r="CX48" s="133" t="s">
        <v>846</v>
      </c>
      <c r="CY48" s="133" t="s">
        <v>846</v>
      </c>
      <c r="CZ48" s="135" t="b">
        <v>0</v>
      </c>
      <c r="DA48" s="96">
        <v>16</v>
      </c>
      <c r="DB48" s="103">
        <f>COUNTIF(DonnéesBC[[#This Row],[1]:[16]],"FAUX")</f>
        <v>4</v>
      </c>
      <c r="DC48" s="103">
        <f>COUNTIF(DonnéesBC[[#This Row],[1]:[16]],"Je ne sais pas")</f>
        <v>2</v>
      </c>
      <c r="DD48" s="103">
        <f>COUNTIF(DonnéesBC[[#This Row],[1]:[16]],"Juste")</f>
        <v>10</v>
      </c>
      <c r="DE48" s="96">
        <v>12</v>
      </c>
      <c r="DF48" s="103">
        <f>COUNTIF(DonnéesBC[[#This Row],[17]:[28]],"FAUX")</f>
        <v>6</v>
      </c>
      <c r="DG48" s="103">
        <f>COUNTIF(DonnéesBC[[#This Row],[17]:[28]],"Je ne sais pas")</f>
        <v>1</v>
      </c>
      <c r="DH48" s="103">
        <f>COUNTIF(DonnéesBC[[#This Row],[17]:[28]],"Juste")</f>
        <v>5</v>
      </c>
      <c r="DI48" s="96">
        <v>9</v>
      </c>
      <c r="DJ48" s="103">
        <f>COUNTIF(DonnéesBC[[#This Row],[29]:[37]],"FAUX")</f>
        <v>4</v>
      </c>
      <c r="DK48" s="103">
        <f>COUNTIF(DonnéesBC[[#This Row],[29]:[37]],"Je ne sais pas")</f>
        <v>1</v>
      </c>
      <c r="DL48" s="103">
        <f>COUNTIF(DonnéesBC[[#This Row],[29]:[37]],"Juste")</f>
        <v>4</v>
      </c>
      <c r="DM48" s="96">
        <v>13</v>
      </c>
      <c r="DN48" s="103">
        <f>COUNTIF(DonnéesBC[[#This Row],[38]:[50]],"FAUX")</f>
        <v>2</v>
      </c>
      <c r="DO48" s="103">
        <f>COUNTIF(DonnéesBC[[#This Row],[38]:[50]],"Je ne sais pas")</f>
        <v>2</v>
      </c>
      <c r="DP48" s="103">
        <f>COUNTIF(DonnéesBC[[#This Row],[38]:[50]],"Juste")</f>
        <v>9</v>
      </c>
      <c r="DQ48" s="96">
        <v>16</v>
      </c>
      <c r="DR48" s="103">
        <f>COUNTIF(DonnéesBC[[#This Row],[51]:[66]],"FAUX")</f>
        <v>4</v>
      </c>
      <c r="DS48" s="103">
        <f>COUNTIF(DonnéesBC[[#This Row],[51]:[66]],"Je ne sais pas")</f>
        <v>3</v>
      </c>
      <c r="DT48" s="103">
        <f>COUNTIF(DonnéesBC[[#This Row],[51]:[66]],"Juste")</f>
        <v>9</v>
      </c>
      <c r="DU48" s="96">
        <v>11</v>
      </c>
      <c r="DV48" s="103">
        <f>COUNTIF(DonnéesBC[[#This Row],[67]:[77]],"FAUX")</f>
        <v>1</v>
      </c>
      <c r="DW48" s="103">
        <f>COUNTIF(DonnéesBC[[#This Row],[67]:[77]],"Je ne sais pas")</f>
        <v>4</v>
      </c>
      <c r="DX48" s="103">
        <f>COUNTIF(DonnéesBC[[#This Row],[67]:[77]],"Juste")</f>
        <v>6</v>
      </c>
      <c r="DY48" s="96">
        <v>14</v>
      </c>
      <c r="DZ48" s="103">
        <f>COUNTIF(DonnéesBC[[#This Row],[78]:[91]],"FAUX")</f>
        <v>5</v>
      </c>
      <c r="EA48" s="103">
        <f>COUNTIF(DonnéesBC[[#This Row],[78]:[91]],"Je ne sais pas")</f>
        <v>3</v>
      </c>
      <c r="EB48" s="103">
        <f>COUNTIF(DonnéesBC[[#This Row],[78]:[91]],"Juste")</f>
        <v>6</v>
      </c>
      <c r="EC48" s="96">
        <v>10</v>
      </c>
      <c r="ED48" s="103">
        <f>COUNTIF(DonnéesBC[[#This Row],[92]:[101]],"FAUX")</f>
        <v>4</v>
      </c>
      <c r="EE48" s="103">
        <f>COUNTIF(DonnéesBC[[#This Row],[92]:[101]],"Je ne sais pas")</f>
        <v>2</v>
      </c>
      <c r="EF48" s="103">
        <f>COUNTIF(DonnéesBC[[#This Row],[92]:[101]],"Juste")</f>
        <v>4</v>
      </c>
      <c r="EG48" s="96">
        <f>SUM(DonnéesBC[[#This Row],[A]]+DonnéesBC[[#This Row],[B]]+DonnéesBC[[#This Row],[C]]+DonnéesBC[[#This Row],[D]]+DonnéesBC[[#This Row],[E]]+DonnéesBC[[#This Row],[F]]+DonnéesBC[[#This Row],[G]]+DonnéesBC[[#This Row],[H]])</f>
        <v>101</v>
      </c>
      <c r="EH48" s="97">
        <f>SUM(DonnéesBC[[#This Row],[A2]]+DonnéesBC[[#This Row],[B2]]+DonnéesBC[[#This Row],[C2]]+DonnéesBC[[#This Row],[D2]]+DonnéesBC[[#This Row],[E2]]+DonnéesBC[[#This Row],[F2]]+DonnéesBC[[#This Row],[G2]]+DonnéesBC[[#This Row],[H2]])</f>
        <v>30</v>
      </c>
      <c r="EI48" s="98">
        <f>SUM(DonnéesBC[[#This Row],[A3]]+DonnéesBC[[#This Row],[B3]]+DonnéesBC[[#This Row],[C3]]+DonnéesBC[[#This Row],[D3]]+DonnéesBC[[#This Row],[E3]]+DonnéesBC[[#This Row],[F3]]+DonnéesBC[[#This Row],[G3]]+DonnéesBC[[#This Row],[H3]])</f>
        <v>18</v>
      </c>
      <c r="EJ48" s="103">
        <f>SUM(DonnéesBC[[#This Row],[A4]]+DonnéesBC[[#This Row],[B4]]+DonnéesBC[[#This Row],[C4]]+DonnéesBC[[#This Row],[D4]]+DonnéesBC[[#This Row],[E4]]+DonnéesBC[[#This Row],[F4]]+DonnéesBC[[#This Row],[G4]]+DonnéesBC[[#This Row],[H4]])</f>
        <v>53</v>
      </c>
      <c r="EK48" s="95"/>
      <c r="EL48">
        <v>12</v>
      </c>
    </row>
    <row r="49" spans="1:142" ht="14" customHeight="1">
      <c r="A49" s="101" t="str">
        <f>DonnéesBC[[#This Row],[Prénom]]&amp;" "&amp;DonnéesBC[[#This Row],[Nom]]</f>
        <v>Paulo Santos</v>
      </c>
      <c r="B49" s="98" t="s">
        <v>320</v>
      </c>
      <c r="C49" s="98" t="s">
        <v>321</v>
      </c>
      <c r="D49" s="136" t="b">
        <v>0</v>
      </c>
      <c r="E49" s="137" t="s">
        <v>846</v>
      </c>
      <c r="F49" s="137" t="s">
        <v>846</v>
      </c>
      <c r="G49" s="137" t="b">
        <v>0</v>
      </c>
      <c r="H49" s="137" t="s">
        <v>846</v>
      </c>
      <c r="I49" s="137" t="s">
        <v>846</v>
      </c>
      <c r="J49" s="137" t="s">
        <v>846</v>
      </c>
      <c r="K49" s="137" t="b">
        <v>0</v>
      </c>
      <c r="L49" s="137" t="s">
        <v>846</v>
      </c>
      <c r="M49" s="137" t="s">
        <v>846</v>
      </c>
      <c r="N49" s="137" t="b">
        <v>0</v>
      </c>
      <c r="O49" s="137" t="s">
        <v>846</v>
      </c>
      <c r="P49" s="137" t="b">
        <v>0</v>
      </c>
      <c r="Q49" s="137" t="b">
        <v>0</v>
      </c>
      <c r="R49" s="137" t="s">
        <v>846</v>
      </c>
      <c r="S49" s="139" t="b">
        <v>0</v>
      </c>
      <c r="T49" s="136" t="s">
        <v>846</v>
      </c>
      <c r="U49" s="137" t="s">
        <v>846</v>
      </c>
      <c r="V49" s="137" t="s">
        <v>846</v>
      </c>
      <c r="W49" s="137" t="b">
        <v>0</v>
      </c>
      <c r="X49" s="137" t="s">
        <v>846</v>
      </c>
      <c r="Y49" s="137" t="s">
        <v>846</v>
      </c>
      <c r="Z49" s="137" t="b">
        <v>0</v>
      </c>
      <c r="AA49" s="137" t="s">
        <v>846</v>
      </c>
      <c r="AB49" s="137" t="s">
        <v>846</v>
      </c>
      <c r="AC49" s="137" t="b">
        <v>0</v>
      </c>
      <c r="AD49" s="137" t="b">
        <v>0</v>
      </c>
      <c r="AE49" s="139" t="s">
        <v>846</v>
      </c>
      <c r="AF49" s="136" t="s">
        <v>846</v>
      </c>
      <c r="AG49" s="137" t="s">
        <v>846</v>
      </c>
      <c r="AH49" s="137" t="b">
        <v>0</v>
      </c>
      <c r="AI49" s="137" t="b">
        <v>0</v>
      </c>
      <c r="AJ49" s="137" t="s">
        <v>846</v>
      </c>
      <c r="AK49" s="137" t="b">
        <v>0</v>
      </c>
      <c r="AL49" s="137" t="s">
        <v>846</v>
      </c>
      <c r="AM49" s="137" t="s">
        <v>846</v>
      </c>
      <c r="AN49" s="139" t="s">
        <v>846</v>
      </c>
      <c r="AO49" s="136" t="b">
        <v>0</v>
      </c>
      <c r="AP49" s="137" t="s">
        <v>846</v>
      </c>
      <c r="AQ49" s="137" t="s">
        <v>846</v>
      </c>
      <c r="AR49" s="137" t="s">
        <v>846</v>
      </c>
      <c r="AS49" s="137" t="b">
        <v>0</v>
      </c>
      <c r="AT49" s="137" t="s">
        <v>846</v>
      </c>
      <c r="AU49" s="137" t="s">
        <v>846</v>
      </c>
      <c r="AV49" s="137" t="s">
        <v>846</v>
      </c>
      <c r="AW49" s="137" t="s">
        <v>846</v>
      </c>
      <c r="AX49" s="137" t="s">
        <v>846</v>
      </c>
      <c r="AY49" s="137" t="s">
        <v>846</v>
      </c>
      <c r="AZ49" s="137" t="s">
        <v>846</v>
      </c>
      <c r="BA49" s="139" t="s">
        <v>846</v>
      </c>
      <c r="BB49" s="136" t="s">
        <v>846</v>
      </c>
      <c r="BC49" s="137" t="s">
        <v>846</v>
      </c>
      <c r="BD49" s="137" t="s">
        <v>846</v>
      </c>
      <c r="BE49" s="137" t="s">
        <v>846</v>
      </c>
      <c r="BF49" s="137" t="b">
        <v>0</v>
      </c>
      <c r="BG49" s="137" t="s">
        <v>846</v>
      </c>
      <c r="BH49" s="137" t="s">
        <v>846</v>
      </c>
      <c r="BI49" s="137" t="s">
        <v>846</v>
      </c>
      <c r="BJ49" s="137" t="s">
        <v>846</v>
      </c>
      <c r="BK49" s="137" t="s">
        <v>846</v>
      </c>
      <c r="BL49" s="137" t="b">
        <v>0</v>
      </c>
      <c r="BM49" s="137" t="b">
        <v>0</v>
      </c>
      <c r="BN49" s="137" t="b">
        <v>0</v>
      </c>
      <c r="BO49" s="137" t="s">
        <v>846</v>
      </c>
      <c r="BP49" s="137" t="b">
        <v>0</v>
      </c>
      <c r="BQ49" s="139" t="s">
        <v>846</v>
      </c>
      <c r="BR49" s="136" t="s">
        <v>846</v>
      </c>
      <c r="BS49" s="137" t="s">
        <v>846</v>
      </c>
      <c r="BT49" s="137" t="s">
        <v>846</v>
      </c>
      <c r="BU49" s="137" t="b">
        <v>0</v>
      </c>
      <c r="BV49" s="137" t="s">
        <v>846</v>
      </c>
      <c r="BW49" s="137" t="b">
        <v>0</v>
      </c>
      <c r="BX49" s="137" t="s">
        <v>846</v>
      </c>
      <c r="BY49" s="137" t="s">
        <v>846</v>
      </c>
      <c r="BZ49" s="137" t="b">
        <v>0</v>
      </c>
      <c r="CA49" s="137" t="b">
        <v>0</v>
      </c>
      <c r="CB49" s="139" t="b">
        <v>0</v>
      </c>
      <c r="CC49" s="136" t="b">
        <v>0</v>
      </c>
      <c r="CD49" s="137" t="s">
        <v>846</v>
      </c>
      <c r="CE49" s="137" t="b">
        <v>0</v>
      </c>
      <c r="CF49" s="137" t="s">
        <v>846</v>
      </c>
      <c r="CG49" s="137" t="s">
        <v>846</v>
      </c>
      <c r="CH49" s="137" t="s">
        <v>846</v>
      </c>
      <c r="CI49" s="137" t="s">
        <v>846</v>
      </c>
      <c r="CJ49" s="137" t="s">
        <v>846</v>
      </c>
      <c r="CK49" s="137" t="s">
        <v>846</v>
      </c>
      <c r="CL49" s="137" t="s">
        <v>846</v>
      </c>
      <c r="CM49" s="137" t="b">
        <v>0</v>
      </c>
      <c r="CN49" s="137" t="s">
        <v>846</v>
      </c>
      <c r="CO49" s="137" t="b">
        <v>0</v>
      </c>
      <c r="CP49" s="139" t="b">
        <v>0</v>
      </c>
      <c r="CQ49" s="136" t="b">
        <v>0</v>
      </c>
      <c r="CR49" s="137" t="s">
        <v>846</v>
      </c>
      <c r="CS49" s="137" t="b">
        <v>0</v>
      </c>
      <c r="CT49" s="137" t="b">
        <v>0</v>
      </c>
      <c r="CU49" s="137" t="s">
        <v>846</v>
      </c>
      <c r="CV49" s="137" t="s">
        <v>846</v>
      </c>
      <c r="CW49" s="137" t="b">
        <v>0</v>
      </c>
      <c r="CX49" s="137" t="s">
        <v>846</v>
      </c>
      <c r="CY49" s="137" t="b">
        <v>0</v>
      </c>
      <c r="CZ49" s="138" t="s">
        <v>840</v>
      </c>
      <c r="DA49" s="96">
        <v>16</v>
      </c>
      <c r="DB49" s="103">
        <f>COUNTIF(DonnéesBC[[#This Row],[1]:[16]],"FAUX")</f>
        <v>7</v>
      </c>
      <c r="DC49" s="103">
        <f>COUNTIF(DonnéesBC[[#This Row],[1]:[16]],"Je ne sais pas")</f>
        <v>0</v>
      </c>
      <c r="DD49" s="103">
        <f>COUNTIF(DonnéesBC[[#This Row],[1]:[16]],"Juste")</f>
        <v>9</v>
      </c>
      <c r="DE49" s="96">
        <v>12</v>
      </c>
      <c r="DF49" s="103">
        <f>COUNTIF(DonnéesBC[[#This Row],[17]:[28]],"FAUX")</f>
        <v>4</v>
      </c>
      <c r="DG49" s="103">
        <f>COUNTIF(DonnéesBC[[#This Row],[17]:[28]],"Je ne sais pas")</f>
        <v>0</v>
      </c>
      <c r="DH49" s="103">
        <f>COUNTIF(DonnéesBC[[#This Row],[17]:[28]],"Juste")</f>
        <v>8</v>
      </c>
      <c r="DI49" s="96">
        <v>9</v>
      </c>
      <c r="DJ49" s="103">
        <f>COUNTIF(DonnéesBC[[#This Row],[29]:[37]],"FAUX")</f>
        <v>3</v>
      </c>
      <c r="DK49" s="103">
        <f>COUNTIF(DonnéesBC[[#This Row],[29]:[37]],"Je ne sais pas")</f>
        <v>0</v>
      </c>
      <c r="DL49" s="103">
        <f>COUNTIF(DonnéesBC[[#This Row],[29]:[37]],"Juste")</f>
        <v>6</v>
      </c>
      <c r="DM49" s="96">
        <v>13</v>
      </c>
      <c r="DN49" s="103">
        <f>COUNTIF(DonnéesBC[[#This Row],[38]:[50]],"FAUX")</f>
        <v>2</v>
      </c>
      <c r="DO49" s="103">
        <f>COUNTIF(DonnéesBC[[#This Row],[38]:[50]],"Je ne sais pas")</f>
        <v>0</v>
      </c>
      <c r="DP49" s="103">
        <f>COUNTIF(DonnéesBC[[#This Row],[38]:[50]],"Juste")</f>
        <v>11</v>
      </c>
      <c r="DQ49" s="96">
        <v>16</v>
      </c>
      <c r="DR49" s="103">
        <f>COUNTIF(DonnéesBC[[#This Row],[51]:[66]],"FAUX")</f>
        <v>5</v>
      </c>
      <c r="DS49" s="103">
        <f>COUNTIF(DonnéesBC[[#This Row],[51]:[66]],"Je ne sais pas")</f>
        <v>0</v>
      </c>
      <c r="DT49" s="103">
        <f>COUNTIF(DonnéesBC[[#This Row],[51]:[66]],"Juste")</f>
        <v>11</v>
      </c>
      <c r="DU49" s="96">
        <v>11</v>
      </c>
      <c r="DV49" s="103">
        <f>COUNTIF(DonnéesBC[[#This Row],[67]:[77]],"FAUX")</f>
        <v>5</v>
      </c>
      <c r="DW49" s="103">
        <f>COUNTIF(DonnéesBC[[#This Row],[67]:[77]],"Je ne sais pas")</f>
        <v>0</v>
      </c>
      <c r="DX49" s="103">
        <f>COUNTIF(DonnéesBC[[#This Row],[67]:[77]],"Juste")</f>
        <v>6</v>
      </c>
      <c r="DY49" s="96">
        <v>14</v>
      </c>
      <c r="DZ49" s="103">
        <f>COUNTIF(DonnéesBC[[#This Row],[78]:[91]],"FAUX")</f>
        <v>5</v>
      </c>
      <c r="EA49" s="103">
        <f>COUNTIF(DonnéesBC[[#This Row],[78]:[91]],"Je ne sais pas")</f>
        <v>0</v>
      </c>
      <c r="EB49" s="103">
        <f>COUNTIF(DonnéesBC[[#This Row],[78]:[91]],"Juste")</f>
        <v>9</v>
      </c>
      <c r="EC49" s="96">
        <v>10</v>
      </c>
      <c r="ED49" s="103">
        <f>COUNTIF(DonnéesBC[[#This Row],[92]:[101]],"FAUX")</f>
        <v>5</v>
      </c>
      <c r="EE49" s="103">
        <f>COUNTIF(DonnéesBC[[#This Row],[92]:[101]],"Je ne sais pas")</f>
        <v>1</v>
      </c>
      <c r="EF49" s="103">
        <f>COUNTIF(DonnéesBC[[#This Row],[92]:[101]],"Juste")</f>
        <v>4</v>
      </c>
      <c r="EG49" s="96">
        <f>SUM(DonnéesBC[[#This Row],[A]]+DonnéesBC[[#This Row],[B]]+DonnéesBC[[#This Row],[C]]+DonnéesBC[[#This Row],[D]]+DonnéesBC[[#This Row],[E]]+DonnéesBC[[#This Row],[F]]+DonnéesBC[[#This Row],[G]]+DonnéesBC[[#This Row],[H]])</f>
        <v>101</v>
      </c>
      <c r="EH49" s="97">
        <f>SUM(DonnéesBC[[#This Row],[A2]]+DonnéesBC[[#This Row],[B2]]+DonnéesBC[[#This Row],[C2]]+DonnéesBC[[#This Row],[D2]]+DonnéesBC[[#This Row],[E2]]+DonnéesBC[[#This Row],[F2]]+DonnéesBC[[#This Row],[G2]]+DonnéesBC[[#This Row],[H2]])</f>
        <v>36</v>
      </c>
      <c r="EI49" s="98">
        <f>SUM(DonnéesBC[[#This Row],[A3]]+DonnéesBC[[#This Row],[B3]]+DonnéesBC[[#This Row],[C3]]+DonnéesBC[[#This Row],[D3]]+DonnéesBC[[#This Row],[E3]]+DonnéesBC[[#This Row],[F3]]+DonnéesBC[[#This Row],[G3]]+DonnéesBC[[#This Row],[H3]])</f>
        <v>1</v>
      </c>
      <c r="EJ49" s="103">
        <f>SUM(DonnéesBC[[#This Row],[A4]]+DonnéesBC[[#This Row],[B4]]+DonnéesBC[[#This Row],[C4]]+DonnéesBC[[#This Row],[D4]]+DonnéesBC[[#This Row],[E4]]+DonnéesBC[[#This Row],[F4]]+DonnéesBC[[#This Row],[G4]]+DonnéesBC[[#This Row],[H4]])</f>
        <v>64</v>
      </c>
      <c r="EK49" s="95"/>
      <c r="EL49">
        <v>12</v>
      </c>
    </row>
    <row r="50" spans="1:142" ht="14" customHeight="1">
      <c r="A50" s="101" t="str">
        <f>DonnéesBC[[#This Row],[Prénom]]&amp;" "&amp;DonnéesBC[[#This Row],[Nom]]</f>
        <v>Pedro Vieira De Almeida</v>
      </c>
      <c r="B50" s="97" t="s">
        <v>161</v>
      </c>
      <c r="C50" s="97" t="s">
        <v>162</v>
      </c>
      <c r="D50" s="132" t="s">
        <v>846</v>
      </c>
      <c r="E50" s="133" t="s">
        <v>846</v>
      </c>
      <c r="F50" s="133" t="s">
        <v>846</v>
      </c>
      <c r="G50" s="133" t="s">
        <v>846</v>
      </c>
      <c r="H50" s="133" t="s">
        <v>846</v>
      </c>
      <c r="I50" s="133" t="s">
        <v>846</v>
      </c>
      <c r="J50" s="133" t="s">
        <v>846</v>
      </c>
      <c r="K50" s="133" t="s">
        <v>846</v>
      </c>
      <c r="L50" s="133" t="s">
        <v>846</v>
      </c>
      <c r="M50" s="133" t="s">
        <v>846</v>
      </c>
      <c r="N50" s="133" t="b">
        <v>0</v>
      </c>
      <c r="O50" s="133" t="s">
        <v>846</v>
      </c>
      <c r="P50" s="133" t="b">
        <v>0</v>
      </c>
      <c r="Q50" s="133" t="b">
        <v>0</v>
      </c>
      <c r="R50" s="133" t="s">
        <v>846</v>
      </c>
      <c r="S50" s="135" t="s">
        <v>846</v>
      </c>
      <c r="T50" s="132" t="s">
        <v>846</v>
      </c>
      <c r="U50" s="133" t="s">
        <v>846</v>
      </c>
      <c r="V50" s="133" t="b">
        <v>0</v>
      </c>
      <c r="W50" s="133" t="b">
        <v>0</v>
      </c>
      <c r="X50" s="133" t="s">
        <v>846</v>
      </c>
      <c r="Y50" s="133" t="s">
        <v>846</v>
      </c>
      <c r="Z50" s="133" t="s">
        <v>846</v>
      </c>
      <c r="AA50" s="133" t="b">
        <v>0</v>
      </c>
      <c r="AB50" s="133" t="b">
        <v>0</v>
      </c>
      <c r="AC50" s="133" t="s">
        <v>846</v>
      </c>
      <c r="AD50" s="133" t="s">
        <v>846</v>
      </c>
      <c r="AE50" s="135" t="s">
        <v>846</v>
      </c>
      <c r="AF50" s="132" t="s">
        <v>846</v>
      </c>
      <c r="AG50" s="133" t="s">
        <v>846</v>
      </c>
      <c r="AH50" s="133" t="b">
        <v>0</v>
      </c>
      <c r="AI50" s="133" t="s">
        <v>846</v>
      </c>
      <c r="AJ50" s="133" t="s">
        <v>846</v>
      </c>
      <c r="AK50" s="133" t="s">
        <v>846</v>
      </c>
      <c r="AL50" s="133" t="s">
        <v>846</v>
      </c>
      <c r="AM50" s="133" t="b">
        <v>0</v>
      </c>
      <c r="AN50" s="135" t="s">
        <v>846</v>
      </c>
      <c r="AO50" s="132" t="s">
        <v>840</v>
      </c>
      <c r="AP50" s="133" t="b">
        <v>0</v>
      </c>
      <c r="AQ50" s="133" t="s">
        <v>846</v>
      </c>
      <c r="AR50" s="133" t="s">
        <v>846</v>
      </c>
      <c r="AS50" s="133" t="b">
        <v>0</v>
      </c>
      <c r="AT50" s="133" t="s">
        <v>846</v>
      </c>
      <c r="AU50" s="133" t="s">
        <v>846</v>
      </c>
      <c r="AV50" s="133" t="s">
        <v>846</v>
      </c>
      <c r="AW50" s="133" t="s">
        <v>846</v>
      </c>
      <c r="AX50" s="133" t="s">
        <v>846</v>
      </c>
      <c r="AY50" s="133" t="s">
        <v>846</v>
      </c>
      <c r="AZ50" s="133" t="s">
        <v>846</v>
      </c>
      <c r="BA50" s="135" t="s">
        <v>840</v>
      </c>
      <c r="BB50" s="132" t="s">
        <v>846</v>
      </c>
      <c r="BC50" s="133" t="s">
        <v>846</v>
      </c>
      <c r="BD50" s="133" t="s">
        <v>846</v>
      </c>
      <c r="BE50" s="133" t="s">
        <v>846</v>
      </c>
      <c r="BF50" s="133" t="s">
        <v>846</v>
      </c>
      <c r="BG50" s="133" t="s">
        <v>846</v>
      </c>
      <c r="BH50" s="133" t="s">
        <v>846</v>
      </c>
      <c r="BI50" s="133" t="s">
        <v>846</v>
      </c>
      <c r="BJ50" s="133" t="s">
        <v>846</v>
      </c>
      <c r="BK50" s="133" t="b">
        <v>0</v>
      </c>
      <c r="BL50" s="133" t="b">
        <v>0</v>
      </c>
      <c r="BM50" s="133" t="b">
        <v>0</v>
      </c>
      <c r="BN50" s="133" t="b">
        <v>0</v>
      </c>
      <c r="BO50" s="133" t="s">
        <v>840</v>
      </c>
      <c r="BP50" s="133" t="s">
        <v>840</v>
      </c>
      <c r="BQ50" s="135" t="s">
        <v>846</v>
      </c>
      <c r="BR50" s="132" t="s">
        <v>846</v>
      </c>
      <c r="BS50" s="133" t="s">
        <v>846</v>
      </c>
      <c r="BT50" s="133" t="s">
        <v>846</v>
      </c>
      <c r="BU50" s="133" t="s">
        <v>846</v>
      </c>
      <c r="BV50" s="133" t="s">
        <v>846</v>
      </c>
      <c r="BW50" s="133" t="s">
        <v>846</v>
      </c>
      <c r="BX50" s="133" t="s">
        <v>846</v>
      </c>
      <c r="BY50" s="133" t="s">
        <v>846</v>
      </c>
      <c r="BZ50" s="133" t="b">
        <v>0</v>
      </c>
      <c r="CA50" s="133" t="s">
        <v>846</v>
      </c>
      <c r="CB50" s="135" t="b">
        <v>0</v>
      </c>
      <c r="CC50" s="132" t="s">
        <v>840</v>
      </c>
      <c r="CD50" s="133" t="s">
        <v>846</v>
      </c>
      <c r="CE50" s="133" t="s">
        <v>846</v>
      </c>
      <c r="CF50" s="133" t="s">
        <v>846</v>
      </c>
      <c r="CG50" s="133" t="s">
        <v>846</v>
      </c>
      <c r="CH50" s="133" t="b">
        <v>0</v>
      </c>
      <c r="CI50" s="133" t="s">
        <v>846</v>
      </c>
      <c r="CJ50" s="133" t="s">
        <v>840</v>
      </c>
      <c r="CK50" s="133" t="s">
        <v>846</v>
      </c>
      <c r="CL50" s="133" t="b">
        <v>0</v>
      </c>
      <c r="CM50" s="133" t="s">
        <v>846</v>
      </c>
      <c r="CN50" s="133" t="b">
        <v>0</v>
      </c>
      <c r="CO50" s="133" t="b">
        <v>0</v>
      </c>
      <c r="CP50" s="135" t="s">
        <v>846</v>
      </c>
      <c r="CQ50" s="132" t="s">
        <v>846</v>
      </c>
      <c r="CR50" s="133" t="s">
        <v>846</v>
      </c>
      <c r="CS50" s="133" t="b">
        <v>0</v>
      </c>
      <c r="CT50" s="133" t="b">
        <v>0</v>
      </c>
      <c r="CU50" s="133" t="s">
        <v>846</v>
      </c>
      <c r="CV50" s="133" t="s">
        <v>846</v>
      </c>
      <c r="CW50" s="133" t="s">
        <v>846</v>
      </c>
      <c r="CX50" s="133" t="s">
        <v>846</v>
      </c>
      <c r="CY50" s="133" t="b">
        <v>0</v>
      </c>
      <c r="CZ50" s="135" t="s">
        <v>846</v>
      </c>
      <c r="DA50" s="96">
        <v>16</v>
      </c>
      <c r="DB50" s="103">
        <f>COUNTIF(DonnéesBC[[#This Row],[1]:[16]],"FAUX")</f>
        <v>3</v>
      </c>
      <c r="DC50" s="103">
        <f>COUNTIF(DonnéesBC[[#This Row],[1]:[16]],"Je ne sais pas")</f>
        <v>0</v>
      </c>
      <c r="DD50" s="103">
        <f>COUNTIF(DonnéesBC[[#This Row],[1]:[16]],"Juste")</f>
        <v>13</v>
      </c>
      <c r="DE50" s="96">
        <v>12</v>
      </c>
      <c r="DF50" s="103">
        <f>COUNTIF(DonnéesBC[[#This Row],[17]:[28]],"FAUX")</f>
        <v>4</v>
      </c>
      <c r="DG50" s="103">
        <f>COUNTIF(DonnéesBC[[#This Row],[17]:[28]],"Je ne sais pas")</f>
        <v>0</v>
      </c>
      <c r="DH50" s="103">
        <f>COUNTIF(DonnéesBC[[#This Row],[17]:[28]],"Juste")</f>
        <v>8</v>
      </c>
      <c r="DI50" s="96">
        <v>9</v>
      </c>
      <c r="DJ50" s="103">
        <f>COUNTIF(DonnéesBC[[#This Row],[29]:[37]],"FAUX")</f>
        <v>2</v>
      </c>
      <c r="DK50" s="103">
        <f>COUNTIF(DonnéesBC[[#This Row],[29]:[37]],"Je ne sais pas")</f>
        <v>0</v>
      </c>
      <c r="DL50" s="103">
        <f>COUNTIF(DonnéesBC[[#This Row],[29]:[37]],"Juste")</f>
        <v>7</v>
      </c>
      <c r="DM50" s="96">
        <v>13</v>
      </c>
      <c r="DN50" s="103">
        <f>COUNTIF(DonnéesBC[[#This Row],[38]:[50]],"FAUX")</f>
        <v>2</v>
      </c>
      <c r="DO50" s="103">
        <f>COUNTIF(DonnéesBC[[#This Row],[38]:[50]],"Je ne sais pas")</f>
        <v>2</v>
      </c>
      <c r="DP50" s="103">
        <f>COUNTIF(DonnéesBC[[#This Row],[38]:[50]],"Juste")</f>
        <v>9</v>
      </c>
      <c r="DQ50" s="96">
        <v>16</v>
      </c>
      <c r="DR50" s="103">
        <f>COUNTIF(DonnéesBC[[#This Row],[51]:[66]],"FAUX")</f>
        <v>4</v>
      </c>
      <c r="DS50" s="103">
        <f>COUNTIF(DonnéesBC[[#This Row],[51]:[66]],"Je ne sais pas")</f>
        <v>2</v>
      </c>
      <c r="DT50" s="103">
        <f>COUNTIF(DonnéesBC[[#This Row],[51]:[66]],"Juste")</f>
        <v>10</v>
      </c>
      <c r="DU50" s="96">
        <v>11</v>
      </c>
      <c r="DV50" s="103">
        <f>COUNTIF(DonnéesBC[[#This Row],[67]:[77]],"FAUX")</f>
        <v>2</v>
      </c>
      <c r="DW50" s="103">
        <f>COUNTIF(DonnéesBC[[#This Row],[67]:[77]],"Je ne sais pas")</f>
        <v>0</v>
      </c>
      <c r="DX50" s="103">
        <f>COUNTIF(DonnéesBC[[#This Row],[67]:[77]],"Juste")</f>
        <v>9</v>
      </c>
      <c r="DY50" s="96">
        <v>14</v>
      </c>
      <c r="DZ50" s="103">
        <f>COUNTIF(DonnéesBC[[#This Row],[78]:[91]],"FAUX")</f>
        <v>4</v>
      </c>
      <c r="EA50" s="103">
        <f>COUNTIF(DonnéesBC[[#This Row],[78]:[91]],"Je ne sais pas")</f>
        <v>2</v>
      </c>
      <c r="EB50" s="103">
        <f>COUNTIF(DonnéesBC[[#This Row],[78]:[91]],"Juste")</f>
        <v>8</v>
      </c>
      <c r="EC50" s="96">
        <v>10</v>
      </c>
      <c r="ED50" s="103">
        <f>COUNTIF(DonnéesBC[[#This Row],[92]:[101]],"FAUX")</f>
        <v>3</v>
      </c>
      <c r="EE50" s="103">
        <f>COUNTIF(DonnéesBC[[#This Row],[92]:[101]],"Je ne sais pas")</f>
        <v>0</v>
      </c>
      <c r="EF50" s="103">
        <f>COUNTIF(DonnéesBC[[#This Row],[92]:[101]],"Juste")</f>
        <v>7</v>
      </c>
      <c r="EG50" s="96">
        <f>SUM(DonnéesBC[[#This Row],[A]]+DonnéesBC[[#This Row],[B]]+DonnéesBC[[#This Row],[C]]+DonnéesBC[[#This Row],[D]]+DonnéesBC[[#This Row],[E]]+DonnéesBC[[#This Row],[F]]+DonnéesBC[[#This Row],[G]]+DonnéesBC[[#This Row],[H]])</f>
        <v>101</v>
      </c>
      <c r="EH50" s="97">
        <f>SUM(DonnéesBC[[#This Row],[A2]]+DonnéesBC[[#This Row],[B2]]+DonnéesBC[[#This Row],[C2]]+DonnéesBC[[#This Row],[D2]]+DonnéesBC[[#This Row],[E2]]+DonnéesBC[[#This Row],[F2]]+DonnéesBC[[#This Row],[G2]]+DonnéesBC[[#This Row],[H2]])</f>
        <v>24</v>
      </c>
      <c r="EI50" s="98">
        <f>SUM(DonnéesBC[[#This Row],[A3]]+DonnéesBC[[#This Row],[B3]]+DonnéesBC[[#This Row],[C3]]+DonnéesBC[[#This Row],[D3]]+DonnéesBC[[#This Row],[E3]]+DonnéesBC[[#This Row],[F3]]+DonnéesBC[[#This Row],[G3]]+DonnéesBC[[#This Row],[H3]])</f>
        <v>6</v>
      </c>
      <c r="EJ50" s="103">
        <f>SUM(DonnéesBC[[#This Row],[A4]]+DonnéesBC[[#This Row],[B4]]+DonnéesBC[[#This Row],[C4]]+DonnéesBC[[#This Row],[D4]]+DonnéesBC[[#This Row],[E4]]+DonnéesBC[[#This Row],[F4]]+DonnéesBC[[#This Row],[G4]]+DonnéesBC[[#This Row],[H4]])</f>
        <v>71</v>
      </c>
      <c r="EK50" s="95"/>
      <c r="EL50">
        <v>11</v>
      </c>
    </row>
    <row r="51" spans="1:142" ht="14" customHeight="1">
      <c r="A51" s="101" t="str">
        <f>DonnéesBC[[#This Row],[Prénom]]&amp;" "&amp;DonnéesBC[[#This Row],[Nom]]</f>
        <v>Philippe Torriani</v>
      </c>
      <c r="B51" s="97" t="s">
        <v>164</v>
      </c>
      <c r="C51" s="97" t="s">
        <v>163</v>
      </c>
      <c r="D51" s="136" t="b">
        <v>0</v>
      </c>
      <c r="E51" s="137" t="s">
        <v>846</v>
      </c>
      <c r="F51" s="137" t="s">
        <v>846</v>
      </c>
      <c r="G51" s="137" t="b">
        <v>0</v>
      </c>
      <c r="H51" s="137" t="s">
        <v>846</v>
      </c>
      <c r="I51" s="137" t="s">
        <v>846</v>
      </c>
      <c r="J51" s="137" t="b">
        <v>0</v>
      </c>
      <c r="K51" s="137" t="s">
        <v>846</v>
      </c>
      <c r="L51" s="137" t="s">
        <v>846</v>
      </c>
      <c r="M51" s="137" t="s">
        <v>846</v>
      </c>
      <c r="N51" s="137" t="b">
        <v>0</v>
      </c>
      <c r="O51" s="137" t="s">
        <v>846</v>
      </c>
      <c r="P51" s="137" t="b">
        <v>0</v>
      </c>
      <c r="Q51" s="137" t="b">
        <v>0</v>
      </c>
      <c r="R51" s="137" t="s">
        <v>846</v>
      </c>
      <c r="S51" s="138" t="s">
        <v>846</v>
      </c>
      <c r="T51" s="136" t="s">
        <v>846</v>
      </c>
      <c r="U51" s="137" t="s">
        <v>846</v>
      </c>
      <c r="V51" s="137" t="s">
        <v>846</v>
      </c>
      <c r="W51" s="137" t="b">
        <v>0</v>
      </c>
      <c r="X51" s="137" t="b">
        <v>0</v>
      </c>
      <c r="Y51" s="137" t="b">
        <v>0</v>
      </c>
      <c r="Z51" s="137" t="s">
        <v>846</v>
      </c>
      <c r="AA51" s="137" t="b">
        <v>0</v>
      </c>
      <c r="AB51" s="137" t="b">
        <v>0</v>
      </c>
      <c r="AC51" s="137" t="s">
        <v>846</v>
      </c>
      <c r="AD51" s="137" t="b">
        <v>0</v>
      </c>
      <c r="AE51" s="138" t="s">
        <v>846</v>
      </c>
      <c r="AF51" s="136" t="s">
        <v>846</v>
      </c>
      <c r="AG51" s="137" t="b">
        <v>0</v>
      </c>
      <c r="AH51" s="137" t="b">
        <v>0</v>
      </c>
      <c r="AI51" s="137" t="b">
        <v>0</v>
      </c>
      <c r="AJ51" s="137" t="s">
        <v>846</v>
      </c>
      <c r="AK51" s="137" t="b">
        <v>0</v>
      </c>
      <c r="AL51" s="137" t="s">
        <v>846</v>
      </c>
      <c r="AM51" s="137" t="s">
        <v>846</v>
      </c>
      <c r="AN51" s="138" t="s">
        <v>846</v>
      </c>
      <c r="AO51" s="136" t="b">
        <v>0</v>
      </c>
      <c r="AP51" s="137" t="s">
        <v>846</v>
      </c>
      <c r="AQ51" s="137" t="s">
        <v>846</v>
      </c>
      <c r="AR51" s="137" t="s">
        <v>846</v>
      </c>
      <c r="AS51" s="137" t="s">
        <v>840</v>
      </c>
      <c r="AT51" s="137" t="s">
        <v>846</v>
      </c>
      <c r="AU51" s="137" t="b">
        <v>0</v>
      </c>
      <c r="AV51" s="137" t="s">
        <v>846</v>
      </c>
      <c r="AW51" s="137" t="s">
        <v>846</v>
      </c>
      <c r="AX51" s="137" t="b">
        <v>0</v>
      </c>
      <c r="AY51" s="137" t="s">
        <v>846</v>
      </c>
      <c r="AZ51" s="137" t="s">
        <v>840</v>
      </c>
      <c r="BA51" s="138" t="s">
        <v>840</v>
      </c>
      <c r="BB51" s="136" t="s">
        <v>846</v>
      </c>
      <c r="BC51" s="137" t="s">
        <v>846</v>
      </c>
      <c r="BD51" s="137" t="s">
        <v>846</v>
      </c>
      <c r="BE51" s="137" t="s">
        <v>846</v>
      </c>
      <c r="BF51" s="137" t="s">
        <v>840</v>
      </c>
      <c r="BG51" s="137" t="s">
        <v>846</v>
      </c>
      <c r="BH51" s="137" t="b">
        <v>0</v>
      </c>
      <c r="BI51" s="137" t="s">
        <v>846</v>
      </c>
      <c r="BJ51" s="137" t="b">
        <v>0</v>
      </c>
      <c r="BK51" s="137" t="b">
        <v>0</v>
      </c>
      <c r="BL51" s="137" t="s">
        <v>840</v>
      </c>
      <c r="BM51" s="137" t="s">
        <v>840</v>
      </c>
      <c r="BN51" s="137" t="s">
        <v>840</v>
      </c>
      <c r="BO51" s="137" t="s">
        <v>840</v>
      </c>
      <c r="BP51" s="137" t="s">
        <v>840</v>
      </c>
      <c r="BQ51" s="138" t="s">
        <v>840</v>
      </c>
      <c r="BR51" s="136" t="s">
        <v>846</v>
      </c>
      <c r="BS51" s="137" t="s">
        <v>846</v>
      </c>
      <c r="BT51" s="137" t="s">
        <v>846</v>
      </c>
      <c r="BU51" s="137" t="s">
        <v>846</v>
      </c>
      <c r="BV51" s="137" t="b">
        <v>0</v>
      </c>
      <c r="BW51" s="137" t="s">
        <v>840</v>
      </c>
      <c r="BX51" s="137" t="s">
        <v>846</v>
      </c>
      <c r="BY51" s="137" t="s">
        <v>846</v>
      </c>
      <c r="BZ51" s="137" t="s">
        <v>846</v>
      </c>
      <c r="CA51" s="137" t="s">
        <v>846</v>
      </c>
      <c r="CB51" s="138" t="b">
        <v>0</v>
      </c>
      <c r="CC51" s="136" t="s">
        <v>840</v>
      </c>
      <c r="CD51" s="137" t="s">
        <v>846</v>
      </c>
      <c r="CE51" s="137" t="s">
        <v>846</v>
      </c>
      <c r="CF51" s="137" t="s">
        <v>846</v>
      </c>
      <c r="CG51" s="137" t="s">
        <v>846</v>
      </c>
      <c r="CH51" s="137" t="s">
        <v>846</v>
      </c>
      <c r="CI51" s="137" t="s">
        <v>846</v>
      </c>
      <c r="CJ51" s="137" t="b">
        <v>0</v>
      </c>
      <c r="CK51" s="137" t="s">
        <v>846</v>
      </c>
      <c r="CL51" s="137" t="s">
        <v>846</v>
      </c>
      <c r="CM51" s="137" t="b">
        <v>0</v>
      </c>
      <c r="CN51" s="137" t="b">
        <v>0</v>
      </c>
      <c r="CO51" s="137" t="s">
        <v>846</v>
      </c>
      <c r="CP51" s="138" t="s">
        <v>846</v>
      </c>
      <c r="CQ51" s="136" t="s">
        <v>846</v>
      </c>
      <c r="CR51" s="137" t="b">
        <v>0</v>
      </c>
      <c r="CS51" s="137" t="b">
        <v>0</v>
      </c>
      <c r="CT51" s="137" t="s">
        <v>846</v>
      </c>
      <c r="CU51" s="137" t="b">
        <v>0</v>
      </c>
      <c r="CV51" s="137" t="s">
        <v>846</v>
      </c>
      <c r="CW51" s="137" t="b">
        <v>0</v>
      </c>
      <c r="CX51" s="137" t="s">
        <v>846</v>
      </c>
      <c r="CY51" s="137" t="b">
        <v>0</v>
      </c>
      <c r="CZ51" s="138" t="s">
        <v>846</v>
      </c>
      <c r="DA51" s="96">
        <v>16</v>
      </c>
      <c r="DB51" s="103">
        <f>COUNTIF(DonnéesBC[[#This Row],[1]:[16]],"FAUX")</f>
        <v>6</v>
      </c>
      <c r="DC51" s="103">
        <f>COUNTIF(DonnéesBC[[#This Row],[1]:[16]],"Je ne sais pas")</f>
        <v>0</v>
      </c>
      <c r="DD51" s="103">
        <f>COUNTIF(DonnéesBC[[#This Row],[1]:[16]],"Juste")</f>
        <v>10</v>
      </c>
      <c r="DE51" s="96">
        <v>12</v>
      </c>
      <c r="DF51" s="103">
        <f>COUNTIF(DonnéesBC[[#This Row],[17]:[28]],"FAUX")</f>
        <v>6</v>
      </c>
      <c r="DG51" s="103">
        <f>COUNTIF(DonnéesBC[[#This Row],[17]:[28]],"Je ne sais pas")</f>
        <v>0</v>
      </c>
      <c r="DH51" s="103">
        <f>COUNTIF(DonnéesBC[[#This Row],[17]:[28]],"Juste")</f>
        <v>6</v>
      </c>
      <c r="DI51" s="96">
        <v>9</v>
      </c>
      <c r="DJ51" s="103">
        <f>COUNTIF(DonnéesBC[[#This Row],[29]:[37]],"FAUX")</f>
        <v>4</v>
      </c>
      <c r="DK51" s="103">
        <f>COUNTIF(DonnéesBC[[#This Row],[29]:[37]],"Je ne sais pas")</f>
        <v>0</v>
      </c>
      <c r="DL51" s="103">
        <f>COUNTIF(DonnéesBC[[#This Row],[29]:[37]],"Juste")</f>
        <v>5</v>
      </c>
      <c r="DM51" s="96">
        <v>13</v>
      </c>
      <c r="DN51" s="103">
        <f>COUNTIF(DonnéesBC[[#This Row],[38]:[50]],"FAUX")</f>
        <v>3</v>
      </c>
      <c r="DO51" s="103">
        <f>COUNTIF(DonnéesBC[[#This Row],[38]:[50]],"Je ne sais pas")</f>
        <v>3</v>
      </c>
      <c r="DP51" s="103">
        <f>COUNTIF(DonnéesBC[[#This Row],[38]:[50]],"Juste")</f>
        <v>7</v>
      </c>
      <c r="DQ51" s="96">
        <v>16</v>
      </c>
      <c r="DR51" s="103">
        <f>COUNTIF(DonnéesBC[[#This Row],[51]:[66]],"FAUX")</f>
        <v>3</v>
      </c>
      <c r="DS51" s="103">
        <f>COUNTIF(DonnéesBC[[#This Row],[51]:[66]],"Je ne sais pas")</f>
        <v>7</v>
      </c>
      <c r="DT51" s="103">
        <f>COUNTIF(DonnéesBC[[#This Row],[51]:[66]],"Juste")</f>
        <v>6</v>
      </c>
      <c r="DU51" s="96">
        <v>11</v>
      </c>
      <c r="DV51" s="103">
        <f>COUNTIF(DonnéesBC[[#This Row],[67]:[77]],"FAUX")</f>
        <v>2</v>
      </c>
      <c r="DW51" s="103">
        <f>COUNTIF(DonnéesBC[[#This Row],[67]:[77]],"Je ne sais pas")</f>
        <v>1</v>
      </c>
      <c r="DX51" s="103">
        <f>COUNTIF(DonnéesBC[[#This Row],[67]:[77]],"Juste")</f>
        <v>8</v>
      </c>
      <c r="DY51" s="96">
        <v>14</v>
      </c>
      <c r="DZ51" s="103">
        <f>COUNTIF(DonnéesBC[[#This Row],[78]:[91]],"FAUX")</f>
        <v>3</v>
      </c>
      <c r="EA51" s="103">
        <f>COUNTIF(DonnéesBC[[#This Row],[78]:[91]],"Je ne sais pas")</f>
        <v>1</v>
      </c>
      <c r="EB51" s="103">
        <f>COUNTIF(DonnéesBC[[#This Row],[78]:[91]],"Juste")</f>
        <v>10</v>
      </c>
      <c r="EC51" s="96">
        <v>10</v>
      </c>
      <c r="ED51" s="103">
        <f>COUNTIF(DonnéesBC[[#This Row],[92]:[101]],"FAUX")</f>
        <v>5</v>
      </c>
      <c r="EE51" s="103">
        <f>COUNTIF(DonnéesBC[[#This Row],[92]:[101]],"Je ne sais pas")</f>
        <v>0</v>
      </c>
      <c r="EF51" s="103">
        <f>COUNTIF(DonnéesBC[[#This Row],[92]:[101]],"Juste")</f>
        <v>5</v>
      </c>
      <c r="EG51" s="96">
        <f>SUM(DonnéesBC[[#This Row],[A]]+DonnéesBC[[#This Row],[B]]+DonnéesBC[[#This Row],[C]]+DonnéesBC[[#This Row],[D]]+DonnéesBC[[#This Row],[E]]+DonnéesBC[[#This Row],[F]]+DonnéesBC[[#This Row],[G]]+DonnéesBC[[#This Row],[H]])</f>
        <v>101</v>
      </c>
      <c r="EH51" s="97">
        <f>SUM(DonnéesBC[[#This Row],[A2]]+DonnéesBC[[#This Row],[B2]]+DonnéesBC[[#This Row],[C2]]+DonnéesBC[[#This Row],[D2]]+DonnéesBC[[#This Row],[E2]]+DonnéesBC[[#This Row],[F2]]+DonnéesBC[[#This Row],[G2]]+DonnéesBC[[#This Row],[H2]])</f>
        <v>32</v>
      </c>
      <c r="EI51" s="98">
        <f>SUM(DonnéesBC[[#This Row],[A3]]+DonnéesBC[[#This Row],[B3]]+DonnéesBC[[#This Row],[C3]]+DonnéesBC[[#This Row],[D3]]+DonnéesBC[[#This Row],[E3]]+DonnéesBC[[#This Row],[F3]]+DonnéesBC[[#This Row],[G3]]+DonnéesBC[[#This Row],[H3]])</f>
        <v>12</v>
      </c>
      <c r="EJ51" s="103">
        <f>SUM(DonnéesBC[[#This Row],[A4]]+DonnéesBC[[#This Row],[B4]]+DonnéesBC[[#This Row],[C4]]+DonnéesBC[[#This Row],[D4]]+DonnéesBC[[#This Row],[E4]]+DonnéesBC[[#This Row],[F4]]+DonnéesBC[[#This Row],[G4]]+DonnéesBC[[#This Row],[H4]])</f>
        <v>57</v>
      </c>
      <c r="EK51" s="95"/>
      <c r="EL51">
        <v>10</v>
      </c>
    </row>
    <row r="52" spans="1:142" ht="14" customHeight="1">
      <c r="A52" s="101" t="str">
        <f>DonnéesBC[[#This Row],[Prénom]]&amp;" "&amp;DonnéesBC[[#This Row],[Nom]]</f>
        <v>Raphael Batschelet</v>
      </c>
      <c r="B52" s="97" t="s">
        <v>165</v>
      </c>
      <c r="C52" s="97" t="s">
        <v>166</v>
      </c>
      <c r="D52" s="132" t="b">
        <v>0</v>
      </c>
      <c r="E52" s="133" t="s">
        <v>846</v>
      </c>
      <c r="F52" s="133" t="s">
        <v>846</v>
      </c>
      <c r="G52" s="133" t="s">
        <v>846</v>
      </c>
      <c r="H52" s="133" t="b">
        <v>0</v>
      </c>
      <c r="I52" s="133" t="s">
        <v>846</v>
      </c>
      <c r="J52" s="133" t="s">
        <v>840</v>
      </c>
      <c r="K52" s="133" t="s">
        <v>846</v>
      </c>
      <c r="L52" s="133" t="s">
        <v>840</v>
      </c>
      <c r="M52" s="133" t="s">
        <v>846</v>
      </c>
      <c r="N52" s="133" t="s">
        <v>846</v>
      </c>
      <c r="O52" s="133" t="s">
        <v>846</v>
      </c>
      <c r="P52" s="133" t="b">
        <v>0</v>
      </c>
      <c r="Q52" s="133" t="b">
        <v>0</v>
      </c>
      <c r="R52" s="133" t="s">
        <v>846</v>
      </c>
      <c r="S52" s="135" t="b">
        <v>0</v>
      </c>
      <c r="T52" s="132" t="s">
        <v>846</v>
      </c>
      <c r="U52" s="133" t="s">
        <v>846</v>
      </c>
      <c r="V52" s="133" t="b">
        <v>0</v>
      </c>
      <c r="W52" s="133" t="b">
        <v>0</v>
      </c>
      <c r="X52" s="133" t="b">
        <v>0</v>
      </c>
      <c r="Y52" s="133" t="s">
        <v>846</v>
      </c>
      <c r="Z52" s="133" t="s">
        <v>840</v>
      </c>
      <c r="AA52" s="133" t="s">
        <v>840</v>
      </c>
      <c r="AB52" s="133" t="s">
        <v>840</v>
      </c>
      <c r="AC52" s="133" t="s">
        <v>846</v>
      </c>
      <c r="AD52" s="133" t="s">
        <v>846</v>
      </c>
      <c r="AE52" s="135" t="s">
        <v>846</v>
      </c>
      <c r="AF52" s="132" t="s">
        <v>846</v>
      </c>
      <c r="AG52" s="133" t="s">
        <v>840</v>
      </c>
      <c r="AH52" s="133" t="s">
        <v>846</v>
      </c>
      <c r="AI52" s="133" t="s">
        <v>846</v>
      </c>
      <c r="AJ52" s="133" t="s">
        <v>846</v>
      </c>
      <c r="AK52" s="133" t="s">
        <v>846</v>
      </c>
      <c r="AL52" s="133" t="s">
        <v>846</v>
      </c>
      <c r="AM52" s="133" t="b">
        <v>0</v>
      </c>
      <c r="AN52" s="135" t="s">
        <v>846</v>
      </c>
      <c r="AO52" s="132" t="s">
        <v>840</v>
      </c>
      <c r="AP52" s="133" t="s">
        <v>846</v>
      </c>
      <c r="AQ52" s="133" t="s">
        <v>846</v>
      </c>
      <c r="AR52" s="133" t="s">
        <v>846</v>
      </c>
      <c r="AS52" s="133" t="s">
        <v>846</v>
      </c>
      <c r="AT52" s="133" t="s">
        <v>846</v>
      </c>
      <c r="AU52" s="133" t="b">
        <v>0</v>
      </c>
      <c r="AV52" s="133" t="s">
        <v>846</v>
      </c>
      <c r="AW52" s="133" t="s">
        <v>846</v>
      </c>
      <c r="AX52" s="133" t="s">
        <v>846</v>
      </c>
      <c r="AY52" s="133" t="s">
        <v>846</v>
      </c>
      <c r="AZ52" s="133" t="s">
        <v>840</v>
      </c>
      <c r="BA52" s="135" t="s">
        <v>840</v>
      </c>
      <c r="BB52" s="132" t="s">
        <v>846</v>
      </c>
      <c r="BC52" s="133" t="s">
        <v>840</v>
      </c>
      <c r="BD52" s="133" t="s">
        <v>846</v>
      </c>
      <c r="BE52" s="133" t="s">
        <v>840</v>
      </c>
      <c r="BF52" s="133" t="s">
        <v>846</v>
      </c>
      <c r="BG52" s="133" t="s">
        <v>840</v>
      </c>
      <c r="BH52" s="133" t="s">
        <v>846</v>
      </c>
      <c r="BI52" s="133" t="s">
        <v>846</v>
      </c>
      <c r="BJ52" s="133" t="s">
        <v>846</v>
      </c>
      <c r="BK52" s="133" t="s">
        <v>840</v>
      </c>
      <c r="BL52" s="133" t="b">
        <v>0</v>
      </c>
      <c r="BM52" s="133" t="b">
        <v>0</v>
      </c>
      <c r="BN52" s="133" t="b">
        <v>0</v>
      </c>
      <c r="BO52" s="133" t="b">
        <v>0</v>
      </c>
      <c r="BP52" s="133" t="s">
        <v>840</v>
      </c>
      <c r="BQ52" s="135" t="s">
        <v>840</v>
      </c>
      <c r="BR52" s="132" t="s">
        <v>846</v>
      </c>
      <c r="BS52" s="133" t="s">
        <v>840</v>
      </c>
      <c r="BT52" s="133" t="s">
        <v>846</v>
      </c>
      <c r="BU52" s="133" t="s">
        <v>846</v>
      </c>
      <c r="BV52" s="133" t="s">
        <v>846</v>
      </c>
      <c r="BW52" s="133" t="s">
        <v>840</v>
      </c>
      <c r="BX52" s="133" t="s">
        <v>840</v>
      </c>
      <c r="BY52" s="133" t="s">
        <v>846</v>
      </c>
      <c r="BZ52" s="133" t="s">
        <v>840</v>
      </c>
      <c r="CA52" s="133" t="s">
        <v>846</v>
      </c>
      <c r="CB52" s="135" t="s">
        <v>846</v>
      </c>
      <c r="CC52" s="132" t="s">
        <v>840</v>
      </c>
      <c r="CD52" s="133" t="s">
        <v>846</v>
      </c>
      <c r="CE52" s="133" t="b">
        <v>0</v>
      </c>
      <c r="CF52" s="133" t="s">
        <v>846</v>
      </c>
      <c r="CG52" s="133" t="s">
        <v>846</v>
      </c>
      <c r="CH52" s="133" t="s">
        <v>840</v>
      </c>
      <c r="CI52" s="133" t="s">
        <v>840</v>
      </c>
      <c r="CJ52" s="133" t="s">
        <v>846</v>
      </c>
      <c r="CK52" s="133" t="s">
        <v>846</v>
      </c>
      <c r="CL52" s="133" t="s">
        <v>840</v>
      </c>
      <c r="CM52" s="133" t="s">
        <v>846</v>
      </c>
      <c r="CN52" s="133" t="s">
        <v>840</v>
      </c>
      <c r="CO52" s="133" t="s">
        <v>840</v>
      </c>
      <c r="CP52" s="135" t="s">
        <v>846</v>
      </c>
      <c r="CQ52" s="132" t="b">
        <v>0</v>
      </c>
      <c r="CR52" s="133" t="s">
        <v>846</v>
      </c>
      <c r="CS52" s="133" t="b">
        <v>0</v>
      </c>
      <c r="CT52" s="133" t="s">
        <v>840</v>
      </c>
      <c r="CU52" s="133" t="s">
        <v>840</v>
      </c>
      <c r="CV52" s="133" t="s">
        <v>846</v>
      </c>
      <c r="CW52" s="133" t="s">
        <v>840</v>
      </c>
      <c r="CX52" s="133" t="s">
        <v>846</v>
      </c>
      <c r="CY52" s="133" t="s">
        <v>846</v>
      </c>
      <c r="CZ52" s="135" t="s">
        <v>846</v>
      </c>
      <c r="DA52" s="96">
        <v>16</v>
      </c>
      <c r="DB52" s="103">
        <f>COUNTIF(DonnéesBC[[#This Row],[1]:[16]],"FAUX")</f>
        <v>5</v>
      </c>
      <c r="DC52" s="103">
        <f>COUNTIF(DonnéesBC[[#This Row],[1]:[16]],"Je ne sais pas")</f>
        <v>2</v>
      </c>
      <c r="DD52" s="103">
        <f>COUNTIF(DonnéesBC[[#This Row],[1]:[16]],"Juste")</f>
        <v>9</v>
      </c>
      <c r="DE52" s="96">
        <v>12</v>
      </c>
      <c r="DF52" s="103">
        <f>COUNTIF(DonnéesBC[[#This Row],[17]:[28]],"FAUX")</f>
        <v>3</v>
      </c>
      <c r="DG52" s="103">
        <f>COUNTIF(DonnéesBC[[#This Row],[17]:[28]],"Je ne sais pas")</f>
        <v>3</v>
      </c>
      <c r="DH52" s="103">
        <f>COUNTIF(DonnéesBC[[#This Row],[17]:[28]],"Juste")</f>
        <v>6</v>
      </c>
      <c r="DI52" s="96">
        <v>9</v>
      </c>
      <c r="DJ52" s="103">
        <f>COUNTIF(DonnéesBC[[#This Row],[29]:[37]],"FAUX")</f>
        <v>1</v>
      </c>
      <c r="DK52" s="103">
        <f>COUNTIF(DonnéesBC[[#This Row],[29]:[37]],"Je ne sais pas")</f>
        <v>1</v>
      </c>
      <c r="DL52" s="103">
        <f>COUNTIF(DonnéesBC[[#This Row],[29]:[37]],"Juste")</f>
        <v>7</v>
      </c>
      <c r="DM52" s="96">
        <v>13</v>
      </c>
      <c r="DN52" s="103">
        <f>COUNTIF(DonnéesBC[[#This Row],[38]:[50]],"FAUX")</f>
        <v>1</v>
      </c>
      <c r="DO52" s="103">
        <f>COUNTIF(DonnéesBC[[#This Row],[38]:[50]],"Je ne sais pas")</f>
        <v>3</v>
      </c>
      <c r="DP52" s="103">
        <f>COUNTIF(DonnéesBC[[#This Row],[38]:[50]],"Juste")</f>
        <v>9</v>
      </c>
      <c r="DQ52" s="96">
        <v>16</v>
      </c>
      <c r="DR52" s="103">
        <f>COUNTIF(DonnéesBC[[#This Row],[51]:[66]],"FAUX")</f>
        <v>4</v>
      </c>
      <c r="DS52" s="103">
        <f>COUNTIF(DonnéesBC[[#This Row],[51]:[66]],"Je ne sais pas")</f>
        <v>6</v>
      </c>
      <c r="DT52" s="103">
        <f>COUNTIF(DonnéesBC[[#This Row],[51]:[66]],"Juste")</f>
        <v>6</v>
      </c>
      <c r="DU52" s="96">
        <v>11</v>
      </c>
      <c r="DV52" s="103">
        <f>COUNTIF(DonnéesBC[[#This Row],[67]:[77]],"FAUX")</f>
        <v>0</v>
      </c>
      <c r="DW52" s="103">
        <f>COUNTIF(DonnéesBC[[#This Row],[67]:[77]],"Je ne sais pas")</f>
        <v>4</v>
      </c>
      <c r="DX52" s="103">
        <f>COUNTIF(DonnéesBC[[#This Row],[67]:[77]],"Juste")</f>
        <v>7</v>
      </c>
      <c r="DY52" s="96">
        <v>14</v>
      </c>
      <c r="DZ52" s="103">
        <f>COUNTIF(DonnéesBC[[#This Row],[78]:[91]],"FAUX")</f>
        <v>1</v>
      </c>
      <c r="EA52" s="103">
        <f>COUNTIF(DonnéesBC[[#This Row],[78]:[91]],"Je ne sais pas")</f>
        <v>6</v>
      </c>
      <c r="EB52" s="103">
        <f>COUNTIF(DonnéesBC[[#This Row],[78]:[91]],"Juste")</f>
        <v>7</v>
      </c>
      <c r="EC52" s="96">
        <v>10</v>
      </c>
      <c r="ED52" s="103">
        <f>COUNTIF(DonnéesBC[[#This Row],[92]:[101]],"FAUX")</f>
        <v>2</v>
      </c>
      <c r="EE52" s="103">
        <f>COUNTIF(DonnéesBC[[#This Row],[92]:[101]],"Je ne sais pas")</f>
        <v>3</v>
      </c>
      <c r="EF52" s="103">
        <f>COUNTIF(DonnéesBC[[#This Row],[92]:[101]],"Juste")</f>
        <v>5</v>
      </c>
      <c r="EG52" s="96">
        <f>SUM(DonnéesBC[[#This Row],[A]]+DonnéesBC[[#This Row],[B]]+DonnéesBC[[#This Row],[C]]+DonnéesBC[[#This Row],[D]]+DonnéesBC[[#This Row],[E]]+DonnéesBC[[#This Row],[F]]+DonnéesBC[[#This Row],[G]]+DonnéesBC[[#This Row],[H]])</f>
        <v>101</v>
      </c>
      <c r="EH52" s="97">
        <f>SUM(DonnéesBC[[#This Row],[A2]]+DonnéesBC[[#This Row],[B2]]+DonnéesBC[[#This Row],[C2]]+DonnéesBC[[#This Row],[D2]]+DonnéesBC[[#This Row],[E2]]+DonnéesBC[[#This Row],[F2]]+DonnéesBC[[#This Row],[G2]]+DonnéesBC[[#This Row],[H2]])</f>
        <v>17</v>
      </c>
      <c r="EI52" s="98">
        <f>SUM(DonnéesBC[[#This Row],[A3]]+DonnéesBC[[#This Row],[B3]]+DonnéesBC[[#This Row],[C3]]+DonnéesBC[[#This Row],[D3]]+DonnéesBC[[#This Row],[E3]]+DonnéesBC[[#This Row],[F3]]+DonnéesBC[[#This Row],[G3]]+DonnéesBC[[#This Row],[H3]])</f>
        <v>28</v>
      </c>
      <c r="EJ52" s="103">
        <f>SUM(DonnéesBC[[#This Row],[A4]]+DonnéesBC[[#This Row],[B4]]+DonnéesBC[[#This Row],[C4]]+DonnéesBC[[#This Row],[D4]]+DonnéesBC[[#This Row],[E4]]+DonnéesBC[[#This Row],[F4]]+DonnéesBC[[#This Row],[G4]]+DonnéesBC[[#This Row],[H4]])</f>
        <v>56</v>
      </c>
      <c r="EK52" s="95"/>
      <c r="EL52">
        <v>5</v>
      </c>
    </row>
    <row r="53" spans="1:142" ht="14" customHeight="1">
      <c r="A53" s="101" t="str">
        <f>DonnéesBC[[#This Row],[Prénom]]&amp;" "&amp;DonnéesBC[[#This Row],[Nom]]</f>
        <v>Sandrine Borloz</v>
      </c>
      <c r="B53" s="97" t="s">
        <v>46</v>
      </c>
      <c r="C53" s="97" t="s">
        <v>167</v>
      </c>
      <c r="D53" s="136" t="b">
        <v>0</v>
      </c>
      <c r="E53" s="137" t="s">
        <v>846</v>
      </c>
      <c r="F53" s="137" t="s">
        <v>846</v>
      </c>
      <c r="G53" s="137" t="s">
        <v>846</v>
      </c>
      <c r="H53" s="137" t="s">
        <v>846</v>
      </c>
      <c r="I53" s="137" t="s">
        <v>846</v>
      </c>
      <c r="J53" s="137" t="s">
        <v>846</v>
      </c>
      <c r="K53" s="137" t="b">
        <v>0</v>
      </c>
      <c r="L53" s="137" t="b">
        <v>0</v>
      </c>
      <c r="M53" s="137" t="s">
        <v>846</v>
      </c>
      <c r="N53" s="137" t="s">
        <v>846</v>
      </c>
      <c r="O53" s="137" t="b">
        <v>0</v>
      </c>
      <c r="P53" s="137" t="s">
        <v>846</v>
      </c>
      <c r="Q53" s="137" t="b">
        <v>0</v>
      </c>
      <c r="R53" s="137" t="s">
        <v>846</v>
      </c>
      <c r="S53" s="138" t="s">
        <v>846</v>
      </c>
      <c r="T53" s="136" t="s">
        <v>846</v>
      </c>
      <c r="U53" s="137" t="s">
        <v>846</v>
      </c>
      <c r="V53" s="137" t="s">
        <v>846</v>
      </c>
      <c r="W53" s="137" t="s">
        <v>846</v>
      </c>
      <c r="X53" s="137" t="s">
        <v>846</v>
      </c>
      <c r="Y53" s="137" t="s">
        <v>846</v>
      </c>
      <c r="Z53" s="137" t="b">
        <v>0</v>
      </c>
      <c r="AA53" s="137" t="s">
        <v>846</v>
      </c>
      <c r="AB53" s="137" t="s">
        <v>846</v>
      </c>
      <c r="AC53" s="137" t="b">
        <v>0</v>
      </c>
      <c r="AD53" s="137" t="s">
        <v>846</v>
      </c>
      <c r="AE53" s="138" t="s">
        <v>846</v>
      </c>
      <c r="AF53" s="136" t="s">
        <v>846</v>
      </c>
      <c r="AG53" s="137" t="s">
        <v>846</v>
      </c>
      <c r="AH53" s="137" t="s">
        <v>846</v>
      </c>
      <c r="AI53" s="137" t="s">
        <v>846</v>
      </c>
      <c r="AJ53" s="137" t="b">
        <v>0</v>
      </c>
      <c r="AK53" s="137" t="s">
        <v>846</v>
      </c>
      <c r="AL53" s="137" t="s">
        <v>846</v>
      </c>
      <c r="AM53" s="137" t="s">
        <v>846</v>
      </c>
      <c r="AN53" s="138" t="s">
        <v>846</v>
      </c>
      <c r="AO53" s="136" t="b">
        <v>0</v>
      </c>
      <c r="AP53" s="137" t="s">
        <v>846</v>
      </c>
      <c r="AQ53" s="137" t="s">
        <v>846</v>
      </c>
      <c r="AR53" s="137" t="s">
        <v>846</v>
      </c>
      <c r="AS53" s="137" t="s">
        <v>840</v>
      </c>
      <c r="AT53" s="137" t="s">
        <v>846</v>
      </c>
      <c r="AU53" s="137" t="s">
        <v>846</v>
      </c>
      <c r="AV53" s="137" t="s">
        <v>846</v>
      </c>
      <c r="AW53" s="137" t="s">
        <v>846</v>
      </c>
      <c r="AX53" s="137" t="s">
        <v>846</v>
      </c>
      <c r="AY53" s="137" t="s">
        <v>846</v>
      </c>
      <c r="AZ53" s="137" t="s">
        <v>846</v>
      </c>
      <c r="BA53" s="138" t="s">
        <v>846</v>
      </c>
      <c r="BB53" s="136" t="s">
        <v>846</v>
      </c>
      <c r="BC53" s="137" t="s">
        <v>846</v>
      </c>
      <c r="BD53" s="137" t="s">
        <v>846</v>
      </c>
      <c r="BE53" s="137" t="s">
        <v>846</v>
      </c>
      <c r="BF53" s="137" t="s">
        <v>846</v>
      </c>
      <c r="BG53" s="137" t="s">
        <v>846</v>
      </c>
      <c r="BH53" s="137" t="s">
        <v>846</v>
      </c>
      <c r="BI53" s="137" t="b">
        <v>0</v>
      </c>
      <c r="BJ53" s="137" t="s">
        <v>840</v>
      </c>
      <c r="BK53" s="137" t="b">
        <v>0</v>
      </c>
      <c r="BL53" s="137" t="s">
        <v>840</v>
      </c>
      <c r="BM53" s="137" t="b">
        <v>0</v>
      </c>
      <c r="BN53" s="137" t="s">
        <v>840</v>
      </c>
      <c r="BO53" s="137" t="s">
        <v>840</v>
      </c>
      <c r="BP53" s="137" t="s">
        <v>840</v>
      </c>
      <c r="BQ53" s="138" t="s">
        <v>840</v>
      </c>
      <c r="BR53" s="136" t="s">
        <v>846</v>
      </c>
      <c r="BS53" s="137" t="s">
        <v>846</v>
      </c>
      <c r="BT53" s="137" t="s">
        <v>846</v>
      </c>
      <c r="BU53" s="137" t="s">
        <v>846</v>
      </c>
      <c r="BV53" s="137" t="s">
        <v>846</v>
      </c>
      <c r="BW53" s="137" t="s">
        <v>846</v>
      </c>
      <c r="BX53" s="137" t="b">
        <v>0</v>
      </c>
      <c r="BY53" s="137" t="s">
        <v>846</v>
      </c>
      <c r="BZ53" s="137" t="s">
        <v>846</v>
      </c>
      <c r="CA53" s="137" t="b">
        <v>0</v>
      </c>
      <c r="CB53" s="138" t="s">
        <v>846</v>
      </c>
      <c r="CC53" s="136" t="s">
        <v>840</v>
      </c>
      <c r="CD53" s="137" t="s">
        <v>846</v>
      </c>
      <c r="CE53" s="137" t="s">
        <v>846</v>
      </c>
      <c r="CF53" s="137" t="s">
        <v>846</v>
      </c>
      <c r="CG53" s="137" t="s">
        <v>846</v>
      </c>
      <c r="CH53" s="137" t="b">
        <v>0</v>
      </c>
      <c r="CI53" s="137" t="s">
        <v>846</v>
      </c>
      <c r="CJ53" s="137" t="s">
        <v>840</v>
      </c>
      <c r="CK53" s="137" t="b">
        <v>0</v>
      </c>
      <c r="CL53" s="137" t="s">
        <v>846</v>
      </c>
      <c r="CM53" s="137" t="s">
        <v>846</v>
      </c>
      <c r="CN53" s="137" t="s">
        <v>846</v>
      </c>
      <c r="CO53" s="137" t="b">
        <v>0</v>
      </c>
      <c r="CP53" s="138" t="b">
        <v>0</v>
      </c>
      <c r="CQ53" s="136" t="s">
        <v>846</v>
      </c>
      <c r="CR53" s="137" t="s">
        <v>846</v>
      </c>
      <c r="CS53" s="137" t="s">
        <v>840</v>
      </c>
      <c r="CT53" s="137" t="b">
        <v>0</v>
      </c>
      <c r="CU53" s="137" t="s">
        <v>846</v>
      </c>
      <c r="CV53" s="137" t="s">
        <v>846</v>
      </c>
      <c r="CW53" s="137" t="b">
        <v>0</v>
      </c>
      <c r="CX53" s="137" t="s">
        <v>846</v>
      </c>
      <c r="CY53" s="137" t="b">
        <v>0</v>
      </c>
      <c r="CZ53" s="138" t="s">
        <v>840</v>
      </c>
      <c r="DA53" s="96">
        <v>16</v>
      </c>
      <c r="DB53" s="103">
        <f>COUNTIF(DonnéesBC[[#This Row],[1]:[16]],"FAUX")</f>
        <v>5</v>
      </c>
      <c r="DC53" s="103">
        <f>COUNTIF(DonnéesBC[[#This Row],[1]:[16]],"Je ne sais pas")</f>
        <v>0</v>
      </c>
      <c r="DD53" s="103">
        <f>COUNTIF(DonnéesBC[[#This Row],[1]:[16]],"Juste")</f>
        <v>11</v>
      </c>
      <c r="DE53" s="96">
        <v>12</v>
      </c>
      <c r="DF53" s="103">
        <f>COUNTIF(DonnéesBC[[#This Row],[17]:[28]],"FAUX")</f>
        <v>2</v>
      </c>
      <c r="DG53" s="103">
        <f>COUNTIF(DonnéesBC[[#This Row],[17]:[28]],"Je ne sais pas")</f>
        <v>0</v>
      </c>
      <c r="DH53" s="103">
        <f>COUNTIF(DonnéesBC[[#This Row],[17]:[28]],"Juste")</f>
        <v>10</v>
      </c>
      <c r="DI53" s="96">
        <v>9</v>
      </c>
      <c r="DJ53" s="103">
        <f>COUNTIF(DonnéesBC[[#This Row],[29]:[37]],"FAUX")</f>
        <v>1</v>
      </c>
      <c r="DK53" s="103">
        <f>COUNTIF(DonnéesBC[[#This Row],[29]:[37]],"Je ne sais pas")</f>
        <v>0</v>
      </c>
      <c r="DL53" s="103">
        <f>COUNTIF(DonnéesBC[[#This Row],[29]:[37]],"Juste")</f>
        <v>8</v>
      </c>
      <c r="DM53" s="96">
        <v>13</v>
      </c>
      <c r="DN53" s="103">
        <f>COUNTIF(DonnéesBC[[#This Row],[38]:[50]],"FAUX")</f>
        <v>1</v>
      </c>
      <c r="DO53" s="103">
        <f>COUNTIF(DonnéesBC[[#This Row],[38]:[50]],"Je ne sais pas")</f>
        <v>1</v>
      </c>
      <c r="DP53" s="103">
        <f>COUNTIF(DonnéesBC[[#This Row],[38]:[50]],"Juste")</f>
        <v>11</v>
      </c>
      <c r="DQ53" s="96">
        <v>16</v>
      </c>
      <c r="DR53" s="103">
        <f>COUNTIF(DonnéesBC[[#This Row],[51]:[66]],"FAUX")</f>
        <v>3</v>
      </c>
      <c r="DS53" s="103">
        <f>COUNTIF(DonnéesBC[[#This Row],[51]:[66]],"Je ne sais pas")</f>
        <v>6</v>
      </c>
      <c r="DT53" s="103">
        <f>COUNTIF(DonnéesBC[[#This Row],[51]:[66]],"Juste")</f>
        <v>7</v>
      </c>
      <c r="DU53" s="96">
        <v>11</v>
      </c>
      <c r="DV53" s="103">
        <f>COUNTIF(DonnéesBC[[#This Row],[67]:[77]],"FAUX")</f>
        <v>2</v>
      </c>
      <c r="DW53" s="103">
        <f>COUNTIF(DonnéesBC[[#This Row],[67]:[77]],"Je ne sais pas")</f>
        <v>0</v>
      </c>
      <c r="DX53" s="103">
        <f>COUNTIF(DonnéesBC[[#This Row],[67]:[77]],"Juste")</f>
        <v>9</v>
      </c>
      <c r="DY53" s="96">
        <v>14</v>
      </c>
      <c r="DZ53" s="103">
        <f>COUNTIF(DonnéesBC[[#This Row],[78]:[91]],"FAUX")</f>
        <v>4</v>
      </c>
      <c r="EA53" s="103">
        <f>COUNTIF(DonnéesBC[[#This Row],[78]:[91]],"Je ne sais pas")</f>
        <v>2</v>
      </c>
      <c r="EB53" s="103">
        <f>COUNTIF(DonnéesBC[[#This Row],[78]:[91]],"Juste")</f>
        <v>8</v>
      </c>
      <c r="EC53" s="96">
        <v>10</v>
      </c>
      <c r="ED53" s="103">
        <f>COUNTIF(DonnéesBC[[#This Row],[92]:[101]],"FAUX")</f>
        <v>3</v>
      </c>
      <c r="EE53" s="103">
        <f>COUNTIF(DonnéesBC[[#This Row],[92]:[101]],"Je ne sais pas")</f>
        <v>2</v>
      </c>
      <c r="EF53" s="103">
        <f>COUNTIF(DonnéesBC[[#This Row],[92]:[101]],"Juste")</f>
        <v>5</v>
      </c>
      <c r="EG53" s="96">
        <f>SUM(DonnéesBC[[#This Row],[A]]+DonnéesBC[[#This Row],[B]]+DonnéesBC[[#This Row],[C]]+DonnéesBC[[#This Row],[D]]+DonnéesBC[[#This Row],[E]]+DonnéesBC[[#This Row],[F]]+DonnéesBC[[#This Row],[G]]+DonnéesBC[[#This Row],[H]])</f>
        <v>101</v>
      </c>
      <c r="EH53" s="97">
        <f>SUM(DonnéesBC[[#This Row],[A2]]+DonnéesBC[[#This Row],[B2]]+DonnéesBC[[#This Row],[C2]]+DonnéesBC[[#This Row],[D2]]+DonnéesBC[[#This Row],[E2]]+DonnéesBC[[#This Row],[F2]]+DonnéesBC[[#This Row],[G2]]+DonnéesBC[[#This Row],[H2]])</f>
        <v>21</v>
      </c>
      <c r="EI53" s="98">
        <f>SUM(DonnéesBC[[#This Row],[A3]]+DonnéesBC[[#This Row],[B3]]+DonnéesBC[[#This Row],[C3]]+DonnéesBC[[#This Row],[D3]]+DonnéesBC[[#This Row],[E3]]+DonnéesBC[[#This Row],[F3]]+DonnéesBC[[#This Row],[G3]]+DonnéesBC[[#This Row],[H3]])</f>
        <v>11</v>
      </c>
      <c r="EJ53" s="103">
        <f>SUM(DonnéesBC[[#This Row],[A4]]+DonnéesBC[[#This Row],[B4]]+DonnéesBC[[#This Row],[C4]]+DonnéesBC[[#This Row],[D4]]+DonnéesBC[[#This Row],[E4]]+DonnéesBC[[#This Row],[F4]]+DonnéesBC[[#This Row],[G4]]+DonnéesBC[[#This Row],[H4]])</f>
        <v>69</v>
      </c>
      <c r="EK53" s="95"/>
      <c r="EL53">
        <v>5</v>
      </c>
    </row>
    <row r="54" spans="1:142" ht="14" customHeight="1">
      <c r="A54" s="101" t="str">
        <f>DonnéesBC[[#This Row],[Prénom]]&amp;" "&amp;DonnéesBC[[#This Row],[Nom]]</f>
        <v>Serge Stettler</v>
      </c>
      <c r="B54" s="97" t="s">
        <v>168</v>
      </c>
      <c r="C54" s="97" t="s">
        <v>169</v>
      </c>
      <c r="D54" s="132" t="b">
        <v>0</v>
      </c>
      <c r="E54" s="133" t="b">
        <v>0</v>
      </c>
      <c r="F54" s="133" t="s">
        <v>846</v>
      </c>
      <c r="G54" s="133" t="s">
        <v>846</v>
      </c>
      <c r="H54" s="133" t="s">
        <v>846</v>
      </c>
      <c r="I54" s="133" t="s">
        <v>846</v>
      </c>
      <c r="J54" s="133" t="s">
        <v>840</v>
      </c>
      <c r="K54" s="133" t="s">
        <v>840</v>
      </c>
      <c r="L54" s="133" t="s">
        <v>840</v>
      </c>
      <c r="M54" s="133" t="s">
        <v>846</v>
      </c>
      <c r="N54" s="133" t="b">
        <v>0</v>
      </c>
      <c r="O54" s="133" t="s">
        <v>846</v>
      </c>
      <c r="P54" s="133" t="s">
        <v>846</v>
      </c>
      <c r="Q54" s="133" t="s">
        <v>846</v>
      </c>
      <c r="R54" s="133" t="s">
        <v>846</v>
      </c>
      <c r="S54" s="135" t="b">
        <v>0</v>
      </c>
      <c r="T54" s="132" t="s">
        <v>846</v>
      </c>
      <c r="U54" s="133" t="s">
        <v>846</v>
      </c>
      <c r="V54" s="133" t="s">
        <v>846</v>
      </c>
      <c r="W54" s="133" t="s">
        <v>846</v>
      </c>
      <c r="X54" s="133" t="b">
        <v>0</v>
      </c>
      <c r="Y54" s="133" t="s">
        <v>840</v>
      </c>
      <c r="Z54" s="133" t="s">
        <v>840</v>
      </c>
      <c r="AA54" s="133" t="s">
        <v>840</v>
      </c>
      <c r="AB54" s="133" t="s">
        <v>840</v>
      </c>
      <c r="AC54" s="133" t="s">
        <v>840</v>
      </c>
      <c r="AD54" s="133" t="s">
        <v>840</v>
      </c>
      <c r="AE54" s="135" t="s">
        <v>840</v>
      </c>
      <c r="AF54" s="132" t="s">
        <v>846</v>
      </c>
      <c r="AG54" s="133" t="s">
        <v>846</v>
      </c>
      <c r="AH54" s="133" t="b">
        <v>0</v>
      </c>
      <c r="AI54" s="133" t="s">
        <v>846</v>
      </c>
      <c r="AJ54" s="133" t="s">
        <v>846</v>
      </c>
      <c r="AK54" s="133" t="s">
        <v>840</v>
      </c>
      <c r="AL54" s="133" t="s">
        <v>846</v>
      </c>
      <c r="AM54" s="133" t="s">
        <v>846</v>
      </c>
      <c r="AN54" s="135" t="s">
        <v>846</v>
      </c>
      <c r="AO54" s="132" t="s">
        <v>840</v>
      </c>
      <c r="AP54" s="133" t="s">
        <v>846</v>
      </c>
      <c r="AQ54" s="133" t="b">
        <v>0</v>
      </c>
      <c r="AR54" s="133" t="s">
        <v>840</v>
      </c>
      <c r="AS54" s="133" t="b">
        <v>0</v>
      </c>
      <c r="AT54" s="133" t="s">
        <v>846</v>
      </c>
      <c r="AU54" s="133" t="s">
        <v>840</v>
      </c>
      <c r="AV54" s="133" t="s">
        <v>846</v>
      </c>
      <c r="AW54" s="133" t="s">
        <v>840</v>
      </c>
      <c r="AX54" s="133" t="s">
        <v>840</v>
      </c>
      <c r="AY54" s="133" t="s">
        <v>846</v>
      </c>
      <c r="AZ54" s="133" t="s">
        <v>840</v>
      </c>
      <c r="BA54" s="135" t="s">
        <v>840</v>
      </c>
      <c r="BB54" s="132" t="s">
        <v>840</v>
      </c>
      <c r="BC54" s="133" t="s">
        <v>846</v>
      </c>
      <c r="BD54" s="133" t="s">
        <v>840</v>
      </c>
      <c r="BE54" s="133" t="s">
        <v>840</v>
      </c>
      <c r="BF54" s="133" t="s">
        <v>840</v>
      </c>
      <c r="BG54" s="133" t="s">
        <v>846</v>
      </c>
      <c r="BH54" s="133" t="b">
        <v>0</v>
      </c>
      <c r="BI54" s="133" t="s">
        <v>846</v>
      </c>
      <c r="BJ54" s="133" t="s">
        <v>840</v>
      </c>
      <c r="BK54" s="133" t="b">
        <v>0</v>
      </c>
      <c r="BL54" s="133" t="s">
        <v>846</v>
      </c>
      <c r="BM54" s="133" t="s">
        <v>846</v>
      </c>
      <c r="BN54" s="133" t="b">
        <v>0</v>
      </c>
      <c r="BO54" s="133" t="b">
        <v>0</v>
      </c>
      <c r="BP54" s="133" t="s">
        <v>840</v>
      </c>
      <c r="BQ54" s="135" t="s">
        <v>840</v>
      </c>
      <c r="BR54" s="132" t="s">
        <v>846</v>
      </c>
      <c r="BS54" s="133" t="s">
        <v>846</v>
      </c>
      <c r="BT54" s="133" t="s">
        <v>846</v>
      </c>
      <c r="BU54" s="133" t="s">
        <v>846</v>
      </c>
      <c r="BV54" s="133" t="b">
        <v>0</v>
      </c>
      <c r="BW54" s="133" t="s">
        <v>846</v>
      </c>
      <c r="BX54" s="133" t="s">
        <v>846</v>
      </c>
      <c r="BY54" s="133" t="s">
        <v>846</v>
      </c>
      <c r="BZ54" s="133" t="s">
        <v>731</v>
      </c>
      <c r="CA54" s="133" t="b">
        <v>0</v>
      </c>
      <c r="CB54" s="135" t="s">
        <v>846</v>
      </c>
      <c r="CC54" s="132" t="s">
        <v>846</v>
      </c>
      <c r="CD54" s="133" t="s">
        <v>846</v>
      </c>
      <c r="CE54" s="133" t="s">
        <v>846</v>
      </c>
      <c r="CF54" s="133" t="s">
        <v>846</v>
      </c>
      <c r="CG54" s="133" t="s">
        <v>846</v>
      </c>
      <c r="CH54" s="133" t="s">
        <v>846</v>
      </c>
      <c r="CI54" s="133" t="s">
        <v>840</v>
      </c>
      <c r="CJ54" s="133" t="s">
        <v>840</v>
      </c>
      <c r="CK54" s="133" t="s">
        <v>846</v>
      </c>
      <c r="CL54" s="133" t="b">
        <v>0</v>
      </c>
      <c r="CM54" s="133" t="s">
        <v>846</v>
      </c>
      <c r="CN54" s="133" t="s">
        <v>846</v>
      </c>
      <c r="CO54" s="133" t="s">
        <v>846</v>
      </c>
      <c r="CP54" s="135" t="s">
        <v>840</v>
      </c>
      <c r="CQ54" s="132" t="s">
        <v>840</v>
      </c>
      <c r="CR54" s="133" t="s">
        <v>846</v>
      </c>
      <c r="CS54" s="133" t="s">
        <v>840</v>
      </c>
      <c r="CT54" s="133" t="s">
        <v>840</v>
      </c>
      <c r="CU54" s="133" t="s">
        <v>846</v>
      </c>
      <c r="CV54" s="133" t="s">
        <v>846</v>
      </c>
      <c r="CW54" s="133" t="s">
        <v>840</v>
      </c>
      <c r="CX54" s="133" t="s">
        <v>846</v>
      </c>
      <c r="CY54" s="133" t="b">
        <v>0</v>
      </c>
      <c r="CZ54" s="135" t="s">
        <v>840</v>
      </c>
      <c r="DA54" s="96">
        <v>16</v>
      </c>
      <c r="DB54" s="103">
        <f>COUNTIF(DonnéesBC[[#This Row],[1]:[16]],"FAUX")</f>
        <v>4</v>
      </c>
      <c r="DC54" s="103">
        <f>COUNTIF(DonnéesBC[[#This Row],[1]:[16]],"Je ne sais pas")</f>
        <v>3</v>
      </c>
      <c r="DD54" s="103">
        <f>COUNTIF(DonnéesBC[[#This Row],[1]:[16]],"Juste")</f>
        <v>9</v>
      </c>
      <c r="DE54" s="96">
        <v>12</v>
      </c>
      <c r="DF54" s="103">
        <f>COUNTIF(DonnéesBC[[#This Row],[17]:[28]],"FAUX")</f>
        <v>1</v>
      </c>
      <c r="DG54" s="103">
        <f>COUNTIF(DonnéesBC[[#This Row],[17]:[28]],"Je ne sais pas")</f>
        <v>7</v>
      </c>
      <c r="DH54" s="103">
        <f>COUNTIF(DonnéesBC[[#This Row],[17]:[28]],"Juste")</f>
        <v>4</v>
      </c>
      <c r="DI54" s="96">
        <v>9</v>
      </c>
      <c r="DJ54" s="103">
        <f>COUNTIF(DonnéesBC[[#This Row],[29]:[37]],"FAUX")</f>
        <v>1</v>
      </c>
      <c r="DK54" s="103">
        <f>COUNTIF(DonnéesBC[[#This Row],[29]:[37]],"Je ne sais pas")</f>
        <v>1</v>
      </c>
      <c r="DL54" s="103">
        <f>COUNTIF(DonnéesBC[[#This Row],[29]:[37]],"Juste")</f>
        <v>7</v>
      </c>
      <c r="DM54" s="96">
        <v>13</v>
      </c>
      <c r="DN54" s="103">
        <f>COUNTIF(DonnéesBC[[#This Row],[38]:[50]],"FAUX")</f>
        <v>2</v>
      </c>
      <c r="DO54" s="103">
        <f>COUNTIF(DonnéesBC[[#This Row],[38]:[50]],"Je ne sais pas")</f>
        <v>7</v>
      </c>
      <c r="DP54" s="103">
        <f>COUNTIF(DonnéesBC[[#This Row],[38]:[50]],"Juste")</f>
        <v>4</v>
      </c>
      <c r="DQ54" s="96">
        <v>16</v>
      </c>
      <c r="DR54" s="103">
        <f>COUNTIF(DonnéesBC[[#This Row],[51]:[66]],"FAUX")</f>
        <v>4</v>
      </c>
      <c r="DS54" s="103">
        <f>COUNTIF(DonnéesBC[[#This Row],[51]:[66]],"Je ne sais pas")</f>
        <v>7</v>
      </c>
      <c r="DT54" s="103">
        <f>COUNTIF(DonnéesBC[[#This Row],[51]:[66]],"Juste")</f>
        <v>5</v>
      </c>
      <c r="DU54" s="96">
        <v>11</v>
      </c>
      <c r="DV54" s="103">
        <f>COUNTIF(DonnéesBC[[#This Row],[67]:[77]],"FAUX")</f>
        <v>2</v>
      </c>
      <c r="DW54" s="103">
        <f>COUNTIF(DonnéesBC[[#This Row],[67]:[77]],"Je ne sais pas")</f>
        <v>0</v>
      </c>
      <c r="DX54" s="103">
        <f>COUNTIF(DonnéesBC[[#This Row],[67]:[77]],"Juste")</f>
        <v>8</v>
      </c>
      <c r="DY54" s="96">
        <v>14</v>
      </c>
      <c r="DZ54" s="103">
        <f>COUNTIF(DonnéesBC[[#This Row],[78]:[91]],"FAUX")</f>
        <v>1</v>
      </c>
      <c r="EA54" s="103">
        <f>COUNTIF(DonnéesBC[[#This Row],[78]:[91]],"Je ne sais pas")</f>
        <v>3</v>
      </c>
      <c r="EB54" s="103">
        <f>COUNTIF(DonnéesBC[[#This Row],[78]:[91]],"Juste")</f>
        <v>10</v>
      </c>
      <c r="EC54" s="96">
        <v>10</v>
      </c>
      <c r="ED54" s="103">
        <f>COUNTIF(DonnéesBC[[#This Row],[92]:[101]],"FAUX")</f>
        <v>1</v>
      </c>
      <c r="EE54" s="103">
        <f>COUNTIF(DonnéesBC[[#This Row],[92]:[101]],"Je ne sais pas")</f>
        <v>5</v>
      </c>
      <c r="EF54" s="103">
        <f>COUNTIF(DonnéesBC[[#This Row],[92]:[101]],"Juste")</f>
        <v>4</v>
      </c>
      <c r="EG54" s="96">
        <f>SUM(DonnéesBC[[#This Row],[A]]+DonnéesBC[[#This Row],[B]]+DonnéesBC[[#This Row],[C]]+DonnéesBC[[#This Row],[D]]+DonnéesBC[[#This Row],[E]]+DonnéesBC[[#This Row],[F]]+DonnéesBC[[#This Row],[G]]+DonnéesBC[[#This Row],[H]])</f>
        <v>101</v>
      </c>
      <c r="EH54" s="97">
        <f>SUM(DonnéesBC[[#This Row],[A2]]+DonnéesBC[[#This Row],[B2]]+DonnéesBC[[#This Row],[C2]]+DonnéesBC[[#This Row],[D2]]+DonnéesBC[[#This Row],[E2]]+DonnéesBC[[#This Row],[F2]]+DonnéesBC[[#This Row],[G2]]+DonnéesBC[[#This Row],[H2]])</f>
        <v>16</v>
      </c>
      <c r="EI54" s="98">
        <f>SUM(DonnéesBC[[#This Row],[A3]]+DonnéesBC[[#This Row],[B3]]+DonnéesBC[[#This Row],[C3]]+DonnéesBC[[#This Row],[D3]]+DonnéesBC[[#This Row],[E3]]+DonnéesBC[[#This Row],[F3]]+DonnéesBC[[#This Row],[G3]]+DonnéesBC[[#This Row],[H3]])</f>
        <v>33</v>
      </c>
      <c r="EJ54" s="103">
        <f>SUM(DonnéesBC[[#This Row],[A4]]+DonnéesBC[[#This Row],[B4]]+DonnéesBC[[#This Row],[C4]]+DonnéesBC[[#This Row],[D4]]+DonnéesBC[[#This Row],[E4]]+DonnéesBC[[#This Row],[F4]]+DonnéesBC[[#This Row],[G4]]+DonnéesBC[[#This Row],[H4]])</f>
        <v>51</v>
      </c>
      <c r="EK54" s="95" t="s">
        <v>683</v>
      </c>
      <c r="EL54">
        <v>5</v>
      </c>
    </row>
    <row r="55" spans="1:142" ht="14" customHeight="1">
      <c r="A55" s="101" t="str">
        <f>DonnéesBC[[#This Row],[Prénom]]&amp;" "&amp;DonnéesBC[[#This Row],[Nom]]</f>
        <v>Silvia Mury</v>
      </c>
      <c r="B55" s="97" t="s">
        <v>170</v>
      </c>
      <c r="C55" s="97" t="s">
        <v>171</v>
      </c>
      <c r="D55" s="136" t="s">
        <v>846</v>
      </c>
      <c r="E55" s="137" t="b">
        <v>0</v>
      </c>
      <c r="F55" s="137" t="s">
        <v>846</v>
      </c>
      <c r="G55" s="137" t="s">
        <v>846</v>
      </c>
      <c r="H55" s="137" t="s">
        <v>846</v>
      </c>
      <c r="I55" s="137" t="s">
        <v>846</v>
      </c>
      <c r="J55" s="137" t="s">
        <v>846</v>
      </c>
      <c r="K55" s="137" t="b">
        <v>0</v>
      </c>
      <c r="L55" s="137" t="b">
        <v>0</v>
      </c>
      <c r="M55" s="137" t="s">
        <v>846</v>
      </c>
      <c r="N55" s="137" t="b">
        <v>0</v>
      </c>
      <c r="O55" s="137" t="s">
        <v>846</v>
      </c>
      <c r="P55" s="137" t="s">
        <v>846</v>
      </c>
      <c r="Q55" s="137" t="b">
        <v>0</v>
      </c>
      <c r="R55" s="137" t="s">
        <v>846</v>
      </c>
      <c r="S55" s="138" t="b">
        <v>0</v>
      </c>
      <c r="T55" s="136" t="s">
        <v>846</v>
      </c>
      <c r="U55" s="137" t="s">
        <v>846</v>
      </c>
      <c r="V55" s="137" t="s">
        <v>846</v>
      </c>
      <c r="W55" s="137" t="s">
        <v>846</v>
      </c>
      <c r="X55" s="137" t="s">
        <v>840</v>
      </c>
      <c r="Y55" s="137" t="s">
        <v>846</v>
      </c>
      <c r="Z55" s="137" t="s">
        <v>846</v>
      </c>
      <c r="AA55" s="137" t="s">
        <v>846</v>
      </c>
      <c r="AB55" s="137" t="b">
        <v>0</v>
      </c>
      <c r="AC55" s="137" t="b">
        <v>0</v>
      </c>
      <c r="AD55" s="137" t="b">
        <v>0</v>
      </c>
      <c r="AE55" s="138" t="s">
        <v>846</v>
      </c>
      <c r="AF55" s="136" t="s">
        <v>846</v>
      </c>
      <c r="AG55" s="137" t="s">
        <v>846</v>
      </c>
      <c r="AH55" s="137" t="b">
        <v>0</v>
      </c>
      <c r="AI55" s="137" t="s">
        <v>846</v>
      </c>
      <c r="AJ55" s="137" t="s">
        <v>846</v>
      </c>
      <c r="AK55" s="137" t="s">
        <v>846</v>
      </c>
      <c r="AL55" s="137" t="s">
        <v>846</v>
      </c>
      <c r="AM55" s="137" t="b">
        <v>0</v>
      </c>
      <c r="AN55" s="138" t="s">
        <v>846</v>
      </c>
      <c r="AO55" s="136" t="s">
        <v>840</v>
      </c>
      <c r="AP55" s="137" t="s">
        <v>846</v>
      </c>
      <c r="AQ55" s="137" t="s">
        <v>846</v>
      </c>
      <c r="AR55" s="137" t="s">
        <v>846</v>
      </c>
      <c r="AS55" s="137" t="s">
        <v>846</v>
      </c>
      <c r="AT55" s="137" t="s">
        <v>846</v>
      </c>
      <c r="AU55" s="137" t="s">
        <v>846</v>
      </c>
      <c r="AV55" s="137" t="s">
        <v>846</v>
      </c>
      <c r="AW55" s="137" t="s">
        <v>846</v>
      </c>
      <c r="AX55" s="137" t="s">
        <v>846</v>
      </c>
      <c r="AY55" s="137" t="s">
        <v>846</v>
      </c>
      <c r="AZ55" s="137" t="s">
        <v>840</v>
      </c>
      <c r="BA55" s="138" t="s">
        <v>846</v>
      </c>
      <c r="BB55" s="136" t="s">
        <v>846</v>
      </c>
      <c r="BC55" s="137" t="s">
        <v>846</v>
      </c>
      <c r="BD55" s="137" t="s">
        <v>846</v>
      </c>
      <c r="BE55" s="137" t="s">
        <v>846</v>
      </c>
      <c r="BF55" s="137" t="b">
        <v>0</v>
      </c>
      <c r="BG55" s="137" t="s">
        <v>846</v>
      </c>
      <c r="BH55" s="137" t="s">
        <v>846</v>
      </c>
      <c r="BI55" s="137" t="s">
        <v>846</v>
      </c>
      <c r="BJ55" s="137" t="s">
        <v>846</v>
      </c>
      <c r="BK55" s="137" t="s">
        <v>846</v>
      </c>
      <c r="BL55" s="137" t="s">
        <v>846</v>
      </c>
      <c r="BM55" s="137" t="s">
        <v>846</v>
      </c>
      <c r="BN55" s="137" t="b">
        <v>0</v>
      </c>
      <c r="BO55" s="137" t="s">
        <v>846</v>
      </c>
      <c r="BP55" s="137" t="s">
        <v>846</v>
      </c>
      <c r="BQ55" s="138" t="s">
        <v>846</v>
      </c>
      <c r="BR55" s="136" t="s">
        <v>846</v>
      </c>
      <c r="BS55" s="137" t="s">
        <v>846</v>
      </c>
      <c r="BT55" s="137" t="s">
        <v>846</v>
      </c>
      <c r="BU55" s="137" t="s">
        <v>846</v>
      </c>
      <c r="BV55" s="137" t="s">
        <v>846</v>
      </c>
      <c r="BW55" s="137" t="s">
        <v>846</v>
      </c>
      <c r="BX55" s="137" t="s">
        <v>846</v>
      </c>
      <c r="BY55" s="137" t="s">
        <v>846</v>
      </c>
      <c r="BZ55" s="137" t="s">
        <v>846</v>
      </c>
      <c r="CA55" s="137" t="b">
        <v>0</v>
      </c>
      <c r="CB55" s="138" t="s">
        <v>846</v>
      </c>
      <c r="CC55" s="136" t="s">
        <v>846</v>
      </c>
      <c r="CD55" s="137" t="s">
        <v>846</v>
      </c>
      <c r="CE55" s="137" t="s">
        <v>846</v>
      </c>
      <c r="CF55" s="137" t="s">
        <v>846</v>
      </c>
      <c r="CG55" s="137" t="s">
        <v>846</v>
      </c>
      <c r="CH55" s="137" t="s">
        <v>846</v>
      </c>
      <c r="CI55" s="137" t="s">
        <v>846</v>
      </c>
      <c r="CJ55" s="137" t="s">
        <v>846</v>
      </c>
      <c r="CK55" s="137" t="b">
        <v>0</v>
      </c>
      <c r="CL55" s="137" t="s">
        <v>846</v>
      </c>
      <c r="CM55" s="137" t="s">
        <v>846</v>
      </c>
      <c r="CN55" s="137" t="s">
        <v>846</v>
      </c>
      <c r="CO55" s="137" t="s">
        <v>846</v>
      </c>
      <c r="CP55" s="138" t="b">
        <v>0</v>
      </c>
      <c r="CQ55" s="136" t="b">
        <v>0</v>
      </c>
      <c r="CR55" s="137" t="s">
        <v>846</v>
      </c>
      <c r="CS55" s="137" t="s">
        <v>846</v>
      </c>
      <c r="CT55" s="137" t="b">
        <v>0</v>
      </c>
      <c r="CU55" s="137" t="s">
        <v>846</v>
      </c>
      <c r="CV55" s="137" t="s">
        <v>846</v>
      </c>
      <c r="CW55" s="137" t="s">
        <v>846</v>
      </c>
      <c r="CX55" s="137" t="s">
        <v>846</v>
      </c>
      <c r="CY55" s="137" t="b">
        <v>0</v>
      </c>
      <c r="CZ55" s="138" t="s">
        <v>846</v>
      </c>
      <c r="DA55" s="96">
        <v>16</v>
      </c>
      <c r="DB55" s="103">
        <f>COUNTIF(DonnéesBC[[#This Row],[1]:[16]],"FAUX")</f>
        <v>6</v>
      </c>
      <c r="DC55" s="103">
        <f>COUNTIF(DonnéesBC[[#This Row],[1]:[16]],"Je ne sais pas")</f>
        <v>0</v>
      </c>
      <c r="DD55" s="103">
        <f>COUNTIF(DonnéesBC[[#This Row],[1]:[16]],"Juste")</f>
        <v>10</v>
      </c>
      <c r="DE55" s="96">
        <v>12</v>
      </c>
      <c r="DF55" s="103">
        <f>COUNTIF(DonnéesBC[[#This Row],[17]:[28]],"FAUX")</f>
        <v>3</v>
      </c>
      <c r="DG55" s="103">
        <f>COUNTIF(DonnéesBC[[#This Row],[17]:[28]],"Je ne sais pas")</f>
        <v>1</v>
      </c>
      <c r="DH55" s="103">
        <f>COUNTIF(DonnéesBC[[#This Row],[17]:[28]],"Juste")</f>
        <v>8</v>
      </c>
      <c r="DI55" s="96">
        <v>9</v>
      </c>
      <c r="DJ55" s="103">
        <f>COUNTIF(DonnéesBC[[#This Row],[29]:[37]],"FAUX")</f>
        <v>2</v>
      </c>
      <c r="DK55" s="103">
        <f>COUNTIF(DonnéesBC[[#This Row],[29]:[37]],"Je ne sais pas")</f>
        <v>0</v>
      </c>
      <c r="DL55" s="103">
        <f>COUNTIF(DonnéesBC[[#This Row],[29]:[37]],"Juste")</f>
        <v>7</v>
      </c>
      <c r="DM55" s="96">
        <v>13</v>
      </c>
      <c r="DN55" s="103">
        <f>COUNTIF(DonnéesBC[[#This Row],[38]:[50]],"FAUX")</f>
        <v>0</v>
      </c>
      <c r="DO55" s="103">
        <f>COUNTIF(DonnéesBC[[#This Row],[38]:[50]],"Je ne sais pas")</f>
        <v>2</v>
      </c>
      <c r="DP55" s="103">
        <f>COUNTIF(DonnéesBC[[#This Row],[38]:[50]],"Juste")</f>
        <v>11</v>
      </c>
      <c r="DQ55" s="96">
        <v>16</v>
      </c>
      <c r="DR55" s="103">
        <f>COUNTIF(DonnéesBC[[#This Row],[51]:[66]],"FAUX")</f>
        <v>2</v>
      </c>
      <c r="DS55" s="103">
        <f>COUNTIF(DonnéesBC[[#This Row],[51]:[66]],"Je ne sais pas")</f>
        <v>0</v>
      </c>
      <c r="DT55" s="103">
        <f>COUNTIF(DonnéesBC[[#This Row],[51]:[66]],"Juste")</f>
        <v>14</v>
      </c>
      <c r="DU55" s="96">
        <v>11</v>
      </c>
      <c r="DV55" s="103">
        <f>COUNTIF(DonnéesBC[[#This Row],[67]:[77]],"FAUX")</f>
        <v>1</v>
      </c>
      <c r="DW55" s="103">
        <f>COUNTIF(DonnéesBC[[#This Row],[67]:[77]],"Je ne sais pas")</f>
        <v>0</v>
      </c>
      <c r="DX55" s="103">
        <f>COUNTIF(DonnéesBC[[#This Row],[67]:[77]],"Juste")</f>
        <v>10</v>
      </c>
      <c r="DY55" s="96">
        <v>14</v>
      </c>
      <c r="DZ55" s="103">
        <f>COUNTIF(DonnéesBC[[#This Row],[78]:[91]],"FAUX")</f>
        <v>2</v>
      </c>
      <c r="EA55" s="103">
        <f>COUNTIF(DonnéesBC[[#This Row],[78]:[91]],"Je ne sais pas")</f>
        <v>0</v>
      </c>
      <c r="EB55" s="103">
        <f>COUNTIF(DonnéesBC[[#This Row],[78]:[91]],"Juste")</f>
        <v>12</v>
      </c>
      <c r="EC55" s="96">
        <v>10</v>
      </c>
      <c r="ED55" s="103">
        <f>COUNTIF(DonnéesBC[[#This Row],[92]:[101]],"FAUX")</f>
        <v>3</v>
      </c>
      <c r="EE55" s="103">
        <f>COUNTIF(DonnéesBC[[#This Row],[92]:[101]],"Je ne sais pas")</f>
        <v>0</v>
      </c>
      <c r="EF55" s="103">
        <f>COUNTIF(DonnéesBC[[#This Row],[92]:[101]],"Juste")</f>
        <v>7</v>
      </c>
      <c r="EG55" s="96">
        <f>SUM(DonnéesBC[[#This Row],[A]]+DonnéesBC[[#This Row],[B]]+DonnéesBC[[#This Row],[C]]+DonnéesBC[[#This Row],[D]]+DonnéesBC[[#This Row],[E]]+DonnéesBC[[#This Row],[F]]+DonnéesBC[[#This Row],[G]]+DonnéesBC[[#This Row],[H]])</f>
        <v>101</v>
      </c>
      <c r="EH55" s="97">
        <f>SUM(DonnéesBC[[#This Row],[A2]]+DonnéesBC[[#This Row],[B2]]+DonnéesBC[[#This Row],[C2]]+DonnéesBC[[#This Row],[D2]]+DonnéesBC[[#This Row],[E2]]+DonnéesBC[[#This Row],[F2]]+DonnéesBC[[#This Row],[G2]]+DonnéesBC[[#This Row],[H2]])</f>
        <v>19</v>
      </c>
      <c r="EI55" s="98">
        <f>SUM(DonnéesBC[[#This Row],[A3]]+DonnéesBC[[#This Row],[B3]]+DonnéesBC[[#This Row],[C3]]+DonnéesBC[[#This Row],[D3]]+DonnéesBC[[#This Row],[E3]]+DonnéesBC[[#This Row],[F3]]+DonnéesBC[[#This Row],[G3]]+DonnéesBC[[#This Row],[H3]])</f>
        <v>3</v>
      </c>
      <c r="EJ55" s="103">
        <f>SUM(DonnéesBC[[#This Row],[A4]]+DonnéesBC[[#This Row],[B4]]+DonnéesBC[[#This Row],[C4]]+DonnéesBC[[#This Row],[D4]]+DonnéesBC[[#This Row],[E4]]+DonnéesBC[[#This Row],[F4]]+DonnéesBC[[#This Row],[G4]]+DonnéesBC[[#This Row],[H4]])</f>
        <v>79</v>
      </c>
      <c r="EK55" s="95"/>
      <c r="EL55">
        <v>5</v>
      </c>
    </row>
    <row r="56" spans="1:142" ht="14" customHeight="1">
      <c r="A56" s="101" t="str">
        <f>DonnéesBC[[#This Row],[Prénom]]&amp;" "&amp;DonnéesBC[[#This Row],[Nom]]</f>
        <v>Sophie Superchi</v>
      </c>
      <c r="B56" s="98" t="s">
        <v>174</v>
      </c>
      <c r="C56" s="98" t="s">
        <v>175</v>
      </c>
      <c r="D56" s="132" t="s">
        <v>846</v>
      </c>
      <c r="E56" s="133" t="s">
        <v>846</v>
      </c>
      <c r="F56" s="133" t="s">
        <v>846</v>
      </c>
      <c r="G56" s="133" t="b">
        <v>0</v>
      </c>
      <c r="H56" s="133" t="s">
        <v>846</v>
      </c>
      <c r="I56" s="133" t="s">
        <v>846</v>
      </c>
      <c r="J56" s="133" t="s">
        <v>846</v>
      </c>
      <c r="K56" s="133" t="s">
        <v>846</v>
      </c>
      <c r="L56" s="133" t="b">
        <v>0</v>
      </c>
      <c r="M56" s="133" t="s">
        <v>846</v>
      </c>
      <c r="N56" s="133" t="s">
        <v>846</v>
      </c>
      <c r="O56" s="133" t="s">
        <v>846</v>
      </c>
      <c r="P56" s="133" t="b">
        <v>0</v>
      </c>
      <c r="Q56" s="133" t="b">
        <v>0</v>
      </c>
      <c r="R56" s="133" t="s">
        <v>846</v>
      </c>
      <c r="S56" s="134" t="s">
        <v>846</v>
      </c>
      <c r="T56" s="132" t="s">
        <v>846</v>
      </c>
      <c r="U56" s="133" t="b">
        <v>0</v>
      </c>
      <c r="V56" s="133" t="s">
        <v>846</v>
      </c>
      <c r="W56" s="133" t="s">
        <v>846</v>
      </c>
      <c r="X56" s="133" t="b">
        <v>0</v>
      </c>
      <c r="Y56" s="133" t="s">
        <v>846</v>
      </c>
      <c r="Z56" s="133" t="b">
        <v>0</v>
      </c>
      <c r="AA56" s="133" t="b">
        <v>0</v>
      </c>
      <c r="AB56" s="133" t="b">
        <v>0</v>
      </c>
      <c r="AC56" s="133" t="s">
        <v>846</v>
      </c>
      <c r="AD56" s="133" t="s">
        <v>846</v>
      </c>
      <c r="AE56" s="134" t="b">
        <v>0</v>
      </c>
      <c r="AF56" s="132" t="s">
        <v>846</v>
      </c>
      <c r="AG56" s="133" t="b">
        <v>0</v>
      </c>
      <c r="AH56" s="133" t="s">
        <v>846</v>
      </c>
      <c r="AI56" s="133" t="s">
        <v>846</v>
      </c>
      <c r="AJ56" s="133" t="s">
        <v>846</v>
      </c>
      <c r="AK56" s="133" t="s">
        <v>846</v>
      </c>
      <c r="AL56" s="133" t="s">
        <v>846</v>
      </c>
      <c r="AM56" s="133" t="b">
        <v>0</v>
      </c>
      <c r="AN56" s="134" t="s">
        <v>846</v>
      </c>
      <c r="AO56" s="132" t="b">
        <v>0</v>
      </c>
      <c r="AP56" s="133" t="s">
        <v>846</v>
      </c>
      <c r="AQ56" s="133" t="b">
        <v>0</v>
      </c>
      <c r="AR56" s="133" t="b">
        <v>0</v>
      </c>
      <c r="AS56" s="133" t="s">
        <v>846</v>
      </c>
      <c r="AT56" s="133" t="s">
        <v>846</v>
      </c>
      <c r="AU56" s="133" t="s">
        <v>846</v>
      </c>
      <c r="AV56" s="133" t="s">
        <v>846</v>
      </c>
      <c r="AW56" s="133" t="s">
        <v>846</v>
      </c>
      <c r="AX56" s="133" t="s">
        <v>846</v>
      </c>
      <c r="AY56" s="133" t="s">
        <v>846</v>
      </c>
      <c r="AZ56" s="133" t="b">
        <v>0</v>
      </c>
      <c r="BA56" s="134" t="s">
        <v>846</v>
      </c>
      <c r="BB56" s="132" t="s">
        <v>846</v>
      </c>
      <c r="BC56" s="133" t="s">
        <v>846</v>
      </c>
      <c r="BD56" s="133" t="s">
        <v>846</v>
      </c>
      <c r="BE56" s="133" t="s">
        <v>846</v>
      </c>
      <c r="BF56" s="133" t="s">
        <v>846</v>
      </c>
      <c r="BG56" s="133" t="b">
        <v>0</v>
      </c>
      <c r="BH56" s="133" t="s">
        <v>846</v>
      </c>
      <c r="BI56" s="133" t="s">
        <v>846</v>
      </c>
      <c r="BJ56" s="133" t="s">
        <v>846</v>
      </c>
      <c r="BK56" s="133" t="b">
        <v>0</v>
      </c>
      <c r="BL56" s="133" t="s">
        <v>846</v>
      </c>
      <c r="BM56" s="133" t="s">
        <v>846</v>
      </c>
      <c r="BN56" s="133" t="b">
        <v>0</v>
      </c>
      <c r="BO56" s="133" t="b">
        <v>0</v>
      </c>
      <c r="BP56" s="133" t="s">
        <v>846</v>
      </c>
      <c r="BQ56" s="134" t="s">
        <v>846</v>
      </c>
      <c r="BR56" s="132" t="s">
        <v>846</v>
      </c>
      <c r="BS56" s="133" t="s">
        <v>846</v>
      </c>
      <c r="BT56" s="133" t="s">
        <v>846</v>
      </c>
      <c r="BU56" s="133" t="s">
        <v>846</v>
      </c>
      <c r="BV56" s="133" t="s">
        <v>846</v>
      </c>
      <c r="BW56" s="133" t="b">
        <v>0</v>
      </c>
      <c r="BX56" s="133" t="b">
        <v>0</v>
      </c>
      <c r="BY56" s="133" t="s">
        <v>846</v>
      </c>
      <c r="BZ56" s="133" t="s">
        <v>846</v>
      </c>
      <c r="CA56" s="133" t="s">
        <v>846</v>
      </c>
      <c r="CB56" s="134" t="s">
        <v>846</v>
      </c>
      <c r="CC56" s="132" t="s">
        <v>846</v>
      </c>
      <c r="CD56" s="133" t="s">
        <v>846</v>
      </c>
      <c r="CE56" s="133" t="s">
        <v>846</v>
      </c>
      <c r="CF56" s="133" t="s">
        <v>846</v>
      </c>
      <c r="CG56" s="133" t="s">
        <v>846</v>
      </c>
      <c r="CH56" s="133" t="b">
        <v>0</v>
      </c>
      <c r="CI56" s="133" t="s">
        <v>846</v>
      </c>
      <c r="CJ56" s="133" t="s">
        <v>846</v>
      </c>
      <c r="CK56" s="133" t="s">
        <v>846</v>
      </c>
      <c r="CL56" s="133" t="b">
        <v>0</v>
      </c>
      <c r="CM56" s="133" t="s">
        <v>846</v>
      </c>
      <c r="CN56" s="133" t="s">
        <v>846</v>
      </c>
      <c r="CO56" s="133" t="s">
        <v>846</v>
      </c>
      <c r="CP56" s="134" t="b">
        <v>0</v>
      </c>
      <c r="CQ56" s="132" t="b">
        <v>0</v>
      </c>
      <c r="CR56" s="133" t="s">
        <v>846</v>
      </c>
      <c r="CS56" s="133" t="b">
        <v>0</v>
      </c>
      <c r="CT56" s="133" t="b">
        <v>0</v>
      </c>
      <c r="CU56" s="133" t="s">
        <v>846</v>
      </c>
      <c r="CV56" s="133" t="s">
        <v>846</v>
      </c>
      <c r="CW56" s="133" t="s">
        <v>846</v>
      </c>
      <c r="CX56" s="133" t="b">
        <v>0</v>
      </c>
      <c r="CY56" s="133" t="b">
        <v>0</v>
      </c>
      <c r="CZ56" s="135" t="b">
        <v>0</v>
      </c>
      <c r="DA56" s="96">
        <v>16</v>
      </c>
      <c r="DB56" s="103">
        <f>COUNTIF(DonnéesBC[[#This Row],[1]:[16]],"FAUX")</f>
        <v>4</v>
      </c>
      <c r="DC56" s="103">
        <f>COUNTIF(DonnéesBC[[#This Row],[1]:[16]],"Je ne sais pas")</f>
        <v>0</v>
      </c>
      <c r="DD56" s="103">
        <f>COUNTIF(DonnéesBC[[#This Row],[1]:[16]],"Juste")</f>
        <v>12</v>
      </c>
      <c r="DE56" s="96">
        <v>12</v>
      </c>
      <c r="DF56" s="103">
        <f>COUNTIF(DonnéesBC[[#This Row],[17]:[28]],"FAUX")</f>
        <v>6</v>
      </c>
      <c r="DG56" s="103">
        <f>COUNTIF(DonnéesBC[[#This Row],[17]:[28]],"Je ne sais pas")</f>
        <v>0</v>
      </c>
      <c r="DH56" s="103">
        <f>COUNTIF(DonnéesBC[[#This Row],[17]:[28]],"Juste")</f>
        <v>6</v>
      </c>
      <c r="DI56" s="96">
        <v>9</v>
      </c>
      <c r="DJ56" s="103">
        <f>COUNTIF(DonnéesBC[[#This Row],[29]:[37]],"FAUX")</f>
        <v>2</v>
      </c>
      <c r="DK56" s="103">
        <f>COUNTIF(DonnéesBC[[#This Row],[29]:[37]],"Je ne sais pas")</f>
        <v>0</v>
      </c>
      <c r="DL56" s="103">
        <f>COUNTIF(DonnéesBC[[#This Row],[29]:[37]],"Juste")</f>
        <v>7</v>
      </c>
      <c r="DM56" s="96">
        <v>13</v>
      </c>
      <c r="DN56" s="103">
        <f>COUNTIF(DonnéesBC[[#This Row],[38]:[50]],"FAUX")</f>
        <v>4</v>
      </c>
      <c r="DO56" s="103">
        <f>COUNTIF(DonnéesBC[[#This Row],[38]:[50]],"Je ne sais pas")</f>
        <v>0</v>
      </c>
      <c r="DP56" s="103">
        <f>COUNTIF(DonnéesBC[[#This Row],[38]:[50]],"Juste")</f>
        <v>9</v>
      </c>
      <c r="DQ56" s="96">
        <v>16</v>
      </c>
      <c r="DR56" s="103">
        <f>COUNTIF(DonnéesBC[[#This Row],[51]:[66]],"FAUX")</f>
        <v>4</v>
      </c>
      <c r="DS56" s="103">
        <f>COUNTIF(DonnéesBC[[#This Row],[51]:[66]],"Je ne sais pas")</f>
        <v>0</v>
      </c>
      <c r="DT56" s="103">
        <f>COUNTIF(DonnéesBC[[#This Row],[51]:[66]],"Juste")</f>
        <v>12</v>
      </c>
      <c r="DU56" s="96">
        <v>11</v>
      </c>
      <c r="DV56" s="103">
        <f>COUNTIF(DonnéesBC[[#This Row],[67]:[77]],"FAUX")</f>
        <v>2</v>
      </c>
      <c r="DW56" s="103">
        <f>COUNTIF(DonnéesBC[[#This Row],[67]:[77]],"Je ne sais pas")</f>
        <v>0</v>
      </c>
      <c r="DX56" s="103">
        <f>COUNTIF(DonnéesBC[[#This Row],[67]:[77]],"Juste")</f>
        <v>9</v>
      </c>
      <c r="DY56" s="96">
        <v>14</v>
      </c>
      <c r="DZ56" s="103">
        <f>COUNTIF(DonnéesBC[[#This Row],[78]:[91]],"FAUX")</f>
        <v>3</v>
      </c>
      <c r="EA56" s="103">
        <f>COUNTIF(DonnéesBC[[#This Row],[78]:[91]],"Je ne sais pas")</f>
        <v>0</v>
      </c>
      <c r="EB56" s="103">
        <f>COUNTIF(DonnéesBC[[#This Row],[78]:[91]],"Juste")</f>
        <v>11</v>
      </c>
      <c r="EC56" s="96">
        <v>10</v>
      </c>
      <c r="ED56" s="103">
        <f>COUNTIF(DonnéesBC[[#This Row],[92]:[101]],"FAUX")</f>
        <v>6</v>
      </c>
      <c r="EE56" s="103">
        <f>COUNTIF(DonnéesBC[[#This Row],[92]:[101]],"Je ne sais pas")</f>
        <v>0</v>
      </c>
      <c r="EF56" s="103">
        <f>COUNTIF(DonnéesBC[[#This Row],[92]:[101]],"Juste")</f>
        <v>4</v>
      </c>
      <c r="EG56" s="96">
        <f>SUM(DonnéesBC[[#This Row],[A]]+DonnéesBC[[#This Row],[B]]+DonnéesBC[[#This Row],[C]]+DonnéesBC[[#This Row],[D]]+DonnéesBC[[#This Row],[E]]+DonnéesBC[[#This Row],[F]]+DonnéesBC[[#This Row],[G]]+DonnéesBC[[#This Row],[H]])</f>
        <v>101</v>
      </c>
      <c r="EH56" s="97">
        <f>SUM(DonnéesBC[[#This Row],[A2]]+DonnéesBC[[#This Row],[B2]]+DonnéesBC[[#This Row],[C2]]+DonnéesBC[[#This Row],[D2]]+DonnéesBC[[#This Row],[E2]]+DonnéesBC[[#This Row],[F2]]+DonnéesBC[[#This Row],[G2]]+DonnéesBC[[#This Row],[H2]])</f>
        <v>31</v>
      </c>
      <c r="EI56" s="98">
        <f>SUM(DonnéesBC[[#This Row],[A3]]+DonnéesBC[[#This Row],[B3]]+DonnéesBC[[#This Row],[C3]]+DonnéesBC[[#This Row],[D3]]+DonnéesBC[[#This Row],[E3]]+DonnéesBC[[#This Row],[F3]]+DonnéesBC[[#This Row],[G3]]+DonnéesBC[[#This Row],[H3]])</f>
        <v>0</v>
      </c>
      <c r="EJ56" s="103">
        <f>SUM(DonnéesBC[[#This Row],[A4]]+DonnéesBC[[#This Row],[B4]]+DonnéesBC[[#This Row],[C4]]+DonnéesBC[[#This Row],[D4]]+DonnéesBC[[#This Row],[E4]]+DonnéesBC[[#This Row],[F4]]+DonnéesBC[[#This Row],[G4]]+DonnéesBC[[#This Row],[H4]])</f>
        <v>70</v>
      </c>
      <c r="EK56" s="95"/>
      <c r="EL56">
        <v>4</v>
      </c>
    </row>
    <row r="57" spans="1:142" ht="14" customHeight="1">
      <c r="A57" s="101" t="str">
        <f>DonnéesBC[[#This Row],[Prénom]]&amp;" "&amp;DonnéesBC[[#This Row],[Nom]]</f>
        <v>Sophie Von Büren</v>
      </c>
      <c r="B57" s="97" t="s">
        <v>176</v>
      </c>
      <c r="C57" s="97" t="s">
        <v>175</v>
      </c>
      <c r="D57" s="136" t="b">
        <v>0</v>
      </c>
      <c r="E57" s="137" t="s">
        <v>846</v>
      </c>
      <c r="F57" s="137" t="s">
        <v>846</v>
      </c>
      <c r="G57" s="137" t="s">
        <v>846</v>
      </c>
      <c r="H57" s="137" t="s">
        <v>846</v>
      </c>
      <c r="I57" s="137" t="s">
        <v>846</v>
      </c>
      <c r="J57" s="137" t="s">
        <v>846</v>
      </c>
      <c r="K57" s="137" t="b">
        <v>0</v>
      </c>
      <c r="L57" s="137" t="s">
        <v>846</v>
      </c>
      <c r="M57" s="137" t="s">
        <v>846</v>
      </c>
      <c r="N57" s="137" t="b">
        <v>0</v>
      </c>
      <c r="O57" s="137" t="s">
        <v>846</v>
      </c>
      <c r="P57" s="137" t="s">
        <v>846</v>
      </c>
      <c r="Q57" s="137" t="b">
        <v>0</v>
      </c>
      <c r="R57" s="137" t="s">
        <v>846</v>
      </c>
      <c r="S57" s="138" t="b">
        <v>0</v>
      </c>
      <c r="T57" s="136" t="s">
        <v>846</v>
      </c>
      <c r="U57" s="137" t="s">
        <v>846</v>
      </c>
      <c r="V57" s="137" t="s">
        <v>846</v>
      </c>
      <c r="W57" s="137" t="b">
        <v>0</v>
      </c>
      <c r="X57" s="137" t="b">
        <v>0</v>
      </c>
      <c r="Y57" s="137" t="b">
        <v>0</v>
      </c>
      <c r="Z57" s="137" t="b">
        <v>0</v>
      </c>
      <c r="AA57" s="137" t="b">
        <v>0</v>
      </c>
      <c r="AB57" s="137" t="s">
        <v>846</v>
      </c>
      <c r="AC57" s="137" t="b">
        <v>0</v>
      </c>
      <c r="AD57" s="137" t="b">
        <v>0</v>
      </c>
      <c r="AE57" s="138" t="s">
        <v>846</v>
      </c>
      <c r="AF57" s="136" t="s">
        <v>846</v>
      </c>
      <c r="AG57" s="137" t="b">
        <v>0</v>
      </c>
      <c r="AH57" s="137" t="s">
        <v>846</v>
      </c>
      <c r="AI57" s="137" t="b">
        <v>0</v>
      </c>
      <c r="AJ57" s="137" t="s">
        <v>846</v>
      </c>
      <c r="AK57" s="137" t="s">
        <v>846</v>
      </c>
      <c r="AL57" s="137" t="s">
        <v>846</v>
      </c>
      <c r="AM57" s="137" t="s">
        <v>846</v>
      </c>
      <c r="AN57" s="138" t="s">
        <v>846</v>
      </c>
      <c r="AO57" s="136" t="b">
        <v>0</v>
      </c>
      <c r="AP57" s="137" t="s">
        <v>846</v>
      </c>
      <c r="AQ57" s="137" t="s">
        <v>846</v>
      </c>
      <c r="AR57" s="137" t="s">
        <v>846</v>
      </c>
      <c r="AS57" s="137" t="s">
        <v>846</v>
      </c>
      <c r="AT57" s="137" t="s">
        <v>846</v>
      </c>
      <c r="AU57" s="137" t="b">
        <v>0</v>
      </c>
      <c r="AV57" s="137" t="s">
        <v>846</v>
      </c>
      <c r="AW57" s="137" t="s">
        <v>846</v>
      </c>
      <c r="AX57" s="137" t="s">
        <v>846</v>
      </c>
      <c r="AY57" s="137" t="s">
        <v>846</v>
      </c>
      <c r="AZ57" s="137" t="b">
        <v>0</v>
      </c>
      <c r="BA57" s="138" t="s">
        <v>846</v>
      </c>
      <c r="BB57" s="136" t="s">
        <v>846</v>
      </c>
      <c r="BC57" s="137" t="s">
        <v>846</v>
      </c>
      <c r="BD57" s="137" t="s">
        <v>846</v>
      </c>
      <c r="BE57" s="137" t="s">
        <v>846</v>
      </c>
      <c r="BF57" s="137" t="b">
        <v>0</v>
      </c>
      <c r="BG57" s="137" t="b">
        <v>0</v>
      </c>
      <c r="BH57" s="137" t="s">
        <v>846</v>
      </c>
      <c r="BI57" s="137" t="s">
        <v>846</v>
      </c>
      <c r="BJ57" s="137" t="b">
        <v>0</v>
      </c>
      <c r="BK57" s="137" t="b">
        <v>0</v>
      </c>
      <c r="BL57" s="137" t="b">
        <v>0</v>
      </c>
      <c r="BM57" s="137" t="s">
        <v>846</v>
      </c>
      <c r="BN57" s="137" t="b">
        <v>0</v>
      </c>
      <c r="BO57" s="137" t="b">
        <v>0</v>
      </c>
      <c r="BP57" s="137" t="b">
        <v>0</v>
      </c>
      <c r="BQ57" s="138" t="s">
        <v>840</v>
      </c>
      <c r="BR57" s="136" t="s">
        <v>846</v>
      </c>
      <c r="BS57" s="137" t="b">
        <v>0</v>
      </c>
      <c r="BT57" s="137" t="s">
        <v>846</v>
      </c>
      <c r="BU57" s="137" t="b">
        <v>0</v>
      </c>
      <c r="BV57" s="137" t="s">
        <v>846</v>
      </c>
      <c r="BW57" s="137" t="s">
        <v>846</v>
      </c>
      <c r="BX57" s="137" t="b">
        <v>0</v>
      </c>
      <c r="BY57" s="137" t="b">
        <v>0</v>
      </c>
      <c r="BZ57" s="137" t="s">
        <v>846</v>
      </c>
      <c r="CA57" s="137" t="s">
        <v>846</v>
      </c>
      <c r="CB57" s="138" t="s">
        <v>840</v>
      </c>
      <c r="CC57" s="136" t="b">
        <v>0</v>
      </c>
      <c r="CD57" s="137" t="s">
        <v>846</v>
      </c>
      <c r="CE57" s="137" t="s">
        <v>840</v>
      </c>
      <c r="CF57" s="137" t="b">
        <v>0</v>
      </c>
      <c r="CG57" s="137" t="s">
        <v>846</v>
      </c>
      <c r="CH57" s="137" t="b">
        <v>0</v>
      </c>
      <c r="CI57" s="137" t="s">
        <v>846</v>
      </c>
      <c r="CJ57" s="137" t="s">
        <v>846</v>
      </c>
      <c r="CK57" s="137" t="s">
        <v>846</v>
      </c>
      <c r="CL57" s="137" t="s">
        <v>840</v>
      </c>
      <c r="CM57" s="137" t="s">
        <v>840</v>
      </c>
      <c r="CN57" s="137" t="s">
        <v>846</v>
      </c>
      <c r="CO57" s="137" t="b">
        <v>0</v>
      </c>
      <c r="CP57" s="138" t="s">
        <v>840</v>
      </c>
      <c r="CQ57" s="136" t="b">
        <v>0</v>
      </c>
      <c r="CR57" s="137" t="s">
        <v>846</v>
      </c>
      <c r="CS57" s="137" t="s">
        <v>846</v>
      </c>
      <c r="CT57" s="137" t="b">
        <v>0</v>
      </c>
      <c r="CU57" s="137" t="s">
        <v>846</v>
      </c>
      <c r="CV57" s="137" t="s">
        <v>846</v>
      </c>
      <c r="CW57" s="137" t="s">
        <v>846</v>
      </c>
      <c r="CX57" s="137" t="s">
        <v>846</v>
      </c>
      <c r="CY57" s="137" t="b">
        <v>0</v>
      </c>
      <c r="CZ57" s="138" t="s">
        <v>846</v>
      </c>
      <c r="DA57" s="96">
        <v>16</v>
      </c>
      <c r="DB57" s="103">
        <f>COUNTIF(DonnéesBC[[#This Row],[1]:[16]],"FAUX")</f>
        <v>5</v>
      </c>
      <c r="DC57" s="103">
        <f>COUNTIF(DonnéesBC[[#This Row],[1]:[16]],"Je ne sais pas")</f>
        <v>0</v>
      </c>
      <c r="DD57" s="103">
        <f>COUNTIF(DonnéesBC[[#This Row],[1]:[16]],"Juste")</f>
        <v>11</v>
      </c>
      <c r="DE57" s="96">
        <v>12</v>
      </c>
      <c r="DF57" s="103">
        <f>COUNTIF(DonnéesBC[[#This Row],[17]:[28]],"FAUX")</f>
        <v>7</v>
      </c>
      <c r="DG57" s="103">
        <f>COUNTIF(DonnéesBC[[#This Row],[17]:[28]],"Je ne sais pas")</f>
        <v>0</v>
      </c>
      <c r="DH57" s="103">
        <f>COUNTIF(DonnéesBC[[#This Row],[17]:[28]],"Juste")</f>
        <v>5</v>
      </c>
      <c r="DI57" s="96">
        <v>9</v>
      </c>
      <c r="DJ57" s="103">
        <f>COUNTIF(DonnéesBC[[#This Row],[29]:[37]],"FAUX")</f>
        <v>2</v>
      </c>
      <c r="DK57" s="103">
        <f>COUNTIF(DonnéesBC[[#This Row],[29]:[37]],"Je ne sais pas")</f>
        <v>0</v>
      </c>
      <c r="DL57" s="103">
        <f>COUNTIF(DonnéesBC[[#This Row],[29]:[37]],"Juste")</f>
        <v>7</v>
      </c>
      <c r="DM57" s="96">
        <v>13</v>
      </c>
      <c r="DN57" s="103">
        <f>COUNTIF(DonnéesBC[[#This Row],[38]:[50]],"FAUX")</f>
        <v>3</v>
      </c>
      <c r="DO57" s="103">
        <f>COUNTIF(DonnéesBC[[#This Row],[38]:[50]],"Je ne sais pas")</f>
        <v>0</v>
      </c>
      <c r="DP57" s="103">
        <f>COUNTIF(DonnéesBC[[#This Row],[38]:[50]],"Juste")</f>
        <v>10</v>
      </c>
      <c r="DQ57" s="96">
        <v>16</v>
      </c>
      <c r="DR57" s="103">
        <f>COUNTIF(DonnéesBC[[#This Row],[51]:[66]],"FAUX")</f>
        <v>8</v>
      </c>
      <c r="DS57" s="103">
        <f>COUNTIF(DonnéesBC[[#This Row],[51]:[66]],"Je ne sais pas")</f>
        <v>1</v>
      </c>
      <c r="DT57" s="103">
        <f>COUNTIF(DonnéesBC[[#This Row],[51]:[66]],"Juste")</f>
        <v>7</v>
      </c>
      <c r="DU57" s="96">
        <v>11</v>
      </c>
      <c r="DV57" s="103">
        <f>COUNTIF(DonnéesBC[[#This Row],[67]:[77]],"FAUX")</f>
        <v>4</v>
      </c>
      <c r="DW57" s="103">
        <f>COUNTIF(DonnéesBC[[#This Row],[67]:[77]],"Je ne sais pas")</f>
        <v>1</v>
      </c>
      <c r="DX57" s="103">
        <f>COUNTIF(DonnéesBC[[#This Row],[67]:[77]],"Juste")</f>
        <v>6</v>
      </c>
      <c r="DY57" s="96">
        <v>14</v>
      </c>
      <c r="DZ57" s="103">
        <f>COUNTIF(DonnéesBC[[#This Row],[78]:[91]],"FAUX")</f>
        <v>4</v>
      </c>
      <c r="EA57" s="103">
        <f>COUNTIF(DonnéesBC[[#This Row],[78]:[91]],"Je ne sais pas")</f>
        <v>4</v>
      </c>
      <c r="EB57" s="103">
        <f>COUNTIF(DonnéesBC[[#This Row],[78]:[91]],"Juste")</f>
        <v>6</v>
      </c>
      <c r="EC57" s="96">
        <v>10</v>
      </c>
      <c r="ED57" s="103">
        <f>COUNTIF(DonnéesBC[[#This Row],[92]:[101]],"FAUX")</f>
        <v>3</v>
      </c>
      <c r="EE57" s="103">
        <f>COUNTIF(DonnéesBC[[#This Row],[92]:[101]],"Je ne sais pas")</f>
        <v>0</v>
      </c>
      <c r="EF57" s="103">
        <f>COUNTIF(DonnéesBC[[#This Row],[92]:[101]],"Juste")</f>
        <v>7</v>
      </c>
      <c r="EG57" s="96">
        <f>SUM(DonnéesBC[[#This Row],[A]]+DonnéesBC[[#This Row],[B]]+DonnéesBC[[#This Row],[C]]+DonnéesBC[[#This Row],[D]]+DonnéesBC[[#This Row],[E]]+DonnéesBC[[#This Row],[F]]+DonnéesBC[[#This Row],[G]]+DonnéesBC[[#This Row],[H]])</f>
        <v>101</v>
      </c>
      <c r="EH57" s="97">
        <f>SUM(DonnéesBC[[#This Row],[A2]]+DonnéesBC[[#This Row],[B2]]+DonnéesBC[[#This Row],[C2]]+DonnéesBC[[#This Row],[D2]]+DonnéesBC[[#This Row],[E2]]+DonnéesBC[[#This Row],[F2]]+DonnéesBC[[#This Row],[G2]]+DonnéesBC[[#This Row],[H2]])</f>
        <v>36</v>
      </c>
      <c r="EI57" s="98">
        <f>SUM(DonnéesBC[[#This Row],[A3]]+DonnéesBC[[#This Row],[B3]]+DonnéesBC[[#This Row],[C3]]+DonnéesBC[[#This Row],[D3]]+DonnéesBC[[#This Row],[E3]]+DonnéesBC[[#This Row],[F3]]+DonnéesBC[[#This Row],[G3]]+DonnéesBC[[#This Row],[H3]])</f>
        <v>6</v>
      </c>
      <c r="EJ57" s="103">
        <f>SUM(DonnéesBC[[#This Row],[A4]]+DonnéesBC[[#This Row],[B4]]+DonnéesBC[[#This Row],[C4]]+DonnéesBC[[#This Row],[D4]]+DonnéesBC[[#This Row],[E4]]+DonnéesBC[[#This Row],[F4]]+DonnéesBC[[#This Row],[G4]]+DonnéesBC[[#This Row],[H4]])</f>
        <v>59</v>
      </c>
      <c r="EK57" s="95" t="s">
        <v>684</v>
      </c>
      <c r="EL57">
        <v>2</v>
      </c>
    </row>
    <row r="58" spans="1:142" ht="14" customHeight="1">
      <c r="A58" s="101" t="str">
        <f>DonnéesBC[[#This Row],[Prénom]]&amp;" "&amp;DonnéesBC[[#This Row],[Nom]]</f>
        <v>Tania Ventura</v>
      </c>
      <c r="B58" s="97" t="s">
        <v>177</v>
      </c>
      <c r="C58" s="97" t="s">
        <v>178</v>
      </c>
      <c r="D58" s="132" t="b">
        <v>0</v>
      </c>
      <c r="E58" s="133" t="s">
        <v>846</v>
      </c>
      <c r="F58" s="133" t="s">
        <v>846</v>
      </c>
      <c r="G58" s="133" t="s">
        <v>846</v>
      </c>
      <c r="H58" s="133" t="s">
        <v>846</v>
      </c>
      <c r="I58" s="133" t="s">
        <v>846</v>
      </c>
      <c r="J58" s="133" t="s">
        <v>846</v>
      </c>
      <c r="K58" s="133" t="s">
        <v>840</v>
      </c>
      <c r="L58" s="133" t="s">
        <v>840</v>
      </c>
      <c r="M58" s="133" t="s">
        <v>846</v>
      </c>
      <c r="N58" s="133" t="b">
        <v>0</v>
      </c>
      <c r="O58" s="133" t="b">
        <v>0</v>
      </c>
      <c r="P58" s="133" t="b">
        <v>0</v>
      </c>
      <c r="Q58" s="133" t="b">
        <v>0</v>
      </c>
      <c r="R58" s="133" t="s">
        <v>846</v>
      </c>
      <c r="S58" s="135" t="b">
        <v>0</v>
      </c>
      <c r="T58" s="132" t="s">
        <v>846</v>
      </c>
      <c r="U58" s="133" t="s">
        <v>846</v>
      </c>
      <c r="V58" s="133" t="s">
        <v>846</v>
      </c>
      <c r="W58" s="133" t="b">
        <v>0</v>
      </c>
      <c r="X58" s="133" t="b">
        <v>0</v>
      </c>
      <c r="Y58" s="133" t="s">
        <v>846</v>
      </c>
      <c r="Z58" s="133" t="b">
        <v>0</v>
      </c>
      <c r="AA58" s="133" t="s">
        <v>846</v>
      </c>
      <c r="AB58" s="133" t="b">
        <v>0</v>
      </c>
      <c r="AC58" s="133" t="b">
        <v>0</v>
      </c>
      <c r="AD58" s="133" t="s">
        <v>846</v>
      </c>
      <c r="AE58" s="135" t="s">
        <v>840</v>
      </c>
      <c r="AF58" s="132" t="b">
        <v>0</v>
      </c>
      <c r="AG58" s="133" t="b">
        <v>0</v>
      </c>
      <c r="AH58" s="133" t="b">
        <v>0</v>
      </c>
      <c r="AI58" s="133" t="s">
        <v>840</v>
      </c>
      <c r="AJ58" s="133" t="s">
        <v>846</v>
      </c>
      <c r="AK58" s="133" t="s">
        <v>846</v>
      </c>
      <c r="AL58" s="133" t="s">
        <v>846</v>
      </c>
      <c r="AM58" s="133" t="b">
        <v>0</v>
      </c>
      <c r="AN58" s="135" t="s">
        <v>846</v>
      </c>
      <c r="AO58" s="132" t="s">
        <v>840</v>
      </c>
      <c r="AP58" s="133" t="s">
        <v>846</v>
      </c>
      <c r="AQ58" s="133" t="s">
        <v>846</v>
      </c>
      <c r="AR58" s="133" t="s">
        <v>846</v>
      </c>
      <c r="AS58" s="133" t="b">
        <v>0</v>
      </c>
      <c r="AT58" s="133" t="s">
        <v>846</v>
      </c>
      <c r="AU58" s="133" t="b">
        <v>0</v>
      </c>
      <c r="AV58" s="133" t="b">
        <v>0</v>
      </c>
      <c r="AW58" s="133" t="s">
        <v>846</v>
      </c>
      <c r="AX58" s="133" t="b">
        <v>0</v>
      </c>
      <c r="AY58" s="133" t="s">
        <v>846</v>
      </c>
      <c r="AZ58" s="133" t="s">
        <v>840</v>
      </c>
      <c r="BA58" s="135" t="s">
        <v>840</v>
      </c>
      <c r="BB58" s="132" t="s">
        <v>846</v>
      </c>
      <c r="BC58" s="133" t="s">
        <v>846</v>
      </c>
      <c r="BD58" s="133" t="s">
        <v>846</v>
      </c>
      <c r="BE58" s="133" t="s">
        <v>846</v>
      </c>
      <c r="BF58" s="133" t="s">
        <v>840</v>
      </c>
      <c r="BG58" s="133" t="s">
        <v>840</v>
      </c>
      <c r="BH58" s="133" t="s">
        <v>846</v>
      </c>
      <c r="BI58" s="133" t="b">
        <v>0</v>
      </c>
      <c r="BJ58" s="133" t="s">
        <v>840</v>
      </c>
      <c r="BK58" s="133" t="b">
        <v>0</v>
      </c>
      <c r="BL58" s="133" t="b">
        <v>0</v>
      </c>
      <c r="BM58" s="133" t="s">
        <v>846</v>
      </c>
      <c r="BN58" s="133" t="s">
        <v>840</v>
      </c>
      <c r="BO58" s="133" t="s">
        <v>840</v>
      </c>
      <c r="BP58" s="133" t="b">
        <v>0</v>
      </c>
      <c r="BQ58" s="135" t="s">
        <v>840</v>
      </c>
      <c r="BR58" s="132" t="s">
        <v>846</v>
      </c>
      <c r="BS58" s="133" t="b">
        <v>0</v>
      </c>
      <c r="BT58" s="133" t="s">
        <v>846</v>
      </c>
      <c r="BU58" s="133" t="b">
        <v>0</v>
      </c>
      <c r="BV58" s="133" t="s">
        <v>846</v>
      </c>
      <c r="BW58" s="133" t="s">
        <v>840</v>
      </c>
      <c r="BX58" s="133" t="s">
        <v>846</v>
      </c>
      <c r="BY58" s="133" t="b">
        <v>0</v>
      </c>
      <c r="BZ58" s="133" t="s">
        <v>840</v>
      </c>
      <c r="CA58" s="133" t="s">
        <v>846</v>
      </c>
      <c r="CB58" s="135" t="s">
        <v>846</v>
      </c>
      <c r="CC58" s="132" t="b">
        <v>0</v>
      </c>
      <c r="CD58" s="133" t="s">
        <v>846</v>
      </c>
      <c r="CE58" s="133" t="b">
        <v>0</v>
      </c>
      <c r="CF58" s="133" t="s">
        <v>846</v>
      </c>
      <c r="CG58" s="133" t="s">
        <v>846</v>
      </c>
      <c r="CH58" s="133" t="b">
        <v>0</v>
      </c>
      <c r="CI58" s="133" t="s">
        <v>846</v>
      </c>
      <c r="CJ58" s="133" t="s">
        <v>840</v>
      </c>
      <c r="CK58" s="133" t="s">
        <v>846</v>
      </c>
      <c r="CL58" s="133" t="s">
        <v>840</v>
      </c>
      <c r="CM58" s="133" t="b">
        <v>0</v>
      </c>
      <c r="CN58" s="133" t="s">
        <v>840</v>
      </c>
      <c r="CO58" s="133" t="b">
        <v>0</v>
      </c>
      <c r="CP58" s="135" t="b">
        <v>0</v>
      </c>
      <c r="CQ58" s="132" t="b">
        <v>0</v>
      </c>
      <c r="CR58" s="133" t="s">
        <v>846</v>
      </c>
      <c r="CS58" s="133" t="b">
        <v>0</v>
      </c>
      <c r="CT58" s="133" t="b">
        <v>0</v>
      </c>
      <c r="CU58" s="133" t="s">
        <v>846</v>
      </c>
      <c r="CV58" s="133" t="b">
        <v>0</v>
      </c>
      <c r="CW58" s="133" t="s">
        <v>840</v>
      </c>
      <c r="CX58" s="133" t="b">
        <v>0</v>
      </c>
      <c r="CY58" s="133" t="s">
        <v>846</v>
      </c>
      <c r="CZ58" s="135" t="b">
        <v>0</v>
      </c>
      <c r="DA58" s="96">
        <v>16</v>
      </c>
      <c r="DB58" s="103">
        <f>COUNTIF(DonnéesBC[[#This Row],[1]:[16]],"FAUX")</f>
        <v>6</v>
      </c>
      <c r="DC58" s="103">
        <f>COUNTIF(DonnéesBC[[#This Row],[1]:[16]],"Je ne sais pas")</f>
        <v>2</v>
      </c>
      <c r="DD58" s="103">
        <f>COUNTIF(DonnéesBC[[#This Row],[1]:[16]],"Juste")</f>
        <v>8</v>
      </c>
      <c r="DE58" s="96">
        <v>12</v>
      </c>
      <c r="DF58" s="103">
        <f>COUNTIF(DonnéesBC[[#This Row],[17]:[28]],"FAUX")</f>
        <v>5</v>
      </c>
      <c r="DG58" s="103">
        <f>COUNTIF(DonnéesBC[[#This Row],[17]:[28]],"Je ne sais pas")</f>
        <v>1</v>
      </c>
      <c r="DH58" s="103">
        <f>COUNTIF(DonnéesBC[[#This Row],[17]:[28]],"Juste")</f>
        <v>6</v>
      </c>
      <c r="DI58" s="96">
        <v>9</v>
      </c>
      <c r="DJ58" s="103">
        <f>COUNTIF(DonnéesBC[[#This Row],[29]:[37]],"FAUX")</f>
        <v>4</v>
      </c>
      <c r="DK58" s="103">
        <f>COUNTIF(DonnéesBC[[#This Row],[29]:[37]],"Je ne sais pas")</f>
        <v>1</v>
      </c>
      <c r="DL58" s="103">
        <f>COUNTIF(DonnéesBC[[#This Row],[29]:[37]],"Juste")</f>
        <v>4</v>
      </c>
      <c r="DM58" s="96">
        <v>13</v>
      </c>
      <c r="DN58" s="103">
        <f>COUNTIF(DonnéesBC[[#This Row],[38]:[50]],"FAUX")</f>
        <v>4</v>
      </c>
      <c r="DO58" s="103">
        <f>COUNTIF(DonnéesBC[[#This Row],[38]:[50]],"Je ne sais pas")</f>
        <v>3</v>
      </c>
      <c r="DP58" s="103">
        <f>COUNTIF(DonnéesBC[[#This Row],[38]:[50]],"Juste")</f>
        <v>6</v>
      </c>
      <c r="DQ58" s="96">
        <v>16</v>
      </c>
      <c r="DR58" s="103">
        <f>COUNTIF(DonnéesBC[[#This Row],[51]:[66]],"FAUX")</f>
        <v>4</v>
      </c>
      <c r="DS58" s="103">
        <f>COUNTIF(DonnéesBC[[#This Row],[51]:[66]],"Je ne sais pas")</f>
        <v>6</v>
      </c>
      <c r="DT58" s="103">
        <f>COUNTIF(DonnéesBC[[#This Row],[51]:[66]],"Juste")</f>
        <v>6</v>
      </c>
      <c r="DU58" s="96">
        <v>11</v>
      </c>
      <c r="DV58" s="103">
        <f>COUNTIF(DonnéesBC[[#This Row],[67]:[77]],"FAUX")</f>
        <v>3</v>
      </c>
      <c r="DW58" s="103">
        <f>COUNTIF(DonnéesBC[[#This Row],[67]:[77]],"Je ne sais pas")</f>
        <v>2</v>
      </c>
      <c r="DX58" s="103">
        <f>COUNTIF(DonnéesBC[[#This Row],[67]:[77]],"Juste")</f>
        <v>6</v>
      </c>
      <c r="DY58" s="96">
        <v>14</v>
      </c>
      <c r="DZ58" s="103">
        <f>COUNTIF(DonnéesBC[[#This Row],[78]:[91]],"FAUX")</f>
        <v>6</v>
      </c>
      <c r="EA58" s="103">
        <f>COUNTIF(DonnéesBC[[#This Row],[78]:[91]],"Je ne sais pas")</f>
        <v>3</v>
      </c>
      <c r="EB58" s="103">
        <f>COUNTIF(DonnéesBC[[#This Row],[78]:[91]],"Juste")</f>
        <v>5</v>
      </c>
      <c r="EC58" s="96">
        <v>10</v>
      </c>
      <c r="ED58" s="103">
        <f>COUNTIF(DonnéesBC[[#This Row],[92]:[101]],"FAUX")</f>
        <v>6</v>
      </c>
      <c r="EE58" s="103">
        <f>COUNTIF(DonnéesBC[[#This Row],[92]:[101]],"Je ne sais pas")</f>
        <v>1</v>
      </c>
      <c r="EF58" s="103">
        <f>COUNTIF(DonnéesBC[[#This Row],[92]:[101]],"Juste")</f>
        <v>3</v>
      </c>
      <c r="EG58" s="96">
        <f>SUM(DonnéesBC[[#This Row],[A]]+DonnéesBC[[#This Row],[B]]+DonnéesBC[[#This Row],[C]]+DonnéesBC[[#This Row],[D]]+DonnéesBC[[#This Row],[E]]+DonnéesBC[[#This Row],[F]]+DonnéesBC[[#This Row],[G]]+DonnéesBC[[#This Row],[H]])</f>
        <v>101</v>
      </c>
      <c r="EH58" s="97">
        <f>SUM(DonnéesBC[[#This Row],[A2]]+DonnéesBC[[#This Row],[B2]]+DonnéesBC[[#This Row],[C2]]+DonnéesBC[[#This Row],[D2]]+DonnéesBC[[#This Row],[E2]]+DonnéesBC[[#This Row],[F2]]+DonnéesBC[[#This Row],[G2]]+DonnéesBC[[#This Row],[H2]])</f>
        <v>38</v>
      </c>
      <c r="EI58" s="98">
        <f>SUM(DonnéesBC[[#This Row],[A3]]+DonnéesBC[[#This Row],[B3]]+DonnéesBC[[#This Row],[C3]]+DonnéesBC[[#This Row],[D3]]+DonnéesBC[[#This Row],[E3]]+DonnéesBC[[#This Row],[F3]]+DonnéesBC[[#This Row],[G3]]+DonnéesBC[[#This Row],[H3]])</f>
        <v>19</v>
      </c>
      <c r="EJ58" s="103">
        <f>SUM(DonnéesBC[[#This Row],[A4]]+DonnéesBC[[#This Row],[B4]]+DonnéesBC[[#This Row],[C4]]+DonnéesBC[[#This Row],[D4]]+DonnéesBC[[#This Row],[E4]]+DonnéesBC[[#This Row],[F4]]+DonnéesBC[[#This Row],[G4]]+DonnéesBC[[#This Row],[H4]])</f>
        <v>44</v>
      </c>
      <c r="EK58" s="95"/>
      <c r="EL58">
        <v>2</v>
      </c>
    </row>
    <row r="59" spans="1:142" ht="14" customHeight="1">
      <c r="A59" s="101" t="str">
        <f>DonnéesBC[[#This Row],[Prénom]]&amp;" "&amp;DonnéesBC[[#This Row],[Nom]]</f>
        <v>Teresa Parrella</v>
      </c>
      <c r="B59" s="99" t="s">
        <v>181</v>
      </c>
      <c r="C59" s="99" t="s">
        <v>180</v>
      </c>
      <c r="D59" s="219" t="b">
        <v>0</v>
      </c>
      <c r="E59" s="220" t="s">
        <v>846</v>
      </c>
      <c r="F59" s="220" t="s">
        <v>846</v>
      </c>
      <c r="G59" s="220" t="s">
        <v>846</v>
      </c>
      <c r="H59" s="220" t="s">
        <v>846</v>
      </c>
      <c r="I59" s="220" t="s">
        <v>846</v>
      </c>
      <c r="J59" s="220" t="s">
        <v>846</v>
      </c>
      <c r="K59" s="220" t="s">
        <v>840</v>
      </c>
      <c r="L59" s="220" t="s">
        <v>840</v>
      </c>
      <c r="M59" s="220" t="s">
        <v>846</v>
      </c>
      <c r="N59" s="220" t="s">
        <v>840</v>
      </c>
      <c r="O59" s="220" t="b">
        <v>0</v>
      </c>
      <c r="P59" s="220" t="s">
        <v>846</v>
      </c>
      <c r="Q59" s="220" t="s">
        <v>840</v>
      </c>
      <c r="R59" s="220" t="s">
        <v>846</v>
      </c>
      <c r="S59" s="221" t="b">
        <v>0</v>
      </c>
      <c r="T59" s="219" t="s">
        <v>846</v>
      </c>
      <c r="U59" s="220" t="s">
        <v>846</v>
      </c>
      <c r="V59" s="220" t="s">
        <v>846</v>
      </c>
      <c r="W59" s="220" t="s">
        <v>846</v>
      </c>
      <c r="X59" s="220" t="s">
        <v>840</v>
      </c>
      <c r="Y59" s="220" t="s">
        <v>840</v>
      </c>
      <c r="Z59" s="220" t="s">
        <v>840</v>
      </c>
      <c r="AA59" s="220" t="s">
        <v>840</v>
      </c>
      <c r="AB59" s="220" t="s">
        <v>846</v>
      </c>
      <c r="AC59" s="220" t="b">
        <v>0</v>
      </c>
      <c r="AD59" s="220" t="s">
        <v>840</v>
      </c>
      <c r="AE59" s="221" t="s">
        <v>840</v>
      </c>
      <c r="AF59" s="219" t="s">
        <v>846</v>
      </c>
      <c r="AG59" s="220" t="s">
        <v>846</v>
      </c>
      <c r="AH59" s="220" t="b">
        <v>0</v>
      </c>
      <c r="AI59" s="220" t="s">
        <v>846</v>
      </c>
      <c r="AJ59" s="220" t="s">
        <v>846</v>
      </c>
      <c r="AK59" s="220" t="s">
        <v>846</v>
      </c>
      <c r="AL59" s="220" t="s">
        <v>846</v>
      </c>
      <c r="AM59" s="220" t="s">
        <v>846</v>
      </c>
      <c r="AN59" s="221" t="s">
        <v>846</v>
      </c>
      <c r="AO59" s="219" t="s">
        <v>840</v>
      </c>
      <c r="AP59" s="220" t="s">
        <v>846</v>
      </c>
      <c r="AQ59" s="220" t="s">
        <v>846</v>
      </c>
      <c r="AR59" s="220" t="s">
        <v>846</v>
      </c>
      <c r="AS59" s="220" t="b">
        <v>0</v>
      </c>
      <c r="AT59" s="220" t="s">
        <v>846</v>
      </c>
      <c r="AU59" s="220" t="s">
        <v>840</v>
      </c>
      <c r="AV59" s="220" t="s">
        <v>846</v>
      </c>
      <c r="AW59" s="220" t="s">
        <v>840</v>
      </c>
      <c r="AX59" s="220" t="s">
        <v>846</v>
      </c>
      <c r="AY59" s="220" t="s">
        <v>846</v>
      </c>
      <c r="AZ59" s="220" t="s">
        <v>840</v>
      </c>
      <c r="BA59" s="221" t="s">
        <v>840</v>
      </c>
      <c r="BB59" s="219" t="s">
        <v>846</v>
      </c>
      <c r="BC59" s="220" t="s">
        <v>846</v>
      </c>
      <c r="BD59" s="220" t="s">
        <v>846</v>
      </c>
      <c r="BE59" s="220" t="s">
        <v>846</v>
      </c>
      <c r="BF59" s="220" t="s">
        <v>840</v>
      </c>
      <c r="BG59" s="220" t="s">
        <v>840</v>
      </c>
      <c r="BH59" s="220" t="b">
        <v>0</v>
      </c>
      <c r="BI59" s="220" t="s">
        <v>846</v>
      </c>
      <c r="BJ59" s="220" t="s">
        <v>840</v>
      </c>
      <c r="BK59" s="220" t="s">
        <v>846</v>
      </c>
      <c r="BL59" s="220" t="s">
        <v>840</v>
      </c>
      <c r="BM59" s="220" t="s">
        <v>840</v>
      </c>
      <c r="BN59" s="220" t="b">
        <v>0</v>
      </c>
      <c r="BO59" s="220" t="s">
        <v>840</v>
      </c>
      <c r="BP59" s="220" t="s">
        <v>840</v>
      </c>
      <c r="BQ59" s="221" t="s">
        <v>840</v>
      </c>
      <c r="BR59" s="219" t="s">
        <v>846</v>
      </c>
      <c r="BS59" s="220" t="b">
        <v>0</v>
      </c>
      <c r="BT59" s="220" t="s">
        <v>846</v>
      </c>
      <c r="BU59" s="220" t="s">
        <v>846</v>
      </c>
      <c r="BV59" s="220" t="s">
        <v>846</v>
      </c>
      <c r="BW59" s="220" t="s">
        <v>846</v>
      </c>
      <c r="BX59" s="220" t="s">
        <v>846</v>
      </c>
      <c r="BY59" s="220" t="b">
        <v>0</v>
      </c>
      <c r="BZ59" s="220" t="s">
        <v>846</v>
      </c>
      <c r="CA59" s="220" t="s">
        <v>840</v>
      </c>
      <c r="CB59" s="221" t="s">
        <v>846</v>
      </c>
      <c r="CC59" s="219" t="s">
        <v>840</v>
      </c>
      <c r="CD59" s="220" t="s">
        <v>846</v>
      </c>
      <c r="CE59" s="220" t="s">
        <v>846</v>
      </c>
      <c r="CF59" s="220" t="s">
        <v>846</v>
      </c>
      <c r="CG59" s="220" t="s">
        <v>846</v>
      </c>
      <c r="CH59" s="220" t="s">
        <v>840</v>
      </c>
      <c r="CI59" s="220" t="s">
        <v>840</v>
      </c>
      <c r="CJ59" s="220" t="s">
        <v>840</v>
      </c>
      <c r="CK59" s="220" t="s">
        <v>846</v>
      </c>
      <c r="CL59" s="220" t="s">
        <v>840</v>
      </c>
      <c r="CM59" s="220" t="s">
        <v>840</v>
      </c>
      <c r="CN59" s="220" t="s">
        <v>840</v>
      </c>
      <c r="CO59" s="220" t="s">
        <v>840</v>
      </c>
      <c r="CP59" s="221" t="s">
        <v>840</v>
      </c>
      <c r="CQ59" s="219" t="s">
        <v>846</v>
      </c>
      <c r="CR59" s="220" t="s">
        <v>846</v>
      </c>
      <c r="CS59" s="220" t="s">
        <v>840</v>
      </c>
      <c r="CT59" s="220" t="b">
        <v>0</v>
      </c>
      <c r="CU59" s="220" t="s">
        <v>846</v>
      </c>
      <c r="CV59" s="220" t="s">
        <v>846</v>
      </c>
      <c r="CW59" s="220" t="s">
        <v>846</v>
      </c>
      <c r="CX59" s="220" t="s">
        <v>846</v>
      </c>
      <c r="CY59" s="220" t="s">
        <v>846</v>
      </c>
      <c r="CZ59" s="222" t="s">
        <v>840</v>
      </c>
      <c r="DA59" s="96">
        <v>16</v>
      </c>
      <c r="DB59" s="103">
        <f>COUNTIF(DonnéesBC[[#This Row],[1]:[16]],"FAUX")</f>
        <v>3</v>
      </c>
      <c r="DC59" s="103">
        <f>COUNTIF(DonnéesBC[[#This Row],[1]:[16]],"Je ne sais pas")</f>
        <v>4</v>
      </c>
      <c r="DD59" s="103">
        <f>COUNTIF(DonnéesBC[[#This Row],[1]:[16]],"Juste")</f>
        <v>9</v>
      </c>
      <c r="DE59" s="96">
        <v>12</v>
      </c>
      <c r="DF59" s="103">
        <f>COUNTIF(DonnéesBC[[#This Row],[17]:[28]],"FAUX")</f>
        <v>1</v>
      </c>
      <c r="DG59" s="103">
        <f>COUNTIF(DonnéesBC[[#This Row],[17]:[28]],"Je ne sais pas")</f>
        <v>6</v>
      </c>
      <c r="DH59" s="103">
        <f>COUNTIF(DonnéesBC[[#This Row],[17]:[28]],"Juste")</f>
        <v>5</v>
      </c>
      <c r="DI59" s="96">
        <v>9</v>
      </c>
      <c r="DJ59" s="103">
        <f>COUNTIF(DonnéesBC[[#This Row],[29]:[37]],"FAUX")</f>
        <v>1</v>
      </c>
      <c r="DK59" s="103">
        <f>COUNTIF(DonnéesBC[[#This Row],[29]:[37]],"Je ne sais pas")</f>
        <v>0</v>
      </c>
      <c r="DL59" s="103">
        <f>COUNTIF(DonnéesBC[[#This Row],[29]:[37]],"Juste")</f>
        <v>8</v>
      </c>
      <c r="DM59" s="96">
        <v>13</v>
      </c>
      <c r="DN59" s="103">
        <f>COUNTIF(DonnéesBC[[#This Row],[38]:[50]],"FAUX")</f>
        <v>1</v>
      </c>
      <c r="DO59" s="103">
        <f>COUNTIF(DonnéesBC[[#This Row],[38]:[50]],"Je ne sais pas")</f>
        <v>5</v>
      </c>
      <c r="DP59" s="103">
        <f>COUNTIF(DonnéesBC[[#This Row],[38]:[50]],"Juste")</f>
        <v>7</v>
      </c>
      <c r="DQ59" s="96">
        <v>16</v>
      </c>
      <c r="DR59" s="103">
        <f>COUNTIF(DonnéesBC[[#This Row],[51]:[66]],"FAUX")</f>
        <v>2</v>
      </c>
      <c r="DS59" s="103">
        <f>COUNTIF(DonnéesBC[[#This Row],[51]:[66]],"Je ne sais pas")</f>
        <v>8</v>
      </c>
      <c r="DT59" s="103">
        <f>COUNTIF(DonnéesBC[[#This Row],[51]:[66]],"Juste")</f>
        <v>6</v>
      </c>
      <c r="DU59" s="96">
        <v>11</v>
      </c>
      <c r="DV59" s="103">
        <f>COUNTIF(DonnéesBC[[#This Row],[67]:[77]],"FAUX")</f>
        <v>2</v>
      </c>
      <c r="DW59" s="103">
        <f>COUNTIF(DonnéesBC[[#This Row],[67]:[77]],"Je ne sais pas")</f>
        <v>1</v>
      </c>
      <c r="DX59" s="103">
        <f>COUNTIF(DonnéesBC[[#This Row],[67]:[77]],"Juste")</f>
        <v>8</v>
      </c>
      <c r="DY59" s="96">
        <v>14</v>
      </c>
      <c r="DZ59" s="103">
        <f>COUNTIF(DonnéesBC[[#This Row],[78]:[91]],"FAUX")</f>
        <v>0</v>
      </c>
      <c r="EA59" s="103">
        <f>COUNTIF(DonnéesBC[[#This Row],[78]:[91]],"Je ne sais pas")</f>
        <v>9</v>
      </c>
      <c r="EB59" s="103">
        <f>COUNTIF(DonnéesBC[[#This Row],[78]:[91]],"Juste")</f>
        <v>5</v>
      </c>
      <c r="EC59" s="96">
        <v>10</v>
      </c>
      <c r="ED59" s="103">
        <f>COUNTIF(DonnéesBC[[#This Row],[92]:[101]],"FAUX")</f>
        <v>1</v>
      </c>
      <c r="EE59" s="103">
        <f>COUNTIF(DonnéesBC[[#This Row],[92]:[101]],"Je ne sais pas")</f>
        <v>2</v>
      </c>
      <c r="EF59" s="103">
        <f>COUNTIF(DonnéesBC[[#This Row],[92]:[101]],"Juste")</f>
        <v>7</v>
      </c>
      <c r="EG59" s="96">
        <f>SUM(DonnéesBC[[#This Row],[A]]+DonnéesBC[[#This Row],[B]]+DonnéesBC[[#This Row],[C]]+DonnéesBC[[#This Row],[D]]+DonnéesBC[[#This Row],[E]]+DonnéesBC[[#This Row],[F]]+DonnéesBC[[#This Row],[G]]+DonnéesBC[[#This Row],[H]])</f>
        <v>101</v>
      </c>
      <c r="EH59" s="97">
        <f>SUM(DonnéesBC[[#This Row],[A2]]+DonnéesBC[[#This Row],[B2]]+DonnéesBC[[#This Row],[C2]]+DonnéesBC[[#This Row],[D2]]+DonnéesBC[[#This Row],[E2]]+DonnéesBC[[#This Row],[F2]]+DonnéesBC[[#This Row],[G2]]+DonnéesBC[[#This Row],[H2]])</f>
        <v>11</v>
      </c>
      <c r="EI59" s="98">
        <f>SUM(DonnéesBC[[#This Row],[A3]]+DonnéesBC[[#This Row],[B3]]+DonnéesBC[[#This Row],[C3]]+DonnéesBC[[#This Row],[D3]]+DonnéesBC[[#This Row],[E3]]+DonnéesBC[[#This Row],[F3]]+DonnéesBC[[#This Row],[G3]]+DonnéesBC[[#This Row],[H3]])</f>
        <v>35</v>
      </c>
      <c r="EJ59" s="103">
        <f>SUM(DonnéesBC[[#This Row],[A4]]+DonnéesBC[[#This Row],[B4]]+DonnéesBC[[#This Row],[C4]]+DonnéesBC[[#This Row],[D4]]+DonnéesBC[[#This Row],[E4]]+DonnéesBC[[#This Row],[F4]]+DonnéesBC[[#This Row],[G4]]+DonnéesBC[[#This Row],[H4]])</f>
        <v>55</v>
      </c>
      <c r="EK59" s="95"/>
      <c r="EL59">
        <v>1</v>
      </c>
    </row>
    <row r="71" spans="3:104">
      <c r="C71" s="61">
        <v>1</v>
      </c>
      <c r="D71">
        <f t="shared" ref="D71:AI71" si="0">COUNTIF(D4:D59,"Juste")</f>
        <v>25</v>
      </c>
      <c r="E71">
        <f t="shared" si="0"/>
        <v>40</v>
      </c>
      <c r="F71">
        <f t="shared" si="0"/>
        <v>56</v>
      </c>
      <c r="G71">
        <f t="shared" si="0"/>
        <v>36</v>
      </c>
      <c r="H71">
        <f t="shared" si="0"/>
        <v>52</v>
      </c>
      <c r="I71">
        <f t="shared" si="0"/>
        <v>52</v>
      </c>
      <c r="J71">
        <f t="shared" si="0"/>
        <v>53</v>
      </c>
      <c r="K71">
        <f t="shared" si="0"/>
        <v>25</v>
      </c>
      <c r="L71">
        <f t="shared" si="0"/>
        <v>27</v>
      </c>
      <c r="M71">
        <f t="shared" si="0"/>
        <v>48</v>
      </c>
      <c r="N71">
        <f t="shared" si="0"/>
        <v>33</v>
      </c>
      <c r="O71">
        <f t="shared" si="0"/>
        <v>43</v>
      </c>
      <c r="P71">
        <f t="shared" si="0"/>
        <v>39</v>
      </c>
      <c r="Q71">
        <f t="shared" si="0"/>
        <v>6</v>
      </c>
      <c r="R71">
        <f t="shared" si="0"/>
        <v>55</v>
      </c>
      <c r="S71">
        <f t="shared" si="0"/>
        <v>22</v>
      </c>
      <c r="T71">
        <f t="shared" si="0"/>
        <v>54</v>
      </c>
      <c r="U71">
        <f t="shared" si="0"/>
        <v>48</v>
      </c>
      <c r="V71">
        <f t="shared" si="0"/>
        <v>45</v>
      </c>
      <c r="W71">
        <f t="shared" si="0"/>
        <v>29</v>
      </c>
      <c r="X71">
        <f t="shared" si="0"/>
        <v>30</v>
      </c>
      <c r="Y71">
        <f t="shared" si="0"/>
        <v>40</v>
      </c>
      <c r="Z71">
        <f t="shared" si="0"/>
        <v>17</v>
      </c>
      <c r="AA71">
        <f t="shared" si="0"/>
        <v>28</v>
      </c>
      <c r="AB71">
        <f t="shared" si="0"/>
        <v>17</v>
      </c>
      <c r="AC71">
        <f t="shared" si="0"/>
        <v>16</v>
      </c>
      <c r="AD71">
        <f t="shared" si="0"/>
        <v>41</v>
      </c>
      <c r="AE71">
        <f t="shared" si="0"/>
        <v>26</v>
      </c>
      <c r="AF71">
        <f t="shared" si="0"/>
        <v>51</v>
      </c>
      <c r="AG71">
        <f t="shared" si="0"/>
        <v>29</v>
      </c>
      <c r="AH71">
        <f t="shared" si="0"/>
        <v>35</v>
      </c>
      <c r="AI71">
        <f t="shared" si="0"/>
        <v>36</v>
      </c>
      <c r="AJ71">
        <f t="shared" ref="AJ71:BO71" si="1">COUNTIF(AJ4:AJ59,"Juste")</f>
        <v>50</v>
      </c>
      <c r="AK71">
        <f t="shared" si="1"/>
        <v>44</v>
      </c>
      <c r="AL71">
        <f t="shared" si="1"/>
        <v>55</v>
      </c>
      <c r="AM71">
        <f t="shared" si="1"/>
        <v>30</v>
      </c>
      <c r="AN71">
        <f t="shared" si="1"/>
        <v>51</v>
      </c>
      <c r="AO71">
        <f t="shared" si="1"/>
        <v>6</v>
      </c>
      <c r="AP71">
        <f t="shared" si="1"/>
        <v>52</v>
      </c>
      <c r="AQ71">
        <f t="shared" si="1"/>
        <v>52</v>
      </c>
      <c r="AR71">
        <f t="shared" si="1"/>
        <v>40</v>
      </c>
      <c r="AS71">
        <f t="shared" si="1"/>
        <v>22</v>
      </c>
      <c r="AT71">
        <f t="shared" si="1"/>
        <v>56</v>
      </c>
      <c r="AU71">
        <f t="shared" si="1"/>
        <v>32</v>
      </c>
      <c r="AV71">
        <f t="shared" si="1"/>
        <v>55</v>
      </c>
      <c r="AW71">
        <f t="shared" si="1"/>
        <v>48</v>
      </c>
      <c r="AX71">
        <f t="shared" si="1"/>
        <v>38</v>
      </c>
      <c r="AY71">
        <f t="shared" si="1"/>
        <v>48</v>
      </c>
      <c r="AZ71">
        <f t="shared" si="1"/>
        <v>22</v>
      </c>
      <c r="BA71">
        <f t="shared" si="1"/>
        <v>29</v>
      </c>
      <c r="BB71">
        <f t="shared" si="1"/>
        <v>48</v>
      </c>
      <c r="BC71">
        <f t="shared" si="1"/>
        <v>54</v>
      </c>
      <c r="BD71">
        <f t="shared" si="1"/>
        <v>50</v>
      </c>
      <c r="BE71">
        <f t="shared" si="1"/>
        <v>52</v>
      </c>
      <c r="BF71">
        <f t="shared" si="1"/>
        <v>20</v>
      </c>
      <c r="BG71">
        <f t="shared" si="1"/>
        <v>28</v>
      </c>
      <c r="BH71">
        <f t="shared" si="1"/>
        <v>36</v>
      </c>
      <c r="BI71">
        <f t="shared" si="1"/>
        <v>48</v>
      </c>
      <c r="BJ71">
        <f t="shared" si="1"/>
        <v>31</v>
      </c>
      <c r="BK71">
        <f t="shared" si="1"/>
        <v>22</v>
      </c>
      <c r="BL71">
        <f t="shared" si="1"/>
        <v>26</v>
      </c>
      <c r="BM71">
        <f t="shared" si="1"/>
        <v>28</v>
      </c>
      <c r="BN71">
        <f t="shared" si="1"/>
        <v>7</v>
      </c>
      <c r="BO71">
        <f t="shared" si="1"/>
        <v>17</v>
      </c>
      <c r="BP71">
        <f t="shared" ref="BP71:CZ71" si="2">COUNTIF(BP4:BP59,"Juste")</f>
        <v>14</v>
      </c>
      <c r="BQ71">
        <f t="shared" si="2"/>
        <v>30</v>
      </c>
      <c r="BR71">
        <f t="shared" si="2"/>
        <v>55</v>
      </c>
      <c r="BS71">
        <f t="shared" si="2"/>
        <v>44</v>
      </c>
      <c r="BT71">
        <f t="shared" si="2"/>
        <v>52</v>
      </c>
      <c r="BU71">
        <f t="shared" si="2"/>
        <v>38</v>
      </c>
      <c r="BV71">
        <f t="shared" si="2"/>
        <v>50</v>
      </c>
      <c r="BW71">
        <f t="shared" si="2"/>
        <v>39</v>
      </c>
      <c r="BX71">
        <f t="shared" si="2"/>
        <v>37</v>
      </c>
      <c r="BY71">
        <f t="shared" si="2"/>
        <v>42</v>
      </c>
      <c r="BZ71">
        <f t="shared" si="2"/>
        <v>31</v>
      </c>
      <c r="CA71">
        <f t="shared" si="2"/>
        <v>38</v>
      </c>
      <c r="CB71">
        <f t="shared" si="2"/>
        <v>28</v>
      </c>
      <c r="CC71">
        <f t="shared" si="2"/>
        <v>17</v>
      </c>
      <c r="CD71">
        <f t="shared" si="2"/>
        <v>55</v>
      </c>
      <c r="CE71">
        <f t="shared" si="2"/>
        <v>44</v>
      </c>
      <c r="CF71">
        <f t="shared" si="2"/>
        <v>43</v>
      </c>
      <c r="CG71">
        <f t="shared" si="2"/>
        <v>50</v>
      </c>
      <c r="CH71">
        <f t="shared" si="2"/>
        <v>26</v>
      </c>
      <c r="CI71">
        <f t="shared" si="2"/>
        <v>48</v>
      </c>
      <c r="CJ71">
        <f t="shared" si="2"/>
        <v>37</v>
      </c>
      <c r="CK71">
        <f t="shared" si="2"/>
        <v>46</v>
      </c>
      <c r="CL71">
        <f t="shared" si="2"/>
        <v>22</v>
      </c>
      <c r="CM71">
        <f t="shared" si="2"/>
        <v>31</v>
      </c>
      <c r="CN71">
        <f t="shared" si="2"/>
        <v>42</v>
      </c>
      <c r="CO71">
        <f t="shared" si="2"/>
        <v>22</v>
      </c>
      <c r="CP71">
        <f t="shared" si="2"/>
        <v>16</v>
      </c>
      <c r="CQ71">
        <f t="shared" si="2"/>
        <v>32</v>
      </c>
      <c r="CR71">
        <f t="shared" si="2"/>
        <v>52</v>
      </c>
      <c r="CS71">
        <f t="shared" si="2"/>
        <v>14</v>
      </c>
      <c r="CT71">
        <f t="shared" si="2"/>
        <v>13</v>
      </c>
      <c r="CU71">
        <f t="shared" si="2"/>
        <v>38</v>
      </c>
      <c r="CV71">
        <f t="shared" si="2"/>
        <v>39</v>
      </c>
      <c r="CW71">
        <f t="shared" si="2"/>
        <v>38</v>
      </c>
      <c r="CX71">
        <f t="shared" si="2"/>
        <v>46</v>
      </c>
      <c r="CY71">
        <f t="shared" si="2"/>
        <v>27</v>
      </c>
      <c r="CZ71">
        <f t="shared" si="2"/>
        <v>24</v>
      </c>
    </row>
    <row r="72" spans="3:104">
      <c r="C72" s="61" t="b">
        <v>0</v>
      </c>
      <c r="D72">
        <f>COUNTIF(D4:D59,"FAUX")</f>
        <v>31</v>
      </c>
      <c r="E72">
        <f t="shared" ref="E72:BP72" si="3">COUNTIF(E4:E59,"FAUX")</f>
        <v>16</v>
      </c>
      <c r="F72">
        <f t="shared" si="3"/>
        <v>0</v>
      </c>
      <c r="G72">
        <f t="shared" si="3"/>
        <v>18</v>
      </c>
      <c r="H72">
        <f t="shared" si="3"/>
        <v>3</v>
      </c>
      <c r="I72">
        <f t="shared" si="3"/>
        <v>4</v>
      </c>
      <c r="J72">
        <f t="shared" si="3"/>
        <v>1</v>
      </c>
      <c r="K72">
        <f t="shared" si="3"/>
        <v>23</v>
      </c>
      <c r="L72">
        <f t="shared" si="3"/>
        <v>20</v>
      </c>
      <c r="M72">
        <f t="shared" si="3"/>
        <v>8</v>
      </c>
      <c r="N72">
        <f t="shared" si="3"/>
        <v>20</v>
      </c>
      <c r="O72">
        <f t="shared" si="3"/>
        <v>13</v>
      </c>
      <c r="P72">
        <f t="shared" si="3"/>
        <v>14</v>
      </c>
      <c r="Q72">
        <f t="shared" si="3"/>
        <v>45</v>
      </c>
      <c r="R72">
        <f t="shared" si="3"/>
        <v>1</v>
      </c>
      <c r="S72">
        <f t="shared" si="3"/>
        <v>33</v>
      </c>
      <c r="T72">
        <f t="shared" si="3"/>
        <v>2</v>
      </c>
      <c r="U72">
        <f t="shared" si="3"/>
        <v>8</v>
      </c>
      <c r="V72">
        <f t="shared" si="3"/>
        <v>11</v>
      </c>
      <c r="W72">
        <f t="shared" si="3"/>
        <v>26</v>
      </c>
      <c r="X72">
        <f t="shared" si="3"/>
        <v>18</v>
      </c>
      <c r="Y72">
        <f t="shared" si="3"/>
        <v>8</v>
      </c>
      <c r="Z72">
        <f t="shared" si="3"/>
        <v>31</v>
      </c>
      <c r="AA72">
        <f t="shared" si="3"/>
        <v>15</v>
      </c>
      <c r="AB72">
        <f t="shared" si="3"/>
        <v>36</v>
      </c>
      <c r="AC72">
        <f t="shared" si="3"/>
        <v>35</v>
      </c>
      <c r="AD72">
        <f t="shared" si="3"/>
        <v>12</v>
      </c>
      <c r="AE72">
        <f t="shared" si="3"/>
        <v>10</v>
      </c>
      <c r="AF72">
        <f t="shared" si="3"/>
        <v>5</v>
      </c>
      <c r="AG72">
        <f t="shared" si="3"/>
        <v>23</v>
      </c>
      <c r="AH72">
        <f t="shared" si="3"/>
        <v>21</v>
      </c>
      <c r="AI72">
        <f t="shared" si="3"/>
        <v>15</v>
      </c>
      <c r="AJ72">
        <f t="shared" si="3"/>
        <v>6</v>
      </c>
      <c r="AK72">
        <f t="shared" si="3"/>
        <v>9</v>
      </c>
      <c r="AL72">
        <f t="shared" si="3"/>
        <v>1</v>
      </c>
      <c r="AM72">
        <f t="shared" si="3"/>
        <v>24</v>
      </c>
      <c r="AN72">
        <f t="shared" si="3"/>
        <v>1</v>
      </c>
      <c r="AO72">
        <f t="shared" si="3"/>
        <v>21</v>
      </c>
      <c r="AP72">
        <f t="shared" si="3"/>
        <v>3</v>
      </c>
      <c r="AQ72">
        <f t="shared" si="3"/>
        <v>4</v>
      </c>
      <c r="AR72">
        <f t="shared" si="3"/>
        <v>6</v>
      </c>
      <c r="AS72">
        <f t="shared" si="3"/>
        <v>27</v>
      </c>
      <c r="AT72">
        <f t="shared" si="3"/>
        <v>0</v>
      </c>
      <c r="AU72">
        <f t="shared" si="3"/>
        <v>20</v>
      </c>
      <c r="AV72">
        <f t="shared" si="3"/>
        <v>1</v>
      </c>
      <c r="AW72">
        <f t="shared" si="3"/>
        <v>2</v>
      </c>
      <c r="AX72">
        <f t="shared" si="3"/>
        <v>14</v>
      </c>
      <c r="AY72">
        <f t="shared" si="3"/>
        <v>8</v>
      </c>
      <c r="AZ72">
        <f t="shared" si="3"/>
        <v>10</v>
      </c>
      <c r="BA72">
        <f t="shared" si="3"/>
        <v>4</v>
      </c>
      <c r="BB72">
        <f t="shared" si="3"/>
        <v>4</v>
      </c>
      <c r="BC72">
        <f t="shared" si="3"/>
        <v>1</v>
      </c>
      <c r="BD72">
        <f t="shared" si="3"/>
        <v>0</v>
      </c>
      <c r="BE72">
        <f t="shared" si="3"/>
        <v>0</v>
      </c>
      <c r="BF72">
        <f t="shared" si="3"/>
        <v>19</v>
      </c>
      <c r="BG72">
        <f t="shared" si="3"/>
        <v>17</v>
      </c>
      <c r="BH72">
        <f t="shared" si="3"/>
        <v>19</v>
      </c>
      <c r="BI72">
        <f t="shared" si="3"/>
        <v>8</v>
      </c>
      <c r="BJ72">
        <f t="shared" si="3"/>
        <v>11</v>
      </c>
      <c r="BK72">
        <f t="shared" si="3"/>
        <v>27</v>
      </c>
      <c r="BL72">
        <f t="shared" si="3"/>
        <v>25</v>
      </c>
      <c r="BM72">
        <f t="shared" si="3"/>
        <v>18</v>
      </c>
      <c r="BN72">
        <f t="shared" si="3"/>
        <v>37</v>
      </c>
      <c r="BO72">
        <f t="shared" si="3"/>
        <v>15</v>
      </c>
      <c r="BP72">
        <f t="shared" si="3"/>
        <v>23</v>
      </c>
      <c r="BQ72">
        <f t="shared" ref="BQ72:CZ72" si="4">COUNTIF(BQ4:BQ59,"FAUX")</f>
        <v>4</v>
      </c>
      <c r="BR72">
        <f t="shared" si="4"/>
        <v>0</v>
      </c>
      <c r="BS72">
        <f t="shared" si="4"/>
        <v>10</v>
      </c>
      <c r="BT72">
        <f t="shared" si="4"/>
        <v>4</v>
      </c>
      <c r="BU72">
        <f t="shared" si="4"/>
        <v>11</v>
      </c>
      <c r="BV72">
        <f t="shared" si="4"/>
        <v>6</v>
      </c>
      <c r="BW72">
        <f t="shared" si="4"/>
        <v>8</v>
      </c>
      <c r="BX72">
        <f t="shared" si="4"/>
        <v>16</v>
      </c>
      <c r="BY72">
        <f t="shared" si="4"/>
        <v>12</v>
      </c>
      <c r="BZ72">
        <f t="shared" si="4"/>
        <v>16</v>
      </c>
      <c r="CA72">
        <f t="shared" si="4"/>
        <v>14</v>
      </c>
      <c r="CB72">
        <f t="shared" si="4"/>
        <v>17</v>
      </c>
      <c r="CC72">
        <f t="shared" si="4"/>
        <v>16</v>
      </c>
      <c r="CD72">
        <f t="shared" si="4"/>
        <v>1</v>
      </c>
      <c r="CE72">
        <f t="shared" si="4"/>
        <v>11</v>
      </c>
      <c r="CF72">
        <f t="shared" si="4"/>
        <v>12</v>
      </c>
      <c r="CG72">
        <f t="shared" si="4"/>
        <v>4</v>
      </c>
      <c r="CH72">
        <f t="shared" si="4"/>
        <v>25</v>
      </c>
      <c r="CI72">
        <f t="shared" si="4"/>
        <v>0</v>
      </c>
      <c r="CJ72">
        <f t="shared" si="4"/>
        <v>3</v>
      </c>
      <c r="CK72">
        <f t="shared" si="4"/>
        <v>9</v>
      </c>
      <c r="CL72">
        <f t="shared" si="4"/>
        <v>17</v>
      </c>
      <c r="CM72">
        <f t="shared" si="4"/>
        <v>16</v>
      </c>
      <c r="CN72">
        <f t="shared" si="4"/>
        <v>6</v>
      </c>
      <c r="CO72">
        <f t="shared" si="4"/>
        <v>16</v>
      </c>
      <c r="CP72">
        <f t="shared" si="4"/>
        <v>29</v>
      </c>
      <c r="CQ72">
        <f t="shared" si="4"/>
        <v>21</v>
      </c>
      <c r="CR72">
        <f t="shared" si="4"/>
        <v>4</v>
      </c>
      <c r="CS72">
        <f t="shared" si="4"/>
        <v>32</v>
      </c>
      <c r="CT72">
        <f t="shared" si="4"/>
        <v>30</v>
      </c>
      <c r="CU72">
        <f t="shared" si="4"/>
        <v>15</v>
      </c>
      <c r="CV72">
        <f t="shared" si="4"/>
        <v>14</v>
      </c>
      <c r="CW72">
        <f t="shared" si="4"/>
        <v>6</v>
      </c>
      <c r="CX72">
        <f t="shared" si="4"/>
        <v>9</v>
      </c>
      <c r="CY72">
        <f t="shared" si="4"/>
        <v>29</v>
      </c>
      <c r="CZ72">
        <f t="shared" si="4"/>
        <v>20</v>
      </c>
    </row>
    <row r="73" spans="3:104">
      <c r="C73" s="61" t="s">
        <v>840</v>
      </c>
      <c r="D73">
        <f t="shared" ref="D73:AI73" si="5">COUNTIF(D4:D59,"Je ne sais pas")</f>
        <v>0</v>
      </c>
      <c r="E73">
        <f t="shared" si="5"/>
        <v>0</v>
      </c>
      <c r="F73">
        <f t="shared" si="5"/>
        <v>0</v>
      </c>
      <c r="G73">
        <f t="shared" si="5"/>
        <v>2</v>
      </c>
      <c r="H73">
        <f t="shared" si="5"/>
        <v>1</v>
      </c>
      <c r="I73">
        <f t="shared" si="5"/>
        <v>0</v>
      </c>
      <c r="J73">
        <f t="shared" si="5"/>
        <v>2</v>
      </c>
      <c r="K73">
        <f t="shared" si="5"/>
        <v>8</v>
      </c>
      <c r="L73">
        <f t="shared" si="5"/>
        <v>9</v>
      </c>
      <c r="M73">
        <f t="shared" si="5"/>
        <v>0</v>
      </c>
      <c r="N73">
        <f t="shared" si="5"/>
        <v>3</v>
      </c>
      <c r="O73">
        <f t="shared" si="5"/>
        <v>0</v>
      </c>
      <c r="P73">
        <f t="shared" si="5"/>
        <v>3</v>
      </c>
      <c r="Q73">
        <f t="shared" si="5"/>
        <v>5</v>
      </c>
      <c r="R73">
        <f t="shared" si="5"/>
        <v>0</v>
      </c>
      <c r="S73">
        <f t="shared" si="5"/>
        <v>1</v>
      </c>
      <c r="T73">
        <f t="shared" si="5"/>
        <v>0</v>
      </c>
      <c r="U73">
        <f t="shared" si="5"/>
        <v>0</v>
      </c>
      <c r="V73">
        <f t="shared" si="5"/>
        <v>0</v>
      </c>
      <c r="W73">
        <f t="shared" si="5"/>
        <v>1</v>
      </c>
      <c r="X73">
        <f t="shared" si="5"/>
        <v>8</v>
      </c>
      <c r="Y73">
        <f t="shared" si="5"/>
        <v>8</v>
      </c>
      <c r="Z73">
        <f t="shared" si="5"/>
        <v>8</v>
      </c>
      <c r="AA73">
        <f t="shared" si="5"/>
        <v>13</v>
      </c>
      <c r="AB73">
        <f t="shared" si="5"/>
        <v>3</v>
      </c>
      <c r="AC73">
        <f t="shared" si="5"/>
        <v>5</v>
      </c>
      <c r="AD73">
        <f t="shared" si="5"/>
        <v>3</v>
      </c>
      <c r="AE73">
        <f t="shared" si="5"/>
        <v>20</v>
      </c>
      <c r="AF73">
        <f t="shared" si="5"/>
        <v>0</v>
      </c>
      <c r="AG73">
        <f t="shared" si="5"/>
        <v>4</v>
      </c>
      <c r="AH73">
        <f t="shared" si="5"/>
        <v>0</v>
      </c>
      <c r="AI73">
        <f t="shared" si="5"/>
        <v>5</v>
      </c>
      <c r="AJ73">
        <f t="shared" ref="AJ73:BO73" si="6">COUNTIF(AJ4:AJ59,"Je ne sais pas")</f>
        <v>0</v>
      </c>
      <c r="AK73">
        <f t="shared" si="6"/>
        <v>3</v>
      </c>
      <c r="AL73">
        <f t="shared" si="6"/>
        <v>0</v>
      </c>
      <c r="AM73">
        <f t="shared" si="6"/>
        <v>2</v>
      </c>
      <c r="AN73">
        <f t="shared" si="6"/>
        <v>4</v>
      </c>
      <c r="AO73">
        <f t="shared" si="6"/>
        <v>29</v>
      </c>
      <c r="AP73">
        <f t="shared" si="6"/>
        <v>1</v>
      </c>
      <c r="AQ73">
        <f t="shared" si="6"/>
        <v>0</v>
      </c>
      <c r="AR73">
        <f t="shared" si="6"/>
        <v>10</v>
      </c>
      <c r="AS73">
        <f t="shared" si="6"/>
        <v>7</v>
      </c>
      <c r="AT73">
        <f t="shared" si="6"/>
        <v>0</v>
      </c>
      <c r="AU73">
        <f t="shared" si="6"/>
        <v>4</v>
      </c>
      <c r="AV73">
        <f t="shared" si="6"/>
        <v>0</v>
      </c>
      <c r="AW73">
        <f t="shared" si="6"/>
        <v>6</v>
      </c>
      <c r="AX73">
        <f t="shared" si="6"/>
        <v>4</v>
      </c>
      <c r="AY73">
        <f t="shared" si="6"/>
        <v>0</v>
      </c>
      <c r="AZ73">
        <f t="shared" si="6"/>
        <v>24</v>
      </c>
      <c r="BA73">
        <f t="shared" si="6"/>
        <v>23</v>
      </c>
      <c r="BB73">
        <f t="shared" si="6"/>
        <v>4</v>
      </c>
      <c r="BC73">
        <f t="shared" si="6"/>
        <v>1</v>
      </c>
      <c r="BD73">
        <f t="shared" si="6"/>
        <v>6</v>
      </c>
      <c r="BE73">
        <f t="shared" si="6"/>
        <v>4</v>
      </c>
      <c r="BF73">
        <f t="shared" si="6"/>
        <v>17</v>
      </c>
      <c r="BG73">
        <f t="shared" si="6"/>
        <v>11</v>
      </c>
      <c r="BH73">
        <f t="shared" si="6"/>
        <v>1</v>
      </c>
      <c r="BI73">
        <f t="shared" si="6"/>
        <v>0</v>
      </c>
      <c r="BJ73">
        <f t="shared" si="6"/>
        <v>14</v>
      </c>
      <c r="BK73">
        <f t="shared" si="6"/>
        <v>7</v>
      </c>
      <c r="BL73">
        <f t="shared" si="6"/>
        <v>5</v>
      </c>
      <c r="BM73">
        <f t="shared" si="6"/>
        <v>10</v>
      </c>
      <c r="BN73">
        <f t="shared" si="6"/>
        <v>12</v>
      </c>
      <c r="BO73">
        <f t="shared" si="6"/>
        <v>24</v>
      </c>
      <c r="BP73">
        <f t="shared" ref="BP73:CZ73" si="7">COUNTIF(BP4:BP59,"Je ne sais pas")</f>
        <v>19</v>
      </c>
      <c r="BQ73">
        <f t="shared" si="7"/>
        <v>22</v>
      </c>
      <c r="BR73">
        <f t="shared" si="7"/>
        <v>1</v>
      </c>
      <c r="BS73">
        <f t="shared" si="7"/>
        <v>2</v>
      </c>
      <c r="BT73">
        <f t="shared" si="7"/>
        <v>0</v>
      </c>
      <c r="BU73">
        <f t="shared" si="7"/>
        <v>7</v>
      </c>
      <c r="BV73">
        <f t="shared" si="7"/>
        <v>0</v>
      </c>
      <c r="BW73">
        <f t="shared" si="7"/>
        <v>9</v>
      </c>
      <c r="BX73">
        <f t="shared" si="7"/>
        <v>3</v>
      </c>
      <c r="BY73">
        <f t="shared" si="7"/>
        <v>2</v>
      </c>
      <c r="BZ73">
        <f t="shared" si="7"/>
        <v>8</v>
      </c>
      <c r="CA73">
        <f t="shared" si="7"/>
        <v>4</v>
      </c>
      <c r="CB73">
        <f t="shared" si="7"/>
        <v>11</v>
      </c>
      <c r="CC73">
        <f t="shared" si="7"/>
        <v>23</v>
      </c>
      <c r="CD73">
        <f t="shared" si="7"/>
        <v>0</v>
      </c>
      <c r="CE73">
        <f t="shared" si="7"/>
        <v>1</v>
      </c>
      <c r="CF73">
        <f t="shared" si="7"/>
        <v>1</v>
      </c>
      <c r="CG73">
        <f t="shared" si="7"/>
        <v>2</v>
      </c>
      <c r="CH73">
        <f t="shared" si="7"/>
        <v>5</v>
      </c>
      <c r="CI73">
        <f t="shared" si="7"/>
        <v>8</v>
      </c>
      <c r="CJ73">
        <f t="shared" si="7"/>
        <v>16</v>
      </c>
      <c r="CK73">
        <f t="shared" si="7"/>
        <v>1</v>
      </c>
      <c r="CL73">
        <f t="shared" si="7"/>
        <v>17</v>
      </c>
      <c r="CM73">
        <f t="shared" si="7"/>
        <v>9</v>
      </c>
      <c r="CN73">
        <f t="shared" si="7"/>
        <v>8</v>
      </c>
      <c r="CO73">
        <f t="shared" si="7"/>
        <v>18</v>
      </c>
      <c r="CP73">
        <f t="shared" si="7"/>
        <v>11</v>
      </c>
      <c r="CQ73">
        <f t="shared" si="7"/>
        <v>3</v>
      </c>
      <c r="CR73">
        <f t="shared" si="7"/>
        <v>0</v>
      </c>
      <c r="CS73">
        <f t="shared" si="7"/>
        <v>10</v>
      </c>
      <c r="CT73">
        <f t="shared" si="7"/>
        <v>13</v>
      </c>
      <c r="CU73">
        <f t="shared" si="7"/>
        <v>3</v>
      </c>
      <c r="CV73">
        <f t="shared" si="7"/>
        <v>3</v>
      </c>
      <c r="CW73">
        <f t="shared" si="7"/>
        <v>12</v>
      </c>
      <c r="CX73">
        <f t="shared" si="7"/>
        <v>1</v>
      </c>
      <c r="CY73">
        <f t="shared" si="7"/>
        <v>0</v>
      </c>
      <c r="CZ73">
        <f t="shared" si="7"/>
        <v>12</v>
      </c>
    </row>
    <row r="74" spans="3:104">
      <c r="D74" t="s">
        <v>186</v>
      </c>
      <c r="E74" t="s">
        <v>187</v>
      </c>
      <c r="F74" t="s">
        <v>188</v>
      </c>
      <c r="G74" t="s">
        <v>189</v>
      </c>
      <c r="H74" t="s">
        <v>190</v>
      </c>
      <c r="I74" t="s">
        <v>191</v>
      </c>
      <c r="J74" t="s">
        <v>192</v>
      </c>
      <c r="K74" t="s">
        <v>193</v>
      </c>
      <c r="L74" t="s">
        <v>194</v>
      </c>
      <c r="M74" t="s">
        <v>195</v>
      </c>
      <c r="N74" t="s">
        <v>196</v>
      </c>
      <c r="O74" t="s">
        <v>197</v>
      </c>
      <c r="P74" t="s">
        <v>198</v>
      </c>
      <c r="Q74" t="s">
        <v>199</v>
      </c>
      <c r="R74" t="s">
        <v>200</v>
      </c>
      <c r="S74" t="s">
        <v>201</v>
      </c>
      <c r="T74" t="s">
        <v>202</v>
      </c>
      <c r="U74" t="s">
        <v>203</v>
      </c>
      <c r="V74" t="s">
        <v>204</v>
      </c>
      <c r="W74" t="s">
        <v>205</v>
      </c>
      <c r="X74" t="s">
        <v>206</v>
      </c>
      <c r="Y74" t="s">
        <v>207</v>
      </c>
      <c r="Z74" t="s">
        <v>208</v>
      </c>
      <c r="AA74" t="s">
        <v>209</v>
      </c>
      <c r="AB74" t="s">
        <v>210</v>
      </c>
      <c r="AC74" t="s">
        <v>211</v>
      </c>
      <c r="AD74" t="s">
        <v>212</v>
      </c>
      <c r="AE74" t="s">
        <v>213</v>
      </c>
      <c r="AF74" t="s">
        <v>214</v>
      </c>
      <c r="AG74" t="s">
        <v>215</v>
      </c>
      <c r="AH74" t="s">
        <v>216</v>
      </c>
      <c r="AI74" t="s">
        <v>217</v>
      </c>
      <c r="AJ74" t="s">
        <v>218</v>
      </c>
      <c r="AK74" t="s">
        <v>219</v>
      </c>
      <c r="AL74" t="s">
        <v>220</v>
      </c>
      <c r="AM74" t="s">
        <v>221</v>
      </c>
      <c r="AN74" t="s">
        <v>222</v>
      </c>
      <c r="AO74" t="s">
        <v>223</v>
      </c>
      <c r="AP74" t="s">
        <v>224</v>
      </c>
      <c r="AQ74" t="s">
        <v>225</v>
      </c>
      <c r="AR74" t="s">
        <v>226</v>
      </c>
      <c r="AS74" t="s">
        <v>227</v>
      </c>
      <c r="AT74" t="s">
        <v>228</v>
      </c>
      <c r="AU74" t="s">
        <v>229</v>
      </c>
      <c r="AV74" t="s">
        <v>230</v>
      </c>
      <c r="AW74" t="s">
        <v>231</v>
      </c>
      <c r="AX74" t="s">
        <v>232</v>
      </c>
      <c r="AY74" t="s">
        <v>233</v>
      </c>
      <c r="AZ74" t="s">
        <v>234</v>
      </c>
      <c r="BA74" t="s">
        <v>235</v>
      </c>
      <c r="BB74" t="s">
        <v>236</v>
      </c>
      <c r="BC74" t="s">
        <v>237</v>
      </c>
      <c r="BD74" t="s">
        <v>238</v>
      </c>
      <c r="BE74" t="s">
        <v>239</v>
      </c>
      <c r="BF74" t="s">
        <v>240</v>
      </c>
      <c r="BG74" t="s">
        <v>241</v>
      </c>
      <c r="BH74" t="s">
        <v>242</v>
      </c>
      <c r="BI74" t="s">
        <v>243</v>
      </c>
      <c r="BJ74" t="s">
        <v>244</v>
      </c>
      <c r="BK74" t="s">
        <v>245</v>
      </c>
      <c r="BL74" t="s">
        <v>634</v>
      </c>
      <c r="BM74" t="s">
        <v>635</v>
      </c>
      <c r="BN74" t="s">
        <v>636</v>
      </c>
      <c r="BO74" t="s">
        <v>637</v>
      </c>
      <c r="BP74" t="s">
        <v>638</v>
      </c>
      <c r="BQ74" t="s">
        <v>639</v>
      </c>
      <c r="BR74" t="s">
        <v>640</v>
      </c>
      <c r="BS74" t="s">
        <v>641</v>
      </c>
      <c r="BT74" t="s">
        <v>642</v>
      </c>
      <c r="BU74" t="s">
        <v>643</v>
      </c>
      <c r="BV74" t="s">
        <v>644</v>
      </c>
      <c r="BW74" t="s">
        <v>645</v>
      </c>
      <c r="BX74" t="s">
        <v>646</v>
      </c>
      <c r="BY74" t="s">
        <v>647</v>
      </c>
      <c r="BZ74" t="s">
        <v>648</v>
      </c>
      <c r="CA74" t="s">
        <v>649</v>
      </c>
      <c r="CB74" t="s">
        <v>650</v>
      </c>
      <c r="CC74" t="s">
        <v>651</v>
      </c>
      <c r="CD74" t="s">
        <v>652</v>
      </c>
      <c r="CE74" t="s">
        <v>653</v>
      </c>
      <c r="CF74" t="s">
        <v>654</v>
      </c>
      <c r="CG74" t="s">
        <v>655</v>
      </c>
      <c r="CH74" t="s">
        <v>656</v>
      </c>
      <c r="CI74" t="s">
        <v>657</v>
      </c>
      <c r="CJ74" t="s">
        <v>658</v>
      </c>
      <c r="CK74" t="s">
        <v>659</v>
      </c>
      <c r="CL74" t="s">
        <v>660</v>
      </c>
      <c r="CM74" t="s">
        <v>661</v>
      </c>
      <c r="CN74" t="s">
        <v>662</v>
      </c>
      <c r="CO74" t="s">
        <v>663</v>
      </c>
      <c r="CP74" t="s">
        <v>664</v>
      </c>
      <c r="CQ74" t="s">
        <v>665</v>
      </c>
      <c r="CR74" t="s">
        <v>666</v>
      </c>
      <c r="CS74" t="s">
        <v>667</v>
      </c>
      <c r="CT74" t="s">
        <v>668</v>
      </c>
      <c r="CU74" t="s">
        <v>669</v>
      </c>
      <c r="CV74" t="s">
        <v>670</v>
      </c>
      <c r="CW74" t="s">
        <v>671</v>
      </c>
      <c r="CX74" t="s">
        <v>672</v>
      </c>
      <c r="CY74" t="s">
        <v>673</v>
      </c>
      <c r="CZ74" t="s">
        <v>674</v>
      </c>
    </row>
    <row r="1048561" spans="132:133">
      <c r="EB1048561">
        <f>SUM(EB4:EB1048560)</f>
        <v>499</v>
      </c>
      <c r="EC1048561">
        <f>SUM(EC4:EC1048560)</f>
        <v>560</v>
      </c>
    </row>
  </sheetData>
  <mergeCells count="8">
    <mergeCell ref="BR1:CB1"/>
    <mergeCell ref="CC1:CP1"/>
    <mergeCell ref="CQ1:CZ1"/>
    <mergeCell ref="D1:S1"/>
    <mergeCell ref="T1:AE1"/>
    <mergeCell ref="AF1:AN1"/>
    <mergeCell ref="AO1:BA1"/>
    <mergeCell ref="BB1:BQ1"/>
  </mergeCells>
  <phoneticPr fontId="6" type="noConversion"/>
  <pageMargins left="0.75000000000000011" right="0.75000000000000011" top="1" bottom="1" header="0.5" footer="0.5"/>
  <pageSetup paperSize="8" orientation="landscape" horizontalDpi="4294967292" verticalDpi="4294967292"/>
  <tableParts count="1">
    <tablePart r:id="rId1"/>
  </tableParts>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enableFormatConditionsCalculation="0"/>
  <dimension ref="A1:P61"/>
  <sheetViews>
    <sheetView showGridLines="0" tabSelected="1" view="pageLayout" zoomScale="150" workbookViewId="0">
      <selection activeCell="K27" sqref="K27"/>
    </sheetView>
  </sheetViews>
  <sheetFormatPr baseColWidth="10" defaultColWidth="9.5" defaultRowHeight="11" customHeight="1" x14ac:dyDescent="0"/>
  <cols>
    <col min="1" max="1" width="2.33203125" style="111" customWidth="1"/>
    <col min="2" max="3" width="4.6640625" style="111" customWidth="1"/>
    <col min="4" max="4" width="9.5" style="111" customWidth="1"/>
    <col min="5" max="5" width="2.33203125" style="111" customWidth="1"/>
    <col min="6" max="7" width="4.6640625" style="111" customWidth="1"/>
    <col min="8" max="8" width="9.5" style="111" customWidth="1"/>
    <col min="9" max="9" width="2.33203125" style="111" customWidth="1"/>
    <col min="10" max="12" width="7.1640625" style="111" customWidth="1"/>
    <col min="13" max="13" width="2.33203125" style="111" customWidth="1"/>
    <col min="14" max="14" width="7.1640625" style="111" customWidth="1"/>
    <col min="15" max="15" width="2.33203125" style="111" customWidth="1"/>
    <col min="16" max="17" width="7.1640625" style="111" customWidth="1"/>
    <col min="18" max="16384" width="9.5" style="111"/>
  </cols>
  <sheetData>
    <row r="1" spans="1:16" s="104" customFormat="1" ht="21" customHeight="1">
      <c r="B1" s="104" t="s">
        <v>2</v>
      </c>
      <c r="D1" s="104" t="s">
        <v>330</v>
      </c>
    </row>
    <row r="2" spans="1:16" ht="6" customHeight="1" thickBot="1"/>
    <row r="3" spans="1:16" s="108" customFormat="1" ht="11" customHeight="1">
      <c r="A3" s="105"/>
      <c r="B3" s="106"/>
      <c r="C3" s="122" t="s">
        <v>4</v>
      </c>
      <c r="D3" s="107" t="s">
        <v>3</v>
      </c>
      <c r="E3" s="120"/>
      <c r="F3" s="120"/>
      <c r="G3" s="124"/>
      <c r="H3" s="124"/>
      <c r="I3" s="124"/>
      <c r="J3" s="124"/>
      <c r="K3" s="124"/>
      <c r="L3" s="124"/>
      <c r="M3" s="124"/>
      <c r="N3" s="125"/>
      <c r="O3" s="111"/>
      <c r="P3" s="111"/>
    </row>
    <row r="4" spans="1:16" s="108" customFormat="1" ht="11" customHeight="1" thickBot="1">
      <c r="A4" s="105"/>
      <c r="B4" s="109"/>
      <c r="C4" s="123" t="str">
        <f>INDEX(DonnéesDessin[Prénom],MATCH(NomDessin,DonnéesDessin[Clé],0))</f>
        <v>Attila</v>
      </c>
      <c r="D4" s="110" t="str">
        <f>INDEX(DonnéesDessin[Nom],MATCH(NomDessin,DonnéesDessin[Clé],0))</f>
        <v>Hollo</v>
      </c>
      <c r="E4" s="121"/>
      <c r="F4" s="121"/>
      <c r="G4" s="126"/>
      <c r="H4" s="126"/>
      <c r="I4" s="126"/>
      <c r="J4" s="126"/>
      <c r="K4" s="126"/>
      <c r="L4" s="126"/>
      <c r="M4" s="126"/>
      <c r="N4" s="127"/>
      <c r="O4" s="111"/>
      <c r="P4" s="111"/>
    </row>
    <row r="5" spans="1:16" s="108" customFormat="1" ht="11" customHeight="1" thickBot="1">
      <c r="A5" s="105"/>
      <c r="B5" s="105"/>
      <c r="C5" s="146"/>
      <c r="D5" s="105"/>
      <c r="E5" s="105"/>
      <c r="F5" s="105"/>
      <c r="G5" s="104"/>
      <c r="H5" s="104"/>
      <c r="I5" s="104"/>
      <c r="J5" s="104"/>
      <c r="K5" s="104"/>
      <c r="L5" s="104"/>
      <c r="M5" s="104"/>
      <c r="N5" s="104"/>
      <c r="O5" s="111"/>
      <c r="P5" s="111"/>
    </row>
    <row r="6" spans="1:16" ht="11" customHeight="1" thickBot="1">
      <c r="B6" s="195" t="s">
        <v>848</v>
      </c>
      <c r="C6" s="195"/>
      <c r="D6" s="195"/>
      <c r="F6" s="195" t="s">
        <v>849</v>
      </c>
      <c r="G6" s="195"/>
      <c r="H6" s="195"/>
      <c r="J6" s="196" t="s">
        <v>835</v>
      </c>
      <c r="K6" s="197"/>
      <c r="L6" s="197"/>
      <c r="M6" s="197"/>
      <c r="N6" s="198"/>
    </row>
    <row r="7" spans="1:16" ht="11" customHeight="1" thickBot="1">
      <c r="B7" s="195"/>
      <c r="C7" s="195"/>
      <c r="D7" s="195"/>
      <c r="F7" s="195"/>
      <c r="G7" s="195"/>
      <c r="H7" s="195"/>
      <c r="J7" s="199" t="s">
        <v>249</v>
      </c>
      <c r="K7" s="200"/>
      <c r="L7" s="118">
        <f>INDEX(DonnéesDessin[Session choisie BC AC19],MATCH(NomDessin,DonnéesDessin[Clé],0))</f>
        <v>42579</v>
      </c>
      <c r="M7" s="119" t="s">
        <v>477</v>
      </c>
      <c r="N7" s="147" t="str">
        <f>INDEX(DonnéesDessin[Heure],MATCH(NomDessin,DonnéesDessin[Clé],0))</f>
        <v>14h45</v>
      </c>
    </row>
    <row r="8" spans="1:16" ht="11" customHeight="1">
      <c r="B8" s="215" t="s">
        <v>613</v>
      </c>
      <c r="C8" s="112" t="s">
        <v>734</v>
      </c>
      <c r="D8" s="113" t="b">
        <f>INDEX(DonnéesBC[1],MATCH(NomBC,DonnéesBC[Clé2],0))</f>
        <v>0</v>
      </c>
      <c r="F8" s="215" t="s">
        <v>617</v>
      </c>
      <c r="G8" s="142" t="s">
        <v>784</v>
      </c>
      <c r="H8" s="143" t="str">
        <f>INDEX(DonnéesBC[51],MATCH(NomBC,DonnéesBC[Clé2],0))</f>
        <v>Je ne sais pas</v>
      </c>
      <c r="J8" s="199" t="s">
        <v>250</v>
      </c>
      <c r="K8" s="200"/>
      <c r="L8" s="212" t="str">
        <f>INDEX(DonnéesDessin[Présence BC AC19],MATCH(NomDessin,DonnéesDessin[Clé],0))</f>
        <v>Présent</v>
      </c>
      <c r="M8" s="213"/>
      <c r="N8" s="214"/>
    </row>
    <row r="9" spans="1:16" ht="11" customHeight="1" thickBot="1">
      <c r="B9" s="216"/>
      <c r="C9" s="114" t="s">
        <v>735</v>
      </c>
      <c r="D9" s="115" t="str">
        <f>INDEX(DonnéesBC[2],MATCH(NomBC,DonnéesBC[Clé2],0))</f>
        <v>Juste</v>
      </c>
      <c r="F9" s="216"/>
      <c r="G9" s="114" t="s">
        <v>785</v>
      </c>
      <c r="H9" s="115" t="str">
        <f>INDEX(DonnéesBC[52],MATCH(NomBC,DonnéesBC[Clé2],0))</f>
        <v>Juste</v>
      </c>
      <c r="J9" s="201" t="s">
        <v>475</v>
      </c>
      <c r="K9" s="202"/>
      <c r="L9" s="148" t="str">
        <f>INDEX(DonnéesDessin[Heure arrivée],MATCH(NomDessin,DonnéesDessin[Clé],0))</f>
        <v>14h45</v>
      </c>
      <c r="M9" s="149" t="s">
        <v>506</v>
      </c>
      <c r="N9" s="150" t="str">
        <f>INDEX(DonnéesDessin[Heure départ],MATCH(NomDessin,DonnéesDessin[Clé],0))</f>
        <v>16h10</v>
      </c>
    </row>
    <row r="10" spans="1:16" ht="11" customHeight="1">
      <c r="B10" s="216"/>
      <c r="C10" s="114" t="s">
        <v>736</v>
      </c>
      <c r="D10" s="115" t="str">
        <f>INDEX(DonnéesBC[3],MATCH(NomBC,DonnéesBC[Clé2],0))</f>
        <v>Juste</v>
      </c>
      <c r="F10" s="216"/>
      <c r="G10" s="114" t="s">
        <v>786</v>
      </c>
      <c r="H10" s="115" t="str">
        <f>INDEX(DonnéesBC[53],MATCH(NomBC,DonnéesBC[Clé2],0))</f>
        <v>Juste</v>
      </c>
      <c r="J10" s="162"/>
      <c r="K10" s="162"/>
      <c r="L10" s="163"/>
      <c r="M10" s="164"/>
      <c r="N10" s="163"/>
    </row>
    <row r="11" spans="1:16" ht="11" customHeight="1" thickBot="1">
      <c r="B11" s="216"/>
      <c r="C11" s="114" t="s">
        <v>737</v>
      </c>
      <c r="D11" s="115" t="str">
        <f>INDEX(DonnéesBC[4],MATCH(NomBC,DonnéesBC[Clé2],0))</f>
        <v>Juste</v>
      </c>
      <c r="F11" s="216"/>
      <c r="G11" s="114" t="s">
        <v>787</v>
      </c>
      <c r="H11" s="115" t="str">
        <f>INDEX(DonnéesBC[54],MATCH(NomBC,DonnéesBC[Clé2],0))</f>
        <v>Juste</v>
      </c>
    </row>
    <row r="12" spans="1:16" ht="11" customHeight="1">
      <c r="B12" s="216"/>
      <c r="C12" s="114" t="s">
        <v>738</v>
      </c>
      <c r="D12" s="115" t="str">
        <f>INDEX(DonnéesBC[5],MATCH(NomBC,DonnéesBC[Clé2],0))</f>
        <v>Juste</v>
      </c>
      <c r="F12" s="216"/>
      <c r="G12" s="140" t="s">
        <v>788</v>
      </c>
      <c r="H12" s="141" t="str">
        <f>INDEX(DonnéesBC[55],MATCH(NomBC,DonnéesBC[Clé2],0))</f>
        <v>Je ne sais pas</v>
      </c>
      <c r="J12" s="196" t="s">
        <v>836</v>
      </c>
      <c r="K12" s="197"/>
      <c r="L12" s="197"/>
      <c r="M12" s="197"/>
      <c r="N12" s="198"/>
    </row>
    <row r="13" spans="1:16" ht="11" customHeight="1">
      <c r="B13" s="216"/>
      <c r="C13" s="114" t="s">
        <v>739</v>
      </c>
      <c r="D13" s="115" t="str">
        <f>INDEX(DonnéesBC[6],MATCH(NomBC,DonnéesBC[Clé2],0))</f>
        <v>Juste</v>
      </c>
      <c r="F13" s="216"/>
      <c r="G13" s="114" t="s">
        <v>789</v>
      </c>
      <c r="H13" s="115" t="str">
        <f>INDEX(DonnéesBC[56],MATCH(NomBC,DonnéesBC[Clé2],0))</f>
        <v>Je ne sais pas</v>
      </c>
      <c r="J13" s="199" t="s">
        <v>505</v>
      </c>
      <c r="K13" s="200"/>
      <c r="L13" s="167">
        <f>INDEX(DonnéesDessin[Résultat Niveau 1],MATCH(NomDessin,DonnéesDessin[Clé],0))</f>
        <v>66</v>
      </c>
      <c r="M13" s="168" t="s">
        <v>864</v>
      </c>
      <c r="N13" s="169"/>
    </row>
    <row r="14" spans="1:16" ht="11" customHeight="1">
      <c r="B14" s="216"/>
      <c r="C14" s="114" t="s">
        <v>740</v>
      </c>
      <c r="D14" s="115" t="str">
        <f>INDEX(DonnéesBC[7],MATCH(NomBC,DonnéesBC[Clé2],0))</f>
        <v>Juste</v>
      </c>
      <c r="F14" s="216"/>
      <c r="G14" s="114" t="s">
        <v>790</v>
      </c>
      <c r="H14" s="115" t="b">
        <f>INDEX(DonnéesBC[57],MATCH(NomBC,DonnéesBC[Clé2],0))</f>
        <v>0</v>
      </c>
      <c r="J14" s="199" t="s">
        <v>851</v>
      </c>
      <c r="K14" s="200"/>
      <c r="L14" s="167">
        <f>INDEX(DonnéesDessin[Résultat Avancé],MATCH(NomDessin,DonnéesDessin[Clé],0))</f>
        <v>45</v>
      </c>
      <c r="M14" s="168" t="s">
        <v>864</v>
      </c>
      <c r="N14" s="169"/>
    </row>
    <row r="15" spans="1:16" ht="11" customHeight="1">
      <c r="B15" s="216"/>
      <c r="C15" s="140" t="s">
        <v>741</v>
      </c>
      <c r="D15" s="141" t="b">
        <f>INDEX(DonnéesBC[8],MATCH(NomBC,DonnéesBC[Clé2],0))</f>
        <v>0</v>
      </c>
      <c r="F15" s="216"/>
      <c r="G15" s="114" t="s">
        <v>791</v>
      </c>
      <c r="H15" s="115" t="str">
        <f>INDEX(DonnéesBC[58],MATCH(NomBC,DonnéesBC[Clé2],0))</f>
        <v>Juste</v>
      </c>
      <c r="J15" s="199" t="s">
        <v>476</v>
      </c>
      <c r="K15" s="200"/>
      <c r="L15" s="170">
        <f>INDEX(DonnéesDessin[Total points],MATCH(NomDessin,DonnéesDessin[Clé],0))</f>
        <v>111</v>
      </c>
      <c r="M15" s="153" t="s">
        <v>865</v>
      </c>
      <c r="N15" s="154"/>
    </row>
    <row r="16" spans="1:16" ht="11" customHeight="1">
      <c r="B16" s="216"/>
      <c r="C16" s="140" t="s">
        <v>742</v>
      </c>
      <c r="D16" s="141" t="b">
        <f>INDEX(DonnéesBC[9],MATCH(NomBC,DonnéesBC[Clé2],0))</f>
        <v>0</v>
      </c>
      <c r="F16" s="216"/>
      <c r="G16" s="140" t="s">
        <v>792</v>
      </c>
      <c r="H16" s="141" t="str">
        <f>INDEX(DonnéesBC[59],MATCH(NomBC,DonnéesBC[Clé2],0))</f>
        <v>Juste</v>
      </c>
      <c r="J16" s="199" t="s">
        <v>463</v>
      </c>
      <c r="K16" s="200"/>
      <c r="L16" s="171">
        <f>INDEX(DonnéesDessin[Durée BC AC19 (en min)],MATCH(NomDessin,DonnéesDessin[Clé],0))</f>
        <v>85</v>
      </c>
      <c r="M16" s="172"/>
      <c r="N16" s="173"/>
    </row>
    <row r="17" spans="2:14" ht="11" customHeight="1" thickBot="1">
      <c r="B17" s="216"/>
      <c r="C17" s="114" t="s">
        <v>743</v>
      </c>
      <c r="D17" s="115" t="str">
        <f>INDEX(DonnéesBC[10],MATCH(NomBC,DonnéesBC[Clé2],0))</f>
        <v>Juste</v>
      </c>
      <c r="F17" s="216"/>
      <c r="G17" s="114" t="s">
        <v>793</v>
      </c>
      <c r="H17" s="115" t="str">
        <f>INDEX(DonnéesBC[60],MATCH(NomBC,DonnéesBC[Clé2],0))</f>
        <v>Je ne sais pas</v>
      </c>
      <c r="J17" s="201" t="s">
        <v>474</v>
      </c>
      <c r="K17" s="202"/>
      <c r="L17" s="209">
        <f>INDEX(DonnéesDessin[P/M],MATCH(NomDessin,DonnéesDessin[Clé],0))</f>
        <v>1.3058823529411765</v>
      </c>
      <c r="M17" s="210"/>
      <c r="N17" s="211"/>
    </row>
    <row r="18" spans="2:14" ht="11" customHeight="1">
      <c r="B18" s="216"/>
      <c r="C18" s="114" t="s">
        <v>744</v>
      </c>
      <c r="D18" s="115" t="str">
        <f>INDEX(DonnéesBC[11],MATCH(NomBC,DonnéesBC[Clé2],0))</f>
        <v>Juste</v>
      </c>
      <c r="F18" s="216"/>
      <c r="G18" s="114" t="s">
        <v>794</v>
      </c>
      <c r="H18" s="115" t="str">
        <f>INDEX(DonnéesBC[61],MATCH(NomBC,DonnéesBC[Clé2],0))</f>
        <v>Juste</v>
      </c>
      <c r="J18" s="162"/>
      <c r="K18" s="162"/>
      <c r="L18" s="165"/>
      <c r="M18" s="165"/>
      <c r="N18" s="165"/>
    </row>
    <row r="19" spans="2:14" ht="11" customHeight="1" thickBot="1">
      <c r="B19" s="216"/>
      <c r="C19" s="114" t="s">
        <v>745</v>
      </c>
      <c r="D19" s="115" t="str">
        <f>INDEX(DonnéesBC[12],MATCH(NomBC,DonnéesBC[Clé2],0))</f>
        <v>Juste</v>
      </c>
      <c r="F19" s="216"/>
      <c r="G19" s="114" t="s">
        <v>795</v>
      </c>
      <c r="H19" s="115" t="b">
        <f>INDEX(DonnéesBC[62],MATCH(NomBC,DonnéesBC[Clé2],0))</f>
        <v>0</v>
      </c>
    </row>
    <row r="20" spans="2:14" ht="11" customHeight="1">
      <c r="B20" s="216"/>
      <c r="C20" s="114" t="s">
        <v>746</v>
      </c>
      <c r="D20" s="115" t="str">
        <f>INDEX(DonnéesBC[13],MATCH(NomBC,DonnéesBC[Clé2],0))</f>
        <v>Je ne sais pas</v>
      </c>
      <c r="F20" s="216"/>
      <c r="G20" s="114" t="s">
        <v>796</v>
      </c>
      <c r="H20" s="115" t="b">
        <f>INDEX(DonnéesBC[63],MATCH(NomBC,DonnéesBC[Clé2],0))</f>
        <v>0</v>
      </c>
      <c r="J20" s="196" t="s">
        <v>841</v>
      </c>
      <c r="K20" s="197"/>
      <c r="L20" s="197"/>
      <c r="M20" s="197"/>
      <c r="N20" s="198"/>
    </row>
    <row r="21" spans="2:14" ht="11" customHeight="1">
      <c r="B21" s="216"/>
      <c r="C21" s="140" t="s">
        <v>747</v>
      </c>
      <c r="D21" s="141" t="str">
        <f>INDEX(DonnéesBC[14],MATCH(NomBC,DonnéesBC[Clé2],0))</f>
        <v>Je ne sais pas</v>
      </c>
      <c r="F21" s="216"/>
      <c r="G21" s="140" t="s">
        <v>797</v>
      </c>
      <c r="H21" s="141" t="str">
        <f>INDEX(DonnéesBC[64],MATCH(NomBC,DonnéesBC[Clé2],0))</f>
        <v>Je ne sais pas</v>
      </c>
      <c r="J21" s="199" t="s">
        <v>837</v>
      </c>
      <c r="K21" s="200"/>
      <c r="L21" s="206">
        <v>101</v>
      </c>
      <c r="M21" s="207"/>
      <c r="N21" s="208"/>
    </row>
    <row r="22" spans="2:14" ht="11" customHeight="1">
      <c r="B22" s="216"/>
      <c r="C22" s="114" t="s">
        <v>748</v>
      </c>
      <c r="D22" s="115" t="str">
        <f>INDEX(DonnéesBC[15],MATCH(NomBC,DonnéesBC[Clé2],0))</f>
        <v>Juste</v>
      </c>
      <c r="F22" s="216"/>
      <c r="G22" s="140" t="s">
        <v>798</v>
      </c>
      <c r="H22" s="141" t="str">
        <f>INDEX(DonnéesBC[65],MATCH(NomBC,DonnéesBC[Clé2],0))</f>
        <v>Je ne sais pas</v>
      </c>
      <c r="J22" s="199" t="s">
        <v>838</v>
      </c>
      <c r="K22" s="200"/>
      <c r="L22" s="206">
        <f>INDEX(DonnéesBC[L],MATCH(NomBC,DonnéesBC[Clé2],0))</f>
        <v>56</v>
      </c>
      <c r="M22" s="207"/>
      <c r="N22" s="208"/>
    </row>
    <row r="23" spans="2:14" ht="11" customHeight="1" thickBot="1">
      <c r="B23" s="217"/>
      <c r="C23" s="116" t="s">
        <v>749</v>
      </c>
      <c r="D23" s="117" t="b">
        <f>INDEX(DonnéesBC[16],MATCH(NomBC,DonnéesBC[Clé2],0))</f>
        <v>0</v>
      </c>
      <c r="F23" s="217"/>
      <c r="G23" s="144" t="s">
        <v>799</v>
      </c>
      <c r="H23" s="145" t="str">
        <f>INDEX(DonnéesBC[66],MATCH(NomBC,DonnéesBC[Clé2],0))</f>
        <v>Je ne sais pas</v>
      </c>
      <c r="J23" s="199" t="s">
        <v>839</v>
      </c>
      <c r="K23" s="200"/>
      <c r="L23" s="206">
        <f>INDEX(DonnéesBC[J],MATCH(NomBC,DonnéesBC[Clé2],0))</f>
        <v>11</v>
      </c>
      <c r="M23" s="207"/>
      <c r="N23" s="208"/>
    </row>
    <row r="24" spans="2:14" ht="11" customHeight="1" thickBot="1">
      <c r="B24" s="159"/>
      <c r="C24" s="104"/>
      <c r="D24" s="152"/>
      <c r="F24" s="159"/>
      <c r="G24" s="104"/>
      <c r="H24" s="159"/>
      <c r="J24" s="201" t="s">
        <v>840</v>
      </c>
      <c r="K24" s="202"/>
      <c r="L24" s="203">
        <f>INDEX(DonnéesBC[K],MATCH(NomBC,DonnéesBC[Clé2],0))</f>
        <v>34</v>
      </c>
      <c r="M24" s="204"/>
      <c r="N24" s="205"/>
    </row>
    <row r="25" spans="2:14" ht="11" customHeight="1">
      <c r="B25" s="215" t="s">
        <v>614</v>
      </c>
      <c r="C25" s="112" t="s">
        <v>750</v>
      </c>
      <c r="D25" s="113" t="str">
        <f>INDEX(DonnéesBC[17],MATCH(NomBC,DonnéesBC[Clé2],0))</f>
        <v>Juste</v>
      </c>
      <c r="F25" s="215" t="s">
        <v>618</v>
      </c>
      <c r="G25" s="112" t="s">
        <v>800</v>
      </c>
      <c r="H25" s="113" t="str">
        <f>INDEX(DonnéesBC[67],MATCH(NomBC,DonnéesBC[Clé2],0))</f>
        <v>Juste</v>
      </c>
      <c r="J25" s="162"/>
      <c r="K25" s="162"/>
      <c r="L25" s="166"/>
      <c r="M25" s="166"/>
      <c r="N25" s="166"/>
    </row>
    <row r="26" spans="2:14" ht="11" customHeight="1">
      <c r="B26" s="216"/>
      <c r="C26" s="140" t="s">
        <v>751</v>
      </c>
      <c r="D26" s="141" t="str">
        <f>INDEX(DonnéesBC[18],MATCH(NomBC,DonnéesBC[Clé2],0))</f>
        <v>Juste</v>
      </c>
      <c r="F26" s="216"/>
      <c r="G26" s="114" t="s">
        <v>801</v>
      </c>
      <c r="H26" s="115" t="str">
        <f>INDEX(DonnéesBC[68],MATCH(NomBC,DonnéesBC[Clé2],0))</f>
        <v>Juste</v>
      </c>
    </row>
    <row r="27" spans="2:14" ht="11" customHeight="1">
      <c r="B27" s="216"/>
      <c r="C27" s="114" t="s">
        <v>752</v>
      </c>
      <c r="D27" s="115" t="str">
        <f>INDEX(DonnéesBC[19],MATCH(NomBC,DonnéesBC[Clé2],0))</f>
        <v>Juste</v>
      </c>
      <c r="F27" s="216"/>
      <c r="G27" s="114" t="s">
        <v>802</v>
      </c>
      <c r="H27" s="115" t="str">
        <f>INDEX(DonnéesBC[69],MATCH(NomBC,DonnéesBC[Clé2],0))</f>
        <v>Juste</v>
      </c>
    </row>
    <row r="28" spans="2:14" ht="11" customHeight="1">
      <c r="B28" s="216"/>
      <c r="C28" s="140" t="s">
        <v>753</v>
      </c>
      <c r="D28" s="141" t="str">
        <f>INDEX(DonnéesBC[20],MATCH(NomBC,DonnéesBC[Clé2],0))</f>
        <v>Juste</v>
      </c>
      <c r="F28" s="216"/>
      <c r="G28" s="114" t="s">
        <v>803</v>
      </c>
      <c r="H28" s="115" t="str">
        <f>INDEX(DonnéesBC[70],MATCH(NomBC,DonnéesBC[Clé2],0))</f>
        <v>Je ne sais pas</v>
      </c>
    </row>
    <row r="29" spans="2:14" ht="11" customHeight="1">
      <c r="B29" s="216"/>
      <c r="C29" s="140" t="s">
        <v>754</v>
      </c>
      <c r="D29" s="141" t="str">
        <f>INDEX(DonnéesBC[21],MATCH(NomBC,DonnéesBC[Clé2],0))</f>
        <v>Juste</v>
      </c>
      <c r="F29" s="216"/>
      <c r="G29" s="114" t="s">
        <v>804</v>
      </c>
      <c r="H29" s="115" t="str">
        <f>INDEX(DonnéesBC[71],MATCH(NomBC,DonnéesBC[Clé2],0))</f>
        <v>Juste</v>
      </c>
    </row>
    <row r="30" spans="2:14" ht="11" customHeight="1">
      <c r="B30" s="216"/>
      <c r="C30" s="114" t="s">
        <v>755</v>
      </c>
      <c r="D30" s="115" t="str">
        <f>INDEX(DonnéesBC[22],MATCH(NomBC,DonnéesBC[Clé2],0))</f>
        <v>Juste</v>
      </c>
      <c r="F30" s="216"/>
      <c r="G30" s="114" t="s">
        <v>805</v>
      </c>
      <c r="H30" s="115" t="str">
        <f>INDEX(DonnéesBC[72],MATCH(NomBC,DonnéesBC[Clé2],0))</f>
        <v>Je ne sais pas</v>
      </c>
    </row>
    <row r="31" spans="2:14" ht="11" customHeight="1">
      <c r="B31" s="216"/>
      <c r="C31" s="140" t="s">
        <v>756</v>
      </c>
      <c r="D31" s="141" t="str">
        <f>INDEX(DonnéesBC[23],MATCH(NomBC,DonnéesBC[Clé2],0))</f>
        <v>Juste</v>
      </c>
      <c r="F31" s="216"/>
      <c r="G31" s="114" t="s">
        <v>806</v>
      </c>
      <c r="H31" s="115" t="str">
        <f>INDEX(DonnéesBC[73],MATCH(NomBC,DonnéesBC[Clé2],0))</f>
        <v>Juste</v>
      </c>
    </row>
    <row r="32" spans="2:14" ht="11" customHeight="1" thickBot="1">
      <c r="B32" s="216"/>
      <c r="C32" s="140" t="s">
        <v>757</v>
      </c>
      <c r="D32" s="141" t="str">
        <f>INDEX(DonnéesBC[24],MATCH(NomBC,DonnéesBC[Clé2],0))</f>
        <v>Juste</v>
      </c>
      <c r="F32" s="216"/>
      <c r="G32" s="114" t="s">
        <v>807</v>
      </c>
      <c r="H32" s="115" t="str">
        <f>INDEX(DonnéesBC[74],MATCH(NomBC,DonnéesBC[Clé2],0))</f>
        <v>Juste</v>
      </c>
    </row>
    <row r="33" spans="1:14" ht="11" customHeight="1" thickBot="1">
      <c r="B33" s="216"/>
      <c r="C33" s="114" t="s">
        <v>758</v>
      </c>
      <c r="D33" s="115" t="b">
        <f>INDEX(DonnéesBC[25],MATCH(NomBC,DonnéesBC[Clé2],0))</f>
        <v>0</v>
      </c>
      <c r="F33" s="216"/>
      <c r="G33" s="140" t="s">
        <v>808</v>
      </c>
      <c r="H33" s="141" t="str">
        <f>INDEX(DonnéesBC[75],MATCH(NomBC,DonnéesBC[Clé2],0))</f>
        <v>Juste</v>
      </c>
      <c r="J33" s="180" t="s">
        <v>850</v>
      </c>
      <c r="K33" s="181"/>
      <c r="L33" s="181"/>
      <c r="M33" s="181"/>
      <c r="N33" s="182"/>
    </row>
    <row r="34" spans="1:14" ht="11" customHeight="1">
      <c r="B34" s="216"/>
      <c r="C34" s="114" t="s">
        <v>759</v>
      </c>
      <c r="D34" s="115" t="b">
        <f>INDEX(DonnéesBC[26],MATCH(NomBC,DonnéesBC[Clé2],0))</f>
        <v>0</v>
      </c>
      <c r="F34" s="216"/>
      <c r="G34" s="140" t="s">
        <v>809</v>
      </c>
      <c r="H34" s="141" t="str">
        <f>INDEX(DonnéesBC[76],MATCH(NomBC,DonnéesBC[Clé2],0))</f>
        <v>Juste</v>
      </c>
      <c r="J34" s="177" t="s">
        <v>505</v>
      </c>
      <c r="K34" s="160" t="s">
        <v>856</v>
      </c>
      <c r="L34" s="160"/>
      <c r="M34" s="160"/>
      <c r="N34" s="161"/>
    </row>
    <row r="35" spans="1:14" ht="11" customHeight="1" thickBot="1">
      <c r="B35" s="216"/>
      <c r="C35" s="114" t="s">
        <v>760</v>
      </c>
      <c r="D35" s="115" t="str">
        <f>INDEX(DonnéesBC[27],MATCH(NomBC,DonnéesBC[Clé2],0))</f>
        <v>Juste</v>
      </c>
      <c r="F35" s="217"/>
      <c r="G35" s="144" t="s">
        <v>810</v>
      </c>
      <c r="H35" s="145" t="str">
        <f>INDEX(DonnéesBC[77],MATCH(NomBC,DonnéesBC[Clé2],0))</f>
        <v>Je ne sais pas</v>
      </c>
      <c r="J35" s="178"/>
      <c r="K35" s="155" t="s">
        <v>857</v>
      </c>
      <c r="L35" s="155"/>
      <c r="M35" s="155"/>
      <c r="N35" s="156"/>
    </row>
    <row r="36" spans="1:14" ht="11" customHeight="1" thickBot="1">
      <c r="B36" s="217"/>
      <c r="C36" s="116" t="s">
        <v>761</v>
      </c>
      <c r="D36" s="117" t="str">
        <f>INDEX(DonnéesBC[28],MATCH(NomBC,DonnéesBC[Clé2],0))</f>
        <v>Je ne sais pas</v>
      </c>
      <c r="E36" s="151"/>
      <c r="F36" s="104"/>
      <c r="G36" s="104"/>
      <c r="H36" s="104"/>
      <c r="I36" s="104"/>
      <c r="J36" s="179"/>
      <c r="K36" s="157" t="s">
        <v>858</v>
      </c>
      <c r="L36" s="157"/>
      <c r="M36" s="157"/>
      <c r="N36" s="158"/>
    </row>
    <row r="37" spans="1:14" ht="11" customHeight="1" thickBot="1">
      <c r="A37" s="104"/>
      <c r="B37" s="104"/>
      <c r="C37" s="104"/>
      <c r="D37" s="152"/>
      <c r="F37" s="215" t="s">
        <v>619</v>
      </c>
      <c r="G37" s="142" t="s">
        <v>811</v>
      </c>
      <c r="H37" s="143" t="str">
        <f>INDEX(DonnéesBC[78],MATCH(NomBC,DonnéesBC[Clé2],0))</f>
        <v>Je ne sais pas</v>
      </c>
      <c r="J37" s="104"/>
      <c r="K37" s="104"/>
      <c r="L37" s="104"/>
      <c r="M37" s="104"/>
      <c r="N37" s="104"/>
    </row>
    <row r="38" spans="1:14" ht="11" customHeight="1">
      <c r="B38" s="215" t="s">
        <v>615</v>
      </c>
      <c r="C38" s="112" t="s">
        <v>762</v>
      </c>
      <c r="D38" s="113" t="str">
        <f>INDEX(DonnéesBC[29],MATCH(NomBC,DonnéesBC[Clé2],0))</f>
        <v>Juste</v>
      </c>
      <c r="F38" s="216"/>
      <c r="G38" s="114" t="s">
        <v>812</v>
      </c>
      <c r="H38" s="115" t="str">
        <f>INDEX(DonnéesBC[79],MATCH(NomBC,DonnéesBC[Clé2],0))</f>
        <v>Juste</v>
      </c>
      <c r="J38" s="177" t="s">
        <v>851</v>
      </c>
      <c r="K38" s="160" t="s">
        <v>856</v>
      </c>
      <c r="L38" s="160"/>
      <c r="M38" s="160"/>
      <c r="N38" s="161"/>
    </row>
    <row r="39" spans="1:14" ht="11" customHeight="1">
      <c r="B39" s="216"/>
      <c r="C39" s="140" t="s">
        <v>763</v>
      </c>
      <c r="D39" s="141" t="str">
        <f>INDEX(DonnéesBC[30],MATCH(NomBC,DonnéesBC[Clé2],0))</f>
        <v>Je ne sais pas</v>
      </c>
      <c r="F39" s="216"/>
      <c r="G39" s="114" t="s">
        <v>813</v>
      </c>
      <c r="H39" s="115" t="str">
        <f>INDEX(DonnéesBC[80],MATCH(NomBC,DonnéesBC[Clé2],0))</f>
        <v>Juste</v>
      </c>
      <c r="J39" s="178"/>
      <c r="K39" s="155" t="s">
        <v>857</v>
      </c>
      <c r="L39" s="155"/>
      <c r="M39" s="155"/>
      <c r="N39" s="156"/>
    </row>
    <row r="40" spans="1:14" ht="11" customHeight="1" thickBot="1">
      <c r="B40" s="216"/>
      <c r="C40" s="114" t="s">
        <v>764</v>
      </c>
      <c r="D40" s="115" t="str">
        <f>INDEX(DonnéesBC[31],MATCH(NomBC,DonnéesBC[Clé2],0))</f>
        <v>Juste</v>
      </c>
      <c r="F40" s="216"/>
      <c r="G40" s="114" t="s">
        <v>814</v>
      </c>
      <c r="H40" s="115" t="str">
        <f>INDEX(DonnéesBC[81],MATCH(NomBC,DonnéesBC[Clé2],0))</f>
        <v>Juste</v>
      </c>
      <c r="J40" s="179"/>
      <c r="K40" s="157" t="s">
        <v>858</v>
      </c>
      <c r="L40" s="157"/>
      <c r="M40" s="157"/>
      <c r="N40" s="158"/>
    </row>
    <row r="41" spans="1:14" ht="11" customHeight="1" thickBot="1">
      <c r="B41" s="216"/>
      <c r="C41" s="114" t="s">
        <v>765</v>
      </c>
      <c r="D41" s="115" t="str">
        <f>INDEX(DonnéesBC[32],MATCH(NomBC,DonnéesBC[Clé2],0))</f>
        <v>Je ne sais pas</v>
      </c>
      <c r="F41" s="216"/>
      <c r="G41" s="114" t="s">
        <v>815</v>
      </c>
      <c r="H41" s="115" t="str">
        <f>INDEX(DonnéesBC[82],MATCH(NomBC,DonnéesBC[Clé2],0))</f>
        <v>Juste</v>
      </c>
      <c r="J41" s="104"/>
      <c r="K41" s="104"/>
      <c r="L41" s="104"/>
      <c r="M41" s="104"/>
      <c r="N41" s="104"/>
    </row>
    <row r="42" spans="1:14" ht="11" customHeight="1">
      <c r="B42" s="216"/>
      <c r="C42" s="114" t="s">
        <v>766</v>
      </c>
      <c r="D42" s="115" t="str">
        <f>INDEX(DonnéesBC[33],MATCH(NomBC,DonnéesBC[Clé2],0))</f>
        <v>Juste</v>
      </c>
      <c r="F42" s="216"/>
      <c r="G42" s="114" t="s">
        <v>816</v>
      </c>
      <c r="H42" s="115" t="str">
        <f>INDEX(DonnéesBC[83],MATCH(NomBC,DonnéesBC[Clé2],0))</f>
        <v>Je ne sais pas</v>
      </c>
      <c r="J42" s="177" t="s">
        <v>852</v>
      </c>
      <c r="K42" s="160" t="s">
        <v>859</v>
      </c>
      <c r="L42" s="160"/>
      <c r="M42" s="160"/>
      <c r="N42" s="161"/>
    </row>
    <row r="43" spans="1:14" ht="11" customHeight="1">
      <c r="B43" s="216"/>
      <c r="C43" s="140" t="s">
        <v>767</v>
      </c>
      <c r="D43" s="141" t="str">
        <f>INDEX(DonnéesBC[34],MATCH(NomBC,DonnéesBC[Clé2],0))</f>
        <v>Juste</v>
      </c>
      <c r="F43" s="216"/>
      <c r="G43" s="114" t="s">
        <v>817</v>
      </c>
      <c r="H43" s="115" t="str">
        <f>INDEX(DonnéesBC[84],MATCH(NomBC,DonnéesBC[Clé2],0))</f>
        <v>Je ne sais pas</v>
      </c>
      <c r="J43" s="178"/>
      <c r="K43" s="155" t="s">
        <v>860</v>
      </c>
      <c r="L43" s="155"/>
      <c r="M43" s="155"/>
      <c r="N43" s="156"/>
    </row>
    <row r="44" spans="1:14" ht="11" customHeight="1" thickBot="1">
      <c r="B44" s="216"/>
      <c r="C44" s="114" t="s">
        <v>768</v>
      </c>
      <c r="D44" s="115" t="str">
        <f>INDEX(DonnéesBC[35],MATCH(NomBC,DonnéesBC[Clé2],0))</f>
        <v>Juste</v>
      </c>
      <c r="F44" s="216"/>
      <c r="G44" s="114" t="s">
        <v>818</v>
      </c>
      <c r="H44" s="115" t="str">
        <f>INDEX(DonnéesBC[85],MATCH(NomBC,DonnéesBC[Clé2],0))</f>
        <v>Je ne sais pas</v>
      </c>
      <c r="J44" s="179"/>
      <c r="K44" s="157" t="s">
        <v>861</v>
      </c>
      <c r="L44" s="157"/>
      <c r="M44" s="157"/>
      <c r="N44" s="158"/>
    </row>
    <row r="45" spans="1:14" ht="11" customHeight="1" thickBot="1">
      <c r="B45" s="216"/>
      <c r="C45" s="114" t="s">
        <v>769</v>
      </c>
      <c r="D45" s="115" t="str">
        <f>INDEX(DonnéesBC[36],MATCH(NomBC,DonnéesBC[Clé2],0))</f>
        <v>Juste</v>
      </c>
      <c r="F45" s="216"/>
      <c r="G45" s="114" t="s">
        <v>819</v>
      </c>
      <c r="H45" s="115" t="str">
        <f>INDEX(DonnéesBC[86],MATCH(NomBC,DonnéesBC[Clé2],0))</f>
        <v>Je ne sais pas</v>
      </c>
      <c r="J45" s="104"/>
      <c r="K45" s="104"/>
      <c r="L45" s="104"/>
      <c r="M45" s="104"/>
      <c r="N45" s="104"/>
    </row>
    <row r="46" spans="1:14" ht="11" customHeight="1" thickBot="1">
      <c r="B46" s="217"/>
      <c r="C46" s="116" t="s">
        <v>770</v>
      </c>
      <c r="D46" s="117" t="str">
        <f>INDEX(DonnéesBC[37],MATCH(NomBC,DonnéesBC[Clé2],0))</f>
        <v>Juste</v>
      </c>
      <c r="F46" s="216"/>
      <c r="G46" s="140" t="s">
        <v>820</v>
      </c>
      <c r="H46" s="141" t="str">
        <f>INDEX(DonnéesBC[87],MATCH(NomBC,DonnéesBC[Clé2],0))</f>
        <v>Je ne sais pas</v>
      </c>
      <c r="J46" s="177" t="s">
        <v>853</v>
      </c>
      <c r="K46" s="160" t="s">
        <v>854</v>
      </c>
      <c r="L46" s="160"/>
      <c r="M46" s="160"/>
      <c r="N46" s="161"/>
    </row>
    <row r="47" spans="1:14" ht="11" customHeight="1" thickBot="1">
      <c r="B47" s="159"/>
      <c r="C47" s="104"/>
      <c r="D47" s="159"/>
      <c r="F47" s="216"/>
      <c r="G47" s="114" t="s">
        <v>821</v>
      </c>
      <c r="H47" s="115" t="str">
        <f>INDEX(DonnéesBC[88],MATCH(NomBC,DonnéesBC[Clé2],0))</f>
        <v>Je ne sais pas</v>
      </c>
      <c r="J47" s="178"/>
      <c r="K47" s="155" t="s">
        <v>855</v>
      </c>
      <c r="L47" s="155"/>
      <c r="M47" s="155"/>
      <c r="N47" s="156"/>
    </row>
    <row r="48" spans="1:14" ht="11" customHeight="1" thickBot="1">
      <c r="B48" s="215" t="s">
        <v>616</v>
      </c>
      <c r="C48" s="142" t="s">
        <v>771</v>
      </c>
      <c r="D48" s="143" t="str">
        <f>INDEX(DonnéesBC[38],MATCH(NomBC,DonnéesBC[Clé2],0))</f>
        <v>Je ne sais pas</v>
      </c>
      <c r="F48" s="216"/>
      <c r="G48" s="140" t="s">
        <v>822</v>
      </c>
      <c r="H48" s="141" t="str">
        <f>INDEX(DonnéesBC[89],MATCH(NomBC,DonnéesBC[Clé2],0))</f>
        <v>Juste</v>
      </c>
      <c r="J48" s="179"/>
      <c r="K48" s="157" t="s">
        <v>866</v>
      </c>
      <c r="L48" s="157"/>
      <c r="M48" s="157"/>
      <c r="N48" s="158"/>
    </row>
    <row r="49" spans="2:14" ht="11" customHeight="1">
      <c r="B49" s="216"/>
      <c r="C49" s="114" t="s">
        <v>772</v>
      </c>
      <c r="D49" s="115" t="str">
        <f>INDEX(DonnéesBC[39],MATCH(NomBC,DonnéesBC[Clé2],0))</f>
        <v>Juste</v>
      </c>
      <c r="F49" s="216"/>
      <c r="G49" s="114" t="s">
        <v>823</v>
      </c>
      <c r="H49" s="115" t="str">
        <f>INDEX(DonnéesBC[90],MATCH(NomBC,DonnéesBC[Clé2],0))</f>
        <v>Je ne sais pas</v>
      </c>
    </row>
    <row r="50" spans="2:14" ht="11" customHeight="1" thickBot="1">
      <c r="B50" s="216"/>
      <c r="C50" s="114" t="s">
        <v>773</v>
      </c>
      <c r="D50" s="115" t="str">
        <f>INDEX(DonnéesBC[40],MATCH(NomBC,DonnéesBC[Clé2],0))</f>
        <v>Juste</v>
      </c>
      <c r="F50" s="217"/>
      <c r="G50" s="116" t="s">
        <v>824</v>
      </c>
      <c r="H50" s="117" t="str">
        <f>INDEX(DonnéesBC[91],MATCH(NomBC,DonnéesBC[Clé2],0))</f>
        <v>Je ne sais pas</v>
      </c>
    </row>
    <row r="51" spans="2:14" ht="11" customHeight="1" thickBot="1">
      <c r="B51" s="216"/>
      <c r="C51" s="114" t="s">
        <v>774</v>
      </c>
      <c r="D51" s="115" t="str">
        <f>INDEX(DonnéesBC[41],MATCH(NomBC,DonnéesBC[Clé2],0))</f>
        <v>Je ne sais pas</v>
      </c>
      <c r="F51" s="159"/>
      <c r="G51" s="104"/>
      <c r="H51" s="159"/>
      <c r="J51" s="183" t="s">
        <v>862</v>
      </c>
      <c r="K51" s="184"/>
      <c r="L51" s="184"/>
      <c r="M51" s="184"/>
      <c r="N51" s="185"/>
    </row>
    <row r="52" spans="2:14" ht="11" customHeight="1">
      <c r="B52" s="216"/>
      <c r="C52" s="114" t="s">
        <v>775</v>
      </c>
      <c r="D52" s="115" t="str">
        <f>INDEX(DonnéesBC[42],MATCH(NomBC,DonnéesBC[Clé2],0))</f>
        <v>Je ne sais pas</v>
      </c>
      <c r="F52" s="215" t="s">
        <v>620</v>
      </c>
      <c r="G52" s="112" t="s">
        <v>825</v>
      </c>
      <c r="H52" s="113" t="str">
        <f>INDEX(DonnéesBC[92],MATCH(NomBC,DonnéesBC[Clé2],0))</f>
        <v>Juste</v>
      </c>
      <c r="J52" s="186" t="s">
        <v>863</v>
      </c>
      <c r="K52" s="187"/>
      <c r="L52" s="187"/>
      <c r="M52" s="187"/>
      <c r="N52" s="188"/>
    </row>
    <row r="53" spans="2:14" ht="11" customHeight="1">
      <c r="B53" s="216"/>
      <c r="C53" s="114" t="s">
        <v>776</v>
      </c>
      <c r="D53" s="115" t="str">
        <f>INDEX(DonnéesBC[43],MATCH(NomBC,DonnéesBC[Clé2],0))</f>
        <v>Juste</v>
      </c>
      <c r="F53" s="216"/>
      <c r="G53" s="114" t="s">
        <v>826</v>
      </c>
      <c r="H53" s="115" t="str">
        <f>INDEX(DonnéesBC[93],MATCH(NomBC,DonnéesBC[Clé2],0))</f>
        <v>Juste</v>
      </c>
      <c r="J53" s="189"/>
      <c r="K53" s="190"/>
      <c r="L53" s="190"/>
      <c r="M53" s="190"/>
      <c r="N53" s="191"/>
    </row>
    <row r="54" spans="2:14" ht="11" customHeight="1">
      <c r="B54" s="216"/>
      <c r="C54" s="114" t="s">
        <v>777</v>
      </c>
      <c r="D54" s="115" t="str">
        <f>INDEX(DonnéesBC[44],MATCH(NomBC,DonnéesBC[Clé2],0))</f>
        <v>Je ne sais pas</v>
      </c>
      <c r="F54" s="216"/>
      <c r="G54" s="114" t="s">
        <v>827</v>
      </c>
      <c r="H54" s="115" t="str">
        <f>INDEX(DonnéesBC[94],MATCH(NomBC,DonnéesBC[Clé2],0))</f>
        <v>Je ne sais pas</v>
      </c>
      <c r="J54" s="189"/>
      <c r="K54" s="190"/>
      <c r="L54" s="190"/>
      <c r="M54" s="190"/>
      <c r="N54" s="191"/>
    </row>
    <row r="55" spans="2:14" ht="11" customHeight="1">
      <c r="B55" s="216"/>
      <c r="C55" s="114" t="s">
        <v>778</v>
      </c>
      <c r="D55" s="115" t="str">
        <f>INDEX(DonnéesBC[45],MATCH(NomBC,DonnéesBC[Clé2],0))</f>
        <v>Juste</v>
      </c>
      <c r="F55" s="216"/>
      <c r="G55" s="114" t="s">
        <v>828</v>
      </c>
      <c r="H55" s="115" t="str">
        <f>INDEX(DonnéesBC[95],MATCH(NomBC,DonnéesBC[Clé2],0))</f>
        <v>Je ne sais pas</v>
      </c>
      <c r="J55" s="189"/>
      <c r="K55" s="190"/>
      <c r="L55" s="190"/>
      <c r="M55" s="190"/>
      <c r="N55" s="191"/>
    </row>
    <row r="56" spans="2:14" ht="11" customHeight="1">
      <c r="B56" s="216"/>
      <c r="C56" s="114" t="s">
        <v>779</v>
      </c>
      <c r="D56" s="115" t="str">
        <f>INDEX(DonnéesBC[46],MATCH(NomBC,DonnéesBC[Clé2],0))</f>
        <v>Je ne sais pas</v>
      </c>
      <c r="F56" s="216"/>
      <c r="G56" s="114" t="s">
        <v>829</v>
      </c>
      <c r="H56" s="115" t="b">
        <f>INDEX(DonnéesBC[96],MATCH(NomBC,DonnéesBC[Clé2],0))</f>
        <v>0</v>
      </c>
      <c r="J56" s="189"/>
      <c r="K56" s="190"/>
      <c r="L56" s="190"/>
      <c r="M56" s="190"/>
      <c r="N56" s="191"/>
    </row>
    <row r="57" spans="2:14" ht="11" customHeight="1">
      <c r="B57" s="216"/>
      <c r="C57" s="114" t="s">
        <v>780</v>
      </c>
      <c r="D57" s="115" t="str">
        <f>INDEX(DonnéesBC[47],MATCH(NomBC,DonnéesBC[Clé2],0))</f>
        <v>Juste</v>
      </c>
      <c r="F57" s="216"/>
      <c r="G57" s="114" t="s">
        <v>830</v>
      </c>
      <c r="H57" s="115" t="str">
        <f>INDEX(DonnéesBC[97],MATCH(NomBC,DonnéesBC[Clé2],0))</f>
        <v>Juste</v>
      </c>
      <c r="J57" s="189"/>
      <c r="K57" s="190"/>
      <c r="L57" s="190"/>
      <c r="M57" s="190"/>
      <c r="N57" s="191"/>
    </row>
    <row r="58" spans="2:14" ht="11" customHeight="1">
      <c r="B58" s="216"/>
      <c r="C58" s="114" t="s">
        <v>781</v>
      </c>
      <c r="D58" s="115" t="str">
        <f>INDEX(DonnéesBC[48],MATCH(NomBC,DonnéesBC[Clé2],0))</f>
        <v>Juste</v>
      </c>
      <c r="F58" s="216"/>
      <c r="G58" s="114" t="s">
        <v>831</v>
      </c>
      <c r="H58" s="115" t="str">
        <f>INDEX(DonnéesBC[98],MATCH(NomBC,DonnéesBC[Clé2],0))</f>
        <v>Je ne sais pas</v>
      </c>
      <c r="J58" s="189"/>
      <c r="K58" s="190"/>
      <c r="L58" s="190"/>
      <c r="M58" s="190"/>
      <c r="N58" s="191"/>
    </row>
    <row r="59" spans="2:14" ht="11" customHeight="1">
      <c r="B59" s="216"/>
      <c r="C59" s="140" t="s">
        <v>782</v>
      </c>
      <c r="D59" s="141" t="str">
        <f>INDEX(DonnéesBC[49],MATCH(NomBC,DonnéesBC[Clé2],0))</f>
        <v>Je ne sais pas</v>
      </c>
      <c r="F59" s="216"/>
      <c r="G59" s="140" t="s">
        <v>832</v>
      </c>
      <c r="H59" s="141" t="str">
        <f>INDEX(DonnéesBC[99],MATCH(NomBC,DonnéesBC[Clé2],0))</f>
        <v>Juste</v>
      </c>
      <c r="J59" s="189"/>
      <c r="K59" s="190"/>
      <c r="L59" s="190"/>
      <c r="M59" s="190"/>
      <c r="N59" s="191"/>
    </row>
    <row r="60" spans="2:14" ht="11" customHeight="1" thickBot="1">
      <c r="B60" s="217"/>
      <c r="C60" s="144" t="s">
        <v>783</v>
      </c>
      <c r="D60" s="145" t="str">
        <f>INDEX(DonnéesBC[50],MATCH(NomBC,DonnéesBC[Clé2],0))</f>
        <v>Juste</v>
      </c>
      <c r="F60" s="216"/>
      <c r="G60" s="114" t="s">
        <v>833</v>
      </c>
      <c r="H60" s="115" t="b">
        <f>INDEX(DonnéesBC[100],MATCH(NomBC,DonnéesBC[Clé2],0))</f>
        <v>0</v>
      </c>
      <c r="J60" s="189"/>
      <c r="K60" s="190"/>
      <c r="L60" s="190"/>
      <c r="M60" s="190"/>
      <c r="N60" s="191"/>
    </row>
    <row r="61" spans="2:14" ht="11" customHeight="1" thickBot="1">
      <c r="F61" s="217"/>
      <c r="G61" s="116" t="s">
        <v>834</v>
      </c>
      <c r="H61" s="117" t="str">
        <f>INDEX(DonnéesBC[101],MATCH(NomBC,DonnéesBC[Clé2],0))</f>
        <v>Je ne sais pas</v>
      </c>
      <c r="J61" s="192"/>
      <c r="K61" s="193"/>
      <c r="L61" s="193"/>
      <c r="M61" s="193"/>
      <c r="N61" s="194"/>
    </row>
  </sheetData>
  <mergeCells count="38">
    <mergeCell ref="B8:B23"/>
    <mergeCell ref="B25:B36"/>
    <mergeCell ref="B38:B46"/>
    <mergeCell ref="B48:B60"/>
    <mergeCell ref="F8:F23"/>
    <mergeCell ref="F25:F35"/>
    <mergeCell ref="F37:F50"/>
    <mergeCell ref="F52:F61"/>
    <mergeCell ref="J9:K9"/>
    <mergeCell ref="J7:K7"/>
    <mergeCell ref="J8:K8"/>
    <mergeCell ref="L8:N8"/>
    <mergeCell ref="J13:K13"/>
    <mergeCell ref="L17:N17"/>
    <mergeCell ref="J21:K21"/>
    <mergeCell ref="L21:N21"/>
    <mergeCell ref="J14:K14"/>
    <mergeCell ref="J15:K15"/>
    <mergeCell ref="J51:N51"/>
    <mergeCell ref="J52:N61"/>
    <mergeCell ref="B6:D7"/>
    <mergeCell ref="F6:H7"/>
    <mergeCell ref="J20:N20"/>
    <mergeCell ref="J12:N12"/>
    <mergeCell ref="J6:N6"/>
    <mergeCell ref="J22:K22"/>
    <mergeCell ref="J23:K23"/>
    <mergeCell ref="J24:K24"/>
    <mergeCell ref="L24:N24"/>
    <mergeCell ref="L23:N23"/>
    <mergeCell ref="L22:N22"/>
    <mergeCell ref="J16:K16"/>
    <mergeCell ref="J17:K17"/>
    <mergeCell ref="J46:J48"/>
    <mergeCell ref="J42:J44"/>
    <mergeCell ref="J38:J40"/>
    <mergeCell ref="J34:J36"/>
    <mergeCell ref="J33:N33"/>
  </mergeCells>
  <phoneticPr fontId="6" type="noConversion"/>
  <conditionalFormatting sqref="Q12 C8:D23 C25:D36 C48:D60 C38:D46 G8:H23 G25:H35 G52:H61 G37:H50 J13:L15 J7:N8 J6 J10:N10 J18:N18 J25:N25 Q6:Q9">
    <cfRule type="beginsWith" dxfId="86" priority="137" operator="beginsWith" text="R pas nécessaire">
      <formula>LEFT(C6,LEN("R pas nécessaire"))="R pas nécessaire"</formula>
    </cfRule>
    <cfRule type="beginsWith" dxfId="85" priority="138" operator="beginsWith" text="Présent">
      <formula>LEFT(C6,LEN("Présent"))="Présent"</formula>
    </cfRule>
    <cfRule type="beginsWith" dxfId="84" priority="139" operator="beginsWith" text="Pas présent">
      <formula>LEFT(C6,LEN("Pas présent"))="Pas présent"</formula>
    </cfRule>
    <cfRule type="beginsWith" dxfId="83" priority="140" operator="beginsWith" text="Excusé">
      <formula>LEFT(C6,LEN("Excusé"))="Excusé"</formula>
    </cfRule>
    <cfRule type="beginsWith" dxfId="82" priority="141" operator="beginsWith" text="Ne peut s'inscrire">
      <formula>LEFT(C6,LEN("Ne peut s'inscrire"))="Ne peut s'inscrire"</formula>
    </cfRule>
    <cfRule type="beginsWith" dxfId="81" priority="142" operator="beginsWith" text="Sans information">
      <formula>LEFT(C6,LEN("Sans information"))="Sans information"</formula>
    </cfRule>
    <cfRule type="beginsWith" dxfId="80" priority="143" operator="beginsWith" text="Inscrit">
      <formula>LEFT(C6,LEN("Inscrit"))="Inscrit"</formula>
    </cfRule>
  </conditionalFormatting>
  <conditionalFormatting sqref="J17:N17 J9:L9 N9 J16:L16">
    <cfRule type="beginsWith" dxfId="79" priority="102" operator="beginsWith" text="R pas nécessaire">
      <formula>LEFT(J9,LEN("R pas nécessaire"))="R pas nécessaire"</formula>
    </cfRule>
    <cfRule type="beginsWith" dxfId="78" priority="103" operator="beginsWith" text="Présent">
      <formula>LEFT(J9,LEN("Présent"))="Présent"</formula>
    </cfRule>
    <cfRule type="beginsWith" dxfId="77" priority="104" operator="beginsWith" text="Pas présent">
      <formula>LEFT(J9,LEN("Pas présent"))="Pas présent"</formula>
    </cfRule>
    <cfRule type="beginsWith" dxfId="76" priority="105" operator="beginsWith" text="Excusé">
      <formula>LEFT(J9,LEN("Excusé"))="Excusé"</formula>
    </cfRule>
    <cfRule type="beginsWith" dxfId="75" priority="106" operator="beginsWith" text="Ne peut s'inscrire">
      <formula>LEFT(J9,LEN("Ne peut s'inscrire"))="Ne peut s'inscrire"</formula>
    </cfRule>
    <cfRule type="beginsWith" dxfId="74" priority="107" operator="beginsWith" text="Sans information">
      <formula>LEFT(J9,LEN("Sans information"))="Sans information"</formula>
    </cfRule>
    <cfRule type="beginsWith" dxfId="73" priority="108" operator="beginsWith" text="Inscrit">
      <formula>LEFT(J9,LEN("Inscrit"))="Inscrit"</formula>
    </cfRule>
  </conditionalFormatting>
  <conditionalFormatting sqref="L13:L14">
    <cfRule type="cellIs" dxfId="72" priority="99" operator="between">
      <formula>50</formula>
      <formula>75</formula>
    </cfRule>
    <cfRule type="cellIs" dxfId="71" priority="100" operator="greaterThan">
      <formula>75</formula>
    </cfRule>
    <cfRule type="cellIs" dxfId="70" priority="101" operator="lessThan">
      <formula>50</formula>
    </cfRule>
  </conditionalFormatting>
  <conditionalFormatting sqref="L16">
    <cfRule type="cellIs" dxfId="69" priority="96" operator="between">
      <formula>45</formula>
      <formula>75</formula>
    </cfRule>
    <cfRule type="cellIs" dxfId="68" priority="97" operator="greaterThan">
      <formula>75</formula>
    </cfRule>
    <cfRule type="cellIs" dxfId="67" priority="98" operator="lessThan">
      <formula>45</formula>
    </cfRule>
  </conditionalFormatting>
  <conditionalFormatting sqref="L15">
    <cfRule type="cellIs" dxfId="66" priority="93" operator="between">
      <formula>100</formula>
      <formula>150</formula>
    </cfRule>
    <cfRule type="cellIs" dxfId="65" priority="94" operator="lessThan">
      <formula>100</formula>
    </cfRule>
    <cfRule type="cellIs" dxfId="64" priority="95" operator="greaterThan">
      <formula>150</formula>
    </cfRule>
  </conditionalFormatting>
  <conditionalFormatting sqref="L13:L16">
    <cfRule type="cellIs" dxfId="63" priority="92" operator="equal">
      <formula>0</formula>
    </cfRule>
  </conditionalFormatting>
  <conditionalFormatting sqref="J12">
    <cfRule type="beginsWith" dxfId="62" priority="78" operator="beginsWith" text="R pas nécessaire">
      <formula>LEFT(J12,LEN("R pas nécessaire"))="R pas nécessaire"</formula>
    </cfRule>
    <cfRule type="beginsWith" dxfId="61" priority="79" operator="beginsWith" text="Présent">
      <formula>LEFT(J12,LEN("Présent"))="Présent"</formula>
    </cfRule>
    <cfRule type="beginsWith" dxfId="60" priority="80" operator="beginsWith" text="Pas présent">
      <formula>LEFT(J12,LEN("Pas présent"))="Pas présent"</formula>
    </cfRule>
    <cfRule type="beginsWith" dxfId="59" priority="81" operator="beginsWith" text="Excusé">
      <formula>LEFT(J12,LEN("Excusé"))="Excusé"</formula>
    </cfRule>
    <cfRule type="beginsWith" dxfId="58" priority="82" operator="beginsWith" text="Ne peut s'inscrire">
      <formula>LEFT(J12,LEN("Ne peut s'inscrire"))="Ne peut s'inscrire"</formula>
    </cfRule>
    <cfRule type="beginsWith" dxfId="57" priority="83" operator="beginsWith" text="Sans information">
      <formula>LEFT(J12,LEN("Sans information"))="Sans information"</formula>
    </cfRule>
    <cfRule type="beginsWith" dxfId="56" priority="84" operator="beginsWith" text="Inscrit">
      <formula>LEFT(J12,LEN("Inscrit"))="Inscrit"</formula>
    </cfRule>
  </conditionalFormatting>
  <conditionalFormatting sqref="J21:K24">
    <cfRule type="beginsWith" dxfId="55" priority="71" operator="beginsWith" text="R pas nécessaire">
      <formula>LEFT(J21,LEN("R pas nécessaire"))="R pas nécessaire"</formula>
    </cfRule>
    <cfRule type="beginsWith" dxfId="54" priority="72" operator="beginsWith" text="Présent">
      <formula>LEFT(J21,LEN("Présent"))="Présent"</formula>
    </cfRule>
    <cfRule type="beginsWith" dxfId="53" priority="73" operator="beginsWith" text="Pas présent">
      <formula>LEFT(J21,LEN("Pas présent"))="Pas présent"</formula>
    </cfRule>
    <cfRule type="beginsWith" dxfId="52" priority="74" operator="beginsWith" text="Excusé">
      <formula>LEFT(J21,LEN("Excusé"))="Excusé"</formula>
    </cfRule>
    <cfRule type="beginsWith" dxfId="51" priority="75" operator="beginsWith" text="Ne peut s'inscrire">
      <formula>LEFT(J21,LEN("Ne peut s'inscrire"))="Ne peut s'inscrire"</formula>
    </cfRule>
    <cfRule type="beginsWith" dxfId="50" priority="76" operator="beginsWith" text="Sans information">
      <formula>LEFT(J21,LEN("Sans information"))="Sans information"</formula>
    </cfRule>
    <cfRule type="beginsWith" dxfId="49" priority="77" operator="beginsWith" text="Inscrit">
      <formula>LEFT(J21,LEN("Inscrit"))="Inscrit"</formula>
    </cfRule>
  </conditionalFormatting>
  <conditionalFormatting sqref="J20">
    <cfRule type="beginsWith" dxfId="48" priority="64" operator="beginsWith" text="R pas nécessaire">
      <formula>LEFT(J20,LEN("R pas nécessaire"))="R pas nécessaire"</formula>
    </cfRule>
    <cfRule type="beginsWith" dxfId="47" priority="65" operator="beginsWith" text="Présent">
      <formula>LEFT(J20,LEN("Présent"))="Présent"</formula>
    </cfRule>
    <cfRule type="beginsWith" dxfId="46" priority="66" operator="beginsWith" text="Pas présent">
      <formula>LEFT(J20,LEN("Pas présent"))="Pas présent"</formula>
    </cfRule>
    <cfRule type="beginsWith" dxfId="45" priority="67" operator="beginsWith" text="Excusé">
      <formula>LEFT(J20,LEN("Excusé"))="Excusé"</formula>
    </cfRule>
    <cfRule type="beginsWith" dxfId="44" priority="68" operator="beginsWith" text="Ne peut s'inscrire">
      <formula>LEFT(J20,LEN("Ne peut s'inscrire"))="Ne peut s'inscrire"</formula>
    </cfRule>
    <cfRule type="beginsWith" dxfId="43" priority="69" operator="beginsWith" text="Sans information">
      <formula>LEFT(J20,LEN("Sans information"))="Sans information"</formula>
    </cfRule>
    <cfRule type="beginsWith" dxfId="42" priority="70" operator="beginsWith" text="Inscrit">
      <formula>LEFT(J20,LEN("Inscrit"))="Inscrit"</formula>
    </cfRule>
  </conditionalFormatting>
  <conditionalFormatting sqref="L21:N24">
    <cfRule type="beginsWith" dxfId="41" priority="50" operator="beginsWith" text="R pas nécessaire">
      <formula>LEFT(L21,LEN("R pas nécessaire"))="R pas nécessaire"</formula>
    </cfRule>
    <cfRule type="beginsWith" dxfId="40" priority="51" operator="beginsWith" text="Présent">
      <formula>LEFT(L21,LEN("Présent"))="Présent"</formula>
    </cfRule>
    <cfRule type="beginsWith" dxfId="39" priority="52" operator="beginsWith" text="Pas présent">
      <formula>LEFT(L21,LEN("Pas présent"))="Pas présent"</formula>
    </cfRule>
    <cfRule type="beginsWith" dxfId="38" priority="53" operator="beginsWith" text="Excusé">
      <formula>LEFT(L21,LEN("Excusé"))="Excusé"</formula>
    </cfRule>
    <cfRule type="beginsWith" dxfId="37" priority="54" operator="beginsWith" text="Ne peut s'inscrire">
      <formula>LEFT(L21,LEN("Ne peut s'inscrire"))="Ne peut s'inscrire"</formula>
    </cfRule>
    <cfRule type="beginsWith" dxfId="36" priority="55" operator="beginsWith" text="Sans information">
      <formula>LEFT(L21,LEN("Sans information"))="Sans information"</formula>
    </cfRule>
    <cfRule type="beginsWith" dxfId="35" priority="56" operator="beginsWith" text="Inscrit">
      <formula>LEFT(L21,LEN("Inscrit"))="Inscrit"</formula>
    </cfRule>
  </conditionalFormatting>
  <conditionalFormatting sqref="M9">
    <cfRule type="beginsWith" dxfId="34" priority="43" operator="beginsWith" text="R pas nécessaire">
      <formula>LEFT(M9,LEN("R pas nécessaire"))="R pas nécessaire"</formula>
    </cfRule>
    <cfRule type="beginsWith" dxfId="33" priority="44" operator="beginsWith" text="Présent">
      <formula>LEFT(M9,LEN("Présent"))="Présent"</formula>
    </cfRule>
    <cfRule type="beginsWith" dxfId="32" priority="45" operator="beginsWith" text="Pas présent">
      <formula>LEFT(M9,LEN("Pas présent"))="Pas présent"</formula>
    </cfRule>
    <cfRule type="beginsWith" dxfId="31" priority="46" operator="beginsWith" text="Excusé">
      <formula>LEFT(M9,LEN("Excusé"))="Excusé"</formula>
    </cfRule>
    <cfRule type="beginsWith" dxfId="30" priority="47" operator="beginsWith" text="Ne peut s'inscrire">
      <formula>LEFT(M9,LEN("Ne peut s'inscrire"))="Ne peut s'inscrire"</formula>
    </cfRule>
    <cfRule type="beginsWith" dxfId="29" priority="48" operator="beginsWith" text="Sans information">
      <formula>LEFT(M9,LEN("Sans information"))="Sans information"</formula>
    </cfRule>
    <cfRule type="beginsWith" dxfId="28" priority="49" operator="beginsWith" text="Inscrit">
      <formula>LEFT(M9,LEN("Inscrit"))="Inscrit"</formula>
    </cfRule>
  </conditionalFormatting>
  <conditionalFormatting sqref="B6">
    <cfRule type="beginsWith" dxfId="27" priority="36" operator="beginsWith" text="R pas nécessaire">
      <formula>LEFT(B6,LEN("R pas nécessaire"))="R pas nécessaire"</formula>
    </cfRule>
    <cfRule type="beginsWith" dxfId="26" priority="37" operator="beginsWith" text="Présent">
      <formula>LEFT(B6,LEN("Présent"))="Présent"</formula>
    </cfRule>
    <cfRule type="beginsWith" dxfId="25" priority="38" operator="beginsWith" text="Pas présent">
      <formula>LEFT(B6,LEN("Pas présent"))="Pas présent"</formula>
    </cfRule>
    <cfRule type="beginsWith" dxfId="24" priority="39" operator="beginsWith" text="Excusé">
      <formula>LEFT(B6,LEN("Excusé"))="Excusé"</formula>
    </cfRule>
    <cfRule type="beginsWith" dxfId="23" priority="40" operator="beginsWith" text="Ne peut s'inscrire">
      <formula>LEFT(B6,LEN("Ne peut s'inscrire"))="Ne peut s'inscrire"</formula>
    </cfRule>
    <cfRule type="beginsWith" dxfId="22" priority="41" operator="beginsWith" text="Sans information">
      <formula>LEFT(B6,LEN("Sans information"))="Sans information"</formula>
    </cfRule>
    <cfRule type="beginsWith" dxfId="21" priority="42" operator="beginsWith" text="Inscrit">
      <formula>LEFT(B6,LEN("Inscrit"))="Inscrit"</formula>
    </cfRule>
  </conditionalFormatting>
  <conditionalFormatting sqref="F6">
    <cfRule type="beginsWith" dxfId="20" priority="29" operator="beginsWith" text="R pas nécessaire">
      <formula>LEFT(F6,LEN("R pas nécessaire"))="R pas nécessaire"</formula>
    </cfRule>
    <cfRule type="beginsWith" dxfId="19" priority="30" operator="beginsWith" text="Présent">
      <formula>LEFT(F6,LEN("Présent"))="Présent"</formula>
    </cfRule>
    <cfRule type="beginsWith" dxfId="18" priority="31" operator="beginsWith" text="Pas présent">
      <formula>LEFT(F6,LEN("Pas présent"))="Pas présent"</formula>
    </cfRule>
    <cfRule type="beginsWith" dxfId="17" priority="32" operator="beginsWith" text="Excusé">
      <formula>LEFT(F6,LEN("Excusé"))="Excusé"</formula>
    </cfRule>
    <cfRule type="beginsWith" dxfId="16" priority="33" operator="beginsWith" text="Ne peut s'inscrire">
      <formula>LEFT(F6,LEN("Ne peut s'inscrire"))="Ne peut s'inscrire"</formula>
    </cfRule>
    <cfRule type="beginsWith" dxfId="15" priority="34" operator="beginsWith" text="Sans information">
      <formula>LEFT(F6,LEN("Sans information"))="Sans information"</formula>
    </cfRule>
    <cfRule type="beginsWith" dxfId="14" priority="35" operator="beginsWith" text="Inscrit">
      <formula>LEFT(F6,LEN("Inscrit"))="Inscrit"</formula>
    </cfRule>
  </conditionalFormatting>
  <conditionalFormatting sqref="J33">
    <cfRule type="beginsWith" dxfId="13" priority="15" operator="beginsWith" text="R pas nécessaire">
      <formula>LEFT(J33,LEN("R pas nécessaire"))="R pas nécessaire"</formula>
    </cfRule>
    <cfRule type="beginsWith" dxfId="12" priority="16" operator="beginsWith" text="Présent">
      <formula>LEFT(J33,LEN("Présent"))="Présent"</formula>
    </cfRule>
    <cfRule type="beginsWith" dxfId="11" priority="17" operator="beginsWith" text="Pas présent">
      <formula>LEFT(J33,LEN("Pas présent"))="Pas présent"</formula>
    </cfRule>
    <cfRule type="beginsWith" dxfId="10" priority="18" operator="beginsWith" text="Excusé">
      <formula>LEFT(J33,LEN("Excusé"))="Excusé"</formula>
    </cfRule>
    <cfRule type="beginsWith" dxfId="9" priority="19" operator="beginsWith" text="Ne peut s'inscrire">
      <formula>LEFT(J33,LEN("Ne peut s'inscrire"))="Ne peut s'inscrire"</formula>
    </cfRule>
    <cfRule type="beginsWith" dxfId="8" priority="20" operator="beginsWith" text="Sans information">
      <formula>LEFT(J33,LEN("Sans information"))="Sans information"</formula>
    </cfRule>
    <cfRule type="beginsWith" dxfId="7" priority="21" operator="beginsWith" text="Inscrit">
      <formula>LEFT(J33,LEN("Inscrit"))="Inscrit"</formula>
    </cfRule>
  </conditionalFormatting>
  <conditionalFormatting sqref="J51">
    <cfRule type="beginsWith" dxfId="6" priority="1" operator="beginsWith" text="R pas nécessaire">
      <formula>LEFT(J51,LEN("R pas nécessaire"))="R pas nécessaire"</formula>
    </cfRule>
    <cfRule type="beginsWith" dxfId="5" priority="2" operator="beginsWith" text="Présent">
      <formula>LEFT(J51,LEN("Présent"))="Présent"</formula>
    </cfRule>
    <cfRule type="beginsWith" dxfId="4" priority="3" operator="beginsWith" text="Pas présent">
      <formula>LEFT(J51,LEN("Pas présent"))="Pas présent"</formula>
    </cfRule>
    <cfRule type="beginsWith" dxfId="3" priority="4" operator="beginsWith" text="Excusé">
      <formula>LEFT(J51,LEN("Excusé"))="Excusé"</formula>
    </cfRule>
    <cfRule type="beginsWith" dxfId="2" priority="5" operator="beginsWith" text="Ne peut s'inscrire">
      <formula>LEFT(J51,LEN("Ne peut s'inscrire"))="Ne peut s'inscrire"</formula>
    </cfRule>
    <cfRule type="beginsWith" dxfId="1" priority="6" operator="beginsWith" text="Sans information">
      <formula>LEFT(J51,LEN("Sans information"))="Sans information"</formula>
    </cfRule>
    <cfRule type="beginsWith" dxfId="0" priority="7" operator="beginsWith" text="Inscrit">
      <formula>LEFT(J51,LEN("Inscrit"))="Inscrit"</formula>
    </cfRule>
  </conditionalFormatting>
  <pageMargins left="0.78740157480314965" right="0.78740157480314965" top="0.98425196850393704" bottom="0.78740157480314965" header="0.51181102362204722" footer="0.39370078740157483"/>
  <pageSetup paperSize="9" orientation="portrait"/>
  <headerFooter>
    <oddHeader>&amp;L&amp;8ARCHICAD - BILAN DE CONNAISSANCE ARCHICAD 19_x000D_Rapport individuel du bilan de connaissance / AnE_x000D__x000D__x000D_&amp;R&amp;G</oddHeader>
    <oddFooter>&amp;L&amp;8Le &amp;D</oddFooter>
  </headerFooter>
  <drawing r:id="rId1"/>
  <legacyDrawingHF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BC!$A$3:$A$59</xm:f>
          </x14:formula1>
          <xm:sqref>D1</xm:sqref>
        </x14:dataValidation>
      </x14:dataValidations>
    </ext>
    <ext xmlns:mx="http://schemas.microsoft.com/office/mac/excel/2008/main" uri="{64002731-A6B0-56B0-2670-7721B7C09600}">
      <mx:PLV Mode="1"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3</vt:i4>
      </vt:variant>
    </vt:vector>
  </HeadingPairs>
  <TitlesOfParts>
    <vt:vector size="3" baseType="lpstr">
      <vt:lpstr>Dessin</vt:lpstr>
      <vt:lpstr>BC</vt:lpstr>
      <vt:lpstr>Détail BC</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CCHE</dc:creator>
  <cp:lastModifiedBy>CCHE</cp:lastModifiedBy>
  <cp:lastPrinted>2016-09-05T08:06:43Z</cp:lastPrinted>
  <dcterms:created xsi:type="dcterms:W3CDTF">2015-11-04T08:13:02Z</dcterms:created>
  <dcterms:modified xsi:type="dcterms:W3CDTF">2016-09-05T08:10:14Z</dcterms:modified>
</cp:coreProperties>
</file>