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225" windowWidth="14805" windowHeight="7890" activeTab="7"/>
  </bookViews>
  <sheets>
    <sheet name="Réseau d'électricité" sheetId="1" r:id="rId1"/>
    <sheet name="Chaudière" sheetId="11" r:id="rId2"/>
    <sheet name="Pompe à chaleur" sheetId="2" r:id="rId3"/>
    <sheet name="Pompe à chaleur (avec EER)" sheetId="3" r:id="rId4"/>
    <sheet name="Cogénération" sheetId="5" r:id="rId5"/>
    <sheet name="Synthèse" sheetId="13" r:id="rId6"/>
    <sheet name="MultiSyst" sheetId="6" r:id="rId7"/>
    <sheet name="Données" sheetId="4" r:id="rId8"/>
    <sheet name="Données PAC" sheetId="12" r:id="rId9"/>
  </sheets>
  <externalReferences>
    <externalReference r:id="rId10"/>
  </externalReferences>
  <definedNames>
    <definedName name="clearall">[1]Détails!$C$135,[1]Détails!#REF!,[1]Détails!#REF!,[1]Détails!$J$10:$J$121,[1]Détails!#REF!,[1]Détails!#REF!,[1]Détails!#REF!,[1]Détails!#REF!,[1]Détails!#REF!</definedName>
    <definedName name="comments">[1]Détails!#REF!,[1]Détails!#REF!,[1]Détails!#REF!,[1]Détails!#REF!,[1]Détails!#REF!,[1]Détails!#REF!,[1]Détails!#REF!,[1]Détails!#REF!,[1]Détails!#REF!,[1]Détails!#REF!,[1]Détails!#REF!</definedName>
    <definedName name="maxfitclear">[1]Détails!#REF!,[1]Détails!#REF!,[1]Détails!#REF!,[1]Détails!#REF!,[1]Détails!#REF!,[1]Détails!#REF!,[1]Détails!#REF!,[1]Détails!#REF!,[1]Détails!#REF!</definedName>
    <definedName name="unprotectedcells">[1]Détails!#REF!,[1]Détails!#REF!,[1]Détails!#REF!,[1]Détails!#REF!,[1]Détails!#REF!,[1]Détails!#REF!,[1]Détails!#REF!,[1]Détails!#REF!,[1]Détails!#REF!,[1]Détails!#REF!,[1]Détails!#REF!,[1]Détails!$J$10:$J$15,[1]Détails!$J$20:$J$33,[1]Détails!$J$41:$J$50,[1]Détails!$J$56:$J$61,[1]Détails!$J$69:$J$76,[1]Détails!$J$81:$J$89,[1]Détails!$J$94:$J$100</definedName>
  </definedNames>
  <calcPr calcId="145621"/>
</workbook>
</file>

<file path=xl/calcChain.xml><?xml version="1.0" encoding="utf-8"?>
<calcChain xmlns="http://schemas.openxmlformats.org/spreadsheetml/2006/main">
  <c r="B5" i="6" l="1"/>
  <c r="D5" i="6"/>
  <c r="C5" i="6"/>
  <c r="F5" i="6"/>
  <c r="G5" i="6" l="1"/>
  <c r="C8" i="6"/>
  <c r="H5" i="6" l="1"/>
  <c r="L5" i="6"/>
  <c r="M5" i="6" s="1"/>
  <c r="H3" i="6" l="1"/>
  <c r="H4" i="6"/>
  <c r="H2" i="6"/>
  <c r="C2" i="1" l="1"/>
  <c r="D2" i="1" s="1"/>
  <c r="E2" i="5"/>
  <c r="G2" i="5" s="1"/>
  <c r="H2" i="5" s="1"/>
  <c r="D2" i="3"/>
  <c r="E2" i="3" s="1"/>
  <c r="F2" i="3" s="1"/>
  <c r="C2" i="2"/>
  <c r="B2" i="2"/>
  <c r="E2" i="2"/>
  <c r="F2" i="2" s="1"/>
  <c r="G2" i="2" s="1"/>
  <c r="B20" i="4" l="1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19" i="4"/>
  <c r="B18" i="4"/>
  <c r="B17" i="4"/>
  <c r="B16" i="4"/>
  <c r="B15" i="4"/>
  <c r="B14" i="4"/>
  <c r="B13" i="4"/>
  <c r="B12" i="4"/>
  <c r="B11" i="4"/>
  <c r="B10" i="4"/>
  <c r="B21" i="4" s="1"/>
  <c r="B9" i="4"/>
  <c r="B8" i="4"/>
  <c r="B7" i="4"/>
  <c r="B6" i="4"/>
  <c r="B5" i="4"/>
  <c r="B4" i="4"/>
  <c r="B3" i="4"/>
  <c r="B2" i="4"/>
  <c r="B1" i="4"/>
</calcChain>
</file>

<file path=xl/comments1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Puissance calorifique : 145kW
Puissance utile : x
rendement charge 100% : 94,50%
Donc : r = Pu/Pc &lt;=&gt; Pu = 153,44kW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Option
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Puissance calorifique : 145kW
Puissance utile : x
rendement charge 100% : 97,50%
Donc : r = Pu/Pc &lt;=&gt; Pu = 148,72kW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B18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Same as Switzerland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 encore disponibles. Se référer au Guide de référence du Luxembourg pour plus d'informations.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Same as France</t>
        </r>
      </text>
    </comment>
  </commentList>
</comments>
</file>

<file path=xl/sharedStrings.xml><?xml version="1.0" encoding="utf-8"?>
<sst xmlns="http://schemas.openxmlformats.org/spreadsheetml/2006/main" count="158" uniqueCount="77">
  <si>
    <t>Pays</t>
  </si>
  <si>
    <t>Emissions moyennes de N0x (mg/kWh) du réseau d'électricité national</t>
  </si>
  <si>
    <t>Austria</t>
  </si>
  <si>
    <t>Belarus</t>
  </si>
  <si>
    <t>Belgium</t>
  </si>
  <si>
    <t>Bulgaria</t>
  </si>
  <si>
    <t>Croatia</t>
  </si>
  <si>
    <t>Czech Republic</t>
  </si>
  <si>
    <t>Denmark</t>
  </si>
  <si>
    <t>Estonia</t>
  </si>
  <si>
    <t>Finland</t>
  </si>
  <si>
    <t>France</t>
  </si>
  <si>
    <t>Germany</t>
  </si>
  <si>
    <t>Greece</t>
  </si>
  <si>
    <t>Hungary</t>
  </si>
  <si>
    <t>Iceland</t>
  </si>
  <si>
    <t>Ireland</t>
  </si>
  <si>
    <t>Italy</t>
  </si>
  <si>
    <t>Latvia</t>
  </si>
  <si>
    <t>Liechtenstein</t>
  </si>
  <si>
    <t>Lithuania</t>
  </si>
  <si>
    <t>Luxembourg</t>
  </si>
  <si>
    <t>Monaco</t>
  </si>
  <si>
    <t>Nederlands</t>
  </si>
  <si>
    <t>Norway</t>
  </si>
  <si>
    <t>Poland</t>
  </si>
  <si>
    <t>Portugal</t>
  </si>
  <si>
    <t>Romania</t>
  </si>
  <si>
    <t>Russian Federation</t>
  </si>
  <si>
    <t>Slovakia</t>
  </si>
  <si>
    <t>Slovenia</t>
  </si>
  <si>
    <t>Spain</t>
  </si>
  <si>
    <t>Sweden</t>
  </si>
  <si>
    <t>Switzerland</t>
  </si>
  <si>
    <t>Turkey</t>
  </si>
  <si>
    <t>Ukraine</t>
  </si>
  <si>
    <t>United Kingdom</t>
  </si>
  <si>
    <r>
      <t>Quantité totale d'électricité produite en kWh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 xml:space="preserve"> 
(=W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>)</t>
    </r>
  </si>
  <si>
    <r>
      <t>Quantité totale d'électricité produite en kWh</t>
    </r>
    <r>
      <rPr>
        <b/>
        <vertAlign val="subscript"/>
        <sz val="11"/>
        <color theme="1"/>
        <rFont val="Calibri"/>
        <family val="2"/>
        <scheme val="minor"/>
      </rPr>
      <t>el</t>
    </r>
    <r>
      <rPr>
        <b/>
        <sz val="11"/>
        <color theme="1"/>
        <rFont val="Calibri"/>
        <family val="2"/>
        <scheme val="minor"/>
      </rPr>
      <t xml:space="preserve"> 
(=W</t>
    </r>
    <r>
      <rPr>
        <b/>
        <vertAlign val="subscript"/>
        <sz val="11"/>
        <color theme="1"/>
        <rFont val="Calibri"/>
        <family val="2"/>
        <scheme val="minor"/>
      </rPr>
      <t>el</t>
    </r>
    <r>
      <rPr>
        <b/>
        <sz val="11"/>
        <color theme="1"/>
        <rFont val="Calibri"/>
        <family val="2"/>
        <scheme val="minor"/>
      </rPr>
      <t>)</t>
    </r>
  </si>
  <si>
    <r>
      <t>Emissions de N0x par unité de chaleur générée, en mg/kWh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 xml:space="preserve"> 
(=m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>)</t>
    </r>
  </si>
  <si>
    <r>
      <t xml:space="preserve">Quantité totale d'électricité produite </t>
    </r>
    <r>
      <rPr>
        <b/>
        <i/>
        <sz val="11"/>
        <color theme="1"/>
        <rFont val="Calibri"/>
        <family val="2"/>
        <scheme val="minor"/>
      </rPr>
      <t>en kWh</t>
    </r>
    <r>
      <rPr>
        <b/>
        <i/>
        <vertAlign val="subscript"/>
        <sz val="11"/>
        <color theme="1"/>
        <rFont val="Calibri"/>
        <family val="2"/>
        <scheme val="minor"/>
      </rPr>
      <t>heat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
(=W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>)</t>
    </r>
  </si>
  <si>
    <r>
      <t xml:space="preserve">Quantité totale d'électricité produite </t>
    </r>
    <r>
      <rPr>
        <b/>
        <i/>
        <sz val="11"/>
        <color theme="1"/>
        <rFont val="Calibri"/>
        <family val="2"/>
        <scheme val="minor"/>
      </rPr>
      <t>en kWh</t>
    </r>
    <r>
      <rPr>
        <b/>
        <i/>
        <vertAlign val="subscript"/>
        <sz val="11"/>
        <color theme="1"/>
        <rFont val="Calibri"/>
        <family val="2"/>
        <scheme val="minor"/>
      </rPr>
      <t>el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
(=W</t>
    </r>
    <r>
      <rPr>
        <b/>
        <vertAlign val="subscript"/>
        <sz val="11"/>
        <color theme="1"/>
        <rFont val="Calibri"/>
        <family val="2"/>
        <scheme val="minor"/>
      </rPr>
      <t>el</t>
    </r>
    <r>
      <rPr>
        <b/>
        <sz val="11"/>
        <color theme="1"/>
        <rFont val="Calibri"/>
        <family val="2"/>
        <scheme val="minor"/>
      </rPr>
      <t>)</t>
    </r>
  </si>
  <si>
    <r>
      <t xml:space="preserve">Emissions de N0x par unité de chaleur générée, </t>
    </r>
    <r>
      <rPr>
        <b/>
        <i/>
        <sz val="11"/>
        <color theme="1"/>
        <rFont val="Calibri"/>
        <family val="2"/>
        <scheme val="minor"/>
      </rPr>
      <t>en mg/kWh</t>
    </r>
    <r>
      <rPr>
        <b/>
        <i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 xml:space="preserve"> 
(=m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>)</t>
    </r>
  </si>
  <si>
    <r>
      <t xml:space="preserve">Puissance calorifique nominale consommée (d'entrée) </t>
    </r>
    <r>
      <rPr>
        <b/>
        <i/>
        <sz val="11"/>
        <color theme="1"/>
        <rFont val="Calibri"/>
        <family val="2"/>
        <scheme val="minor"/>
      </rPr>
      <t>en kWh</t>
    </r>
  </si>
  <si>
    <r>
      <t xml:space="preserve">Emissions moyennes de N0x du réseau d'électricité national </t>
    </r>
    <r>
      <rPr>
        <b/>
        <i/>
        <sz val="11"/>
        <color theme="1"/>
        <rFont val="Calibri"/>
        <family val="2"/>
        <scheme val="minor"/>
      </rPr>
      <t xml:space="preserve">en mg/kWh 
</t>
    </r>
    <r>
      <rPr>
        <b/>
        <sz val="11"/>
        <color theme="1"/>
        <rFont val="Calibri"/>
        <family val="2"/>
        <scheme val="minor"/>
      </rPr>
      <t>(=m</t>
    </r>
    <r>
      <rPr>
        <b/>
        <vertAlign val="subscript"/>
        <sz val="11"/>
        <color theme="1"/>
        <rFont val="Calibri"/>
        <family val="2"/>
        <scheme val="minor"/>
      </rPr>
      <t>el, ref</t>
    </r>
    <r>
      <rPr>
        <b/>
        <sz val="11"/>
        <color theme="1"/>
        <rFont val="Calibri"/>
        <family val="2"/>
        <scheme val="minor"/>
      </rPr>
      <t>)</t>
    </r>
  </si>
  <si>
    <r>
      <t xml:space="preserve">Emissions totales de N0x générée par l'unité de production </t>
    </r>
    <r>
      <rPr>
        <b/>
        <i/>
        <sz val="11"/>
        <color theme="1"/>
        <rFont val="Calibri"/>
        <family val="2"/>
        <scheme val="minor"/>
      </rPr>
      <t xml:space="preserve">en tonnes/an
</t>
    </r>
    <r>
      <rPr>
        <b/>
        <sz val="11"/>
        <color theme="1"/>
        <rFont val="Calibri"/>
        <family val="2"/>
        <scheme val="minor"/>
      </rPr>
      <t>(=M)</t>
    </r>
  </si>
  <si>
    <t>Systèmes de production de chaleur</t>
  </si>
  <si>
    <t>EER</t>
  </si>
  <si>
    <r>
      <t xml:space="preserve">Puissance utile nominale fournie (en sortie) </t>
    </r>
    <r>
      <rPr>
        <b/>
        <i/>
        <sz val="11"/>
        <color theme="1"/>
        <rFont val="Calibri"/>
        <family val="2"/>
        <scheme val="minor"/>
      </rPr>
      <t>en kW</t>
    </r>
  </si>
  <si>
    <t>Total puissance</t>
  </si>
  <si>
    <t>TOTAL N0x</t>
  </si>
  <si>
    <t>Chaudière</t>
  </si>
  <si>
    <r>
      <t xml:space="preserve">Puissance calorifique nominale électrique </t>
    </r>
    <r>
      <rPr>
        <b/>
        <i/>
        <sz val="11"/>
        <color theme="1"/>
        <rFont val="Calibri"/>
        <family val="2"/>
        <scheme val="minor"/>
      </rPr>
      <t>en kW</t>
    </r>
  </si>
  <si>
    <t>Validation</t>
  </si>
  <si>
    <t>PAC1</t>
  </si>
  <si>
    <t>PAC2</t>
  </si>
  <si>
    <t>PAC3</t>
  </si>
  <si>
    <t>PAC4</t>
  </si>
  <si>
    <t>PAC5</t>
  </si>
  <si>
    <t>PAC6</t>
  </si>
  <si>
    <t>PAC7</t>
  </si>
  <si>
    <t>PAC8</t>
  </si>
  <si>
    <t>PAC9</t>
  </si>
  <si>
    <t>PAC10</t>
  </si>
  <si>
    <t>PAC11</t>
  </si>
  <si>
    <t>PAC12</t>
  </si>
  <si>
    <t>PAC13</t>
  </si>
  <si>
    <t>Réseau d'électricité</t>
  </si>
  <si>
    <t>Accréditation BREEAM</t>
  </si>
  <si>
    <t>Pompe à chaleur</t>
  </si>
  <si>
    <t>Pompe à chaleur (avec EER)</t>
  </si>
  <si>
    <t>Cogénération</t>
  </si>
  <si>
    <t>A remplir</t>
  </si>
  <si>
    <t>Non</t>
  </si>
  <si>
    <t>A sélectionner</t>
  </si>
  <si>
    <t>Attribution automatique</t>
  </si>
  <si>
    <t>Calcul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</si>
</sst>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vertAlign val="sub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1"/>
      <color rgb="FF003459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1"/>
      <color indexed="9"/>
      <name val="Calibri"/>
      <family val="2"/>
    </font>
    <font>
      <sz val="10"/>
      <color theme="0"/>
      <name val="Arial"/>
      <family val="2"/>
    </font>
    <font>
      <sz val="11"/>
      <color indexed="10"/>
      <name val="Calibri"/>
      <family val="2"/>
    </font>
    <font>
      <sz val="10"/>
      <color rgb="FF9C0006"/>
      <name val="Arial"/>
      <family val="2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3F3F76"/>
      <name val="Arial"/>
      <family val="2"/>
    </font>
    <font>
      <sz val="11"/>
      <color indexed="20"/>
      <name val="Calibri"/>
      <family val="2"/>
    </font>
    <font>
      <sz val="10"/>
      <color rgb="FFFA7D00"/>
      <name val="Arial"/>
      <family val="2"/>
    </font>
    <font>
      <sz val="10"/>
      <color rgb="FF9C6500"/>
      <name val="Arial"/>
      <family val="2"/>
    </font>
    <font>
      <sz val="11"/>
      <color indexed="60"/>
      <name val="Calibri"/>
      <family val="2"/>
    </font>
    <font>
      <b/>
      <sz val="10"/>
      <color rgb="FF3F3F3F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1"/>
      <name val="Arial"/>
      <family val="2"/>
    </font>
    <font>
      <sz val="10"/>
      <color rgb="FF003459"/>
      <name val="Cambria"/>
      <family val="1"/>
      <scheme val="major"/>
    </font>
    <font>
      <sz val="16"/>
      <color theme="6" tint="-0.249977111117893"/>
      <name val="Cambria"/>
      <family val="1"/>
      <scheme val="major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1"/>
      <name val="Arial"/>
      <family val="2"/>
    </font>
    <font>
      <b/>
      <sz val="11"/>
      <color indexed="9"/>
      <name val="Calibri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345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B5F4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345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theme="6" tint="-0.2499465926084170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8">
    <xf numFmtId="0" fontId="0" fillId="0" borderId="0"/>
    <xf numFmtId="0" fontId="10" fillId="0" borderId="0"/>
    <xf numFmtId="0" fontId="10" fillId="0" borderId="0"/>
    <xf numFmtId="0" fontId="10" fillId="0" borderId="0"/>
    <xf numFmtId="0" fontId="13" fillId="0" borderId="10" applyFont="0">
      <alignment vertical="center"/>
    </xf>
    <xf numFmtId="0" fontId="13" fillId="0" borderId="10" applyFont="0">
      <alignment vertical="center"/>
    </xf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42" borderId="0" applyNumberFormat="0" applyBorder="0" applyAlignment="0" applyProtection="0"/>
    <xf numFmtId="0" fontId="14" fillId="37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44" borderId="0" applyNumberFormat="0" applyBorder="0" applyAlignment="0" applyProtection="0"/>
    <xf numFmtId="0" fontId="16" fillId="41" borderId="0" applyNumberFormat="0" applyBorder="0" applyAlignment="0" applyProtection="0"/>
    <xf numFmtId="0" fontId="16" fillId="42" borderId="0" applyNumberFormat="0" applyBorder="0" applyAlignment="0" applyProtection="0"/>
    <xf numFmtId="0" fontId="16" fillId="45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8" borderId="11" applyNumberFormat="0" applyAlignment="0" applyProtection="0"/>
    <xf numFmtId="0" fontId="21" fillId="6" borderId="4" applyNumberFormat="0" applyAlignment="0" applyProtection="0"/>
    <xf numFmtId="0" fontId="22" fillId="0" borderId="12" applyNumberFormat="0" applyFill="0" applyAlignment="0" applyProtection="0"/>
    <xf numFmtId="0" fontId="11" fillId="7" borderId="7" applyNumberFormat="0" applyAlignment="0" applyProtection="0"/>
    <xf numFmtId="0" fontId="10" fillId="49" borderId="13" applyNumberFormat="0" applyFont="0" applyAlignment="0" applyProtection="0"/>
    <xf numFmtId="0" fontId="10" fillId="49" borderId="13" applyNumberFormat="0" applyFont="0" applyAlignment="0" applyProtection="0"/>
    <xf numFmtId="0" fontId="10" fillId="8" borderId="8" applyNumberFormat="0" applyFont="0" applyAlignment="0" applyProtection="0"/>
    <xf numFmtId="0" fontId="23" fillId="39" borderId="11" applyNumberFormat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5" borderId="4" applyNumberFormat="0" applyAlignment="0" applyProtection="0"/>
    <xf numFmtId="0" fontId="30" fillId="35" borderId="0" applyNumberFormat="0" applyBorder="0" applyAlignment="0" applyProtection="0"/>
    <xf numFmtId="0" fontId="31" fillId="0" borderId="6" applyNumberFormat="0" applyFill="0" applyAlignment="0" applyProtection="0"/>
    <xf numFmtId="0" fontId="32" fillId="4" borderId="0" applyNumberFormat="0" applyBorder="0" applyAlignment="0" applyProtection="0"/>
    <xf numFmtId="0" fontId="33" fillId="50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15" fillId="8" borderId="8" applyNumberFormat="0" applyFont="0" applyAlignment="0" applyProtection="0"/>
    <xf numFmtId="0" fontId="13" fillId="0" borderId="10">
      <alignment vertical="center"/>
    </xf>
    <xf numFmtId="0" fontId="34" fillId="6" borderId="5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5" fillId="36" borderId="0" applyNumberFormat="0" applyBorder="0" applyAlignment="0" applyProtection="0"/>
    <xf numFmtId="0" fontId="36" fillId="48" borderId="14" applyNumberFormat="0" applyAlignment="0" applyProtection="0"/>
    <xf numFmtId="0" fontId="37" fillId="0" borderId="10">
      <alignment vertical="center"/>
    </xf>
    <xf numFmtId="0" fontId="38" fillId="0" borderId="0">
      <alignment vertical="center"/>
    </xf>
    <xf numFmtId="0" fontId="39" fillId="0" borderId="15">
      <alignment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6" applyNumberFormat="0" applyFill="0" applyAlignment="0" applyProtection="0"/>
    <xf numFmtId="0" fontId="43" fillId="0" borderId="17" applyNumberFormat="0" applyFill="0" applyAlignment="0" applyProtection="0"/>
    <xf numFmtId="0" fontId="44" fillId="0" borderId="18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5" fillId="0" borderId="9" applyNumberFormat="0" applyFill="0" applyAlignment="0" applyProtection="0"/>
    <xf numFmtId="0" fontId="46" fillId="51" borderId="19" applyNumberFormat="0" applyAlignment="0" applyProtection="0"/>
    <xf numFmtId="0" fontId="47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52" borderId="0" xfId="0" applyFill="1" applyAlignment="1">
      <alignment wrapText="1"/>
    </xf>
    <xf numFmtId="0" fontId="0" fillId="0" borderId="0" xfId="0" applyFill="1" applyAlignment="1">
      <alignment wrapText="1"/>
    </xf>
    <xf numFmtId="0" fontId="1" fillId="0" borderId="0" xfId="0" applyFont="1" applyFill="1" applyAlignment="1">
      <alignment wrapText="1"/>
    </xf>
    <xf numFmtId="0" fontId="0" fillId="0" borderId="20" xfId="0" applyBorder="1" applyAlignment="1">
      <alignment vertical="center" wrapText="1"/>
    </xf>
    <xf numFmtId="0" fontId="48" fillId="0" borderId="0" xfId="0" applyFont="1" applyAlignment="1">
      <alignment vertical="center" wrapText="1"/>
    </xf>
    <xf numFmtId="0" fontId="0" fillId="0" borderId="22" xfId="0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3" xfId="0" applyFont="1" applyBorder="1" applyAlignment="1">
      <alignment vertical="center"/>
    </xf>
    <xf numFmtId="0" fontId="1" fillId="0" borderId="23" xfId="0" applyFont="1" applyBorder="1" applyAlignment="1">
      <alignment wrapText="1"/>
    </xf>
    <xf numFmtId="0" fontId="1" fillId="0" borderId="24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12" fillId="33" borderId="27" xfId="1" applyFont="1" applyFill="1" applyBorder="1" applyAlignment="1" applyProtection="1">
      <alignment horizontal="left" vertical="center" wrapText="1"/>
      <protection hidden="1"/>
    </xf>
    <xf numFmtId="0" fontId="0" fillId="0" borderId="22" xfId="0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0" fillId="0" borderId="21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08">
    <cellStyle name="1" xfId="4"/>
    <cellStyle name="2" xfId="5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20% - Accent1 2" xfId="12"/>
    <cellStyle name="20% - Accent2 2" xfId="13"/>
    <cellStyle name="20% - Accent3 2" xfId="14"/>
    <cellStyle name="20% - Accent4 2" xfId="15"/>
    <cellStyle name="20% - Accent5 2" xfId="16"/>
    <cellStyle name="20% - Accent6 2" xfId="17"/>
    <cellStyle name="40 % - Accent1 2" xfId="18"/>
    <cellStyle name="40 % - Accent2 2" xfId="19"/>
    <cellStyle name="40 % - Accent3 2" xfId="20"/>
    <cellStyle name="40 % - Accent4 2" xfId="21"/>
    <cellStyle name="40 % - Accent5 2" xfId="22"/>
    <cellStyle name="40 % - Accent6 2" xfId="23"/>
    <cellStyle name="40% - Accent1 2" xfId="24"/>
    <cellStyle name="40% - Accent2 2" xfId="25"/>
    <cellStyle name="40% - Accent3 2" xfId="26"/>
    <cellStyle name="40% - Accent4 2" xfId="27"/>
    <cellStyle name="40% - Accent5 2" xfId="28"/>
    <cellStyle name="40% - Accent6 2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60% - Accent1 2" xfId="36"/>
    <cellStyle name="60% - Accent2 2" xfId="37"/>
    <cellStyle name="60% - Accent3 2" xfId="38"/>
    <cellStyle name="60% - Accent4 2" xfId="39"/>
    <cellStyle name="60% - Accent5 2" xfId="40"/>
    <cellStyle name="60% - Accent6 2" xfId="41"/>
    <cellStyle name="Accent1 2" xfId="42"/>
    <cellStyle name="Accent1 2 2" xfId="43"/>
    <cellStyle name="Accent2 2" xfId="44"/>
    <cellStyle name="Accent2 2 2" xfId="45"/>
    <cellStyle name="Accent3 2" xfId="46"/>
    <cellStyle name="Accent3 2 2" xfId="47"/>
    <cellStyle name="Accent4 2" xfId="48"/>
    <cellStyle name="Accent4 2 2" xfId="49"/>
    <cellStyle name="Accent5 2" xfId="50"/>
    <cellStyle name="Accent5 2 2" xfId="51"/>
    <cellStyle name="Accent6 2" xfId="52"/>
    <cellStyle name="Accent6 2 2" xfId="53"/>
    <cellStyle name="Avertissement 2" xfId="54"/>
    <cellStyle name="Bad 2" xfId="55"/>
    <cellStyle name="Calcul 2" xfId="56"/>
    <cellStyle name="Calculation 2" xfId="57"/>
    <cellStyle name="Cellule liée 2" xfId="58"/>
    <cellStyle name="Check Cell 2" xfId="59"/>
    <cellStyle name="Commentaire 2" xfId="60"/>
    <cellStyle name="Commentaire 2 2" xfId="61"/>
    <cellStyle name="Commentaire 3" xfId="62"/>
    <cellStyle name="Entrée 2" xfId="63"/>
    <cellStyle name="Explanatory Text 2" xfId="64"/>
    <cellStyle name="Good 2" xfId="65"/>
    <cellStyle name="Heading 1 2" xfId="66"/>
    <cellStyle name="Heading 2 2" xfId="67"/>
    <cellStyle name="Heading 3 2" xfId="68"/>
    <cellStyle name="Heading 4 2" xfId="69"/>
    <cellStyle name="Input 2" xfId="70"/>
    <cellStyle name="Insatisfaisant 2" xfId="71"/>
    <cellStyle name="Linked Cell 2" xfId="72"/>
    <cellStyle name="Neutral 2" xfId="73"/>
    <cellStyle name="Neutre 2" xfId="74"/>
    <cellStyle name="Normal" xfId="0" builtinId="0"/>
    <cellStyle name="Normal 2" xfId="1"/>
    <cellStyle name="Normal 2 2" xfId="2"/>
    <cellStyle name="Normal 2 2 2" xfId="3"/>
    <cellStyle name="Normal 2 3" xfId="75"/>
    <cellStyle name="Normal 2 4" xfId="76"/>
    <cellStyle name="Normal 2 5" xfId="77"/>
    <cellStyle name="Normal 3" xfId="78"/>
    <cellStyle name="Normal 3 2" xfId="79"/>
    <cellStyle name="Normal 3 3" xfId="80"/>
    <cellStyle name="Normal 4" xfId="81"/>
    <cellStyle name="Normal 4 2" xfId="82"/>
    <cellStyle name="Normal 4 2 2" xfId="83"/>
    <cellStyle name="Normal 4 3" xfId="84"/>
    <cellStyle name="Normal 5" xfId="85"/>
    <cellStyle name="Normal 5 2" xfId="86"/>
    <cellStyle name="Normal 6" xfId="87"/>
    <cellStyle name="Note 2" xfId="88"/>
    <cellStyle name="nouveau" xfId="89"/>
    <cellStyle name="Output 2" xfId="90"/>
    <cellStyle name="Pourcentage 2" xfId="91"/>
    <cellStyle name="Pourcentage 2 2" xfId="92"/>
    <cellStyle name="Satisfaisant 2" xfId="93"/>
    <cellStyle name="Sortie 2" xfId="94"/>
    <cellStyle name="sous cible" xfId="95"/>
    <cellStyle name="sous critère" xfId="96"/>
    <cellStyle name="Style 1" xfId="97"/>
    <cellStyle name="Texte explicatif 2" xfId="98"/>
    <cellStyle name="Titre 2" xfId="99"/>
    <cellStyle name="Titre 1 2" xfId="100"/>
    <cellStyle name="Titre 2 2" xfId="101"/>
    <cellStyle name="Titre 3 2" xfId="102"/>
    <cellStyle name="Titre 4 2" xfId="103"/>
    <cellStyle name="Total 2" xfId="104"/>
    <cellStyle name="Total 2 2" xfId="105"/>
    <cellStyle name="Vérification 2" xfId="106"/>
    <cellStyle name="Warning Text 2" xfId="107"/>
  </cellStyles>
  <dxfs count="0"/>
  <tableStyles count="0" defaultTableStyle="TableStyleMedium2" defaultPivotStyle="PivotStyleMedium9"/>
  <colors>
    <mruColors>
      <color rgb="FFCC66FF"/>
      <color rgb="FF00CC66"/>
      <color rgb="FF99FFCC"/>
      <color rgb="FF99FF66"/>
      <color rgb="FF33CC33"/>
      <color rgb="FF99FF33"/>
      <color rgb="FFFFCC00"/>
      <color rgb="FF00FF00"/>
      <color rgb="FFCCEC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udrey.pagliaro\AppData\Local\Microsoft\Windows\Temporary%20Internet%20Files\Content.Outlook\WP750BTI\Suivi%20BREEAM%20V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Renseignements généraux"/>
      <sheetName val="Préambule"/>
      <sheetName val="Synthèse"/>
      <sheetName val="PCS Final Score"/>
      <sheetName val="Détails"/>
      <sheetName val="Minimum Standards"/>
      <sheetName val="Crédits minimum à atteindre"/>
      <sheetName val="Suivi BREEAM V13"/>
    </sheetNames>
    <sheetDataSet>
      <sheetData sheetId="0"/>
      <sheetData sheetId="1">
        <row r="8">
          <cell r="D8" t="str">
            <v>Nom du projet</v>
          </cell>
        </row>
      </sheetData>
      <sheetData sheetId="2"/>
      <sheetData sheetId="3"/>
      <sheetData sheetId="4"/>
      <sheetData sheetId="5">
        <row r="1">
          <cell r="Y1" t="str">
            <v>Comptage des pts DS</v>
          </cell>
        </row>
        <row r="10">
          <cell r="J10">
            <v>1</v>
          </cell>
        </row>
        <row r="11">
          <cell r="J11">
            <v>1</v>
          </cell>
        </row>
        <row r="12">
          <cell r="J12">
            <v>2</v>
          </cell>
        </row>
        <row r="13">
          <cell r="J13">
            <v>0</v>
          </cell>
        </row>
        <row r="14">
          <cell r="J14">
            <v>1</v>
          </cell>
        </row>
        <row r="15">
          <cell r="J15">
            <v>0</v>
          </cell>
        </row>
        <row r="16">
          <cell r="J16">
            <v>0</v>
          </cell>
        </row>
        <row r="17">
          <cell r="J17">
            <v>0</v>
          </cell>
        </row>
        <row r="18">
          <cell r="J18">
            <v>0</v>
          </cell>
        </row>
        <row r="19">
          <cell r="J19" t="str">
            <v>Atteint en DS</v>
          </cell>
        </row>
        <row r="20">
          <cell r="J20">
            <v>0</v>
          </cell>
        </row>
        <row r="21">
          <cell r="J21">
            <v>0</v>
          </cell>
        </row>
        <row r="22">
          <cell r="J22">
            <v>0</v>
          </cell>
        </row>
        <row r="23">
          <cell r="J23">
            <v>0</v>
          </cell>
        </row>
        <row r="24">
          <cell r="J24">
            <v>1</v>
          </cell>
        </row>
        <row r="25">
          <cell r="J25">
            <v>0</v>
          </cell>
        </row>
        <row r="26">
          <cell r="J26">
            <v>0</v>
          </cell>
        </row>
        <row r="27">
          <cell r="J27">
            <v>0</v>
          </cell>
        </row>
        <row r="28">
          <cell r="J28">
            <v>0</v>
          </cell>
        </row>
        <row r="29">
          <cell r="J29">
            <v>0</v>
          </cell>
        </row>
        <row r="30">
          <cell r="J30">
            <v>0</v>
          </cell>
        </row>
        <row r="31">
          <cell r="J31">
            <v>1</v>
          </cell>
        </row>
        <row r="32">
          <cell r="J32">
            <v>0</v>
          </cell>
        </row>
        <row r="33">
          <cell r="J33">
            <v>1</v>
          </cell>
        </row>
        <row r="34">
          <cell r="J34">
            <v>0</v>
          </cell>
        </row>
        <row r="35">
          <cell r="J35">
            <v>0</v>
          </cell>
        </row>
        <row r="36">
          <cell r="J36">
            <v>0</v>
          </cell>
        </row>
        <row r="37">
          <cell r="J37">
            <v>0</v>
          </cell>
        </row>
        <row r="38">
          <cell r="J38">
            <v>0</v>
          </cell>
        </row>
        <row r="39">
          <cell r="J39">
            <v>0</v>
          </cell>
        </row>
        <row r="40">
          <cell r="J40" t="str">
            <v>Atteint en DS</v>
          </cell>
        </row>
        <row r="41">
          <cell r="J41">
            <v>8</v>
          </cell>
        </row>
        <row r="42">
          <cell r="J42">
            <v>0</v>
          </cell>
        </row>
        <row r="43">
          <cell r="J43">
            <v>0</v>
          </cell>
        </row>
        <row r="44">
          <cell r="J44">
            <v>1</v>
          </cell>
        </row>
        <row r="45">
          <cell r="J45">
            <v>0</v>
          </cell>
        </row>
        <row r="46">
          <cell r="J46">
            <v>0</v>
          </cell>
        </row>
        <row r="47">
          <cell r="J47">
            <v>0</v>
          </cell>
        </row>
        <row r="48">
          <cell r="J48">
            <v>0</v>
          </cell>
        </row>
        <row r="49">
          <cell r="J49">
            <v>0</v>
          </cell>
        </row>
        <row r="50">
          <cell r="J50">
            <v>0</v>
          </cell>
        </row>
        <row r="51">
          <cell r="J51">
            <v>1</v>
          </cell>
        </row>
        <row r="52">
          <cell r="J52">
            <v>0</v>
          </cell>
        </row>
        <row r="53">
          <cell r="J53">
            <v>0</v>
          </cell>
        </row>
        <row r="54">
          <cell r="J54">
            <v>0</v>
          </cell>
        </row>
        <row r="55">
          <cell r="J55" t="str">
            <v>Atteint en DS</v>
          </cell>
        </row>
        <row r="56">
          <cell r="J56">
            <v>1</v>
          </cell>
        </row>
        <row r="57">
          <cell r="J57">
            <v>1</v>
          </cell>
        </row>
        <row r="58">
          <cell r="J58">
            <v>0</v>
          </cell>
        </row>
        <row r="59">
          <cell r="J59">
            <v>1</v>
          </cell>
        </row>
        <row r="60">
          <cell r="J60">
            <v>1</v>
          </cell>
        </row>
        <row r="61">
          <cell r="J61">
            <v>0</v>
          </cell>
        </row>
        <row r="62">
          <cell r="J62">
            <v>0</v>
          </cell>
        </row>
        <row r="63">
          <cell r="J63">
            <v>0</v>
          </cell>
        </row>
        <row r="64">
          <cell r="J64">
            <v>0</v>
          </cell>
        </row>
        <row r="65">
          <cell r="J65">
            <v>0</v>
          </cell>
        </row>
        <row r="66">
          <cell r="J66">
            <v>0</v>
          </cell>
        </row>
        <row r="67">
          <cell r="J67">
            <v>0</v>
          </cell>
        </row>
        <row r="68">
          <cell r="J68" t="str">
            <v>Atteint en DS</v>
          </cell>
        </row>
        <row r="69">
          <cell r="J69">
            <v>2</v>
          </cell>
        </row>
        <row r="70">
          <cell r="J70">
            <v>1</v>
          </cell>
        </row>
        <row r="71">
          <cell r="J71">
            <v>0</v>
          </cell>
        </row>
        <row r="72">
          <cell r="J72">
            <v>0</v>
          </cell>
        </row>
        <row r="73">
          <cell r="J73">
            <v>0</v>
          </cell>
        </row>
        <row r="74">
          <cell r="J74">
            <v>1</v>
          </cell>
        </row>
        <row r="75">
          <cell r="J75">
            <v>0</v>
          </cell>
        </row>
        <row r="76">
          <cell r="J76">
            <v>0</v>
          </cell>
        </row>
        <row r="77">
          <cell r="J77">
            <v>0</v>
          </cell>
        </row>
        <row r="78">
          <cell r="J78">
            <v>0</v>
          </cell>
        </row>
        <row r="79">
          <cell r="J79">
            <v>0</v>
          </cell>
        </row>
        <row r="80">
          <cell r="J80" t="str">
            <v>Atteint en DS</v>
          </cell>
        </row>
        <row r="81">
          <cell r="J81">
            <v>2</v>
          </cell>
        </row>
        <row r="82">
          <cell r="J82">
            <v>0</v>
          </cell>
        </row>
        <row r="83">
          <cell r="J83">
            <v>0</v>
          </cell>
        </row>
        <row r="84">
          <cell r="J84">
            <v>0</v>
          </cell>
        </row>
        <row r="85">
          <cell r="J85">
            <v>0</v>
          </cell>
        </row>
        <row r="86">
          <cell r="J86">
            <v>0</v>
          </cell>
        </row>
        <row r="87">
          <cell r="J87">
            <v>0</v>
          </cell>
        </row>
        <row r="88">
          <cell r="J88">
            <v>0</v>
          </cell>
        </row>
        <row r="89">
          <cell r="J89">
            <v>0</v>
          </cell>
        </row>
        <row r="90">
          <cell r="J90">
            <v>0</v>
          </cell>
        </row>
        <row r="91">
          <cell r="J91">
            <v>0</v>
          </cell>
        </row>
        <row r="92">
          <cell r="J92">
            <v>0</v>
          </cell>
        </row>
        <row r="93">
          <cell r="J93" t="str">
            <v>Atteint en DS</v>
          </cell>
        </row>
        <row r="94">
          <cell r="J94">
            <v>3</v>
          </cell>
        </row>
        <row r="95">
          <cell r="J95">
            <v>0</v>
          </cell>
        </row>
        <row r="96">
          <cell r="J96">
            <v>0</v>
          </cell>
        </row>
        <row r="97">
          <cell r="J97">
            <v>1</v>
          </cell>
        </row>
        <row r="98">
          <cell r="J98">
            <v>0</v>
          </cell>
        </row>
        <row r="99">
          <cell r="J99">
            <v>0</v>
          </cell>
        </row>
        <row r="100">
          <cell r="J100">
            <v>0</v>
          </cell>
        </row>
        <row r="101">
          <cell r="J101">
            <v>0</v>
          </cell>
        </row>
        <row r="102">
          <cell r="J102">
            <v>0</v>
          </cell>
        </row>
        <row r="103">
          <cell r="J103">
            <v>0</v>
          </cell>
        </row>
        <row r="104">
          <cell r="J104" t="str">
            <v>Atteint en DS</v>
          </cell>
        </row>
        <row r="105">
          <cell r="J105">
            <v>1</v>
          </cell>
        </row>
        <row r="106">
          <cell r="J106">
            <v>1</v>
          </cell>
        </row>
        <row r="107">
          <cell r="J107">
            <v>1</v>
          </cell>
        </row>
        <row r="108">
          <cell r="J108">
            <v>1</v>
          </cell>
        </row>
        <row r="109">
          <cell r="J109">
            <v>0</v>
          </cell>
        </row>
        <row r="110">
          <cell r="J110">
            <v>0</v>
          </cell>
        </row>
        <row r="111">
          <cell r="J111">
            <v>0</v>
          </cell>
        </row>
        <row r="112">
          <cell r="J112" t="str">
            <v>Atteint en DS</v>
          </cell>
        </row>
        <row r="113">
          <cell r="J113">
            <v>1</v>
          </cell>
        </row>
        <row r="114">
          <cell r="J114">
            <v>0</v>
          </cell>
        </row>
        <row r="115">
          <cell r="J115">
            <v>0</v>
          </cell>
        </row>
        <row r="116">
          <cell r="J116">
            <v>0</v>
          </cell>
        </row>
        <row r="117">
          <cell r="J117">
            <v>0</v>
          </cell>
        </row>
        <row r="118">
          <cell r="J118">
            <v>2</v>
          </cell>
        </row>
        <row r="119">
          <cell r="J119">
            <v>1</v>
          </cell>
        </row>
        <row r="120">
          <cell r="J120">
            <v>1</v>
          </cell>
        </row>
        <row r="121">
          <cell r="J121">
            <v>1</v>
          </cell>
        </row>
        <row r="135">
          <cell r="C135">
            <v>0</v>
          </cell>
        </row>
      </sheetData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"/>
  <sheetViews>
    <sheetView workbookViewId="0">
      <selection activeCell="D2" sqref="D2"/>
    </sheetView>
  </sheetViews>
  <sheetFormatPr baseColWidth="10" defaultColWidth="21" defaultRowHeight="15" x14ac:dyDescent="0.25"/>
  <cols>
    <col min="1" max="16384" width="21" style="2"/>
  </cols>
  <sheetData>
    <row r="1" spans="1:5" ht="60" x14ac:dyDescent="0.25">
      <c r="A1" s="3" t="s">
        <v>43</v>
      </c>
      <c r="B1" s="1" t="s">
        <v>0</v>
      </c>
      <c r="C1" s="1" t="s">
        <v>1</v>
      </c>
      <c r="D1" s="3" t="s">
        <v>53</v>
      </c>
    </row>
    <row r="2" spans="1:5" x14ac:dyDescent="0.25">
      <c r="A2" s="2">
        <v>20</v>
      </c>
      <c r="B2" s="2" t="s">
        <v>20</v>
      </c>
      <c r="C2" s="2">
        <f>VLOOKUP(B2,Données!A1:B35,2,FALSE)</f>
        <v>545</v>
      </c>
      <c r="D2" s="2" t="str">
        <f>IF(AND(A2&lt;70,C2&lt;40),3,IF(AND(A2&lt;70,C2&lt;70),2,IF(AND(A2&lt;70,C2&lt;100),1,IF(AND(A2&gt;70,C2&lt;50),3,IF(AND(A2&gt;70,C2&lt;80),2,IF(AND(A2&gt;70,C2&lt;120),1,"Non accrédité"))))))</f>
        <v>Non accrédité</v>
      </c>
    </row>
    <row r="3" spans="1:5" x14ac:dyDescent="0.25">
      <c r="A3" s="10"/>
    </row>
    <row r="7" spans="1:5" s="1" customFormat="1" ht="61.5" customHeight="1" x14ac:dyDescent="0.25">
      <c r="A7" s="11"/>
      <c r="B7" s="11"/>
      <c r="C7" s="11"/>
      <c r="D7" s="11"/>
      <c r="E7" s="11"/>
    </row>
    <row r="8" spans="1:5" x14ac:dyDescent="0.25">
      <c r="A8" s="10"/>
      <c r="B8" s="10"/>
      <c r="C8" s="10"/>
      <c r="D8" s="10"/>
      <c r="E8" s="10"/>
    </row>
    <row r="9" spans="1:5" x14ac:dyDescent="0.25">
      <c r="B9" s="10"/>
      <c r="C9" s="10"/>
      <c r="D9" s="10"/>
      <c r="E9" s="10"/>
    </row>
    <row r="10" spans="1:5" x14ac:dyDescent="0.25">
      <c r="B10" s="10"/>
      <c r="C10" s="10"/>
      <c r="D10" s="10"/>
      <c r="E10" s="10"/>
    </row>
    <row r="11" spans="1:5" x14ac:dyDescent="0.25">
      <c r="B11" s="10"/>
      <c r="C11" s="10"/>
      <c r="D11" s="10"/>
      <c r="E11" s="10"/>
    </row>
    <row r="12" spans="1:5" x14ac:dyDescent="0.25">
      <c r="B12" s="10"/>
      <c r="C12" s="10"/>
      <c r="D12" s="10"/>
      <c r="E12" s="10"/>
    </row>
    <row r="13" spans="1:5" x14ac:dyDescent="0.25">
      <c r="B13" s="10"/>
      <c r="C13" s="10"/>
      <c r="D13" s="10"/>
      <c r="E13" s="10"/>
    </row>
    <row r="14" spans="1:5" x14ac:dyDescent="0.25">
      <c r="B14" s="10"/>
      <c r="C14" s="10"/>
      <c r="D14" s="10"/>
      <c r="E14" s="10"/>
    </row>
    <row r="15" spans="1:5" x14ac:dyDescent="0.25">
      <c r="B15" s="10"/>
      <c r="C15" s="10"/>
      <c r="D15" s="9"/>
      <c r="E15" s="10"/>
    </row>
    <row r="16" spans="1:5" x14ac:dyDescent="0.25">
      <c r="B16" s="10"/>
      <c r="C16" s="10"/>
      <c r="D16" s="10"/>
    </row>
    <row r="17" spans="1:5" x14ac:dyDescent="0.25">
      <c r="B17" s="10"/>
      <c r="C17" s="10"/>
      <c r="D17" s="10"/>
    </row>
    <row r="18" spans="1:5" x14ac:dyDescent="0.25">
      <c r="B18" s="10"/>
      <c r="C18" s="10"/>
      <c r="D18" s="10"/>
    </row>
    <row r="19" spans="1:5" x14ac:dyDescent="0.25">
      <c r="A19" s="10"/>
      <c r="B19" s="10"/>
      <c r="C19" s="10"/>
      <c r="D19" s="10"/>
      <c r="E19" s="10"/>
    </row>
    <row r="20" spans="1:5" x14ac:dyDescent="0.25">
      <c r="B20" s="10"/>
      <c r="C20" s="10"/>
      <c r="D20" s="10"/>
      <c r="E20" s="10"/>
    </row>
    <row r="21" spans="1:5" x14ac:dyDescent="0.25">
      <c r="B21" s="10"/>
      <c r="C21" s="10"/>
      <c r="D21" s="10"/>
    </row>
    <row r="22" spans="1:5" x14ac:dyDescent="0.25">
      <c r="B22" s="10"/>
      <c r="C22" s="10"/>
      <c r="D22" s="10"/>
    </row>
    <row r="23" spans="1:5" x14ac:dyDescent="0.25">
      <c r="B23" s="10"/>
      <c r="C23" s="10"/>
      <c r="D23" s="10"/>
    </row>
    <row r="24" spans="1:5" x14ac:dyDescent="0.25">
      <c r="B24" s="10"/>
      <c r="C24" s="10"/>
      <c r="D24" s="10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Données!$A$1:$A$35</xm:f>
          </x14:formula1>
          <xm:sqref>E8</xm:sqref>
        </x14:dataValidation>
        <x14:dataValidation type="list" allowBlank="1" showInputMessage="1" showErrorMessage="1">
          <x14:formula1>
            <xm:f>Données!$A$1:$A$35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workbookViewId="0">
      <selection activeCell="B33" sqref="B33"/>
    </sheetView>
  </sheetViews>
  <sheetFormatPr baseColWidth="10" defaultColWidth="9.140625" defaultRowHeight="15" x14ac:dyDescent="0.25"/>
  <cols>
    <col min="1" max="1" width="16.7109375" style="2" customWidth="1"/>
    <col min="2" max="2" width="14.85546875" style="2" customWidth="1"/>
    <col min="3" max="3" width="15.7109375" style="2" customWidth="1"/>
    <col min="4" max="4" width="9.140625" style="2"/>
    <col min="5" max="5" width="18.7109375" style="2" customWidth="1"/>
    <col min="6" max="6" width="15.7109375" style="2" customWidth="1"/>
    <col min="7" max="7" width="13.28515625" style="2" customWidth="1"/>
    <col min="8" max="16384" width="9.140625" style="2"/>
  </cols>
  <sheetData>
    <row r="1" spans="1:7" s="1" customFormat="1" ht="90.75" customHeight="1" x14ac:dyDescent="0.35">
      <c r="A1" s="3" t="s">
        <v>43</v>
      </c>
      <c r="B1" s="4" t="s">
        <v>38</v>
      </c>
      <c r="C1" s="4" t="s">
        <v>37</v>
      </c>
      <c r="D1" s="3" t="s">
        <v>0</v>
      </c>
      <c r="E1" s="1" t="s">
        <v>1</v>
      </c>
      <c r="F1" s="1" t="s">
        <v>39</v>
      </c>
      <c r="G1" s="3" t="s">
        <v>53</v>
      </c>
    </row>
    <row r="2" spans="1:7" x14ac:dyDescent="0.25">
      <c r="A2" s="2">
        <v>200</v>
      </c>
      <c r="B2" s="2">
        <f>5000</f>
        <v>5000</v>
      </c>
      <c r="C2" s="2">
        <f>5500</f>
        <v>5500</v>
      </c>
      <c r="D2" s="2" t="s">
        <v>2</v>
      </c>
      <c r="E2" s="2">
        <f>VLOOKUP(D2,Données!A1:B35,2,FALSE)</f>
        <v>140</v>
      </c>
      <c r="F2" s="2">
        <f>(E2*B2)/C2</f>
        <v>127.27272727272727</v>
      </c>
      <c r="G2" s="2" t="str">
        <f>IF(AND(A2&lt;70,F2&lt;40),3,IF(AND(A2&lt;70,F2&lt;70),2,IF(AND(A2&lt;70,F2&lt;100),1,IF(AND(A2&gt;70,F2&lt;50),3,IF(AND(A2&gt;70,F2&lt;80),2,IF(AND(A2&gt;70,F2&lt;120),1,"Non accrédité"))))))</f>
        <v>Non accrédité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Données!$A$1:$A$35</xm:f>
          </x14:formula1>
          <xm:sqref>D2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"/>
  <sheetViews>
    <sheetView workbookViewId="0">
      <selection activeCell="F2" sqref="F2"/>
    </sheetView>
  </sheetViews>
  <sheetFormatPr baseColWidth="10" defaultColWidth="9.140625" defaultRowHeight="15" x14ac:dyDescent="0.25"/>
  <cols>
    <col min="1" max="1" width="17.7109375" customWidth="1"/>
    <col min="4" max="4" width="20.28515625" customWidth="1"/>
    <col min="5" max="5" width="18.5703125" customWidth="1"/>
    <col min="6" max="6" width="12.85546875" customWidth="1"/>
  </cols>
  <sheetData>
    <row r="1" spans="1:6" ht="79.5" customHeight="1" x14ac:dyDescent="0.35">
      <c r="A1" s="3" t="s">
        <v>43</v>
      </c>
      <c r="B1" s="5" t="s">
        <v>47</v>
      </c>
      <c r="C1" s="3" t="s">
        <v>0</v>
      </c>
      <c r="D1" s="1" t="s">
        <v>1</v>
      </c>
      <c r="E1" s="1" t="s">
        <v>39</v>
      </c>
      <c r="F1" s="3" t="s">
        <v>53</v>
      </c>
    </row>
    <row r="2" spans="1:6" x14ac:dyDescent="0.25">
      <c r="A2">
        <v>145</v>
      </c>
      <c r="B2">
        <v>8</v>
      </c>
      <c r="C2" t="s">
        <v>11</v>
      </c>
      <c r="D2">
        <f>VLOOKUP(C2,Données!A1:B35,2,FALSE)</f>
        <v>355</v>
      </c>
      <c r="E2">
        <f>D2/B2</f>
        <v>44.375</v>
      </c>
      <c r="F2">
        <f>IF(AND(A2&lt;70,E2&lt;40),3,IF(AND(A2&lt;70,E2&lt;70),2,IF(AND(A2&lt;70,E2&lt;100),1,IF(AND(A2&gt;70,E2&lt;50),3,IF(AND(A2&gt;70,E2&lt;80),2,IF(AND(A2&gt;70,E2&lt;120),1,"Non accrédité"))))))</f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Données!$A$1:$A$35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"/>
  <sheetViews>
    <sheetView workbookViewId="0">
      <selection activeCell="H2" sqref="H2"/>
    </sheetView>
  </sheetViews>
  <sheetFormatPr baseColWidth="10" defaultRowHeight="15" x14ac:dyDescent="0.25"/>
  <cols>
    <col min="1" max="1" width="12.5703125" customWidth="1"/>
    <col min="5" max="5" width="13.5703125" customWidth="1"/>
    <col min="6" max="6" width="13.7109375" customWidth="1"/>
    <col min="7" max="7" width="12.28515625" customWidth="1"/>
    <col min="8" max="8" width="13.28515625" customWidth="1"/>
    <col min="9" max="9" width="13.28515625" bestFit="1" customWidth="1"/>
  </cols>
  <sheetData>
    <row r="1" spans="1:8" ht="108" customHeight="1" x14ac:dyDescent="0.25">
      <c r="A1" s="3" t="s">
        <v>43</v>
      </c>
      <c r="B1" s="3" t="s">
        <v>41</v>
      </c>
      <c r="C1" s="3" t="s">
        <v>40</v>
      </c>
      <c r="D1" s="3" t="s">
        <v>0</v>
      </c>
      <c r="E1" s="3" t="s">
        <v>44</v>
      </c>
      <c r="F1" s="3" t="s">
        <v>45</v>
      </c>
      <c r="G1" s="3" t="s">
        <v>42</v>
      </c>
      <c r="H1" s="3" t="s">
        <v>53</v>
      </c>
    </row>
    <row r="2" spans="1:8" x14ac:dyDescent="0.25">
      <c r="A2">
        <v>60</v>
      </c>
      <c r="B2">
        <v>50000</v>
      </c>
      <c r="C2">
        <v>55000</v>
      </c>
      <c r="D2" t="s">
        <v>8</v>
      </c>
      <c r="E2">
        <f>VLOOKUP(D2,Données!A1:B35,2,FALSE)</f>
        <v>570</v>
      </c>
      <c r="F2">
        <v>50</v>
      </c>
      <c r="G2">
        <f>(F2*10^9-B2*10^3*E2)/(C2*10^3)</f>
        <v>390.90909090909093</v>
      </c>
      <c r="H2" t="str">
        <f>IF(AND(A2&lt;70,G2&lt;40),3,IF(AND(A2&lt;70,G2&lt;70),2,IF(AND(A2&lt;70,G2&lt;100),1,IF(AND(A2&gt;70,G2&lt;50),3,IF(AND(A2&gt;70,G2&lt;80),2,IF(AND(A2&gt;70,G2&lt;120),1,"Non atteint"))))))</f>
        <v>Non atteint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Données!$A$1:$A$35</xm:f>
          </x14:formula1>
          <xm:sqref>D2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CC66FF"/>
  </sheetPr>
  <dimension ref="A1:K10"/>
  <sheetViews>
    <sheetView workbookViewId="0">
      <selection activeCell="G23" sqref="G23"/>
    </sheetView>
  </sheetViews>
  <sheetFormatPr baseColWidth="10" defaultRowHeight="15" x14ac:dyDescent="0.25"/>
  <cols>
    <col min="4" max="4" width="23.140625" customWidth="1"/>
    <col min="5" max="6" width="18.28515625" customWidth="1"/>
    <col min="7" max="7" width="20.42578125" customWidth="1"/>
    <col min="8" max="8" width="23" bestFit="1" customWidth="1"/>
    <col min="9" max="9" width="21" customWidth="1"/>
    <col min="10" max="10" width="21.85546875" customWidth="1"/>
  </cols>
  <sheetData>
    <row r="1" spans="1:11" ht="108" x14ac:dyDescent="0.25">
      <c r="B1" s="3" t="s">
        <v>43</v>
      </c>
      <c r="C1" s="3" t="s">
        <v>48</v>
      </c>
      <c r="D1" s="3" t="s">
        <v>41</v>
      </c>
      <c r="E1" s="3" t="s">
        <v>40</v>
      </c>
      <c r="F1" s="3" t="s">
        <v>47</v>
      </c>
      <c r="G1" s="3" t="s">
        <v>0</v>
      </c>
      <c r="H1" s="3" t="s">
        <v>44</v>
      </c>
      <c r="I1" s="3" t="s">
        <v>45</v>
      </c>
      <c r="J1" s="3" t="s">
        <v>42</v>
      </c>
      <c r="K1" s="3" t="s">
        <v>68</v>
      </c>
    </row>
    <row r="2" spans="1:11" ht="45" x14ac:dyDescent="0.25">
      <c r="A2" s="6" t="s">
        <v>67</v>
      </c>
      <c r="B2" s="26" t="s">
        <v>72</v>
      </c>
      <c r="C2" s="28" t="s">
        <v>73</v>
      </c>
      <c r="D2" s="26" t="s">
        <v>73</v>
      </c>
      <c r="E2" s="26" t="s">
        <v>73</v>
      </c>
      <c r="F2" s="26" t="s">
        <v>73</v>
      </c>
      <c r="G2" s="26" t="s">
        <v>74</v>
      </c>
      <c r="H2" s="28" t="s">
        <v>75</v>
      </c>
      <c r="I2" s="28" t="s">
        <v>73</v>
      </c>
      <c r="J2" s="28" t="s">
        <v>73</v>
      </c>
      <c r="K2" s="29" t="s">
        <v>76</v>
      </c>
    </row>
    <row r="3" spans="1:11" x14ac:dyDescent="0.25">
      <c r="A3" s="6" t="s">
        <v>51</v>
      </c>
      <c r="B3" s="28" t="s">
        <v>72</v>
      </c>
      <c r="C3" s="28" t="s">
        <v>72</v>
      </c>
      <c r="D3" s="28" t="s">
        <v>73</v>
      </c>
      <c r="E3" s="28" t="s">
        <v>73</v>
      </c>
      <c r="F3" s="28" t="s">
        <v>73</v>
      </c>
      <c r="G3" s="28" t="s">
        <v>73</v>
      </c>
      <c r="H3" s="28" t="s">
        <v>73</v>
      </c>
      <c r="I3" s="28" t="s">
        <v>73</v>
      </c>
      <c r="J3" s="28" t="s">
        <v>76</v>
      </c>
      <c r="K3" s="29" t="s">
        <v>76</v>
      </c>
    </row>
    <row r="4" spans="1:11" ht="30" x14ac:dyDescent="0.25">
      <c r="A4" s="6" t="s">
        <v>69</v>
      </c>
      <c r="B4" s="28" t="s">
        <v>72</v>
      </c>
      <c r="C4" s="28" t="s">
        <v>73</v>
      </c>
      <c r="D4" s="28" t="s">
        <v>72</v>
      </c>
      <c r="E4" s="28" t="s">
        <v>72</v>
      </c>
      <c r="F4" s="28" t="s">
        <v>73</v>
      </c>
      <c r="G4" s="26" t="s">
        <v>74</v>
      </c>
      <c r="H4" s="28" t="s">
        <v>75</v>
      </c>
      <c r="I4" s="28" t="s">
        <v>73</v>
      </c>
      <c r="J4" s="28" t="s">
        <v>76</v>
      </c>
      <c r="K4" s="29" t="s">
        <v>76</v>
      </c>
    </row>
    <row r="5" spans="1:11" ht="45" x14ac:dyDescent="0.25">
      <c r="A5" s="6" t="s">
        <v>70</v>
      </c>
      <c r="B5" s="28" t="s">
        <v>72</v>
      </c>
      <c r="C5" s="28" t="s">
        <v>73</v>
      </c>
      <c r="D5" s="28" t="s">
        <v>73</v>
      </c>
      <c r="E5" s="28" t="s">
        <v>73</v>
      </c>
      <c r="F5" s="28" t="s">
        <v>72</v>
      </c>
      <c r="G5" s="26" t="s">
        <v>74</v>
      </c>
      <c r="H5" s="28" t="s">
        <v>75</v>
      </c>
      <c r="I5" s="28" t="s">
        <v>73</v>
      </c>
      <c r="J5" s="28" t="s">
        <v>76</v>
      </c>
      <c r="K5" s="29" t="s">
        <v>76</v>
      </c>
    </row>
    <row r="6" spans="1:11" ht="30" x14ac:dyDescent="0.25">
      <c r="A6" s="6" t="s">
        <v>71</v>
      </c>
      <c r="B6" s="28" t="s">
        <v>72</v>
      </c>
      <c r="C6" s="28" t="s">
        <v>73</v>
      </c>
      <c r="D6" s="28" t="s">
        <v>72</v>
      </c>
      <c r="E6" s="28" t="s">
        <v>72</v>
      </c>
      <c r="F6" s="28" t="s">
        <v>73</v>
      </c>
      <c r="G6" s="26" t="s">
        <v>74</v>
      </c>
      <c r="H6" s="28" t="s">
        <v>75</v>
      </c>
      <c r="I6" s="28" t="s">
        <v>72</v>
      </c>
      <c r="J6" s="28" t="s">
        <v>76</v>
      </c>
      <c r="K6" s="29" t="s">
        <v>76</v>
      </c>
    </row>
    <row r="7" spans="1:11" x14ac:dyDescent="0.25">
      <c r="B7" s="28"/>
      <c r="C7" s="28"/>
      <c r="D7" s="28"/>
      <c r="E7" s="28"/>
      <c r="F7" s="28"/>
      <c r="G7" s="28"/>
      <c r="H7" s="28"/>
      <c r="I7" s="28"/>
      <c r="J7" s="28"/>
      <c r="K7" s="29"/>
    </row>
    <row r="8" spans="1:11" x14ac:dyDescent="0.25">
      <c r="B8" s="28"/>
      <c r="C8" s="28"/>
      <c r="D8" s="28"/>
      <c r="E8" s="28"/>
      <c r="F8" s="28"/>
      <c r="G8" s="28"/>
      <c r="H8" s="28"/>
      <c r="I8" s="28"/>
      <c r="J8" s="28"/>
      <c r="K8" s="29"/>
    </row>
    <row r="9" spans="1:11" x14ac:dyDescent="0.25">
      <c r="B9" s="27"/>
      <c r="C9" s="27"/>
      <c r="D9" s="27"/>
      <c r="E9" s="27"/>
      <c r="F9" s="27"/>
      <c r="G9" s="27"/>
      <c r="H9" s="27"/>
      <c r="I9" s="27"/>
      <c r="J9" s="27"/>
    </row>
    <row r="10" spans="1:11" x14ac:dyDescent="0.25">
      <c r="B10" s="27"/>
      <c r="C10" s="27"/>
      <c r="D10" s="27"/>
      <c r="E10" s="27"/>
      <c r="F10" s="27"/>
      <c r="G10" s="27"/>
      <c r="H10" s="27"/>
      <c r="I10" s="27"/>
      <c r="J10" s="27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M8"/>
  <sheetViews>
    <sheetView workbookViewId="0">
      <selection activeCell="D5" sqref="D5"/>
    </sheetView>
  </sheetViews>
  <sheetFormatPr baseColWidth="10" defaultRowHeight="15" x14ac:dyDescent="0.25"/>
  <cols>
    <col min="1" max="1" width="15.42578125" style="6" customWidth="1"/>
    <col min="2" max="3" width="14.7109375" style="6" customWidth="1"/>
    <col min="4" max="6" width="11.42578125" style="6"/>
    <col min="7" max="7" width="15.140625" style="6" customWidth="1"/>
    <col min="8" max="8" width="12.5703125" style="6" customWidth="1"/>
    <col min="9" max="11" width="11.42578125" style="6"/>
    <col min="12" max="12" width="16.42578125" style="6" bestFit="1" customWidth="1"/>
    <col min="13" max="13" width="17.85546875" style="6" customWidth="1"/>
    <col min="14" max="16384" width="11.42578125" style="6"/>
  </cols>
  <sheetData>
    <row r="1" spans="1:13" s="3" customFormat="1" ht="103.5" customHeight="1" thickBot="1" x14ac:dyDescent="0.3">
      <c r="A1" s="21" t="s">
        <v>46</v>
      </c>
      <c r="B1" s="15" t="s">
        <v>52</v>
      </c>
      <c r="C1" s="15" t="s">
        <v>48</v>
      </c>
      <c r="D1" s="16" t="s">
        <v>47</v>
      </c>
      <c r="E1" s="15" t="s">
        <v>0</v>
      </c>
      <c r="F1" s="17" t="s">
        <v>1</v>
      </c>
      <c r="G1" s="15" t="s">
        <v>42</v>
      </c>
      <c r="H1" s="18" t="s">
        <v>53</v>
      </c>
    </row>
    <row r="2" spans="1:13" x14ac:dyDescent="0.25">
      <c r="A2" s="23" t="s">
        <v>51</v>
      </c>
      <c r="B2" s="19">
        <v>145</v>
      </c>
      <c r="C2" s="19">
        <v>153.44</v>
      </c>
      <c r="D2" s="19"/>
      <c r="E2" s="19"/>
      <c r="F2" s="19"/>
      <c r="G2" s="19">
        <v>36</v>
      </c>
      <c r="H2" s="20">
        <f>IF(AND(B2&lt;70,G2&lt;40),3,IF(AND(B2&lt;70,G2&lt;70),2,IF(AND(B2&lt;70,G2&lt;100),1,IF(AND(B2&gt;70,G2&lt;50),3,IF(AND(B2&gt;70,G2&lt;80),2,IF(AND(B2&gt;70,G2&lt;120),1,"Non atteint"))))))</f>
        <v>3</v>
      </c>
    </row>
    <row r="3" spans="1:13" x14ac:dyDescent="0.25">
      <c r="A3" s="24" t="s">
        <v>51</v>
      </c>
      <c r="B3" s="12">
        <v>145</v>
      </c>
      <c r="C3" s="12">
        <v>153.44</v>
      </c>
      <c r="D3" s="12"/>
      <c r="E3" s="12"/>
      <c r="F3" s="12"/>
      <c r="G3" s="12">
        <v>36</v>
      </c>
      <c r="H3" s="14">
        <f>IF(AND(B3&lt;70,G3&lt;40),3,IF(AND(B3&lt;70,G3&lt;70),2,IF(AND(B3&lt;70,G3&lt;100),1,IF(AND(B3&gt;70,G3&lt;50),3,IF(AND(B3&gt;70,G3&lt;80),2,IF(AND(B3&gt;70,G3&lt;120),1,"Non atteint"))))))</f>
        <v>3</v>
      </c>
    </row>
    <row r="4" spans="1:13" ht="21" x14ac:dyDescent="0.25">
      <c r="A4" s="24" t="s">
        <v>51</v>
      </c>
      <c r="B4" s="12">
        <v>145</v>
      </c>
      <c r="C4" s="12">
        <v>148.72</v>
      </c>
      <c r="D4" s="12"/>
      <c r="E4" s="12"/>
      <c r="F4" s="12"/>
      <c r="G4" s="12">
        <v>35</v>
      </c>
      <c r="H4" s="14">
        <f>IF(AND(B4&lt;70,G4&lt;40),3,IF(AND(B4&lt;70,G4&lt;70),2,IF(AND(B4&lt;70,G4&lt;100),1,IF(AND(B4&gt;70,G4&lt;50),3,IF(AND(B4&gt;70,G4&lt;80),2,IF(AND(B4&gt;70,G4&lt;120),1,"Non atteint"))))))</f>
        <v>3</v>
      </c>
      <c r="L4" s="7" t="s">
        <v>50</v>
      </c>
      <c r="M4" s="7" t="s">
        <v>53</v>
      </c>
    </row>
    <row r="5" spans="1:13" ht="18.75" x14ac:dyDescent="0.25">
      <c r="A5" s="24" t="s">
        <v>57</v>
      </c>
      <c r="B5" s="12">
        <f>4.34</f>
        <v>4.34</v>
      </c>
      <c r="C5" s="12">
        <f>16.55</f>
        <v>16.55</v>
      </c>
      <c r="D5" s="12">
        <f>3.81</f>
        <v>3.81</v>
      </c>
      <c r="E5" s="12" t="s">
        <v>11</v>
      </c>
      <c r="F5" s="12">
        <f>VLOOKUP(E5,Données!A1:B35,2,FALSE)</f>
        <v>355</v>
      </c>
      <c r="G5" s="12">
        <f>F5/D5</f>
        <v>93.175853018372706</v>
      </c>
      <c r="H5" s="22">
        <f t="shared" ref="H5" si="0">IF(AND(B5&lt;70,G5&lt;40),3,IF(AND(B5&lt;70,G5&lt;70),2,IF(AND(B5&lt;70,G5&lt;100),1,IF(AND(B5&gt;70,G5&lt;50),3,IF(AND(B5&gt;70,G5&lt;80),2,IF(AND(B5&gt;70,G5&lt;120),1,"Non atteint"))))))</f>
        <v>1</v>
      </c>
      <c r="L5" s="8">
        <f>((G2*(C2/C8))+(G3*(C3/C8))+(G5*(C5/C8)))</f>
        <v>38.925703761104629</v>
      </c>
      <c r="M5" s="8">
        <f>IF(AND(C8&lt;70,L5&lt;40),3,IF(AND(C8&lt;70,L5&lt;70),2,IF(AND(C8&lt;70,L5&lt;100),1,IF(AND(C8&gt;70,L5&lt;50),3,IF(AND(C8&gt;70,L5&lt;80),2,IF(AND(C8&gt;70,L5&lt;120),1,"Non atteint"))))))</f>
        <v>3</v>
      </c>
    </row>
    <row r="6" spans="1:13" x14ac:dyDescent="0.25">
      <c r="A6" s="25"/>
    </row>
    <row r="7" spans="1:13" x14ac:dyDescent="0.25">
      <c r="A7" s="25"/>
    </row>
    <row r="8" spans="1:13" ht="31.5" x14ac:dyDescent="0.25">
      <c r="A8" s="13" t="s">
        <v>49</v>
      </c>
      <c r="C8" s="6">
        <f>SUM(C2,C3,C5:C5)</f>
        <v>323.43</v>
      </c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Données!$A$1:$A$35</xm:f>
          </x14:formula1>
          <xm:sqref>E5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D41"/>
  <sheetViews>
    <sheetView tabSelected="1" workbookViewId="0">
      <selection activeCell="E25" sqref="E25"/>
    </sheetView>
  </sheetViews>
  <sheetFormatPr baseColWidth="10" defaultRowHeight="15" x14ac:dyDescent="0.25"/>
  <cols>
    <col min="1" max="1" width="15.140625" style="2" customWidth="1"/>
    <col min="2" max="2" width="11.42578125" style="2"/>
    <col min="3" max="3" width="18" style="2" bestFit="1" customWidth="1"/>
    <col min="4" max="4" width="14.7109375" style="2" customWidth="1"/>
    <col min="5" max="5" width="16.7109375" style="2" customWidth="1"/>
    <col min="6" max="6" width="14.140625" style="2" customWidth="1"/>
    <col min="7" max="16384" width="11.42578125" style="2"/>
  </cols>
  <sheetData>
    <row r="1" spans="1:4" x14ac:dyDescent="0.25">
      <c r="A1" s="2" t="s">
        <v>2</v>
      </c>
      <c r="B1" s="2">
        <f>140</f>
        <v>140</v>
      </c>
    </row>
    <row r="2" spans="1:4" x14ac:dyDescent="0.25">
      <c r="A2" s="2" t="s">
        <v>3</v>
      </c>
      <c r="B2" s="2">
        <f>2720</f>
        <v>2720</v>
      </c>
    </row>
    <row r="3" spans="1:4" x14ac:dyDescent="0.25">
      <c r="A3" s="2" t="s">
        <v>4</v>
      </c>
      <c r="B3" s="2">
        <f>295</f>
        <v>295</v>
      </c>
    </row>
    <row r="4" spans="1:4" x14ac:dyDescent="0.25">
      <c r="A4" s="2" t="s">
        <v>5</v>
      </c>
      <c r="B4" s="2">
        <f>2100</f>
        <v>2100</v>
      </c>
    </row>
    <row r="5" spans="1:4" ht="103.5" customHeight="1" x14ac:dyDescent="0.25">
      <c r="A5" s="2" t="s">
        <v>6</v>
      </c>
      <c r="B5" s="2">
        <f>535</f>
        <v>535</v>
      </c>
      <c r="C5" s="1"/>
      <c r="D5" s="1"/>
    </row>
    <row r="6" spans="1:4" ht="87.75" customHeight="1" x14ac:dyDescent="0.25">
      <c r="A6" s="2" t="s">
        <v>7</v>
      </c>
      <c r="B6" s="2">
        <f>1315</f>
        <v>1315</v>
      </c>
      <c r="D6" s="3"/>
    </row>
    <row r="7" spans="1:4" x14ac:dyDescent="0.25">
      <c r="A7" s="2" t="s">
        <v>8</v>
      </c>
      <c r="B7" s="2">
        <f>570</f>
        <v>570</v>
      </c>
    </row>
    <row r="8" spans="1:4" x14ac:dyDescent="0.25">
      <c r="A8" s="2" t="s">
        <v>9</v>
      </c>
      <c r="B8" s="2">
        <f>1510</f>
        <v>1510</v>
      </c>
    </row>
    <row r="9" spans="1:4" x14ac:dyDescent="0.25">
      <c r="A9" s="2" t="s">
        <v>10</v>
      </c>
      <c r="B9" s="2">
        <f>405</f>
        <v>405</v>
      </c>
    </row>
    <row r="10" spans="1:4" x14ac:dyDescent="0.25">
      <c r="A10" s="2" t="s">
        <v>11</v>
      </c>
      <c r="B10" s="2">
        <f>355</f>
        <v>355</v>
      </c>
    </row>
    <row r="11" spans="1:4" x14ac:dyDescent="0.25">
      <c r="A11" s="2" t="s">
        <v>12</v>
      </c>
      <c r="B11" s="2">
        <f>435</f>
        <v>435</v>
      </c>
    </row>
    <row r="12" spans="1:4" x14ac:dyDescent="0.25">
      <c r="A12" s="2" t="s">
        <v>13</v>
      </c>
      <c r="B12" s="2">
        <f>2570</f>
        <v>2570</v>
      </c>
    </row>
    <row r="13" spans="1:4" x14ac:dyDescent="0.25">
      <c r="A13" s="2" t="s">
        <v>14</v>
      </c>
      <c r="B13" s="2">
        <f>675</f>
        <v>675</v>
      </c>
    </row>
    <row r="14" spans="1:4" x14ac:dyDescent="0.25">
      <c r="A14" s="2" t="s">
        <v>15</v>
      </c>
      <c r="B14" s="2">
        <f>10</f>
        <v>10</v>
      </c>
    </row>
    <row r="15" spans="1:4" x14ac:dyDescent="0.25">
      <c r="A15" s="2" t="s">
        <v>16</v>
      </c>
      <c r="B15" s="2">
        <f>1045</f>
        <v>1045</v>
      </c>
    </row>
    <row r="16" spans="1:4" x14ac:dyDescent="0.25">
      <c r="A16" s="2" t="s">
        <v>17</v>
      </c>
      <c r="B16" s="2">
        <f>220</f>
        <v>220</v>
      </c>
    </row>
    <row r="17" spans="1:2" x14ac:dyDescent="0.25">
      <c r="A17" s="2" t="s">
        <v>18</v>
      </c>
      <c r="B17" s="2">
        <f>295</f>
        <v>295</v>
      </c>
    </row>
    <row r="18" spans="1:2" x14ac:dyDescent="0.25">
      <c r="A18" s="2" t="s">
        <v>19</v>
      </c>
      <c r="B18" s="2">
        <f>B32</f>
        <v>300</v>
      </c>
    </row>
    <row r="19" spans="1:2" x14ac:dyDescent="0.25">
      <c r="A19" s="2" t="s">
        <v>20</v>
      </c>
      <c r="B19" s="2">
        <f>545</f>
        <v>545</v>
      </c>
    </row>
    <row r="20" spans="1:2" x14ac:dyDescent="0.25">
      <c r="A20" s="2" t="s">
        <v>21</v>
      </c>
      <c r="B20" s="2">
        <f>0</f>
        <v>0</v>
      </c>
    </row>
    <row r="21" spans="1:2" x14ac:dyDescent="0.25">
      <c r="A21" s="2" t="s">
        <v>22</v>
      </c>
      <c r="B21" s="2">
        <f>B10</f>
        <v>355</v>
      </c>
    </row>
    <row r="22" spans="1:2" x14ac:dyDescent="0.25">
      <c r="A22" s="2" t="s">
        <v>23</v>
      </c>
      <c r="B22" s="2">
        <f>255</f>
        <v>255</v>
      </c>
    </row>
    <row r="23" spans="1:2" x14ac:dyDescent="0.25">
      <c r="A23" s="2" t="s">
        <v>24</v>
      </c>
      <c r="B23" s="2">
        <f>10</f>
        <v>10</v>
      </c>
    </row>
    <row r="24" spans="1:2" x14ac:dyDescent="0.25">
      <c r="A24" s="2" t="s">
        <v>25</v>
      </c>
      <c r="B24" s="2">
        <f>1550</f>
        <v>1550</v>
      </c>
    </row>
    <row r="25" spans="1:2" x14ac:dyDescent="0.25">
      <c r="A25" s="2" t="s">
        <v>26</v>
      </c>
      <c r="B25" s="2">
        <f>855</f>
        <v>855</v>
      </c>
    </row>
    <row r="26" spans="1:2" x14ac:dyDescent="0.25">
      <c r="A26" s="2" t="s">
        <v>27</v>
      </c>
      <c r="B26" s="2">
        <f>2430</f>
        <v>2430</v>
      </c>
    </row>
    <row r="27" spans="1:2" ht="30" x14ac:dyDescent="0.25">
      <c r="A27" s="2" t="s">
        <v>28</v>
      </c>
      <c r="B27" s="2">
        <f>2300</f>
        <v>2300</v>
      </c>
    </row>
    <row r="28" spans="1:2" x14ac:dyDescent="0.25">
      <c r="A28" s="2" t="s">
        <v>29</v>
      </c>
      <c r="B28" s="2">
        <f>345</f>
        <v>345</v>
      </c>
    </row>
    <row r="29" spans="1:2" x14ac:dyDescent="0.25">
      <c r="A29" s="2" t="s">
        <v>30</v>
      </c>
      <c r="B29" s="2">
        <f>860</f>
        <v>860</v>
      </c>
    </row>
    <row r="30" spans="1:2" x14ac:dyDescent="0.25">
      <c r="A30" s="2" t="s">
        <v>31</v>
      </c>
      <c r="B30" s="2">
        <f>1205</f>
        <v>1205</v>
      </c>
    </row>
    <row r="31" spans="1:2" x14ac:dyDescent="0.25">
      <c r="A31" s="2" t="s">
        <v>32</v>
      </c>
      <c r="B31" s="2">
        <f>70</f>
        <v>70</v>
      </c>
    </row>
    <row r="32" spans="1:2" x14ac:dyDescent="0.25">
      <c r="A32" s="2" t="s">
        <v>33</v>
      </c>
      <c r="B32" s="2">
        <f>300</f>
        <v>300</v>
      </c>
    </row>
    <row r="33" spans="1:4" x14ac:dyDescent="0.25">
      <c r="A33" s="2" t="s">
        <v>34</v>
      </c>
      <c r="B33" s="2">
        <f>1320</f>
        <v>1320</v>
      </c>
    </row>
    <row r="34" spans="1:4" x14ac:dyDescent="0.25">
      <c r="A34" s="2" t="s">
        <v>35</v>
      </c>
      <c r="B34" s="2">
        <f>2040</f>
        <v>2040</v>
      </c>
    </row>
    <row r="35" spans="1:4" ht="30" x14ac:dyDescent="0.25">
      <c r="A35" s="2" t="s">
        <v>36</v>
      </c>
      <c r="B35" s="2">
        <f>1050</f>
        <v>1050</v>
      </c>
    </row>
    <row r="41" spans="1:4" x14ac:dyDescent="0.25">
      <c r="C41" s="1"/>
      <c r="D41" s="1"/>
    </row>
  </sheetData>
  <sortState ref="G23:H25">
    <sortCondition ref="G23:G25"/>
  </sortState>
  <dataValidations count="1">
    <dataValidation type="list" allowBlank="1" showInputMessage="1" showErrorMessage="1" sqref="G21">
      <formula1>$G$23:$G$25</formula1>
    </dataValidation>
  </dataValidation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13"/>
  <sheetViews>
    <sheetView workbookViewId="0">
      <selection sqref="A1:A13"/>
    </sheetView>
  </sheetViews>
  <sheetFormatPr baseColWidth="10" defaultRowHeight="15" x14ac:dyDescent="0.25"/>
  <sheetData>
    <row r="1" spans="1:3" x14ac:dyDescent="0.25">
      <c r="A1" s="2" t="s">
        <v>54</v>
      </c>
      <c r="B1" s="2">
        <v>28.01</v>
      </c>
      <c r="C1" s="2">
        <v>3.3</v>
      </c>
    </row>
    <row r="2" spans="1:3" x14ac:dyDescent="0.25">
      <c r="A2" s="2" t="s">
        <v>55</v>
      </c>
      <c r="B2" s="2">
        <v>22.765000000000001</v>
      </c>
      <c r="C2" s="2">
        <v>3.51</v>
      </c>
    </row>
    <row r="3" spans="1:3" x14ac:dyDescent="0.25">
      <c r="A3" s="2" t="s">
        <v>56</v>
      </c>
      <c r="B3" s="2">
        <v>19.344999999999999</v>
      </c>
      <c r="C3" s="2">
        <v>3.36</v>
      </c>
    </row>
    <row r="4" spans="1:3" x14ac:dyDescent="0.25">
      <c r="A4" s="2" t="s">
        <v>57</v>
      </c>
      <c r="B4" s="2">
        <v>16.024999999999999</v>
      </c>
      <c r="C4" s="2">
        <v>3.81</v>
      </c>
    </row>
    <row r="5" spans="1:3" x14ac:dyDescent="0.25">
      <c r="A5" s="2" t="s">
        <v>58</v>
      </c>
      <c r="B5" s="2">
        <v>13.105</v>
      </c>
      <c r="C5" s="2">
        <v>3.94</v>
      </c>
    </row>
    <row r="6" spans="1:3" x14ac:dyDescent="0.25">
      <c r="A6" s="2" t="s">
        <v>59</v>
      </c>
      <c r="B6" s="2">
        <v>10.43</v>
      </c>
      <c r="C6" s="2">
        <v>3.63</v>
      </c>
    </row>
    <row r="7" spans="1:3" x14ac:dyDescent="0.25">
      <c r="A7" s="2" t="s">
        <v>60</v>
      </c>
      <c r="B7" s="2">
        <v>8.7349999999999994</v>
      </c>
      <c r="C7" s="2">
        <v>3.67</v>
      </c>
    </row>
    <row r="8" spans="1:3" x14ac:dyDescent="0.25">
      <c r="A8" s="2" t="s">
        <v>61</v>
      </c>
      <c r="B8" s="2">
        <v>7.2549999999999999</v>
      </c>
      <c r="C8" s="2">
        <v>3.37</v>
      </c>
    </row>
    <row r="9" spans="1:3" x14ac:dyDescent="0.25">
      <c r="A9" s="2" t="s">
        <v>62</v>
      </c>
      <c r="B9" s="2">
        <v>5.7549999999999999</v>
      </c>
      <c r="C9" s="2">
        <v>4.08</v>
      </c>
    </row>
    <row r="10" spans="1:3" x14ac:dyDescent="0.25">
      <c r="A10" s="2" t="s">
        <v>63</v>
      </c>
      <c r="B10" s="2">
        <v>5.1150000000000002</v>
      </c>
      <c r="C10" s="2">
        <v>4.1100000000000003</v>
      </c>
    </row>
    <row r="11" spans="1:3" x14ac:dyDescent="0.25">
      <c r="A11" s="2" t="s">
        <v>64</v>
      </c>
      <c r="B11" s="2">
        <v>4.49</v>
      </c>
      <c r="C11" s="2">
        <v>3.84</v>
      </c>
    </row>
    <row r="12" spans="1:3" x14ac:dyDescent="0.25">
      <c r="A12" s="2" t="s">
        <v>65</v>
      </c>
      <c r="B12" s="2">
        <v>3.8149999999999999</v>
      </c>
      <c r="C12" s="2">
        <v>4.01</v>
      </c>
    </row>
    <row r="13" spans="1:3" x14ac:dyDescent="0.25">
      <c r="A13" s="2" t="s">
        <v>66</v>
      </c>
      <c r="B13" s="2">
        <v>3.04</v>
      </c>
      <c r="C13" s="2">
        <v>4.0999999999999996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Réseau d'électricité</vt:lpstr>
      <vt:lpstr>Chaudière</vt:lpstr>
      <vt:lpstr>Pompe à chaleur</vt:lpstr>
      <vt:lpstr>Pompe à chaleur (avec EER)</vt:lpstr>
      <vt:lpstr>Cogénération</vt:lpstr>
      <vt:lpstr>Synthèse</vt:lpstr>
      <vt:lpstr>MultiSyst</vt:lpstr>
      <vt:lpstr>Données</vt:lpstr>
      <vt:lpstr>Données PAC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2014-03-27T17:39:58Z</dcterms:modified>
</cp:coreProperties>
</file>