
<file path=[Content_Types].xml><?xml version="1.0" encoding="utf-8"?>
<Types xmlns="http://schemas.openxmlformats.org/package/2006/content-types">
  <Override PartName="/xl/activeX/activeX2.bin" ContentType="application/vnd.ms-office.activeX"/>
  <Override PartName="/xl/activeX/activeX4.bin" ContentType="application/vnd.ms-office.activeX"/>
  <Override PartName="/xl/activeX/activeX9.xml" ContentType="application/vnd.ms-office.activeX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12.bin" ContentType="application/vnd.ms-office.activeX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0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9.bin" ContentType="application/vnd.ms-office.activeX"/>
  <Override PartName="/xl/activeX/activeX11.xml" ContentType="application/vnd.ms-office.activeX+xml"/>
  <Override PartName="/xl/activeX/activeX12.xml" ContentType="application/vnd.ms-office.activeX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  <Default Extension="bin" ContentType="application/vnd.openxmlformats-officedocument.spreadsheetml.printerSettings"/>
  <Override PartName="/xl/activeX/activeX3.bin" ContentType="application/vnd.ms-office.activeX"/>
  <Override PartName="/xl/activeX/activeX1.bin" ContentType="application/vnd.ms-office.activeX"/>
  <Override PartName="/xl/activeX/activeX8.xml" ContentType="application/vnd.ms-office.activeX+xml"/>
  <Override PartName="/xl/activeX/activeX13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660" yWindow="0" windowWidth="13680" windowHeight="12390" tabRatio="940" firstSheet="2" activeTab="11"/>
  </bookViews>
  <sheets>
    <sheet name="Descriptif technique" sheetId="6" state="hidden" r:id="rId1"/>
    <sheet name="Economie" sheetId="1" state="hidden" r:id="rId2"/>
    <sheet name="DoseP2O5K2O" sheetId="14" r:id="rId3"/>
    <sheet name="DoseN" sheetId="18" state="hidden" r:id="rId4"/>
    <sheet name="Plan épandage" sheetId="4" state="hidden" r:id="rId5"/>
    <sheet name="Parcelle n°1" sheetId="16" state="hidden" r:id="rId6"/>
    <sheet name="Parcelle n°n" sheetId="17" state="hidden" r:id="rId7"/>
    <sheet name="Flux éléments" sheetId="13" state="hidden" r:id="rId8"/>
    <sheet name="Flux énergie " sheetId="11" state="hidden" r:id="rId9"/>
    <sheet name="Schéma récapitulatif du process" sheetId="12" state="hidden" r:id="rId10"/>
    <sheet name="Flux éléments et énergie (2)" sheetId="2" state="hidden" r:id="rId11"/>
    <sheet name="Sources P2O5 K2O" sheetId="15" r:id="rId12"/>
    <sheet name="Sources N" sheetId="19" state="hidden" r:id="rId13"/>
  </sheets>
  <definedNames>
    <definedName name="Alsace">'Sources P2O5 K2O'!$B$53:$B$59</definedName>
    <definedName name="années">'Sources P2O5 K2O'!$B$130:$B$132</definedName>
    <definedName name="Auvergne">'Sources P2O5 K2O'!$B$110:$B$114</definedName>
    <definedName name="Basse_Normandie">'Sources P2O5 K2O'!$B$92:$B$95</definedName>
    <definedName name="Bourgogne">'Sources P2O5 K2O'!$B$67:$B$72</definedName>
    <definedName name="Bretagne_Pays_de_Loire">'Sources P2O5 K2O'!$B$96:$B$100</definedName>
    <definedName name="Centre_Bassin_parisien">'Sources P2O5 K2O'!$B$81:$B$87</definedName>
    <definedName name="Centre_Limousin">'Sources P2O5 K2O'!$B$73:$B$80</definedName>
    <definedName name="Champagne_Ardenne">'Sources P2O5 K2O'!$B$42:$B$47</definedName>
    <definedName name="culture">'Sources P2O5 K2O'!$A$7:$A$24</definedName>
    <definedName name="diffré">'Sources P2O5 K2O'!$F$14:$F$29</definedName>
    <definedName name="Franche_Comté">'Sources P2O5 K2O'!$B$60:$B$66</definedName>
    <definedName name="Haute_Marne">'Sources P2O5 K2O'!$B$107:$B$109</definedName>
    <definedName name="Haute_Normandie" localSheetId="11">'Sources P2O5 K2O'!$B$88:$B$91</definedName>
    <definedName name="Haute_Normandie">'Sources P2O5 K2O'!$B$88:$B$95</definedName>
    <definedName name="HauteNormandie">'Sources P2O5 K2O'!$B$88:$B$91</definedName>
    <definedName name="K2O" localSheetId="11">'Sources P2O5 K2O'!$A$25:$A$41</definedName>
    <definedName name="K2O">'Sources P2O5 K2O'!$A$25:$A$41</definedName>
    <definedName name="Lorraine">'Sources P2O5 K2O'!$B$48:$B$52</definedName>
    <definedName name="Nord_Picardie">'Sources P2O5 K2O'!$B$38:$B$41</definedName>
    <definedName name="P2O5" comment="culture p2o5" localSheetId="11">'Sources P2O5 K2O'!$A$7:$A$23</definedName>
    <definedName name="P2O5">'Sources P2O5 K2O'!$A$7:$A$23</definedName>
    <definedName name="Poitou_Charentes">'Sources P2O5 K2O'!$B$101:$B$106</definedName>
    <definedName name="Régions" localSheetId="11">'Sources P2O5 K2O'!$F$14:$F$29</definedName>
    <definedName name="régions">'Sources P2O5 K2O'!$A$38:$A$124</definedName>
    <definedName name="Repousses">'Sources P2O5 K2O'!$F$10:$F$11</definedName>
    <definedName name="Résidus">'Sources P2O5 K2O'!$F$7:$F$8</definedName>
    <definedName name="Rhone_Alpes_Saône_et_Loire">'Sources P2O5 K2O'!$B$115:$B$122</definedName>
    <definedName name="Sud_Ouest">'Sources P2O5 K2O'!$B$123:$B$124</definedName>
    <definedName name="_xlnm.Print_Area" localSheetId="2">DoseP2O5K2O!$A$1:$L$91</definedName>
    <definedName name="_xlnm.Print_Area" localSheetId="1">Economie!$A$1:$E$107</definedName>
    <definedName name="_xlnm.Print_Area" localSheetId="10">'Flux éléments et énergie (2)'!$A$1:$P$134</definedName>
    <definedName name="_xlnm.Print_Area" localSheetId="8">'Flux énergie '!$A$1:$K$93</definedName>
    <definedName name="_xlnm.Print_Area" localSheetId="4">'Plan épandage'!$B$1:$F$24</definedName>
  </definedNames>
  <calcPr calcId="125725"/>
</workbook>
</file>

<file path=xl/calcChain.xml><?xml version="1.0" encoding="utf-8"?>
<calcChain xmlns="http://schemas.openxmlformats.org/spreadsheetml/2006/main">
  <c r="D15" i="11"/>
  <c r="D21" s="1"/>
  <c r="C17" i="6"/>
  <c r="C19"/>
  <c r="D17" i="11" l="1"/>
  <c r="D18" s="1"/>
  <c r="D35" s="1"/>
  <c r="E64" s="1"/>
  <c r="E82" s="1"/>
  <c r="D16"/>
  <c r="M8" i="18"/>
  <c r="L8"/>
  <c r="K8"/>
  <c r="J8"/>
  <c r="I8"/>
  <c r="H8"/>
  <c r="G8"/>
  <c r="F8"/>
  <c r="E8"/>
  <c r="D8"/>
  <c r="C8"/>
  <c r="L11"/>
  <c r="M11"/>
  <c r="K11"/>
  <c r="J11"/>
  <c r="I11"/>
  <c r="H11"/>
  <c r="G11"/>
  <c r="F11"/>
  <c r="E11"/>
  <c r="D11"/>
  <c r="C11"/>
  <c r="F75" i="14"/>
  <c r="F76"/>
  <c r="F77"/>
  <c r="F78"/>
  <c r="F79"/>
  <c r="F80"/>
  <c r="F81"/>
  <c r="F82"/>
  <c r="F83"/>
  <c r="F84"/>
  <c r="F85"/>
  <c r="F86"/>
  <c r="F87"/>
  <c r="F88"/>
  <c r="F89"/>
  <c r="F90"/>
  <c r="F91"/>
  <c r="F74"/>
  <c r="D76"/>
  <c r="D79"/>
  <c r="D81"/>
  <c r="D82"/>
  <c r="D83"/>
  <c r="D84"/>
  <c r="D85"/>
  <c r="D86"/>
  <c r="D87"/>
  <c r="D88"/>
  <c r="D89"/>
  <c r="D90"/>
  <c r="D91"/>
  <c r="L89" i="17"/>
  <c r="I94" s="1"/>
  <c r="K89"/>
  <c r="H94" s="1"/>
  <c r="J89"/>
  <c r="G94" s="1"/>
  <c r="I89"/>
  <c r="F94" s="1"/>
  <c r="G94" i="16"/>
  <c r="H94"/>
  <c r="I94"/>
  <c r="F94"/>
  <c r="K89"/>
  <c r="L89"/>
  <c r="J89"/>
  <c r="I89"/>
  <c r="D14" i="18" l="1"/>
  <c r="E14"/>
  <c r="F14"/>
  <c r="G14"/>
  <c r="H14"/>
  <c r="I14"/>
  <c r="J14"/>
  <c r="K14"/>
  <c r="L14"/>
  <c r="M14"/>
  <c r="D22"/>
  <c r="E22"/>
  <c r="F22"/>
  <c r="G22"/>
  <c r="H22"/>
  <c r="I22"/>
  <c r="J22"/>
  <c r="K22"/>
  <c r="L22"/>
  <c r="M22"/>
  <c r="D23"/>
  <c r="E23"/>
  <c r="F23"/>
  <c r="G23"/>
  <c r="H23"/>
  <c r="I23"/>
  <c r="J23"/>
  <c r="K23"/>
  <c r="L23"/>
  <c r="M23"/>
  <c r="D25"/>
  <c r="E25"/>
  <c r="F25"/>
  <c r="G25"/>
  <c r="H25"/>
  <c r="I25"/>
  <c r="J25"/>
  <c r="K25"/>
  <c r="L25"/>
  <c r="M25"/>
  <c r="C14"/>
  <c r="C23"/>
  <c r="C25" s="1"/>
  <c r="C22"/>
  <c r="J68" i="16"/>
  <c r="J69"/>
  <c r="J70"/>
  <c r="J67"/>
  <c r="K48"/>
  <c r="K49"/>
  <c r="K50"/>
  <c r="K51"/>
  <c r="K47"/>
  <c r="J31"/>
  <c r="J32"/>
  <c r="J33"/>
  <c r="J34"/>
  <c r="J35"/>
  <c r="J36"/>
  <c r="J30"/>
  <c r="J21"/>
  <c r="J22"/>
  <c r="J23"/>
  <c r="J24"/>
  <c r="J25"/>
  <c r="J26"/>
  <c r="J20"/>
  <c r="E7" i="14" l="1"/>
  <c r="E24"/>
  <c r="F8"/>
  <c r="F9"/>
  <c r="F10"/>
  <c r="F11"/>
  <c r="F12"/>
  <c r="F13"/>
  <c r="F14"/>
  <c r="F15"/>
  <c r="F16"/>
  <c r="F17"/>
  <c r="F18"/>
  <c r="F19"/>
  <c r="F20"/>
  <c r="F21"/>
  <c r="F22"/>
  <c r="F23"/>
  <c r="F24"/>
  <c r="F7"/>
  <c r="E8"/>
  <c r="E9"/>
  <c r="E10"/>
  <c r="E11"/>
  <c r="E12"/>
  <c r="E13"/>
  <c r="E14"/>
  <c r="E15"/>
  <c r="E16"/>
  <c r="E17"/>
  <c r="E18"/>
  <c r="E19"/>
  <c r="E20"/>
  <c r="E21"/>
  <c r="E22"/>
  <c r="E23"/>
  <c r="B11" i="13"/>
  <c r="C11"/>
  <c r="D11"/>
  <c r="E11"/>
  <c r="I23"/>
  <c r="J23"/>
  <c r="K23"/>
  <c r="I35"/>
  <c r="J35"/>
  <c r="K35"/>
  <c r="I36"/>
  <c r="J36"/>
  <c r="K36"/>
  <c r="I41"/>
  <c r="J41"/>
  <c r="K41"/>
  <c r="B42"/>
  <c r="C42"/>
  <c r="D42"/>
  <c r="I42"/>
  <c r="J42"/>
  <c r="K42"/>
  <c r="A49"/>
  <c r="B49"/>
  <c r="C49"/>
  <c r="D55"/>
  <c r="E55"/>
  <c r="B49" i="11"/>
  <c r="B53" s="1"/>
  <c r="J29" i="12"/>
  <c r="J35" s="1"/>
  <c r="H21"/>
  <c r="H14"/>
  <c r="H20" s="1"/>
  <c r="G14"/>
  <c r="G20" s="1"/>
  <c r="K8"/>
  <c r="G8"/>
  <c r="C8"/>
  <c r="K7"/>
  <c r="J7"/>
  <c r="G7"/>
  <c r="F7"/>
  <c r="C7"/>
  <c r="B7"/>
  <c r="B81" i="11"/>
  <c r="K84" i="2"/>
  <c r="O84"/>
  <c r="O83"/>
  <c r="N83"/>
  <c r="K83"/>
  <c r="J83"/>
  <c r="G84"/>
  <c r="J34"/>
  <c r="K34"/>
  <c r="I34"/>
  <c r="G83"/>
  <c r="F83"/>
  <c r="J22"/>
  <c r="K22"/>
  <c r="I22"/>
  <c r="C83"/>
  <c r="B83"/>
  <c r="C84"/>
  <c r="B63"/>
  <c r="E54"/>
  <c r="D54"/>
  <c r="G121"/>
  <c r="H121"/>
  <c r="K35"/>
  <c r="D36" i="1"/>
  <c r="C79"/>
  <c r="E66"/>
  <c r="B19"/>
  <c r="E48"/>
  <c r="D41" i="2"/>
  <c r="C41"/>
  <c r="B41"/>
  <c r="K40"/>
  <c r="J40"/>
  <c r="I40"/>
  <c r="J35"/>
  <c r="I35"/>
  <c r="I41" s="1"/>
  <c r="E10"/>
  <c r="D10"/>
  <c r="C10"/>
  <c r="B10"/>
  <c r="B43" i="14" l="1" a="1"/>
  <c r="B43" s="1"/>
  <c r="C43" a="1"/>
  <c r="C43" s="1"/>
  <c r="B41" a="1"/>
  <c r="B41" s="1"/>
  <c r="C41" a="1"/>
  <c r="C41" s="1"/>
  <c r="B39" a="1"/>
  <c r="B39" s="1"/>
  <c r="C39" a="1"/>
  <c r="C39" s="1"/>
  <c r="B37" a="1"/>
  <c r="B37" s="1"/>
  <c r="C37" a="1"/>
  <c r="C37" s="1"/>
  <c r="B35" a="1"/>
  <c r="B35" s="1"/>
  <c r="C35" a="1"/>
  <c r="C35" s="1"/>
  <c r="B33" a="1"/>
  <c r="B33" s="1"/>
  <c r="C33" a="1"/>
  <c r="C33" s="1"/>
  <c r="B31" a="1"/>
  <c r="B31" s="1"/>
  <c r="C31" a="1"/>
  <c r="C31" s="1"/>
  <c r="C68" a="1"/>
  <c r="C68" s="1"/>
  <c r="B68" a="1"/>
  <c r="B68" s="1"/>
  <c r="C66" a="1"/>
  <c r="C66" s="1"/>
  <c r="B66" a="1"/>
  <c r="B66" s="1"/>
  <c r="C64" a="1"/>
  <c r="C64" s="1"/>
  <c r="B64" a="1"/>
  <c r="B64" s="1"/>
  <c r="C62" a="1"/>
  <c r="C62" s="1"/>
  <c r="B62" a="1"/>
  <c r="B62" s="1"/>
  <c r="C60" a="1"/>
  <c r="C60" s="1"/>
  <c r="B60" a="1"/>
  <c r="B60" s="1"/>
  <c r="C58" a="1"/>
  <c r="C58" s="1"/>
  <c r="B58" a="1"/>
  <c r="B58" s="1"/>
  <c r="C56" a="1"/>
  <c r="C56" s="1"/>
  <c r="B56" a="1"/>
  <c r="B56" s="1"/>
  <c r="C54" a="1"/>
  <c r="C54" s="1"/>
  <c r="B54" a="1"/>
  <c r="B54" s="1"/>
  <c r="C52" a="1"/>
  <c r="C52" s="1"/>
  <c r="B52" a="1"/>
  <c r="B52" s="1"/>
  <c r="B30" a="1"/>
  <c r="B30" s="1"/>
  <c r="C30" a="1"/>
  <c r="C30" s="1"/>
  <c r="B45" a="1"/>
  <c r="B45" s="1"/>
  <c r="C45" a="1"/>
  <c r="C45" s="1"/>
  <c r="B46" a="1"/>
  <c r="B46" s="1"/>
  <c r="C46" a="1"/>
  <c r="C46" s="1"/>
  <c r="B44" a="1"/>
  <c r="B44" s="1"/>
  <c r="C44" a="1"/>
  <c r="C44" s="1"/>
  <c r="B42" a="1"/>
  <c r="B42" s="1"/>
  <c r="C42" a="1"/>
  <c r="C42" s="1"/>
  <c r="B40" a="1"/>
  <c r="B40" s="1"/>
  <c r="D40" s="1"/>
  <c r="C40" a="1"/>
  <c r="C40" s="1"/>
  <c r="B38" a="1"/>
  <c r="B38" s="1"/>
  <c r="D38" s="1"/>
  <c r="C38" a="1"/>
  <c r="C38" s="1"/>
  <c r="B36" a="1"/>
  <c r="B36" s="1"/>
  <c r="D36" s="1"/>
  <c r="C36" a="1"/>
  <c r="C36" s="1"/>
  <c r="B34" a="1"/>
  <c r="B34" s="1"/>
  <c r="D34" s="1"/>
  <c r="C34" a="1"/>
  <c r="C34" s="1"/>
  <c r="B32" a="1"/>
  <c r="B32" s="1"/>
  <c r="D32" s="1"/>
  <c r="C32" a="1"/>
  <c r="C32" s="1"/>
  <c r="C51" a="1"/>
  <c r="C51" s="1"/>
  <c r="B51" a="1"/>
  <c r="B51" s="1"/>
  <c r="C67" a="1"/>
  <c r="C67" s="1"/>
  <c r="B67" a="1"/>
  <c r="B67" s="1"/>
  <c r="C65" a="1"/>
  <c r="C65" s="1"/>
  <c r="B65" a="1"/>
  <c r="B65" s="1"/>
  <c r="C63" a="1"/>
  <c r="C63" s="1"/>
  <c r="B63" a="1"/>
  <c r="B63" s="1"/>
  <c r="C61" a="1"/>
  <c r="C61" s="1"/>
  <c r="B61" a="1"/>
  <c r="B61" s="1"/>
  <c r="C59" a="1"/>
  <c r="C59" s="1"/>
  <c r="B59" a="1"/>
  <c r="B59" s="1"/>
  <c r="C57" a="1"/>
  <c r="C57" s="1"/>
  <c r="B57" a="1"/>
  <c r="B57" s="1"/>
  <c r="C55" a="1"/>
  <c r="C55" s="1"/>
  <c r="B55" a="1"/>
  <c r="B55" s="1"/>
  <c r="C53" a="1"/>
  <c r="C53" s="1"/>
  <c r="B53" a="1"/>
  <c r="B53" s="1"/>
  <c r="B47" a="1"/>
  <c r="B47" s="1"/>
  <c r="F47" s="1"/>
  <c r="C47" a="1"/>
  <c r="C47" s="1"/>
  <c r="F42" i="12"/>
  <c r="F48" s="1"/>
  <c r="I48" s="1"/>
  <c r="D45" i="14"/>
  <c r="G45"/>
  <c r="F45"/>
  <c r="E45"/>
  <c r="D43"/>
  <c r="G43"/>
  <c r="F43"/>
  <c r="E43"/>
  <c r="D41"/>
  <c r="G41"/>
  <c r="F41"/>
  <c r="E41"/>
  <c r="D39"/>
  <c r="G39"/>
  <c r="F39"/>
  <c r="E39"/>
  <c r="D37"/>
  <c r="G37"/>
  <c r="F37"/>
  <c r="E37"/>
  <c r="D35"/>
  <c r="G35"/>
  <c r="F35"/>
  <c r="E35"/>
  <c r="D33"/>
  <c r="G33"/>
  <c r="F33"/>
  <c r="E33"/>
  <c r="G31"/>
  <c r="E31"/>
  <c r="F31"/>
  <c r="D31"/>
  <c r="D75" s="1"/>
  <c r="D30"/>
  <c r="G30"/>
  <c r="F30"/>
  <c r="E30"/>
  <c r="D46"/>
  <c r="G46"/>
  <c r="F46"/>
  <c r="E46"/>
  <c r="D44"/>
  <c r="G44"/>
  <c r="F44"/>
  <c r="E44"/>
  <c r="D42"/>
  <c r="G42"/>
  <c r="F42"/>
  <c r="E42"/>
  <c r="G40"/>
  <c r="E40"/>
  <c r="G38"/>
  <c r="E38"/>
  <c r="E36"/>
  <c r="E34"/>
  <c r="E32"/>
  <c r="I28" i="12"/>
  <c r="E28"/>
  <c r="J28"/>
  <c r="F28"/>
  <c r="N35"/>
  <c r="Q35" s="1"/>
  <c r="F56" s="1"/>
  <c r="B52" i="11"/>
  <c r="K41" i="2"/>
  <c r="J41"/>
  <c r="B48"/>
  <c r="A48"/>
  <c r="C48"/>
  <c r="D49" i="11"/>
  <c r="G32" i="14" l="1"/>
  <c r="G34"/>
  <c r="G36"/>
  <c r="F38"/>
  <c r="F40"/>
  <c r="F32"/>
  <c r="F34"/>
  <c r="F36"/>
  <c r="E47"/>
  <c r="G47"/>
  <c r="D47"/>
  <c r="D53"/>
  <c r="G53"/>
  <c r="F53"/>
  <c r="E53"/>
  <c r="D55"/>
  <c r="G55"/>
  <c r="F55"/>
  <c r="E55"/>
  <c r="D57"/>
  <c r="G57"/>
  <c r="F57"/>
  <c r="E57"/>
  <c r="D59"/>
  <c r="G59"/>
  <c r="F59"/>
  <c r="E59"/>
  <c r="D61"/>
  <c r="G61"/>
  <c r="F61"/>
  <c r="E61"/>
  <c r="D63"/>
  <c r="G63"/>
  <c r="F63"/>
  <c r="E63"/>
  <c r="D65"/>
  <c r="G65"/>
  <c r="F65"/>
  <c r="E65"/>
  <c r="D67"/>
  <c r="G67"/>
  <c r="F67"/>
  <c r="E67"/>
  <c r="D51"/>
  <c r="G51"/>
  <c r="F51"/>
  <c r="E51"/>
  <c r="D52"/>
  <c r="G52"/>
  <c r="F52"/>
  <c r="E52"/>
  <c r="D54"/>
  <c r="G54"/>
  <c r="F54"/>
  <c r="E54"/>
  <c r="D56"/>
  <c r="G56"/>
  <c r="F56"/>
  <c r="E56"/>
  <c r="D58"/>
  <c r="G58"/>
  <c r="F58"/>
  <c r="E58"/>
  <c r="D60"/>
  <c r="G60"/>
  <c r="F60"/>
  <c r="E60"/>
  <c r="D62"/>
  <c r="G62"/>
  <c r="F62"/>
  <c r="E62"/>
  <c r="D64"/>
  <c r="G64"/>
  <c r="F64"/>
  <c r="E64"/>
  <c r="D66"/>
  <c r="G66"/>
  <c r="F66"/>
  <c r="E66"/>
  <c r="D68"/>
  <c r="G68"/>
  <c r="F68"/>
  <c r="E68"/>
  <c r="D78"/>
  <c r="D80"/>
  <c r="D77"/>
  <c r="D74"/>
  <c r="J34" i="12"/>
  <c r="N34" s="1"/>
  <c r="Q34" s="1"/>
  <c r="F55" s="1"/>
  <c r="I34"/>
  <c r="M34" s="1"/>
  <c r="P34" s="1"/>
  <c r="E55" s="1"/>
  <c r="D53" i="11"/>
  <c r="F53" s="1"/>
  <c r="B63" s="1"/>
  <c r="D52"/>
  <c r="F52" s="1"/>
  <c r="B62" s="1"/>
  <c r="B69" s="1"/>
  <c r="B70" s="1"/>
  <c r="F49"/>
  <c r="B59" s="1"/>
  <c r="E41" i="12" l="1"/>
  <c r="E47" s="1"/>
  <c r="H47" s="1"/>
  <c r="F51" i="11"/>
  <c r="B61" s="1"/>
  <c r="B83" s="1"/>
  <c r="B85" s="1"/>
  <c r="F50"/>
  <c r="B60" s="1"/>
  <c r="B82" s="1"/>
  <c r="B84" s="1"/>
  <c r="B89" s="1"/>
  <c r="B90" s="1"/>
  <c r="B91" s="1"/>
  <c r="F41" i="12"/>
  <c r="F47" s="1"/>
  <c r="I47" s="1"/>
  <c r="D60" i="11"/>
  <c r="F61" s="1"/>
  <c r="B71"/>
  <c r="D82" l="1"/>
  <c r="F82" s="1"/>
  <c r="F60"/>
  <c r="D68" s="1"/>
  <c r="E68" s="1"/>
  <c r="H90" i="2"/>
  <c r="G90"/>
  <c r="B64"/>
  <c r="F68" i="11" l="1"/>
  <c r="G68" s="1"/>
  <c r="J98" i="2"/>
  <c r="B62" l="1"/>
  <c r="H106"/>
  <c r="D21" i="4"/>
  <c r="F61" i="12" s="1"/>
  <c r="F67" s="1"/>
  <c r="C21" i="4"/>
  <c r="E61" i="12" s="1"/>
  <c r="E67" s="1"/>
  <c r="B65" i="2" l="1"/>
  <c r="B72" s="1"/>
  <c r="B73" s="1"/>
  <c r="B74" s="1"/>
  <c r="H127"/>
  <c r="G127"/>
  <c r="B66"/>
  <c r="D63"/>
  <c r="F97"/>
  <c r="I97" s="1"/>
  <c r="G97"/>
  <c r="J97" s="1"/>
  <c r="G98"/>
  <c r="G105" l="1"/>
  <c r="G113" s="1"/>
  <c r="F63"/>
  <c r="D69" s="1"/>
  <c r="F64"/>
  <c r="H105"/>
  <c r="H113" s="1"/>
  <c r="E69" l="1"/>
  <c r="F69" s="1"/>
  <c r="G69" s="1"/>
  <c r="H133" l="1"/>
  <c r="H114"/>
  <c r="G133"/>
  <c r="H122" l="1"/>
</calcChain>
</file>

<file path=xl/sharedStrings.xml><?xml version="1.0" encoding="utf-8"?>
<sst xmlns="http://schemas.openxmlformats.org/spreadsheetml/2006/main" count="1771" uniqueCount="720">
  <si>
    <t>Les investissements</t>
  </si>
  <si>
    <t>Les charges</t>
  </si>
  <si>
    <t>Main d'œuvre</t>
  </si>
  <si>
    <t>Total charges</t>
  </si>
  <si>
    <t>Les produits</t>
  </si>
  <si>
    <t>Vente électricité</t>
  </si>
  <si>
    <t>Total Produits</t>
  </si>
  <si>
    <t>%</t>
  </si>
  <si>
    <t>Valorisation chaleur 1</t>
  </si>
  <si>
    <t xml:space="preserve">Total investissement </t>
  </si>
  <si>
    <t>Raccordement électrique</t>
  </si>
  <si>
    <t>Unité</t>
  </si>
  <si>
    <t>Maintenance</t>
  </si>
  <si>
    <t>heure/jour</t>
  </si>
  <si>
    <t>MWh</t>
  </si>
  <si>
    <t>Investissement</t>
  </si>
  <si>
    <t>Valorisation chaleur 2</t>
  </si>
  <si>
    <t>Etape traitement 1</t>
  </si>
  <si>
    <t>Etape traitement 2</t>
  </si>
  <si>
    <t>Surplus épandage</t>
  </si>
  <si>
    <t>Vente chaleur</t>
  </si>
  <si>
    <t>Equipements spécifiques, à adapter</t>
  </si>
  <si>
    <t>Ordre chronologique</t>
  </si>
  <si>
    <t>Assurance</t>
  </si>
  <si>
    <t>Consommation électrique</t>
  </si>
  <si>
    <t>Autre</t>
  </si>
  <si>
    <t>Unité production biogaz</t>
  </si>
  <si>
    <t>Unité valorisation biogaz</t>
  </si>
  <si>
    <t xml:space="preserve">Investissement à détailler ? </t>
  </si>
  <si>
    <t>Descriptif technique</t>
  </si>
  <si>
    <t>Valeurs</t>
  </si>
  <si>
    <t>Intitulés</t>
  </si>
  <si>
    <t xml:space="preserve">Quantité </t>
  </si>
  <si>
    <t>t/an</t>
  </si>
  <si>
    <t>Potentiel M</t>
  </si>
  <si>
    <t>m3CH4/tMB</t>
  </si>
  <si>
    <t>Total</t>
  </si>
  <si>
    <t>MS</t>
  </si>
  <si>
    <t>N</t>
  </si>
  <si>
    <t>P2O5</t>
  </si>
  <si>
    <t>K2O</t>
  </si>
  <si>
    <t>kg/t matière brute</t>
  </si>
  <si>
    <t>kg/an</t>
  </si>
  <si>
    <t>Energie</t>
  </si>
  <si>
    <t>kWh/tMB</t>
  </si>
  <si>
    <t>Taille digesteur principal</t>
  </si>
  <si>
    <t>Unités</t>
  </si>
  <si>
    <t>m3 total</t>
  </si>
  <si>
    <t>j</t>
  </si>
  <si>
    <t>Puissance co-générateur</t>
  </si>
  <si>
    <t>kW</t>
  </si>
  <si>
    <t>Temps de fonctionnement</t>
  </si>
  <si>
    <t>h/an</t>
  </si>
  <si>
    <t>Valorisation chaleur n</t>
  </si>
  <si>
    <t>Etape traitement n</t>
  </si>
  <si>
    <t>% de la production</t>
  </si>
  <si>
    <t>m3/an</t>
  </si>
  <si>
    <t>Intrants effluents site d'exploitation</t>
  </si>
  <si>
    <t>Répartition des flux énergétiques et éléments minéraux</t>
  </si>
  <si>
    <t>Quantité</t>
  </si>
  <si>
    <t>Lisier de truie</t>
  </si>
  <si>
    <t>Utiliser les références CORPEN</t>
  </si>
  <si>
    <t>Intrants extérieurs</t>
  </si>
  <si>
    <t>Résidus de cultures et CIVEs</t>
  </si>
  <si>
    <t>Total général</t>
  </si>
  <si>
    <t>P</t>
  </si>
  <si>
    <t>Volume (m³)</t>
  </si>
  <si>
    <t>Méthanisation</t>
  </si>
  <si>
    <t>Plan d'épandage unité de méthanisation</t>
  </si>
  <si>
    <t>Peut regrouper plusieurs exploitants si unité collective</t>
  </si>
  <si>
    <t>Surfaces en propre</t>
  </si>
  <si>
    <t>Surfaces mises à disposition</t>
  </si>
  <si>
    <t>GAEC AJP Orvain</t>
  </si>
  <si>
    <t>James</t>
  </si>
  <si>
    <t>Gondinières</t>
  </si>
  <si>
    <t>GAEC Orain</t>
  </si>
  <si>
    <t>GAEC L2J Fortin</t>
  </si>
  <si>
    <t>Thieulent Eric</t>
  </si>
  <si>
    <t>Guillaume Chesnel</t>
  </si>
  <si>
    <t>Martin</t>
  </si>
  <si>
    <t>Pivert</t>
  </si>
  <si>
    <t>Charuel</t>
  </si>
  <si>
    <t>Disponibilités (kg/an)</t>
  </si>
  <si>
    <t>TOTAL</t>
  </si>
  <si>
    <t>Intercultures</t>
  </si>
  <si>
    <t>Séparateur de phase :</t>
  </si>
  <si>
    <t>Type</t>
  </si>
  <si>
    <t>Taux de capture de l'azote</t>
  </si>
  <si>
    <t>Taux de capture du phophore</t>
  </si>
  <si>
    <t>Tapis de séchage :</t>
  </si>
  <si>
    <t>Production brute de biogaz</t>
  </si>
  <si>
    <t> MWh/an</t>
  </si>
  <si>
    <t>Proportion de méthane</t>
  </si>
  <si>
    <t>Production nette de biogaz</t>
  </si>
  <si>
    <t>Appoint fuel pour moteur dual-fuel</t>
  </si>
  <si>
    <t>Electricité produite</t>
  </si>
  <si>
    <t>Pertes co-générateur / chaudière</t>
  </si>
  <si>
    <t>Autre procédé de traitement :</t>
  </si>
  <si>
    <t>Fiche de centralisation des données</t>
  </si>
  <si>
    <t>Hygiénisation substrats/co-substrats</t>
  </si>
  <si>
    <t>Chauffage des habitations</t>
  </si>
  <si>
    <t>Production d'eau chaude</t>
  </si>
  <si>
    <t>Chauffage porcherie</t>
  </si>
  <si>
    <t>Chauffage des bâtiments volailles</t>
  </si>
  <si>
    <t>Chauffage de serres</t>
  </si>
  <si>
    <t>Procédés de séchage et de déshydratation</t>
  </si>
  <si>
    <t>Séchage de bois d'œuvre</t>
  </si>
  <si>
    <t>Autre valorisation</t>
  </si>
  <si>
    <t>Energie thermique exportée/vendue</t>
  </si>
  <si>
    <t>Efficacité électrique du cogénérateur</t>
  </si>
  <si>
    <t>Disponibilité plan d'épandage (kg)</t>
  </si>
  <si>
    <t>Plan d'épandage (kg)</t>
  </si>
  <si>
    <t>Solde plan d'épandage (kg)</t>
  </si>
  <si>
    <t>Digestat ne passant pas dans le séparateur (kg)</t>
  </si>
  <si>
    <t>Digestat (kg)</t>
  </si>
  <si>
    <t>Digestat (sans prise en compte des CIVES et menues pailles) (kg)</t>
  </si>
  <si>
    <t>Effluents non introduits dans le digesteur (kg)</t>
  </si>
  <si>
    <t>Effluents élevage (kg)</t>
  </si>
  <si>
    <t>Déchets extérieurs (kg)</t>
  </si>
  <si>
    <t>CIVE et menues pailles (kg)</t>
  </si>
  <si>
    <t>Tapis de séchage (air + solide) (kg)</t>
  </si>
  <si>
    <t xml:space="preserve">Avant séchage </t>
  </si>
  <si>
    <t>Total masse  digestat à traiter(t/an)</t>
  </si>
  <si>
    <t>MS (%)</t>
  </si>
  <si>
    <t>Eau (%)</t>
  </si>
  <si>
    <t>Masse MS (t)</t>
  </si>
  <si>
    <t>Masse eau (t)</t>
  </si>
  <si>
    <t>Après séchage</t>
  </si>
  <si>
    <t>M pdt brut après séchage (t)</t>
  </si>
  <si>
    <t>Conclusion</t>
  </si>
  <si>
    <t>Masse eau a évaporer (t)</t>
  </si>
  <si>
    <t>Nb de MWh pour évaporer 1L H2O</t>
  </si>
  <si>
    <t xml:space="preserve">Nb MWh nécessaire </t>
  </si>
  <si>
    <t>Différence de puissance (MWh/an)</t>
  </si>
  <si>
    <t>Qté d'énergie thermique disponible pour le sécheur (MWh/an)</t>
  </si>
  <si>
    <t>Séparateur de phase</t>
  </si>
  <si>
    <t>Solide</t>
  </si>
  <si>
    <t>Liquide</t>
  </si>
  <si>
    <t>Taux de capture DC</t>
  </si>
  <si>
    <t>Chauffage digesteur</t>
  </si>
  <si>
    <t>K</t>
  </si>
  <si>
    <t>Intrants</t>
  </si>
  <si>
    <t>Traitement</t>
  </si>
  <si>
    <t>Digestat</t>
  </si>
  <si>
    <t>Epandage</t>
  </si>
  <si>
    <t>Qté d'énergie thermique totale disponible pour le sécheur (MWh/an)</t>
  </si>
  <si>
    <t>Proportion de digestat qui ne pourra pas être séché (%)</t>
  </si>
  <si>
    <t>Qté de digestat qui ne pourra pas être séché (t)</t>
  </si>
  <si>
    <t>Qté de digestat pouvant être séché (t)</t>
  </si>
  <si>
    <t>Méthanisation (kg)</t>
  </si>
  <si>
    <t>1/ Effluents d'élevage non introduits dans le digesteur</t>
  </si>
  <si>
    <t>2/ Intrants digesteur</t>
  </si>
  <si>
    <t>1/ Unité production biogaz</t>
  </si>
  <si>
    <t>2/ Valorisation du biogaz</t>
  </si>
  <si>
    <t>2/a. Total des éléments à comptabiliser</t>
  </si>
  <si>
    <t>2/b. Total des éléments à ne pas comptabiliser</t>
  </si>
  <si>
    <r>
      <t>3/ Total des intrants à comptabiliser pour le plan d'épandage (</t>
    </r>
    <r>
      <rPr>
        <i/>
        <sz val="14"/>
        <color theme="0"/>
        <rFont val="Calibri"/>
        <family val="2"/>
        <scheme val="minor"/>
      </rPr>
      <t>1/</t>
    </r>
    <r>
      <rPr>
        <sz val="14"/>
        <color theme="0"/>
        <rFont val="Calibri"/>
        <family val="2"/>
        <scheme val="minor"/>
      </rPr>
      <t xml:space="preserve"> + </t>
    </r>
    <r>
      <rPr>
        <i/>
        <sz val="14"/>
        <color theme="0"/>
        <rFont val="Calibri"/>
        <family val="2"/>
        <scheme val="minor"/>
      </rPr>
      <t>2/a.</t>
    </r>
    <r>
      <rPr>
        <sz val="14"/>
        <color theme="0"/>
        <rFont val="Calibri"/>
        <family val="2"/>
        <scheme val="minor"/>
      </rPr>
      <t>)</t>
    </r>
  </si>
  <si>
    <t>Données économiques</t>
  </si>
  <si>
    <t>Nombre</t>
  </si>
  <si>
    <t>Note : Pour chaque rubrique où il est difficile d'avoir un chiffre précis (par manque de recul par exemple), nécessité d'une valeur par défaut: harmonisation des prix unitaires et des unités</t>
  </si>
  <si>
    <t>Observations :</t>
  </si>
  <si>
    <t>5/ Station de traitement du digestat</t>
  </si>
  <si>
    <t xml:space="preserve">Taille post digesteur </t>
  </si>
  <si>
    <t>Température digesteur</t>
  </si>
  <si>
    <t>°C</t>
  </si>
  <si>
    <t>Temps de rétention hydraulique post - D min</t>
  </si>
  <si>
    <t>Temps de rétention hydraulique minimum</t>
  </si>
  <si>
    <t>Température post-digesteur</t>
  </si>
  <si>
    <t>Rendement thermique cogénérateur/chaudière</t>
  </si>
  <si>
    <t>Consommation électrique du process</t>
  </si>
  <si>
    <t>Taux de matière sèche en sortie</t>
  </si>
  <si>
    <t>Taux de capture du potassium</t>
  </si>
  <si>
    <t>Canalisation (gaz, lisier, eau)</t>
  </si>
  <si>
    <t>€</t>
  </si>
  <si>
    <t>Stockage</t>
  </si>
  <si>
    <t>Couverture fosse de stockage</t>
  </si>
  <si>
    <t>Equipement épandage</t>
  </si>
  <si>
    <t>Autres (études, imprévus, etc.)</t>
  </si>
  <si>
    <t>Les financements</t>
  </si>
  <si>
    <t>Total financements</t>
  </si>
  <si>
    <t>Montant des investissements</t>
  </si>
  <si>
    <t>Subventions</t>
  </si>
  <si>
    <t>Plafonnées à</t>
  </si>
  <si>
    <t>Montant à emprunter</t>
  </si>
  <si>
    <t>Taux d'emprunt</t>
  </si>
  <si>
    <t>Taux d'actualisation</t>
  </si>
  <si>
    <t>Durée d'amortissement</t>
  </si>
  <si>
    <t>Durée de vie du co-générateur / chaudière</t>
  </si>
  <si>
    <t>Durée de vie des autres équipements</t>
  </si>
  <si>
    <t>Autres dépenses</t>
  </si>
  <si>
    <t>Prix unitaire (€)</t>
  </si>
  <si>
    <t>Frais divers Crédit carbone</t>
  </si>
  <si>
    <t>Coût de production ou d'appro. en intrants</t>
  </si>
  <si>
    <t>Prix total (€)</t>
  </si>
  <si>
    <t>Indemnités de traitement des déchets</t>
  </si>
  <si>
    <t>Tonne</t>
  </si>
  <si>
    <t>Epargne Energie</t>
  </si>
  <si>
    <t>T CO2 eq</t>
  </si>
  <si>
    <t xml:space="preserve">Epargne d'épandage </t>
  </si>
  <si>
    <t>Economie d'azote (valorisation engrais)</t>
  </si>
  <si>
    <t>Crédit carbone</t>
  </si>
  <si>
    <t>Bilan</t>
  </si>
  <si>
    <t>Investissements</t>
  </si>
  <si>
    <t>Solde de trésorerie</t>
  </si>
  <si>
    <t>Indicateurs économiques</t>
  </si>
  <si>
    <t>Temps de retour sur investissement brut (an)</t>
  </si>
  <si>
    <t>Temps de retour sur investissement avec annuités (an)</t>
  </si>
  <si>
    <t>Taux de rentabilité interne (%)</t>
  </si>
  <si>
    <t>   - selon puissance installée (€/kW élec)</t>
  </si>
  <si>
    <t>Valeur</t>
  </si>
  <si>
    <t>Excédent brut d'exploitation (€/an)</t>
  </si>
  <si>
    <t>Dépenses brutes d'exploitation (y compris annuités) (€/an)</t>
  </si>
  <si>
    <t>Annuités (€/an)</t>
  </si>
  <si>
    <t>Dépenses d'exploitation (€/an)</t>
  </si>
  <si>
    <t>Recettes (€/an)</t>
  </si>
  <si>
    <t>   - avec subventions (€)</t>
  </si>
  <si>
    <t>   - hors subventions (€)</t>
  </si>
  <si>
    <t>Valeur actualisée nette (k€)</t>
  </si>
  <si>
    <t>Lisier de PS</t>
  </si>
  <si>
    <t>Lisier d'engraissement</t>
  </si>
  <si>
    <t>Lisier de taurillons</t>
  </si>
  <si>
    <t>Fumier de bovin</t>
  </si>
  <si>
    <t>Déchets de légumes</t>
  </si>
  <si>
    <t>Marc de pomme</t>
  </si>
  <si>
    <t>Pelouse</t>
  </si>
  <si>
    <t>Sucre et mélasse</t>
  </si>
  <si>
    <t>Vinasse</t>
  </si>
  <si>
    <t>Huile végétale</t>
  </si>
  <si>
    <t>Orange</t>
  </si>
  <si>
    <t>Graisses</t>
  </si>
  <si>
    <t>Déchets de céréales</t>
  </si>
  <si>
    <t xml:space="preserve">Aliment </t>
  </si>
  <si>
    <t>Ensilage d'herbe</t>
  </si>
  <si>
    <t>Ensilage maïs</t>
  </si>
  <si>
    <t>Menue paille</t>
  </si>
  <si>
    <t xml:space="preserve">Production annuelle de méthane </t>
  </si>
  <si>
    <t>Energie primaire</t>
  </si>
  <si>
    <t>Production de gaz</t>
  </si>
  <si>
    <t>Production d'énergie</t>
  </si>
  <si>
    <t>Consommation d'énergie pour le process</t>
  </si>
  <si>
    <t xml:space="preserve">Energie thermique produite utile </t>
  </si>
  <si>
    <t xml:space="preserve">Energie thermique produite totale </t>
  </si>
  <si>
    <t> MWh PCI/an</t>
  </si>
  <si>
    <t>Chaleur éligible V</t>
  </si>
  <si>
    <t xml:space="preserve">Chaleur non éligible V </t>
  </si>
  <si>
    <t>Production de digestat brut</t>
  </si>
  <si>
    <t>Quantité de digestat brut produit</t>
  </si>
  <si>
    <t>Digestat brut produit sur l'exploitation</t>
  </si>
  <si>
    <t>5/ Energie thermique nécessaire pour sécher la totalité du digestat</t>
  </si>
  <si>
    <t>Cultures</t>
  </si>
  <si>
    <t>1/Origine des surfaces</t>
  </si>
  <si>
    <t xml:space="preserve">6/ Schéma fonctionnel de la chaine de méthanisation + séchage </t>
  </si>
  <si>
    <t>Sous total des effluents d'élevage</t>
  </si>
  <si>
    <t>Sous total des intrants extérieurs</t>
  </si>
  <si>
    <t>4/ Nature et quantité de digestat brut produit par le méthaniseur (simulations méthasim)</t>
  </si>
  <si>
    <t>4/ Nature du digestat brut produit par le méthaniseur (simulations méthasim)</t>
  </si>
  <si>
    <t>Mélange Refus solide et digestat</t>
  </si>
  <si>
    <t>Sans prise en compte des CIVE</t>
  </si>
  <si>
    <t>Refus solide</t>
  </si>
  <si>
    <t>Mélange</t>
  </si>
  <si>
    <t>Total masse refus solide + digestat (t/an)</t>
  </si>
  <si>
    <t>Total masse refus solide à traiter(t/an)</t>
  </si>
  <si>
    <t>Masse d'eau à évaporer et énergie nécessaire</t>
  </si>
  <si>
    <t>Qté de mélange pouvant être séchée (t)</t>
  </si>
  <si>
    <t>Différence de puissance pour le séchage du mélange (MWh/an)</t>
  </si>
  <si>
    <t>Qté de mélange ne pouvant pas être séchée (t)</t>
  </si>
  <si>
    <t>Avant séchage</t>
  </si>
  <si>
    <t>Proportion de mélange qui pourra être séchée (%)</t>
  </si>
  <si>
    <t>Nb de MWh pour évaporer 1L H2O (selon l'exploitant)</t>
  </si>
  <si>
    <t>Qté de mélange théoriquement séchée (t) (exemple)</t>
  </si>
  <si>
    <t>Schéma fonctionnel de la chaine de méthanisation + séchage + séparation de phase</t>
  </si>
  <si>
    <t xml:space="preserve">Flux de minéraux </t>
  </si>
  <si>
    <t>a) Composition du mélange digestat brut + refus de séparation de phase solide</t>
  </si>
  <si>
    <t>b) Calcul masse d'eau à évaporer</t>
  </si>
  <si>
    <t xml:space="preserve">6/ Evaluation de la concordance entre les quantités de mélange séchées données par l'exploitant et les valeurs réelles </t>
  </si>
  <si>
    <r>
      <t>P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5</t>
    </r>
  </si>
  <si>
    <r>
      <t>K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</si>
  <si>
    <t>1/ Valorisation thermique</t>
  </si>
  <si>
    <t>2/ Bilan de l'unité de méthanisation</t>
  </si>
  <si>
    <t>5/ Calcul masse d'eau à évaporer pour le séchage du mélange digestat + refus de séparation de phase solide, et concordance énergétique en fonction de la chaleur disponible</t>
  </si>
  <si>
    <t xml:space="preserve">Surface </t>
  </si>
  <si>
    <t xml:space="preserve">Culture </t>
  </si>
  <si>
    <t>Précédent  </t>
  </si>
  <si>
    <t xml:space="preserve">Objectif de rendement </t>
  </si>
  <si>
    <t xml:space="preserve">Type de sol </t>
  </si>
  <si>
    <t>  TOTAL DES BESOINS (A)</t>
  </si>
  <si>
    <t xml:space="preserve">  DOSE PREVISIONNELLE (E = C + D) </t>
  </si>
  <si>
    <t xml:space="preserve"> Besoins de la culture </t>
  </si>
  <si>
    <t>Azote restant dans le sol après la récolte</t>
  </si>
  <si>
    <t xml:space="preserve">Reliquat d’azote minéral sortie hiver </t>
  </si>
  <si>
    <t xml:space="preserve">Minéralisation de l’humus </t>
  </si>
  <si>
    <t xml:space="preserve">Minéralisation des résidus de la culture précédente ou de la jachère </t>
  </si>
  <si>
    <t xml:space="preserve">Arrière effet prairie </t>
  </si>
  <si>
    <t xml:space="preserve">Effet direct des amendements organiques </t>
  </si>
  <si>
    <t xml:space="preserve">Minéralisation des cultures intermédiaires </t>
  </si>
  <si>
    <t xml:space="preserve">Azote déjà absorbé lors de l’analyse du reliquat d’azote (pour les céréales d’hiver et le colza) </t>
  </si>
  <si>
    <t xml:space="preserve">  TOTAL DES FOURNITURES (B) </t>
  </si>
  <si>
    <t xml:space="preserve">  FUMURE AZOTEE TOTALE A APPORTER             (C = A - B) </t>
  </si>
  <si>
    <t>Culture</t>
  </si>
  <si>
    <t>Sources</t>
  </si>
  <si>
    <t>Peu exigentes</t>
  </si>
  <si>
    <t>Betteraves</t>
  </si>
  <si>
    <t>Colza</t>
  </si>
  <si>
    <t>Luzerne</t>
  </si>
  <si>
    <t>Pomme de terre</t>
  </si>
  <si>
    <t>Blé suivant un blé</t>
  </si>
  <si>
    <t>Blé dur</t>
  </si>
  <si>
    <t>Maïs ensilage</t>
  </si>
  <si>
    <t>Orge</t>
  </si>
  <si>
    <t>Pois</t>
  </si>
  <si>
    <t>Ray-grass</t>
  </si>
  <si>
    <t>Sorgho</t>
  </si>
  <si>
    <t>Avoine</t>
  </si>
  <si>
    <t>Blé tendre</t>
  </si>
  <si>
    <t>Maïs grain</t>
  </si>
  <si>
    <t>Seigle</t>
  </si>
  <si>
    <t>Soja</t>
  </si>
  <si>
    <t>Tournesol</t>
  </si>
  <si>
    <t>Très exigeantes</t>
  </si>
  <si>
    <t>Moyennement exigeantes</t>
  </si>
  <si>
    <t>Niveau d'exigence</t>
  </si>
  <si>
    <t>Région/zone</t>
  </si>
  <si>
    <t>Type de sol</t>
  </si>
  <si>
    <t>Niveau d'exigence des cultures</t>
  </si>
  <si>
    <t>N° de parcelle</t>
  </si>
  <si>
    <t xml:space="preserve">Maïs </t>
  </si>
  <si>
    <t>(teneurs-seuils régionalisés par ARVALIS - Institut du Végétal)</t>
  </si>
  <si>
    <t>Unités : mg/kg (ou ppm) de terre fine</t>
  </si>
  <si>
    <t xml:space="preserve">Limons battants </t>
  </si>
  <si>
    <t>Argiles</t>
  </si>
  <si>
    <t xml:space="preserve">Craie </t>
  </si>
  <si>
    <t>Limon</t>
  </si>
  <si>
    <t xml:space="preserve">Limon argileux </t>
  </si>
  <si>
    <t xml:space="preserve">Argilo-calcaire prof </t>
  </si>
  <si>
    <t>Lorraine</t>
  </si>
  <si>
    <t xml:space="preserve">Argilo-calcaire superficiels (prof&lt;=40cm) </t>
  </si>
  <si>
    <t xml:space="preserve">Argiles lourdes </t>
  </si>
  <si>
    <t>Alsace</t>
  </si>
  <si>
    <t xml:space="preserve">Alluvions de l'Ill </t>
  </si>
  <si>
    <t xml:space="preserve">Hardt superficielle, Ried brun caillouteux </t>
  </si>
  <si>
    <t>Argilo-calcaires caillouteux Alsace bossue, basse plaine sous-vosgienne</t>
  </si>
  <si>
    <t xml:space="preserve">Limons (A%&lt;20%) </t>
  </si>
  <si>
    <t xml:space="preserve">Limons arg. superf. de plateaux </t>
  </si>
  <si>
    <t>Franche Comté</t>
  </si>
  <si>
    <t>Argilo-calcaires superficiels</t>
  </si>
  <si>
    <t xml:space="preserve">Argilo-calcaires profonds </t>
  </si>
  <si>
    <t xml:space="preserve">Argilo-calcaires superficiels caillouteux </t>
  </si>
  <si>
    <t xml:space="preserve">Argilo-calcaires profonds peu caillouteux </t>
  </si>
  <si>
    <t>Centre Bassin parisien</t>
  </si>
  <si>
    <t>Limons</t>
  </si>
  <si>
    <t>Argilo-calcaires</t>
  </si>
  <si>
    <t xml:space="preserve">Sables </t>
  </si>
  <si>
    <t xml:space="preserve">Terres lourdes </t>
  </si>
  <si>
    <t>Limons sains et limons sableux</t>
  </si>
  <si>
    <t>Limons caillouteux superficiels</t>
  </si>
  <si>
    <t xml:space="preserve">Terres de Groie </t>
  </si>
  <si>
    <t>Argilo-calcaires profonds sur calcaires marneux</t>
  </si>
  <si>
    <t>Aubues légères et champagnes superficielles</t>
  </si>
  <si>
    <t xml:space="preserve">Aubues lourdes et champagnes profondes </t>
  </si>
  <si>
    <t xml:space="preserve">Sols sableux </t>
  </si>
  <si>
    <t>Haute Marne</t>
  </si>
  <si>
    <t xml:space="preserve">Sols superficiels du Barrois (G1, G2) et autres sols argileux (G3, G4) à 30% argile </t>
  </si>
  <si>
    <t>Sols superficiels du Barrois (G1, G2) et autres sols argileux (G3, G4) à 40% argile</t>
  </si>
  <si>
    <t>Terre noire</t>
  </si>
  <si>
    <t xml:space="preserve">Granitique </t>
  </si>
  <si>
    <t xml:space="preserve">Sologne </t>
  </si>
  <si>
    <t xml:space="preserve">Alluvions récentes (sableuses) </t>
  </si>
  <si>
    <t xml:space="preserve">Gravier, diluvium </t>
  </si>
  <si>
    <t>Limon argileux sain</t>
  </si>
  <si>
    <t xml:space="preserve">Argilo-calcaire prof. </t>
  </si>
  <si>
    <t>Argilo-calcaire superficiel</t>
  </si>
  <si>
    <t>Sols acides limoneux ou argileux (boulbènes, alluvions, Ségala)</t>
  </si>
  <si>
    <t xml:space="preserve">Sols basiques ou argilo-calcaires (terreforts, alluvions) </t>
  </si>
  <si>
    <t>Limons argileux</t>
  </si>
  <si>
    <t>Limons hydromorphes</t>
  </si>
  <si>
    <t>Informations relatives à la parcelle n°1</t>
  </si>
  <si>
    <t xml:space="preserve">Parcelle </t>
  </si>
  <si>
    <t>ha</t>
  </si>
  <si>
    <t>Gestion de l'interculture (précédant la culture principale)</t>
  </si>
  <si>
    <t>Ramassé</t>
  </si>
  <si>
    <t>Enfoui</t>
  </si>
  <si>
    <t xml:space="preserve">Conservées </t>
  </si>
  <si>
    <t>Détruites</t>
  </si>
  <si>
    <t>n° de l'îlot :</t>
  </si>
  <si>
    <t>Nom du propriétaire :</t>
  </si>
  <si>
    <t>Culture en place ou prévue :</t>
  </si>
  <si>
    <t>Type de sol :</t>
  </si>
  <si>
    <t>Précédent cultural :</t>
  </si>
  <si>
    <t>Résidu de récolte du précédent :</t>
  </si>
  <si>
    <t>Repousses du précédent :</t>
  </si>
  <si>
    <t>Si dérobée ou CIPAN, espèce(s) :</t>
  </si>
  <si>
    <t>Objectif de rendement si dérobée (tMS/ha) :</t>
  </si>
  <si>
    <t>Rendement obtnu de la dérobée (tMS/ha) :</t>
  </si>
  <si>
    <t>Date de destruction (si lieu d'être) :</t>
  </si>
  <si>
    <t>Date de semis  :</t>
  </si>
  <si>
    <t>Date de récolte ou destruction :</t>
  </si>
  <si>
    <r>
      <t>Kg N</t>
    </r>
    <r>
      <rPr>
        <vertAlign val="subscript"/>
        <sz val="11"/>
        <color theme="1"/>
        <rFont val="Calibri"/>
        <family val="2"/>
        <scheme val="minor"/>
      </rPr>
      <t>eff</t>
    </r>
    <r>
      <rPr>
        <sz val="11"/>
        <color theme="1"/>
        <rFont val="Calibri"/>
        <family val="2"/>
        <scheme val="minor"/>
      </rPr>
      <t>/ha</t>
    </r>
  </si>
  <si>
    <r>
      <t>Dose plafond N total (si engrais organique)</t>
    </r>
    <r>
      <rPr>
        <sz val="11"/>
        <color theme="1"/>
        <rFont val="Calibri"/>
        <family val="2"/>
        <scheme val="minor"/>
      </rPr>
      <t>:</t>
    </r>
  </si>
  <si>
    <r>
      <t>Si dérobée, dose plafond N efficace prévue</t>
    </r>
    <r>
      <rPr>
        <sz val="11"/>
        <color theme="1"/>
        <rFont val="Calibri"/>
        <family val="2"/>
        <scheme val="minor"/>
      </rPr>
      <t>:</t>
    </r>
  </si>
  <si>
    <t>Période d'implantation prévue :</t>
  </si>
  <si>
    <t>Surface totale :</t>
  </si>
  <si>
    <t>Surface épandable fumier :</t>
  </si>
  <si>
    <t>Surface épandable lisier :</t>
  </si>
  <si>
    <t>Surface épandable autre effluent organique :</t>
  </si>
  <si>
    <t>Date d'apport</t>
  </si>
  <si>
    <t>Nature du produit</t>
  </si>
  <si>
    <t>Teneur (kg/t ou kg/m3)</t>
  </si>
  <si>
    <t>Dose                   (t/ha ou m3/ha)</t>
  </si>
  <si>
    <t>Surface épandue (ha)</t>
  </si>
  <si>
    <t>Quantité à épandre</t>
  </si>
  <si>
    <t>N total</t>
  </si>
  <si>
    <t>Coeff</t>
  </si>
  <si>
    <r>
      <t xml:space="preserve">Apports organiques et/ou minéraux </t>
    </r>
    <r>
      <rPr>
        <b/>
        <u/>
        <sz val="14"/>
        <color theme="1"/>
        <rFont val="Calibri"/>
        <family val="2"/>
        <scheme val="minor"/>
      </rPr>
      <t>prévus</t>
    </r>
    <r>
      <rPr>
        <b/>
        <sz val="11"/>
        <color theme="1"/>
        <rFont val="Calibri"/>
        <family val="2"/>
        <scheme val="minor"/>
      </rPr>
      <t xml:space="preserve"> avant ou sur culture dérobée</t>
    </r>
  </si>
  <si>
    <r>
      <t xml:space="preserve">Apports organiques et/ou minéraux </t>
    </r>
    <r>
      <rPr>
        <b/>
        <u/>
        <sz val="14"/>
        <color theme="1"/>
        <rFont val="Calibri"/>
        <family val="2"/>
        <scheme val="minor"/>
      </rPr>
      <t>réalisés</t>
    </r>
    <r>
      <rPr>
        <b/>
        <sz val="11"/>
        <color theme="1"/>
        <rFont val="Calibri"/>
        <family val="2"/>
        <scheme val="minor"/>
      </rPr>
      <t xml:space="preserve"> avant ou sur culture dérobée</t>
    </r>
  </si>
  <si>
    <r>
      <t xml:space="preserve">Dose                   (t/ha ou m3/ha) </t>
    </r>
    <r>
      <rPr>
        <sz val="11"/>
        <color rgb="FFFF0000"/>
        <rFont val="Calibri"/>
        <family val="2"/>
        <scheme val="minor"/>
      </rPr>
      <t>(12b)</t>
    </r>
  </si>
  <si>
    <r>
      <t xml:space="preserve">Coeff </t>
    </r>
    <r>
      <rPr>
        <sz val="11"/>
        <color rgb="FFFF0000"/>
        <rFont val="Calibri"/>
        <family val="2"/>
        <scheme val="minor"/>
      </rPr>
      <t>(12c)</t>
    </r>
  </si>
  <si>
    <t>*Avec (12) = (12a) x (12b) x (12c)</t>
  </si>
  <si>
    <r>
      <t xml:space="preserve">*N efficace </t>
    </r>
    <r>
      <rPr>
        <sz val="11"/>
        <color rgb="FFFF0000"/>
        <rFont val="Calibri"/>
        <family val="2"/>
        <scheme val="minor"/>
      </rPr>
      <t xml:space="preserve">(12) </t>
    </r>
  </si>
  <si>
    <r>
      <t>*N efficace</t>
    </r>
    <r>
      <rPr>
        <sz val="11"/>
        <color rgb="FFFF0000"/>
        <rFont val="Calibri"/>
        <family val="2"/>
        <scheme val="minor"/>
      </rPr>
      <t>(12)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</si>
  <si>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N </t>
    </r>
    <r>
      <rPr>
        <sz val="11"/>
        <color rgb="FFFF0000"/>
        <rFont val="Calibri"/>
        <family val="2"/>
        <scheme val="minor"/>
      </rPr>
      <t>(12a)</t>
    </r>
  </si>
  <si>
    <t>q/ha, tMS/ha</t>
  </si>
  <si>
    <t xml:space="preserve">Objectif de rendement : </t>
  </si>
  <si>
    <t>kg/ha</t>
  </si>
  <si>
    <t>Calcul de Dose P2O5 :</t>
  </si>
  <si>
    <t>Calcul de Dose K2O :</t>
  </si>
  <si>
    <t>Azote déjà absorbé avant ouverture du bilan :</t>
  </si>
  <si>
    <t>Reportez votre calcul de dose de N :</t>
  </si>
  <si>
    <t>Rappel reliquat N sortie d'hiver :</t>
  </si>
  <si>
    <r>
      <t>Plan prévisionnel de Fumre (N, P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  <r>
      <rPr>
        <b/>
        <vertAlign val="subscript"/>
        <sz val="11"/>
        <color theme="1"/>
        <rFont val="Calibri"/>
        <family val="2"/>
        <scheme val="minor"/>
      </rPr>
      <t>5,</t>
    </r>
    <r>
      <rPr>
        <b/>
        <sz val="11"/>
        <color theme="1"/>
        <rFont val="Calibri"/>
        <family val="2"/>
        <scheme val="minor"/>
      </rPr>
      <t xml:space="preserve"> K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O)</t>
    </r>
  </si>
  <si>
    <t>Période d'apport prévue</t>
  </si>
  <si>
    <t>Avant ouverture du bilan</t>
  </si>
  <si>
    <t>Après ouverture du bilan</t>
  </si>
  <si>
    <r>
      <t>N</t>
    </r>
    <r>
      <rPr>
        <sz val="11"/>
        <color rgb="FFFF0000"/>
        <rFont val="Calibri"/>
        <family val="2"/>
        <scheme val="minor"/>
      </rPr>
      <t xml:space="preserve"> (12a)</t>
    </r>
  </si>
  <si>
    <t>Surface à épandre (ha)</t>
  </si>
  <si>
    <t>Quantité à épandre (kg/ha)</t>
  </si>
  <si>
    <r>
      <t xml:space="preserve">2/ Le solde de la dose N est réalisé sous forme d'engrais </t>
    </r>
    <r>
      <rPr>
        <b/>
        <u/>
        <sz val="14"/>
        <color theme="1"/>
        <rFont val="Calibri"/>
        <family val="2"/>
        <scheme val="minor"/>
      </rPr>
      <t>Minéral</t>
    </r>
    <r>
      <rPr>
        <b/>
        <sz val="11"/>
        <color theme="1"/>
        <rFont val="Calibri"/>
        <family val="2"/>
        <scheme val="minor"/>
      </rPr>
      <t xml:space="preserve"> (kg/ha)</t>
    </r>
  </si>
  <si>
    <r>
      <t xml:space="preserve">1/ Une partie de la dose de N peut être réalisée sous forme </t>
    </r>
    <r>
      <rPr>
        <b/>
        <u/>
        <sz val="14"/>
        <color theme="1"/>
        <rFont val="Calibri"/>
        <family val="2"/>
        <scheme val="minor"/>
      </rPr>
      <t>Organique</t>
    </r>
    <r>
      <rPr>
        <b/>
        <sz val="11"/>
        <color theme="1"/>
        <rFont val="Calibri"/>
        <family val="2"/>
        <scheme val="minor"/>
      </rPr>
      <t xml:space="preserve"> (kg/ha)</t>
    </r>
  </si>
  <si>
    <t>Formule du produit</t>
  </si>
  <si>
    <t>Teneur (%)</t>
  </si>
  <si>
    <r>
      <t>N</t>
    </r>
    <r>
      <rPr>
        <sz val="11"/>
        <color rgb="FFFF0000"/>
        <rFont val="Calibri"/>
        <family val="2"/>
        <scheme val="minor"/>
      </rPr>
      <t xml:space="preserve"> </t>
    </r>
  </si>
  <si>
    <t xml:space="preserve">Dose                   (kg/ha ou L/ha) </t>
  </si>
  <si>
    <t xml:space="preserve">Coeff </t>
  </si>
  <si>
    <r>
      <t xml:space="preserve">N efficace </t>
    </r>
    <r>
      <rPr>
        <sz val="11"/>
        <color rgb="FFFF0000"/>
        <rFont val="Calibri"/>
        <family val="2"/>
        <scheme val="minor"/>
      </rPr>
      <t xml:space="preserve"> </t>
    </r>
  </si>
  <si>
    <t xml:space="preserve">Variété : </t>
  </si>
  <si>
    <t>Cahier d'épandage</t>
  </si>
  <si>
    <t>Pilotage de la fertilisation :</t>
  </si>
  <si>
    <t>Effet pluviométrie sur le reliquat :</t>
  </si>
  <si>
    <t>Utilisation d'un outil de pilotage :</t>
  </si>
  <si>
    <t>oui/non</t>
  </si>
  <si>
    <t>Date d'implantation de la culture principale :</t>
  </si>
  <si>
    <t>Apports organiques</t>
  </si>
  <si>
    <t>Quantité épandue (kg/ha)</t>
  </si>
  <si>
    <t>Enfouissement (délai, mode…)</t>
  </si>
  <si>
    <t>Remarques (outils, pilotage…)</t>
  </si>
  <si>
    <t>Récolte</t>
  </si>
  <si>
    <t>Date de récolte :</t>
  </si>
  <si>
    <t>Rendement obtenu (q/ tMS/ha) :</t>
  </si>
  <si>
    <t>Rendement en paille (t/ha) :</t>
  </si>
  <si>
    <t>Taux d'humidité (%) :</t>
  </si>
  <si>
    <t>Divers (impuretés, % protéines…) :</t>
  </si>
  <si>
    <t xml:space="preserve">Remarques, observations : </t>
  </si>
  <si>
    <t>PMG (Poids de Mille Grains) (kg) :</t>
  </si>
  <si>
    <t>Poids spécifique (PS) (kg) :</t>
  </si>
  <si>
    <t>Informations relatives à la parcelle n°n</t>
  </si>
  <si>
    <t>Haute Normandie</t>
  </si>
  <si>
    <t>Sable</t>
  </si>
  <si>
    <t>T renforcé</t>
  </si>
  <si>
    <t>T impasse</t>
  </si>
  <si>
    <r>
      <t>Seuils P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  <r>
      <rPr>
        <b/>
        <vertAlign val="subscript"/>
        <sz val="11"/>
        <color theme="1"/>
        <rFont val="Calibri"/>
        <family val="2"/>
        <scheme val="minor"/>
      </rPr>
      <t>5</t>
    </r>
    <r>
      <rPr>
        <b/>
        <sz val="11"/>
        <color theme="1"/>
        <rFont val="Calibri"/>
        <family val="2"/>
        <scheme val="minor"/>
      </rPr>
      <t xml:space="preserve"> en mg/kg - Méthode Joret-Herbert</t>
    </r>
  </si>
  <si>
    <t>Région</t>
  </si>
  <si>
    <t xml:space="preserve">Limon blanc sain </t>
  </si>
  <si>
    <r>
      <t>Pour le P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  <r>
      <rPr>
        <vertAlign val="subscript"/>
        <sz val="11"/>
        <color theme="1"/>
        <rFont val="Calibri"/>
        <family val="2"/>
        <scheme val="minor"/>
      </rPr>
      <t>5</t>
    </r>
  </si>
  <si>
    <r>
      <t>Pour le K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</si>
  <si>
    <t>Seuils K2O échangeables, en mg/kg</t>
  </si>
  <si>
    <t>Résidus de récolte :</t>
  </si>
  <si>
    <t xml:space="preserve">Repousse du précédent : </t>
  </si>
  <si>
    <t>Nom des différentes régions :</t>
  </si>
  <si>
    <t>Coefficient retenu</t>
  </si>
  <si>
    <t>Exigence de la culture==&gt;</t>
  </si>
  <si>
    <t>1/ Niveau d'exigence de la culture (sources : Comifer 2007)</t>
  </si>
  <si>
    <t>Nombre d'années sans apports depuis la dernière fertilisation</t>
  </si>
  <si>
    <t>T renforcé  (mg/kg)</t>
  </si>
  <si>
    <t>T impasse  (mg/kg)</t>
  </si>
  <si>
    <r>
      <t>Calcul de la dose de P</t>
    </r>
    <r>
      <rPr>
        <b/>
        <vertAlign val="subscript"/>
        <sz val="16"/>
        <color theme="1"/>
        <rFont val="Calibri"/>
        <family val="2"/>
        <scheme val="minor"/>
      </rPr>
      <t>2</t>
    </r>
    <r>
      <rPr>
        <b/>
        <sz val="16"/>
        <color theme="1"/>
        <rFont val="Calibri"/>
        <family val="2"/>
        <scheme val="minor"/>
      </rPr>
      <t>O</t>
    </r>
    <r>
      <rPr>
        <b/>
        <vertAlign val="subscript"/>
        <sz val="16"/>
        <color theme="1"/>
        <rFont val="Calibri"/>
        <family val="2"/>
        <scheme val="minor"/>
      </rPr>
      <t>5</t>
    </r>
    <r>
      <rPr>
        <b/>
        <sz val="16"/>
        <color theme="1"/>
        <rFont val="Calibri"/>
        <family val="2"/>
        <scheme val="minor"/>
      </rPr>
      <t xml:space="preserve"> et K</t>
    </r>
    <r>
      <rPr>
        <b/>
        <vertAlign val="subscript"/>
        <sz val="16"/>
        <color theme="1"/>
        <rFont val="Calibri"/>
        <family val="2"/>
        <scheme val="minor"/>
      </rPr>
      <t>2</t>
    </r>
    <r>
      <rPr>
        <b/>
        <sz val="16"/>
        <color theme="1"/>
        <rFont val="Calibri"/>
        <family val="2"/>
        <scheme val="minor"/>
      </rPr>
      <t xml:space="preserve">O à apporter sur les cultures </t>
    </r>
  </si>
  <si>
    <r>
      <t>P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  <r>
      <rPr>
        <b/>
        <vertAlign val="subscript"/>
        <sz val="11"/>
        <color theme="1"/>
        <rFont val="Calibri"/>
        <family val="2"/>
        <scheme val="minor"/>
      </rPr>
      <t>5</t>
    </r>
  </si>
  <si>
    <r>
      <t>K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>O</t>
    </r>
  </si>
  <si>
    <t>Timp -10 %</t>
  </si>
  <si>
    <t>Timp +10%</t>
  </si>
  <si>
    <t>2x Timp</t>
  </si>
  <si>
    <t>3x Timp</t>
  </si>
  <si>
    <t>2 ou +</t>
  </si>
  <si>
    <t>Nombre d'années sans apports depuis la dernière fertilisation (ans)</t>
  </si>
  <si>
    <t>Coefficients</t>
  </si>
  <si>
    <t>Exigence des cultures</t>
  </si>
  <si>
    <t>3/ Calcul de la dose à apporter</t>
  </si>
  <si>
    <t xml:space="preserve">2/ Détermination du coefficient </t>
  </si>
  <si>
    <t>Rendement prévu sur la parcelle (unité de rendement aux normes)</t>
  </si>
  <si>
    <t>Teneur en P2O5 dans les exportations (kg/unité de rendement aux normes)</t>
  </si>
  <si>
    <t>Dose de P2O5 à appliquer sur les parcelles (kg/ha)</t>
  </si>
  <si>
    <t>Teneur en K2O dans les exportations (kg/unité de rendement aux normes)</t>
  </si>
  <si>
    <t>Dose de K2O à appliquer sur les parcelles (kg/ha)</t>
  </si>
  <si>
    <t xml:space="preserve">Flux d'énergie </t>
  </si>
  <si>
    <t>à modifier selon les dires de l'agriculteur</t>
  </si>
  <si>
    <t>Lin</t>
  </si>
  <si>
    <t>Maïs</t>
  </si>
  <si>
    <t>Triticale</t>
  </si>
  <si>
    <t>Vesce</t>
  </si>
  <si>
    <t xml:space="preserve">Organe </t>
  </si>
  <si>
    <t xml:space="preserve">Espèce </t>
  </si>
  <si>
    <t xml:space="preserve">Unité de teneur (2) </t>
  </si>
  <si>
    <t xml:space="preserve"> K2O </t>
  </si>
  <si>
    <t>MgO</t>
  </si>
  <si>
    <t xml:space="preserve">% Mat. Sèche récolte (1) </t>
  </si>
  <si>
    <t xml:space="preserve">grain </t>
  </si>
  <si>
    <t>kg / q</t>
  </si>
  <si>
    <t xml:space="preserve">paille (3) </t>
  </si>
  <si>
    <t xml:space="preserve">kg / t </t>
  </si>
  <si>
    <t xml:space="preserve">Betterave sucrière </t>
  </si>
  <si>
    <t xml:space="preserve">racine </t>
  </si>
  <si>
    <t>16% sucre</t>
  </si>
  <si>
    <t xml:space="preserve"> kg / t </t>
  </si>
  <si>
    <t xml:space="preserve">kg / q </t>
  </si>
  <si>
    <t xml:space="preserve">Blé dur  </t>
  </si>
  <si>
    <t>grain</t>
  </si>
  <si>
    <t xml:space="preserve">Blé tendre </t>
  </si>
  <si>
    <t>1,00 (4)</t>
  </si>
  <si>
    <t>Blé</t>
  </si>
  <si>
    <t xml:space="preserve"> paille </t>
  </si>
  <si>
    <t>kg / t</t>
  </si>
  <si>
    <t xml:space="preserve">Chicorée </t>
  </si>
  <si>
    <t>paille</t>
  </si>
  <si>
    <t xml:space="preserve">Féverole </t>
  </si>
  <si>
    <t xml:space="preserve">Lentille </t>
  </si>
  <si>
    <t>-</t>
  </si>
  <si>
    <t xml:space="preserve">Lupin </t>
  </si>
  <si>
    <t xml:space="preserve"> kg / q</t>
  </si>
  <si>
    <t xml:space="preserve">tige rouie </t>
  </si>
  <si>
    <t>tige rouie</t>
  </si>
  <si>
    <t xml:space="preserve">épi entier </t>
  </si>
  <si>
    <t xml:space="preserve">Millet </t>
  </si>
  <si>
    <t xml:space="preserve"> kg / q </t>
  </si>
  <si>
    <t xml:space="preserve">paille </t>
  </si>
  <si>
    <t>Pois chiche</t>
  </si>
  <si>
    <t xml:space="preserve"> grain </t>
  </si>
  <si>
    <t xml:space="preserve">Pomme de terre conso. </t>
  </si>
  <si>
    <t xml:space="preserve">tubercule </t>
  </si>
  <si>
    <t xml:space="preserve">Pomme de terre fécule </t>
  </si>
  <si>
    <t>Riz</t>
  </si>
  <si>
    <t xml:space="preserve"> grain (5) </t>
  </si>
  <si>
    <t xml:space="preserve">Sorgho </t>
  </si>
  <si>
    <t>2,0 (4)</t>
  </si>
  <si>
    <t xml:space="preserve"> 2,0 (4)</t>
  </si>
  <si>
    <t xml:space="preserve">12, 7 </t>
  </si>
  <si>
    <t>Légumes de plein champs et tabac (teneur par unité de récolte)</t>
  </si>
  <si>
    <t>Grandes cultures (teneur par unité de récolte)</t>
  </si>
  <si>
    <t>Chou fleur automne</t>
  </si>
  <si>
    <t>Chou fleur hiver</t>
  </si>
  <si>
    <t xml:space="preserve">Asperge </t>
  </si>
  <si>
    <t>bourgeons</t>
  </si>
  <si>
    <t>Artichaut</t>
  </si>
  <si>
    <t xml:space="preserve"> têtes </t>
  </si>
  <si>
    <t xml:space="preserve">Brocoli </t>
  </si>
  <si>
    <t xml:space="preserve">tête </t>
  </si>
  <si>
    <t xml:space="preserve">tête 18 cm </t>
  </si>
  <si>
    <t xml:space="preserve">Carotte jeune "Amsterdam" </t>
  </si>
  <si>
    <t>racine</t>
  </si>
  <si>
    <t xml:space="preserve">Carotte grosse </t>
  </si>
  <si>
    <t xml:space="preserve">Chou de Bruxelles </t>
  </si>
  <si>
    <t xml:space="preserve">plante entière </t>
  </si>
  <si>
    <t>tête</t>
  </si>
  <si>
    <t xml:space="preserve">tête couronnée </t>
  </si>
  <si>
    <t xml:space="preserve">Chou pomme </t>
  </si>
  <si>
    <t>Courgette</t>
  </si>
  <si>
    <t xml:space="preserve"> fruit </t>
  </si>
  <si>
    <t>Épinard</t>
  </si>
  <si>
    <t xml:space="preserve">feuilles </t>
  </si>
  <si>
    <t>Haricot vert</t>
  </si>
  <si>
    <t xml:space="preserve">2,00 (4) </t>
  </si>
  <si>
    <t xml:space="preserve"> gousse</t>
  </si>
  <si>
    <t xml:space="preserve">Haricot flageolet </t>
  </si>
  <si>
    <t xml:space="preserve">Haricot </t>
  </si>
  <si>
    <t xml:space="preserve">Maïs doux </t>
  </si>
  <si>
    <t xml:space="preserve">épi </t>
  </si>
  <si>
    <t>Melon</t>
  </si>
  <si>
    <t xml:space="preserve">fruit </t>
  </si>
  <si>
    <t xml:space="preserve">Navet </t>
  </si>
  <si>
    <t xml:space="preserve"> kg / t</t>
  </si>
  <si>
    <t xml:space="preserve">Poireau d'hiver </t>
  </si>
  <si>
    <t xml:space="preserve">fût &amp; feuilles </t>
  </si>
  <si>
    <t>Pois de conserve</t>
  </si>
  <si>
    <t xml:space="preserve"> grain ventilé </t>
  </si>
  <si>
    <t xml:space="preserve">Pomme de terre ½ primeur </t>
  </si>
  <si>
    <t>tubercule</t>
  </si>
  <si>
    <t xml:space="preserve">Pomme de terre prim'primeur </t>
  </si>
  <si>
    <t>Tabac brun</t>
  </si>
  <si>
    <t xml:space="preserve">Tabac Virginie </t>
  </si>
  <si>
    <t xml:space="preserve">Tabac Burley </t>
  </si>
  <si>
    <t xml:space="preserve">Tomate </t>
  </si>
  <si>
    <t xml:space="preserve">Salade type laitue </t>
  </si>
  <si>
    <t>feuilles</t>
  </si>
  <si>
    <t>Salade type Batavia</t>
  </si>
  <si>
    <t xml:space="preserve"> feuilles </t>
  </si>
  <si>
    <t>Fourrages et cultures fourragères (teneur relatives à la matière sèche pour les fourrages et le maïs, à la matière fraiche pour la betterave et le chou)</t>
  </si>
  <si>
    <t>Espèce</t>
  </si>
  <si>
    <t>Type récolte</t>
  </si>
  <si>
    <t>Valeur observées par enquête</t>
  </si>
  <si>
    <t>Valeurs critiques</t>
  </si>
  <si>
    <t>Hypothèses</t>
  </si>
  <si>
    <t>Kg K2O/tonne MS</t>
  </si>
  <si>
    <t>kg P2O5/tonne MS</t>
  </si>
  <si>
    <t>Kg P2O5/tonne MS</t>
  </si>
  <si>
    <t>kg MgO/tonne MS</t>
  </si>
  <si>
    <t>tonne MS/coupe et (INN)</t>
  </si>
  <si>
    <t>Dactyle</t>
  </si>
  <si>
    <t>Fétuque élevée</t>
  </si>
  <si>
    <t>Ray Grass Hybride</t>
  </si>
  <si>
    <t>Ray Grass italien</t>
  </si>
  <si>
    <t xml:space="preserve">Brome </t>
  </si>
  <si>
    <t>ensilage</t>
  </si>
  <si>
    <t xml:space="preserve">ensilage </t>
  </si>
  <si>
    <t xml:space="preserve">foin </t>
  </si>
  <si>
    <t xml:space="preserve">Dactyle &amp; Luzerne </t>
  </si>
  <si>
    <t xml:space="preserve"> - </t>
  </si>
  <si>
    <t xml:space="preserve">déshydratée </t>
  </si>
  <si>
    <t xml:space="preserve"> ensilage </t>
  </si>
  <si>
    <t>foin</t>
  </si>
  <si>
    <t>pâture</t>
  </si>
  <si>
    <t xml:space="preserve">Prairie naturelle </t>
  </si>
  <si>
    <t xml:space="preserve">Prairie temporaire </t>
  </si>
  <si>
    <t xml:space="preserve">pâture </t>
  </si>
  <si>
    <t>Ray Grass anglais</t>
  </si>
  <si>
    <t xml:space="preserve">Trèfle violet </t>
  </si>
  <si>
    <t>5 (0,9)</t>
  </si>
  <si>
    <t>4 (0,6)</t>
  </si>
  <si>
    <t xml:space="preserve">5,0 (1) </t>
  </si>
  <si>
    <t>2 (0,7)</t>
  </si>
  <si>
    <t>3 (0,6)</t>
  </si>
  <si>
    <t xml:space="preserve"> 5,7 (1) </t>
  </si>
  <si>
    <t xml:space="preserve"> 4 (0,6)</t>
  </si>
  <si>
    <t xml:space="preserve"> 2 (1,0)</t>
  </si>
  <si>
    <t xml:space="preserve"> 5 (0,9)</t>
  </si>
  <si>
    <t>6,9 (1)</t>
  </si>
  <si>
    <t xml:space="preserve"> 4 (0,9)</t>
  </si>
  <si>
    <t xml:space="preserve">Betterave fourragère </t>
  </si>
  <si>
    <t xml:space="preserve">Chou fourrager </t>
  </si>
  <si>
    <t xml:space="preserve"> plante entière ensilée </t>
  </si>
  <si>
    <t xml:space="preserve">0,90 (2) </t>
  </si>
  <si>
    <r>
      <t>1/ Niveaux d'exigence pour le P</t>
    </r>
    <r>
      <rPr>
        <b/>
        <vertAlign val="subscript"/>
        <sz val="12"/>
        <color theme="1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>O</t>
    </r>
    <r>
      <rPr>
        <b/>
        <vertAlign val="subscript"/>
        <sz val="12"/>
        <color theme="1"/>
        <rFont val="Calibri"/>
        <family val="2"/>
        <scheme val="minor"/>
      </rPr>
      <t>5</t>
    </r>
    <r>
      <rPr>
        <b/>
        <sz val="12"/>
        <color theme="1"/>
        <rFont val="Calibri"/>
        <family val="2"/>
        <scheme val="minor"/>
      </rPr>
      <t xml:space="preserve"> et le K</t>
    </r>
    <r>
      <rPr>
        <b/>
        <vertAlign val="subscript"/>
        <sz val="12"/>
        <color theme="1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>O de différentes cultures</t>
    </r>
  </si>
  <si>
    <t>2/ TENEURS-SEUILS PK PAR TYPE DE SOL</t>
  </si>
  <si>
    <t>4/ Grille de teneur en N P K des organes végétaux récoltés</t>
  </si>
  <si>
    <t>BESOINS TOTAUX             (kg N/ha)</t>
  </si>
  <si>
    <t>FOURNITURES TOTALES              (kg N/ha)</t>
  </si>
  <si>
    <t>FUMURE A APPORTER         kg (N/ha)</t>
  </si>
  <si>
    <t xml:space="preserve">PARCELLES </t>
  </si>
  <si>
    <t>Nom agriculteur</t>
  </si>
  <si>
    <t>Calcul de la dose d'azote à apporter sur les cultures</t>
  </si>
  <si>
    <t xml:space="preserve">Correction après diagnostic sur plante (D) </t>
  </si>
  <si>
    <t>Nord Picardie</t>
  </si>
  <si>
    <t>Bourgogne</t>
  </si>
  <si>
    <t xml:space="preserve">Limons argileux </t>
  </si>
  <si>
    <t>Cranettes</t>
  </si>
  <si>
    <t xml:space="preserve">Argilo-calcaire superf </t>
  </si>
  <si>
    <t xml:space="preserve">Argilo-calcaires profonds (Barrois, Haye), argiles calcaires du plateau lorrain </t>
  </si>
  <si>
    <t xml:space="preserve">Limons loess </t>
  </si>
  <si>
    <t xml:space="preserve">Limons lehm </t>
  </si>
  <si>
    <t xml:space="preserve">Hardt profonde, Ried brun profond, basse plaine rhénane </t>
  </si>
  <si>
    <t>Argilo-calcaires profonds Alsace bossue, basse plaine sous-vosgienne</t>
  </si>
  <si>
    <t xml:space="preserve">Sols argileux de vallées </t>
  </si>
  <si>
    <t xml:space="preserve">Sols argileux, calcaires, de vallées </t>
  </si>
  <si>
    <t>Argiles hydromorphes de vallées</t>
  </si>
  <si>
    <t xml:space="preserve">Limons et argiles profonds </t>
  </si>
  <si>
    <t xml:space="preserve">Sols sablo-graveleux </t>
  </si>
  <si>
    <t>Alluvions argileuses</t>
  </si>
  <si>
    <t>Limon argileux humide</t>
  </si>
  <si>
    <t xml:space="preserve">Limon blanc humide </t>
  </si>
  <si>
    <t xml:space="preserve">Varenne </t>
  </si>
  <si>
    <t xml:space="preserve">Argilo-calcaire </t>
  </si>
  <si>
    <t xml:space="preserve">Limons </t>
  </si>
  <si>
    <t xml:space="preserve">Limons, terres rouges, bornais, doucins limoneux </t>
  </si>
  <si>
    <t xml:space="preserve">Argilo-calcaires profonds sur marne </t>
  </si>
  <si>
    <t xml:space="preserve">Sables caillouteux non calcaires </t>
  </si>
  <si>
    <t xml:space="preserve">Argilo-calcaires superficiels sur craie </t>
  </si>
  <si>
    <t xml:space="preserve">Limons caillouteux sur argile à silex </t>
  </si>
  <si>
    <t xml:space="preserve">Limons des plateaux </t>
  </si>
  <si>
    <t>Argilo-calcaires de Beauce</t>
  </si>
  <si>
    <t xml:space="preserve">Limons sableux </t>
  </si>
  <si>
    <t>Sables</t>
  </si>
  <si>
    <t xml:space="preserve">Limons de Beauce </t>
  </si>
  <si>
    <t>Argile lourde</t>
  </si>
  <si>
    <t>Limons sur argile à silex</t>
  </si>
  <si>
    <t xml:space="preserve">Limon sableux </t>
  </si>
  <si>
    <t xml:space="preserve">Limon battant </t>
  </si>
  <si>
    <t>Limon argileux</t>
  </si>
  <si>
    <t>Basse Normandie</t>
  </si>
  <si>
    <t>Champagne Ardenne</t>
  </si>
  <si>
    <t>Rhone Alpes Saône et Loire</t>
  </si>
  <si>
    <t>Auvergne</t>
  </si>
  <si>
    <t>Centre Limousin</t>
  </si>
  <si>
    <t>Bretagne Pays de Loire</t>
  </si>
  <si>
    <t>Poitou Charentes</t>
  </si>
  <si>
    <t>Sud Ouest</t>
  </si>
  <si>
    <t>Quantité de minéraux pouvant être épandue (kg/ha)</t>
  </si>
  <si>
    <t>Quantité totale d'effluents épandue par l'agriculteur sur la parcelle (m3)</t>
  </si>
  <si>
    <t>Quantité totale d'effluents épandue par le preteur de terre sur la parcelle(m3)</t>
  </si>
  <si>
    <t>Quantité totale d'effluents pouvant être épandue sur la parcelle (m3)</t>
  </si>
  <si>
    <t>Quantité totale d'effluents épandue par le preteur de terre et l'agriculteur (m3)</t>
  </si>
  <si>
    <t>Quantité de minéraux  épandue par l'agriculteur sur la parcelle (kg/ha)</t>
  </si>
  <si>
    <t>Quantité de minéraux épandue par le preteur de terre sur la parcelle (kg/ha)</t>
  </si>
  <si>
    <t>Quantité de minéraux épandue sur la parcelle par le prêteur de tere et l'agriculteur(kg/ha)</t>
  </si>
  <si>
    <t>Différence de quantité de minéraux  épandue (kg/ha)</t>
  </si>
  <si>
    <t>Différence de quantité d'effluents épandue (m3)</t>
  </si>
  <si>
    <t>Nombre d'années sans apports depuis la dernière fertilisation (an)</t>
  </si>
  <si>
    <t>3 a/ Grille de calcul des doses de phosphore (P2O5) à apporter</t>
  </si>
  <si>
    <t>3 b/ Grille de calcul des doses de potassium (K2O) à apporter surles grandes cultures</t>
  </si>
  <si>
    <t>3 c/ Grille de calcul des doses de potassium (K2O) à apporter sur les cultures fourragères</t>
  </si>
  <si>
    <t>exemple : si la teneur d'un sol est inférieur au T renforcé correspondant, on choisi le coefficient dans la colonne à gauche de T renforcé.</t>
  </si>
  <si>
    <t>Autre exemple : si la teneur d'un sol est supérieur au T impasse correspondant, on choisi la valeur de coeffiient à droite de T impasse (si la teneur n'exède pas 2x T impasse)</t>
  </si>
  <si>
    <t>Teneur en P2O5 du sol retenu (mg/kg)</t>
  </si>
  <si>
    <t>Numéro parcelle</t>
  </si>
  <si>
    <t>Teneur en K2O du sol retenu (mg/kg)</t>
  </si>
</sst>
</file>

<file path=xl/styles.xml><?xml version="1.0" encoding="utf-8"?>
<styleSheet xmlns="http://schemas.openxmlformats.org/spreadsheetml/2006/main">
  <numFmts count="4">
    <numFmt numFmtId="6" formatCode="#,##0\ &quot;€&quot;;[Red]\-#,##0\ &quot;€&quot;"/>
    <numFmt numFmtId="164" formatCode="#,##0\ &quot;€&quot;"/>
    <numFmt numFmtId="165" formatCode="0;[Red]0"/>
    <numFmt numFmtId="166" formatCode="0.0%"/>
  </numFmts>
  <fonts count="3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4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14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vertAlign val="subscript"/>
      <sz val="16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sz val="10"/>
      <color rgb="FF333333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C00000"/>
      </left>
      <right/>
      <top style="medium">
        <color rgb="FFC00000"/>
      </top>
      <bottom style="thin">
        <color indexed="64"/>
      </bottom>
      <diagonal/>
    </border>
    <border>
      <left/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medium">
        <color rgb="FFC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C00000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97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1" fillId="0" borderId="0" xfId="0" applyFont="1" applyFill="1"/>
    <xf numFmtId="6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6" fontId="1" fillId="0" borderId="0" xfId="0" applyNumberFormat="1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5" xfId="0" applyBorder="1" applyAlignment="1">
      <alignment horizontal="center"/>
    </xf>
    <xf numFmtId="0" fontId="0" fillId="0" borderId="1" xfId="0" applyBorder="1"/>
    <xf numFmtId="0" fontId="0" fillId="0" borderId="4" xfId="0" applyBorder="1"/>
    <xf numFmtId="0" fontId="4" fillId="0" borderId="0" xfId="0" applyFont="1"/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left"/>
    </xf>
    <xf numFmtId="1" fontId="0" fillId="0" borderId="1" xfId="0" applyNumberFormat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6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8" xfId="0" applyBorder="1"/>
    <xf numFmtId="0" fontId="0" fillId="0" borderId="23" xfId="0" applyBorder="1"/>
    <xf numFmtId="0" fontId="0" fillId="0" borderId="24" xfId="0" applyBorder="1"/>
    <xf numFmtId="0" fontId="0" fillId="0" borderId="26" xfId="0" applyBorder="1"/>
    <xf numFmtId="0" fontId="0" fillId="0" borderId="27" xfId="0" applyBorder="1"/>
    <xf numFmtId="0" fontId="0" fillId="0" borderId="6" xfId="0" applyBorder="1"/>
    <xf numFmtId="0" fontId="0" fillId="0" borderId="35" xfId="0" applyBorder="1"/>
    <xf numFmtId="0" fontId="0" fillId="0" borderId="36" xfId="0" applyBorder="1"/>
    <xf numFmtId="0" fontId="1" fillId="6" borderId="29" xfId="0" applyFont="1" applyFill="1" applyBorder="1"/>
    <xf numFmtId="0" fontId="1" fillId="6" borderId="3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6" borderId="31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/>
    <xf numFmtId="0" fontId="0" fillId="0" borderId="7" xfId="0" applyBorder="1" applyAlignment="1">
      <alignment horizontal="center" vertical="center"/>
    </xf>
    <xf numFmtId="0" fontId="0" fillId="0" borderId="23" xfId="0" applyFill="1" applyBorder="1"/>
    <xf numFmtId="1" fontId="0" fillId="0" borderId="0" xfId="0" applyNumberFormat="1"/>
    <xf numFmtId="2" fontId="0" fillId="0" borderId="32" xfId="0" applyNumberFormat="1" applyBorder="1" applyAlignment="1">
      <alignment horizontal="center" vertical="center"/>
    </xf>
    <xf numFmtId="9" fontId="0" fillId="0" borderId="33" xfId="0" applyNumberFormat="1" applyBorder="1" applyAlignment="1">
      <alignment horizontal="center" vertical="center"/>
    </xf>
    <xf numFmtId="1" fontId="0" fillId="0" borderId="33" xfId="0" applyNumberFormat="1" applyBorder="1" applyAlignment="1">
      <alignment horizontal="center" vertical="center"/>
    </xf>
    <xf numFmtId="1" fontId="0" fillId="0" borderId="41" xfId="0" applyNumberFormat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0" fontId="0" fillId="0" borderId="32" xfId="0" applyNumberFormat="1" applyBorder="1" applyAlignment="1">
      <alignment horizontal="center" vertical="center"/>
    </xf>
    <xf numFmtId="10" fontId="0" fillId="0" borderId="33" xfId="0" applyNumberFormat="1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" fontId="6" fillId="0" borderId="9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vertical="center"/>
    </xf>
    <xf numFmtId="165" fontId="12" fillId="0" borderId="24" xfId="0" applyNumberFormat="1" applyFont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1" fontId="14" fillId="0" borderId="44" xfId="1" applyNumberFormat="1" applyFont="1" applyFill="1" applyBorder="1" applyAlignment="1" applyProtection="1">
      <alignment horizontal="center"/>
      <protection locked="0"/>
    </xf>
    <xf numFmtId="1" fontId="14" fillId="0" borderId="45" xfId="1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Fill="1" applyBorder="1" applyAlignment="1"/>
    <xf numFmtId="0" fontId="12" fillId="0" borderId="0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27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5" fontId="0" fillId="0" borderId="0" xfId="0" applyNumberFormat="1" applyAlignment="1">
      <alignment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10" fontId="0" fillId="0" borderId="0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" xfId="0" applyBorder="1"/>
    <xf numFmtId="165" fontId="0" fillId="0" borderId="0" xfId="0" applyNumberFormat="1"/>
    <xf numFmtId="0" fontId="0" fillId="0" borderId="27" xfId="0" applyBorder="1" applyAlignment="1">
      <alignment horizontal="center"/>
    </xf>
    <xf numFmtId="165" fontId="12" fillId="0" borderId="41" xfId="0" applyNumberFormat="1" applyFont="1" applyBorder="1" applyAlignment="1">
      <alignment horizontal="center" vertical="center"/>
    </xf>
    <xf numFmtId="165" fontId="0" fillId="0" borderId="24" xfId="0" applyNumberFormat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46" xfId="0" applyBorder="1"/>
    <xf numFmtId="0" fontId="0" fillId="0" borderId="3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66" xfId="0" applyBorder="1" applyAlignment="1">
      <alignment horizontal="center"/>
    </xf>
    <xf numFmtId="0" fontId="0" fillId="0" borderId="68" xfId="0" applyBorder="1"/>
    <xf numFmtId="0" fontId="0" fillId="0" borderId="14" xfId="0" applyBorder="1"/>
    <xf numFmtId="0" fontId="0" fillId="0" borderId="58" xfId="0" applyBorder="1"/>
    <xf numFmtId="0" fontId="0" fillId="0" borderId="38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67" xfId="0" applyBorder="1"/>
    <xf numFmtId="0" fontId="0" fillId="0" borderId="29" xfId="0" applyBorder="1" applyAlignment="1">
      <alignment horizontal="center"/>
    </xf>
    <xf numFmtId="0" fontId="15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15" fillId="0" borderId="0" xfId="0" applyFont="1" applyFill="1" applyBorder="1" applyAlignment="1"/>
    <xf numFmtId="1" fontId="0" fillId="0" borderId="32" xfId="0" applyNumberFormat="1" applyBorder="1" applyAlignment="1">
      <alignment horizontal="center" vertical="center"/>
    </xf>
    <xf numFmtId="0" fontId="0" fillId="0" borderId="35" xfId="0" applyFill="1" applyBorder="1"/>
    <xf numFmtId="0" fontId="0" fillId="0" borderId="36" xfId="0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7" fillId="0" borderId="51" xfId="0" applyFont="1" applyBorder="1" applyAlignment="1">
      <alignment horizontal="center"/>
    </xf>
    <xf numFmtId="0" fontId="17" fillId="0" borderId="52" xfId="0" applyFont="1" applyBorder="1" applyAlignment="1">
      <alignment horizontal="center"/>
    </xf>
    <xf numFmtId="1" fontId="17" fillId="0" borderId="53" xfId="0" applyNumberFormat="1" applyFont="1" applyBorder="1" applyAlignment="1">
      <alignment horizontal="center"/>
    </xf>
    <xf numFmtId="1" fontId="17" fillId="0" borderId="72" xfId="0" applyNumberFormat="1" applyFont="1" applyBorder="1" applyAlignment="1">
      <alignment horizontal="center"/>
    </xf>
    <xf numFmtId="0" fontId="17" fillId="0" borderId="54" xfId="0" applyFont="1" applyBorder="1"/>
    <xf numFmtId="0" fontId="17" fillId="0" borderId="27" xfId="0" applyFont="1" applyBorder="1" applyAlignment="1">
      <alignment horizontal="center"/>
    </xf>
    <xf numFmtId="0" fontId="17" fillId="0" borderId="73" xfId="0" applyFont="1" applyBorder="1" applyAlignment="1">
      <alignment horizontal="center"/>
    </xf>
    <xf numFmtId="0" fontId="17" fillId="0" borderId="74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50" xfId="0" applyBorder="1"/>
    <xf numFmtId="0" fontId="0" fillId="0" borderId="70" xfId="0" applyBorder="1"/>
    <xf numFmtId="0" fontId="15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/>
    <xf numFmtId="0" fontId="7" fillId="0" borderId="0" xfId="0" applyFont="1" applyFill="1" applyBorder="1"/>
    <xf numFmtId="9" fontId="7" fillId="0" borderId="0" xfId="0" applyNumberFormat="1" applyFont="1" applyFill="1" applyBorder="1"/>
    <xf numFmtId="0" fontId="1" fillId="4" borderId="59" xfId="0" applyFont="1" applyFill="1" applyBorder="1" applyAlignment="1">
      <alignment horizontal="center"/>
    </xf>
    <xf numFmtId="0" fontId="1" fillId="4" borderId="58" xfId="0" applyFont="1" applyFill="1" applyBorder="1" applyAlignment="1">
      <alignment horizontal="center"/>
    </xf>
    <xf numFmtId="0" fontId="1" fillId="4" borderId="48" xfId="0" applyFont="1" applyFill="1" applyBorder="1" applyAlignment="1">
      <alignment horizontal="center"/>
    </xf>
    <xf numFmtId="0" fontId="1" fillId="4" borderId="40" xfId="0" applyFont="1" applyFill="1" applyBorder="1" applyAlignment="1">
      <alignment horizontal="center"/>
    </xf>
    <xf numFmtId="0" fontId="0" fillId="4" borderId="61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4" borderId="69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0" fillId="4" borderId="18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11" fillId="4" borderId="16" xfId="0" applyFont="1" applyFill="1" applyBorder="1" applyAlignment="1">
      <alignment horizontal="left" vertical="center" wrapText="1"/>
    </xf>
    <xf numFmtId="0" fontId="1" fillId="4" borderId="17" xfId="0" applyFont="1" applyFill="1" applyBorder="1" applyAlignment="1">
      <alignment horizontal="left" vertical="center"/>
    </xf>
    <xf numFmtId="0" fontId="1" fillId="4" borderId="17" xfId="0" applyFont="1" applyFill="1" applyBorder="1" applyAlignment="1">
      <alignment vertical="center"/>
    </xf>
    <xf numFmtId="0" fontId="1" fillId="4" borderId="18" xfId="0" applyFont="1" applyFill="1" applyBorder="1" applyAlignment="1">
      <alignment horizontal="lef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42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0" fontId="1" fillId="4" borderId="16" xfId="0" applyFont="1" applyFill="1" applyBorder="1" applyAlignment="1">
      <alignment vertical="center"/>
    </xf>
    <xf numFmtId="0" fontId="1" fillId="4" borderId="18" xfId="0" applyFont="1" applyFill="1" applyBorder="1" applyAlignment="1">
      <alignment vertical="center" wrapText="1"/>
    </xf>
    <xf numFmtId="0" fontId="1" fillId="13" borderId="59" xfId="0" applyFont="1" applyFill="1" applyBorder="1" applyAlignment="1">
      <alignment horizontal="center"/>
    </xf>
    <xf numFmtId="0" fontId="1" fillId="13" borderId="58" xfId="0" applyFont="1" applyFill="1" applyBorder="1" applyAlignment="1">
      <alignment horizontal="center"/>
    </xf>
    <xf numFmtId="0" fontId="1" fillId="13" borderId="48" xfId="0" applyFont="1" applyFill="1" applyBorder="1" applyAlignment="1">
      <alignment horizontal="center"/>
    </xf>
    <xf numFmtId="0" fontId="1" fillId="13" borderId="40" xfId="0" applyFont="1" applyFill="1" applyBorder="1" applyAlignment="1">
      <alignment horizontal="center"/>
    </xf>
    <xf numFmtId="0" fontId="0" fillId="13" borderId="61" xfId="0" applyFont="1" applyFill="1" applyBorder="1" applyAlignment="1">
      <alignment horizontal="center"/>
    </xf>
    <xf numFmtId="0" fontId="0" fillId="13" borderId="4" xfId="0" applyFill="1" applyBorder="1"/>
    <xf numFmtId="0" fontId="1" fillId="13" borderId="16" xfId="0" applyFont="1" applyFill="1" applyBorder="1" applyAlignment="1">
      <alignment horizontal="center"/>
    </xf>
    <xf numFmtId="0" fontId="1" fillId="13" borderId="69" xfId="0" applyFont="1" applyFill="1" applyBorder="1" applyAlignment="1">
      <alignment horizontal="center"/>
    </xf>
    <xf numFmtId="0" fontId="1" fillId="13" borderId="5" xfId="0" applyFont="1" applyFill="1" applyBorder="1" applyAlignment="1">
      <alignment horizontal="center"/>
    </xf>
    <xf numFmtId="0" fontId="1" fillId="13" borderId="6" xfId="0" applyFont="1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0" fillId="13" borderId="18" xfId="0" applyFont="1" applyFill="1" applyBorder="1" applyAlignment="1">
      <alignment horizontal="center"/>
    </xf>
    <xf numFmtId="0" fontId="0" fillId="13" borderId="2" xfId="0" applyFont="1" applyFill="1" applyBorder="1" applyAlignment="1">
      <alignment horizontal="center"/>
    </xf>
    <xf numFmtId="0" fontId="0" fillId="13" borderId="5" xfId="0" applyFill="1" applyBorder="1" applyAlignment="1">
      <alignment horizontal="center" vertical="center" wrapText="1"/>
    </xf>
    <xf numFmtId="0" fontId="0" fillId="13" borderId="42" xfId="0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21" xfId="0" applyFill="1" applyBorder="1" applyAlignment="1">
      <alignment horizontal="center" vertical="center" wrapText="1"/>
    </xf>
    <xf numFmtId="0" fontId="0" fillId="13" borderId="6" xfId="0" applyFill="1" applyBorder="1" applyAlignment="1">
      <alignment horizontal="center" vertical="center" wrapText="1"/>
    </xf>
    <xf numFmtId="0" fontId="19" fillId="13" borderId="16" xfId="0" applyFont="1" applyFill="1" applyBorder="1" applyAlignment="1">
      <alignment horizontal="left" vertical="center" wrapText="1"/>
    </xf>
    <xf numFmtId="0" fontId="0" fillId="13" borderId="17" xfId="0" applyFont="1" applyFill="1" applyBorder="1" applyAlignment="1">
      <alignment horizontal="left" vertical="center"/>
    </xf>
    <xf numFmtId="0" fontId="0" fillId="13" borderId="17" xfId="0" applyFont="1" applyFill="1" applyBorder="1" applyAlignment="1">
      <alignment vertical="center"/>
    </xf>
    <xf numFmtId="0" fontId="0" fillId="13" borderId="18" xfId="0" applyFont="1" applyFill="1" applyBorder="1" applyAlignment="1">
      <alignment horizontal="left" vertical="center"/>
    </xf>
    <xf numFmtId="0" fontId="0" fillId="13" borderId="16" xfId="0" applyFont="1" applyFill="1" applyBorder="1" applyAlignment="1">
      <alignment vertical="center"/>
    </xf>
    <xf numFmtId="0" fontId="0" fillId="13" borderId="18" xfId="0" applyFont="1" applyFill="1" applyBorder="1" applyAlignment="1">
      <alignment vertical="center" wrapText="1"/>
    </xf>
    <xf numFmtId="0" fontId="0" fillId="10" borderId="31" xfId="0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/>
    <xf numFmtId="6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Fill="1" applyBorder="1" applyAlignment="1">
      <alignment horizontal="center"/>
    </xf>
    <xf numFmtId="6" fontId="0" fillId="0" borderId="9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0" borderId="28" xfId="0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8" xfId="0" applyBorder="1" applyAlignment="1">
      <alignment horizontal="center"/>
    </xf>
    <xf numFmtId="0" fontId="8" fillId="0" borderId="0" xfId="0" applyFont="1"/>
    <xf numFmtId="164" fontId="1" fillId="0" borderId="0" xfId="0" applyNumberFormat="1" applyFont="1" applyFill="1" applyBorder="1" applyAlignment="1">
      <alignment horizontal="center"/>
    </xf>
    <xf numFmtId="0" fontId="8" fillId="0" borderId="0" xfId="0" applyFont="1" applyFill="1"/>
    <xf numFmtId="0" fontId="0" fillId="10" borderId="30" xfId="0" applyFill="1" applyBorder="1" applyAlignment="1">
      <alignment horizontal="center"/>
    </xf>
    <xf numFmtId="0" fontId="9" fillId="10" borderId="29" xfId="0" applyFont="1" applyFill="1" applyBorder="1" applyAlignment="1">
      <alignment horizontal="left"/>
    </xf>
    <xf numFmtId="164" fontId="2" fillId="5" borderId="31" xfId="0" applyNumberFormat="1" applyFont="1" applyFill="1" applyBorder="1" applyAlignment="1">
      <alignment horizontal="center"/>
    </xf>
    <xf numFmtId="0" fontId="1" fillId="3" borderId="38" xfId="0" applyFont="1" applyFill="1" applyBorder="1"/>
    <xf numFmtId="0" fontId="1" fillId="3" borderId="39" xfId="0" applyFont="1" applyFill="1" applyBorder="1" applyAlignment="1">
      <alignment horizontal="center"/>
    </xf>
    <xf numFmtId="0" fontId="1" fillId="3" borderId="40" xfId="0" applyFont="1" applyFill="1" applyBorder="1" applyAlignment="1">
      <alignment horizontal="center" vertical="center"/>
    </xf>
    <xf numFmtId="0" fontId="0" fillId="0" borderId="8" xfId="0" applyFill="1" applyBorder="1"/>
    <xf numFmtId="0" fontId="9" fillId="10" borderId="38" xfId="0" applyFont="1" applyFill="1" applyBorder="1" applyAlignment="1"/>
    <xf numFmtId="0" fontId="0" fillId="10" borderId="39" xfId="0" applyFill="1" applyBorder="1" applyAlignment="1">
      <alignment horizontal="center"/>
    </xf>
    <xf numFmtId="0" fontId="0" fillId="10" borderId="40" xfId="0" applyFill="1" applyBorder="1" applyAlignment="1">
      <alignment horizontal="center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1" fillId="5" borderId="23" xfId="0" applyFont="1" applyFill="1" applyBorder="1" applyAlignment="1"/>
    <xf numFmtId="0" fontId="9" fillId="10" borderId="38" xfId="0" applyFont="1" applyFill="1" applyBorder="1" applyAlignment="1">
      <alignment horizontal="left"/>
    </xf>
    <xf numFmtId="164" fontId="2" fillId="5" borderId="70" xfId="0" applyNumberFormat="1" applyFont="1" applyFill="1" applyBorder="1" applyAlignment="1">
      <alignment horizontal="center"/>
    </xf>
    <xf numFmtId="6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9" fontId="0" fillId="0" borderId="24" xfId="0" applyNumberFormat="1" applyBorder="1" applyAlignment="1">
      <alignment horizontal="center"/>
    </xf>
    <xf numFmtId="0" fontId="21" fillId="0" borderId="0" xfId="0" applyFont="1"/>
    <xf numFmtId="0" fontId="0" fillId="0" borderId="25" xfId="0" applyFill="1" applyBorder="1" applyAlignment="1">
      <alignment horizontal="center"/>
    </xf>
    <xf numFmtId="0" fontId="5" fillId="0" borderId="0" xfId="0" applyFont="1" applyBorder="1" applyAlignment="1"/>
    <xf numFmtId="0" fontId="2" fillId="0" borderId="0" xfId="0" applyFont="1" applyFill="1" applyBorder="1" applyAlignment="1"/>
    <xf numFmtId="0" fontId="2" fillId="5" borderId="46" xfId="0" applyFont="1" applyFill="1" applyBorder="1" applyAlignment="1"/>
    <xf numFmtId="0" fontId="2" fillId="5" borderId="50" xfId="0" applyFont="1" applyFill="1" applyBorder="1" applyAlignment="1"/>
    <xf numFmtId="0" fontId="0" fillId="0" borderId="7" xfId="0" applyBorder="1" applyAlignment="1"/>
    <xf numFmtId="0" fontId="0" fillId="0" borderId="75" xfId="0" applyBorder="1"/>
    <xf numFmtId="2" fontId="0" fillId="0" borderId="64" xfId="0" applyNumberFormat="1" applyBorder="1" applyAlignment="1">
      <alignment horizontal="center"/>
    </xf>
    <xf numFmtId="2" fontId="0" fillId="0" borderId="39" xfId="0" applyNumberFormat="1" applyBorder="1" applyAlignment="1">
      <alignment horizontal="center"/>
    </xf>
    <xf numFmtId="2" fontId="0" fillId="0" borderId="59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66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" fontId="0" fillId="0" borderId="50" xfId="0" applyNumberFormat="1" applyBorder="1" applyAlignment="1">
      <alignment horizontal="center"/>
    </xf>
    <xf numFmtId="0" fontId="0" fillId="0" borderId="67" xfId="0" applyFont="1" applyBorder="1"/>
    <xf numFmtId="0" fontId="0" fillId="0" borderId="68" xfId="0" applyFont="1" applyBorder="1"/>
    <xf numFmtId="0" fontId="0" fillId="0" borderId="14" xfId="0" applyFont="1" applyBorder="1"/>
    <xf numFmtId="0" fontId="10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8" fillId="0" borderId="30" xfId="0" applyFont="1" applyFill="1" applyBorder="1" applyAlignment="1">
      <alignment horizontal="left"/>
    </xf>
    <xf numFmtId="0" fontId="0" fillId="0" borderId="31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left"/>
    </xf>
    <xf numFmtId="0" fontId="12" fillId="0" borderId="0" xfId="0" applyFont="1" applyFill="1" applyBorder="1"/>
    <xf numFmtId="0" fontId="22" fillId="0" borderId="50" xfId="0" applyFont="1" applyFill="1" applyBorder="1" applyAlignment="1">
      <alignment horizontal="left"/>
    </xf>
    <xf numFmtId="0" fontId="22" fillId="0" borderId="70" xfId="0" applyFont="1" applyFill="1" applyBorder="1" applyAlignment="1">
      <alignment horizontal="left"/>
    </xf>
    <xf numFmtId="1" fontId="22" fillId="0" borderId="50" xfId="0" applyNumberFormat="1" applyFont="1" applyFill="1" applyBorder="1" applyAlignment="1">
      <alignment horizontal="center" vertical="center"/>
    </xf>
    <xf numFmtId="0" fontId="22" fillId="0" borderId="46" xfId="0" applyFont="1" applyFill="1" applyBorder="1" applyAlignment="1">
      <alignment horizontal="center" vertical="center"/>
    </xf>
    <xf numFmtId="0" fontId="22" fillId="0" borderId="50" xfId="0" applyFont="1" applyFill="1" applyBorder="1" applyAlignment="1">
      <alignment horizontal="center" vertical="center"/>
    </xf>
    <xf numFmtId="166" fontId="0" fillId="0" borderId="33" xfId="0" applyNumberFormat="1" applyBorder="1" applyAlignment="1">
      <alignment horizontal="center" vertical="center"/>
    </xf>
    <xf numFmtId="10" fontId="22" fillId="0" borderId="50" xfId="0" applyNumberFormat="1" applyFont="1" applyFill="1" applyBorder="1" applyAlignment="1">
      <alignment horizontal="center" vertical="center"/>
    </xf>
    <xf numFmtId="6" fontId="0" fillId="11" borderId="24" xfId="0" applyNumberFormat="1" applyFill="1" applyBorder="1" applyAlignment="1">
      <alignment horizontal="center"/>
    </xf>
    <xf numFmtId="164" fontId="0" fillId="11" borderId="25" xfId="0" applyNumberFormat="1" applyFill="1" applyBorder="1" applyAlignment="1">
      <alignment horizontal="center"/>
    </xf>
    <xf numFmtId="0" fontId="5" fillId="4" borderId="29" xfId="0" applyFont="1" applyFill="1" applyBorder="1"/>
    <xf numFmtId="0" fontId="1" fillId="4" borderId="30" xfId="0" applyFont="1" applyFill="1" applyBorder="1" applyAlignment="1">
      <alignment horizontal="center"/>
    </xf>
    <xf numFmtId="0" fontId="1" fillId="4" borderId="3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1" fontId="0" fillId="4" borderId="29" xfId="0" applyNumberFormat="1" applyFill="1" applyBorder="1" applyAlignment="1">
      <alignment horizontal="center"/>
    </xf>
    <xf numFmtId="1" fontId="0" fillId="4" borderId="29" xfId="0" applyNumberFormat="1" applyFill="1" applyBorder="1" applyAlignment="1">
      <alignment horizontal="center" vertical="center"/>
    </xf>
    <xf numFmtId="0" fontId="0" fillId="0" borderId="67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68" xfId="0" applyBorder="1" applyAlignment="1">
      <alignment vertical="center"/>
    </xf>
    <xf numFmtId="0" fontId="0" fillId="0" borderId="6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4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1" fillId="4" borderId="14" xfId="0" applyFont="1" applyFill="1" applyBorder="1" applyAlignment="1">
      <alignment vertical="center"/>
    </xf>
    <xf numFmtId="0" fontId="0" fillId="0" borderId="29" xfId="0" applyBorder="1" applyAlignment="1">
      <alignment horizontal="center" vertical="center"/>
    </xf>
    <xf numFmtId="1" fontId="0" fillId="4" borderId="30" xfId="0" applyNumberFormat="1" applyFill="1" applyBorder="1" applyAlignment="1">
      <alignment horizontal="center" vertical="center"/>
    </xf>
    <xf numFmtId="1" fontId="0" fillId="4" borderId="31" xfId="0" applyNumberFormat="1" applyFill="1" applyBorder="1" applyAlignment="1">
      <alignment horizontal="center" vertical="center"/>
    </xf>
    <xf numFmtId="1" fontId="0" fillId="0" borderId="46" xfId="0" applyNumberFormat="1" applyBorder="1" applyAlignment="1">
      <alignment horizontal="center" vertical="center"/>
    </xf>
    <xf numFmtId="1" fontId="0" fillId="0" borderId="50" xfId="0" applyNumberFormat="1" applyBorder="1" applyAlignment="1">
      <alignment horizontal="center" vertical="center"/>
    </xf>
    <xf numFmtId="1" fontId="0" fillId="0" borderId="70" xfId="0" applyNumberFormat="1" applyBorder="1" applyAlignment="1">
      <alignment horizontal="center" vertical="center"/>
    </xf>
    <xf numFmtId="1" fontId="0" fillId="4" borderId="46" xfId="0" applyNumberFormat="1" applyFill="1" applyBorder="1" applyAlignment="1">
      <alignment horizontal="center" vertical="center"/>
    </xf>
    <xf numFmtId="1" fontId="0" fillId="4" borderId="15" xfId="0" applyNumberFormat="1" applyFill="1" applyBorder="1" applyAlignment="1">
      <alignment horizontal="center" vertical="center"/>
    </xf>
    <xf numFmtId="1" fontId="0" fillId="4" borderId="13" xfId="0" applyNumberFormat="1" applyFill="1" applyBorder="1" applyAlignment="1">
      <alignment horizontal="center" vertical="center"/>
    </xf>
    <xf numFmtId="1" fontId="0" fillId="0" borderId="3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1" fontId="0" fillId="0" borderId="66" xfId="0" applyNumberFormat="1" applyBorder="1" applyAlignment="1">
      <alignment horizontal="center"/>
    </xf>
    <xf numFmtId="1" fontId="0" fillId="0" borderId="64" xfId="0" applyNumberFormat="1" applyBorder="1" applyAlignment="1">
      <alignment horizontal="center"/>
    </xf>
    <xf numFmtId="1" fontId="0" fillId="0" borderId="60" xfId="0" applyNumberFormat="1" applyBorder="1" applyAlignment="1">
      <alignment horizontal="center"/>
    </xf>
    <xf numFmtId="1" fontId="0" fillId="0" borderId="64" xfId="0" applyNumberFormat="1" applyBorder="1" applyAlignment="1">
      <alignment horizontal="center" vertical="center"/>
    </xf>
    <xf numFmtId="1" fontId="0" fillId="0" borderId="39" xfId="0" applyNumberFormat="1" applyBorder="1" applyAlignment="1">
      <alignment horizontal="center" vertical="center"/>
    </xf>
    <xf numFmtId="1" fontId="0" fillId="0" borderId="60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66" xfId="0" applyNumberFormat="1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1" fillId="13" borderId="5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0" fontId="1" fillId="13" borderId="7" xfId="0" applyFont="1" applyFill="1" applyBorder="1" applyAlignment="1">
      <alignment horizontal="center" vertical="center"/>
    </xf>
    <xf numFmtId="1" fontId="0" fillId="13" borderId="29" xfId="0" applyNumberFormat="1" applyFill="1" applyBorder="1" applyAlignment="1">
      <alignment horizontal="center"/>
    </xf>
    <xf numFmtId="1" fontId="0" fillId="13" borderId="29" xfId="0" applyNumberFormat="1" applyFill="1" applyBorder="1" applyAlignment="1">
      <alignment horizontal="center" vertical="center"/>
    </xf>
    <xf numFmtId="1" fontId="0" fillId="13" borderId="30" xfId="0" applyNumberFormat="1" applyFill="1" applyBorder="1" applyAlignment="1">
      <alignment horizontal="center" vertical="center"/>
    </xf>
    <xf numFmtId="1" fontId="0" fillId="13" borderId="31" xfId="0" applyNumberFormat="1" applyFill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19" fillId="13" borderId="79" xfId="0" applyFont="1" applyFill="1" applyBorder="1" applyAlignment="1">
      <alignment horizontal="left" vertical="center" wrapText="1"/>
    </xf>
    <xf numFmtId="1" fontId="0" fillId="0" borderId="49" xfId="0" applyNumberFormat="1" applyBorder="1" applyAlignment="1">
      <alignment horizontal="center" vertical="center"/>
    </xf>
    <xf numFmtId="1" fontId="0" fillId="0" borderId="78" xfId="0" applyNumberFormat="1" applyBorder="1" applyAlignment="1">
      <alignment horizontal="center" vertical="center"/>
    </xf>
    <xf numFmtId="9" fontId="0" fillId="0" borderId="55" xfId="0" applyNumberFormat="1" applyBorder="1" applyAlignment="1">
      <alignment horizontal="center" vertical="center"/>
    </xf>
    <xf numFmtId="1" fontId="0" fillId="0" borderId="55" xfId="0" applyNumberFormat="1" applyBorder="1" applyAlignment="1">
      <alignment horizontal="center" vertical="center"/>
    </xf>
    <xf numFmtId="1" fontId="0" fillId="0" borderId="61" xfId="0" applyNumberFormat="1" applyBorder="1" applyAlignment="1">
      <alignment horizontal="center" vertical="center"/>
    </xf>
    <xf numFmtId="0" fontId="0" fillId="13" borderId="26" xfId="0" applyFill="1" applyBorder="1" applyAlignment="1">
      <alignment horizontal="left" vertical="center" wrapText="1"/>
    </xf>
    <xf numFmtId="0" fontId="0" fillId="13" borderId="8" xfId="0" applyFill="1" applyBorder="1" applyAlignment="1">
      <alignment horizontal="left" vertical="center"/>
    </xf>
    <xf numFmtId="0" fontId="0" fillId="13" borderId="23" xfId="0" applyFill="1" applyBorder="1" applyAlignment="1">
      <alignment horizontal="left" vertical="center"/>
    </xf>
    <xf numFmtId="1" fontId="0" fillId="0" borderId="2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9" fontId="0" fillId="0" borderId="9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" fontId="0" fillId="0" borderId="0" xfId="0" applyNumberFormat="1" applyBorder="1" applyAlignment="1">
      <alignment horizontal="center" vertical="center"/>
    </xf>
    <xf numFmtId="1" fontId="0" fillId="0" borderId="67" xfId="0" applyNumberFormat="1" applyFont="1" applyBorder="1"/>
    <xf numFmtId="1" fontId="0" fillId="0" borderId="38" xfId="0" applyNumberFormat="1" applyBorder="1" applyAlignment="1">
      <alignment horizontal="center"/>
    </xf>
    <xf numFmtId="1" fontId="0" fillId="0" borderId="68" xfId="0" applyNumberFormat="1" applyFont="1" applyBorder="1"/>
    <xf numFmtId="1" fontId="0" fillId="0" borderId="65" xfId="0" applyNumberFormat="1" applyBorder="1" applyAlignment="1">
      <alignment horizontal="center"/>
    </xf>
    <xf numFmtId="1" fontId="0" fillId="0" borderId="68" xfId="0" applyNumberFormat="1" applyBorder="1"/>
    <xf numFmtId="1" fontId="0" fillId="0" borderId="14" xfId="0" applyNumberFormat="1" applyBorder="1"/>
    <xf numFmtId="1" fontId="0" fillId="0" borderId="46" xfId="0" applyNumberFormat="1" applyBorder="1" applyAlignment="1">
      <alignment horizontal="center"/>
    </xf>
    <xf numFmtId="1" fontId="0" fillId="0" borderId="50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13" borderId="43" xfId="0" applyNumberFormat="1" applyFill="1" applyBorder="1" applyAlignment="1">
      <alignment horizontal="center"/>
    </xf>
    <xf numFmtId="1" fontId="0" fillId="13" borderId="22" xfId="0" applyNumberFormat="1" applyFill="1" applyBorder="1" applyAlignment="1">
      <alignment horizontal="center"/>
    </xf>
    <xf numFmtId="1" fontId="0" fillId="0" borderId="67" xfId="0" applyNumberFormat="1" applyBorder="1"/>
    <xf numFmtId="1" fontId="0" fillId="13" borderId="4" xfId="0" applyNumberFormat="1" applyFill="1" applyBorder="1" applyAlignment="1">
      <alignment horizontal="center"/>
    </xf>
    <xf numFmtId="1" fontId="1" fillId="13" borderId="14" xfId="0" applyNumberFormat="1" applyFont="1" applyFill="1" applyBorder="1"/>
    <xf numFmtId="1" fontId="0" fillId="0" borderId="29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11" xfId="0" applyNumberForma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9" fontId="12" fillId="0" borderId="24" xfId="0" applyNumberFormat="1" applyFont="1" applyBorder="1" applyAlignment="1">
      <alignment horizontal="center" vertical="center"/>
    </xf>
    <xf numFmtId="9" fontId="0" fillId="0" borderId="0" xfId="0" applyNumberFormat="1"/>
    <xf numFmtId="1" fontId="12" fillId="0" borderId="9" xfId="0" applyNumberFormat="1" applyFont="1" applyBorder="1" applyAlignment="1">
      <alignment horizontal="center" vertical="center"/>
    </xf>
    <xf numFmtId="2" fontId="12" fillId="0" borderId="25" xfId="0" applyNumberFormat="1" applyFont="1" applyBorder="1" applyAlignment="1">
      <alignment horizontal="center" vertical="center"/>
    </xf>
    <xf numFmtId="0" fontId="19" fillId="13" borderId="5" xfId="0" applyFont="1" applyFill="1" applyBorder="1" applyAlignment="1">
      <alignment horizontal="left" vertical="center" wrapText="1"/>
    </xf>
    <xf numFmtId="1" fontId="0" fillId="0" borderId="7" xfId="0" applyNumberFormat="1" applyBorder="1" applyAlignment="1">
      <alignment horizontal="center" vertical="center"/>
    </xf>
    <xf numFmtId="0" fontId="0" fillId="13" borderId="8" xfId="0" applyFont="1" applyFill="1" applyBorder="1" applyAlignment="1">
      <alignment horizontal="left" vertical="center"/>
    </xf>
    <xf numFmtId="0" fontId="0" fillId="13" borderId="8" xfId="0" applyFont="1" applyFill="1" applyBorder="1" applyAlignment="1">
      <alignment vertical="center"/>
    </xf>
    <xf numFmtId="0" fontId="0" fillId="13" borderId="23" xfId="0" applyFont="1" applyFill="1" applyBorder="1" applyAlignment="1">
      <alignment horizontal="left" vertical="center"/>
    </xf>
    <xf numFmtId="0" fontId="0" fillId="13" borderId="5" xfId="0" applyFont="1" applyFill="1" applyBorder="1" applyAlignment="1">
      <alignment vertical="center"/>
    </xf>
    <xf numFmtId="10" fontId="0" fillId="0" borderId="7" xfId="0" applyNumberFormat="1" applyBorder="1" applyAlignment="1">
      <alignment horizontal="center" vertical="center"/>
    </xf>
    <xf numFmtId="10" fontId="0" fillId="0" borderId="9" xfId="0" applyNumberFormat="1" applyBorder="1" applyAlignment="1">
      <alignment horizontal="center" vertical="center"/>
    </xf>
    <xf numFmtId="0" fontId="0" fillId="13" borderId="23" xfId="0" applyFont="1" applyFill="1" applyBorder="1" applyAlignment="1">
      <alignment vertical="center" wrapText="1"/>
    </xf>
    <xf numFmtId="0" fontId="0" fillId="13" borderId="5" xfId="0" applyFill="1" applyBorder="1" applyAlignment="1">
      <alignment horizontal="left" vertical="center" wrapText="1"/>
    </xf>
    <xf numFmtId="0" fontId="0" fillId="13" borderId="23" xfId="0" applyFill="1" applyBorder="1" applyAlignment="1">
      <alignment horizontal="left" vertical="center" wrapText="1"/>
    </xf>
    <xf numFmtId="0" fontId="25" fillId="0" borderId="46" xfId="0" applyFont="1" applyFill="1" applyBorder="1" applyAlignment="1">
      <alignment horizontal="center" vertical="center"/>
    </xf>
    <xf numFmtId="10" fontId="25" fillId="0" borderId="50" xfId="0" applyNumberFormat="1" applyFont="1" applyFill="1" applyBorder="1" applyAlignment="1">
      <alignment horizontal="center" vertical="center"/>
    </xf>
    <xf numFmtId="0" fontId="25" fillId="0" borderId="50" xfId="0" applyFont="1" applyFill="1" applyBorder="1" applyAlignment="1">
      <alignment horizontal="center" vertical="center"/>
    </xf>
    <xf numFmtId="0" fontId="25" fillId="0" borderId="50" xfId="0" applyFont="1" applyFill="1" applyBorder="1" applyAlignment="1">
      <alignment horizontal="left"/>
    </xf>
    <xf numFmtId="1" fontId="25" fillId="0" borderId="50" xfId="0" applyNumberFormat="1" applyFont="1" applyFill="1" applyBorder="1" applyAlignment="1">
      <alignment horizontal="center" vertical="center"/>
    </xf>
    <xf numFmtId="0" fontId="25" fillId="0" borderId="70" xfId="0" applyFont="1" applyFill="1" applyBorder="1" applyAlignment="1">
      <alignment horizontal="left"/>
    </xf>
    <xf numFmtId="0" fontId="26" fillId="0" borderId="0" xfId="0" applyFont="1"/>
    <xf numFmtId="0" fontId="21" fillId="0" borderId="0" xfId="0" applyFont="1" applyFill="1" applyBorder="1" applyAlignment="1">
      <alignment horizontal="left" vertical="center"/>
    </xf>
    <xf numFmtId="0" fontId="0" fillId="0" borderId="26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9" xfId="0" applyFill="1" applyBorder="1" applyAlignment="1">
      <alignment horizontal="left" wrapText="1"/>
    </xf>
    <xf numFmtId="0" fontId="0" fillId="0" borderId="5" xfId="0" applyBorder="1" applyAlignment="1">
      <alignment wrapText="1"/>
    </xf>
    <xf numFmtId="0" fontId="0" fillId="0" borderId="35" xfId="0" applyBorder="1" applyAlignment="1">
      <alignment wrapText="1"/>
    </xf>
    <xf numFmtId="0" fontId="1" fillId="10" borderId="40" xfId="0" applyFont="1" applyFill="1" applyBorder="1" applyAlignment="1">
      <alignment horizontal="center" vertical="center"/>
    </xf>
    <xf numFmtId="0" fontId="1" fillId="10" borderId="29" xfId="0" applyFont="1" applyFill="1" applyBorder="1" applyAlignment="1">
      <alignment horizontal="left" vertical="center"/>
    </xf>
    <xf numFmtId="0" fontId="1" fillId="10" borderId="30" xfId="0" applyFont="1" applyFill="1" applyBorder="1" applyAlignment="1">
      <alignment horizontal="center" vertical="center"/>
    </xf>
    <xf numFmtId="0" fontId="1" fillId="10" borderId="31" xfId="0" applyFont="1" applyFill="1" applyBorder="1" applyAlignment="1">
      <alignment horizontal="center" vertical="center"/>
    </xf>
    <xf numFmtId="0" fontId="0" fillId="0" borderId="26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center" wrapText="1"/>
    </xf>
    <xf numFmtId="6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20" xfId="0" applyBorder="1"/>
    <xf numFmtId="0" fontId="5" fillId="0" borderId="0" xfId="0" applyFont="1" applyFill="1" applyBorder="1"/>
    <xf numFmtId="0" fontId="0" fillId="0" borderId="1" xfId="0" applyBorder="1" applyAlignment="1">
      <alignment horizontal="center"/>
    </xf>
    <xf numFmtId="0" fontId="0" fillId="0" borderId="9" xfId="0" applyBorder="1"/>
    <xf numFmtId="0" fontId="0" fillId="0" borderId="25" xfId="0" applyBorder="1"/>
    <xf numFmtId="0" fontId="0" fillId="0" borderId="28" xfId="0" applyBorder="1"/>
    <xf numFmtId="49" fontId="0" fillId="0" borderId="26" xfId="0" applyNumberFormat="1" applyBorder="1"/>
    <xf numFmtId="49" fontId="0" fillId="0" borderId="8" xfId="0" applyNumberFormat="1" applyBorder="1"/>
    <xf numFmtId="0" fontId="0" fillId="0" borderId="0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8" fillId="0" borderId="24" xfId="0" applyFont="1" applyBorder="1" applyAlignment="1">
      <alignment horizontal="center" readingOrder="1"/>
    </xf>
    <xf numFmtId="0" fontId="0" fillId="0" borderId="1" xfId="0" applyBorder="1" applyAlignment="1">
      <alignment horizontal="center" vertical="center"/>
    </xf>
    <xf numFmtId="0" fontId="0" fillId="0" borderId="78" xfId="0" applyBorder="1"/>
    <xf numFmtId="0" fontId="0" fillId="0" borderId="82" xfId="0" applyBorder="1"/>
    <xf numFmtId="0" fontId="0" fillId="0" borderId="55" xfId="0" applyBorder="1"/>
    <xf numFmtId="0" fontId="0" fillId="0" borderId="0" xfId="0" applyAlignment="1">
      <alignment horizontal="left" vertical="center"/>
    </xf>
    <xf numFmtId="0" fontId="0" fillId="0" borderId="55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0" fillId="0" borderId="10" xfId="0" applyBorder="1"/>
    <xf numFmtId="0" fontId="0" fillId="0" borderId="78" xfId="0" applyBorder="1" applyAlignment="1">
      <alignment vertical="center"/>
    </xf>
    <xf numFmtId="0" fontId="0" fillId="0" borderId="61" xfId="0" applyBorder="1" applyAlignment="1">
      <alignment vertical="center"/>
    </xf>
    <xf numFmtId="0" fontId="0" fillId="0" borderId="78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55" xfId="0" applyBorder="1" applyAlignment="1">
      <alignment horizontal="left" vertical="center" wrapText="1"/>
    </xf>
    <xf numFmtId="0" fontId="0" fillId="0" borderId="61" xfId="0" applyBorder="1" applyAlignment="1">
      <alignment horizontal="left" vertical="center" wrapText="1"/>
    </xf>
    <xf numFmtId="0" fontId="0" fillId="0" borderId="49" xfId="0" applyBorder="1" applyAlignment="1">
      <alignment vertical="center"/>
    </xf>
    <xf numFmtId="0" fontId="0" fillId="0" borderId="55" xfId="0" applyBorder="1" applyAlignment="1">
      <alignment vertical="center" wrapText="1"/>
    </xf>
    <xf numFmtId="0" fontId="0" fillId="0" borderId="33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10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33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0" fontId="6" fillId="0" borderId="0" xfId="0" applyFont="1"/>
    <xf numFmtId="0" fontId="0" fillId="0" borderId="0" xfId="0" applyFill="1" applyBorder="1" applyAlignment="1">
      <alignment vertical="center" wrapText="1"/>
    </xf>
    <xf numFmtId="0" fontId="0" fillId="0" borderId="36" xfId="0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7" xfId="0" applyBorder="1"/>
    <xf numFmtId="0" fontId="0" fillId="0" borderId="37" xfId="0" applyBorder="1"/>
    <xf numFmtId="0" fontId="0" fillId="0" borderId="49" xfId="0" applyBorder="1" applyAlignment="1"/>
    <xf numFmtId="0" fontId="0" fillId="3" borderId="83" xfId="0" applyFill="1" applyBorder="1" applyAlignment="1">
      <alignment horizontal="right" vertical="center"/>
    </xf>
    <xf numFmtId="0" fontId="0" fillId="3" borderId="76" xfId="0" applyFill="1" applyBorder="1" applyAlignment="1">
      <alignment horizontal="right" vertical="center"/>
    </xf>
    <xf numFmtId="0" fontId="0" fillId="3" borderId="76" xfId="0" applyFill="1" applyBorder="1" applyAlignment="1">
      <alignment horizontal="right" vertical="center" wrapText="1"/>
    </xf>
    <xf numFmtId="0" fontId="0" fillId="3" borderId="62" xfId="0" applyFill="1" applyBorder="1" applyAlignment="1">
      <alignment horizontal="right" vertical="center"/>
    </xf>
    <xf numFmtId="0" fontId="0" fillId="3" borderId="75" xfId="0" applyFill="1" applyBorder="1" applyAlignment="1">
      <alignment horizontal="right" vertical="center" wrapText="1"/>
    </xf>
    <xf numFmtId="0" fontId="0" fillId="3" borderId="83" xfId="0" applyFill="1" applyBorder="1" applyAlignment="1">
      <alignment horizontal="right" vertical="center" wrapText="1"/>
    </xf>
    <xf numFmtId="0" fontId="0" fillId="3" borderId="62" xfId="0" applyFill="1" applyBorder="1" applyAlignment="1">
      <alignment horizontal="right" vertical="center" wrapText="1"/>
    </xf>
    <xf numFmtId="0" fontId="0" fillId="3" borderId="78" xfId="0" applyFill="1" applyBorder="1" applyAlignment="1">
      <alignment horizontal="right" vertical="center" wrapText="1"/>
    </xf>
    <xf numFmtId="0" fontId="0" fillId="3" borderId="55" xfId="0" applyFill="1" applyBorder="1" applyAlignment="1">
      <alignment horizontal="right" vertical="center" wrapText="1"/>
    </xf>
    <xf numFmtId="0" fontId="8" fillId="3" borderId="55" xfId="0" applyFont="1" applyFill="1" applyBorder="1" applyAlignment="1">
      <alignment horizontal="right" vertical="center" wrapText="1"/>
    </xf>
    <xf numFmtId="0" fontId="8" fillId="3" borderId="61" xfId="0" applyFont="1" applyFill="1" applyBorder="1" applyAlignment="1">
      <alignment horizontal="right" vertical="center" wrapText="1"/>
    </xf>
    <xf numFmtId="0" fontId="0" fillId="3" borderId="0" xfId="0" applyFill="1" applyBorder="1" applyAlignment="1">
      <alignment vertical="center" wrapText="1"/>
    </xf>
    <xf numFmtId="0" fontId="0" fillId="3" borderId="61" xfId="0" applyFill="1" applyBorder="1" applyAlignment="1">
      <alignment horizontal="right" vertical="center" wrapText="1"/>
    </xf>
    <xf numFmtId="0" fontId="0" fillId="3" borderId="55" xfId="0" applyFill="1" applyBorder="1"/>
    <xf numFmtId="0" fontId="1" fillId="0" borderId="82" xfId="0" applyFont="1" applyBorder="1"/>
    <xf numFmtId="0" fontId="1" fillId="0" borderId="78" xfId="0" applyFont="1" applyBorder="1"/>
    <xf numFmtId="0" fontId="1" fillId="0" borderId="20" xfId="0" applyFont="1" applyBorder="1"/>
    <xf numFmtId="0" fontId="1" fillId="0" borderId="55" xfId="0" applyFont="1" applyBorder="1"/>
    <xf numFmtId="0" fontId="0" fillId="3" borderId="55" xfId="0" applyFont="1" applyFill="1" applyBorder="1"/>
    <xf numFmtId="0" fontId="1" fillId="0" borderId="24" xfId="0" applyFont="1" applyBorder="1" applyAlignment="1">
      <alignment horizontal="center" vertical="center" wrapText="1"/>
    </xf>
    <xf numFmtId="49" fontId="0" fillId="0" borderId="27" xfId="0" applyNumberFormat="1" applyBorder="1" applyAlignment="1">
      <alignment wrapText="1"/>
    </xf>
    <xf numFmtId="49" fontId="0" fillId="0" borderId="1" xfId="0" applyNumberFormat="1" applyBorder="1" applyAlignment="1">
      <alignment wrapText="1"/>
    </xf>
    <xf numFmtId="0" fontId="0" fillId="0" borderId="24" xfId="0" applyBorder="1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1" fillId="0" borderId="59" xfId="0" applyFont="1" applyBorder="1" applyAlignment="1">
      <alignment horizontal="right" vertical="center"/>
    </xf>
    <xf numFmtId="3" fontId="0" fillId="0" borderId="27" xfId="0" applyNumberFormat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8" xfId="0" applyBorder="1" applyAlignment="1">
      <alignment horizontal="left" vertical="center" wrapText="1"/>
    </xf>
    <xf numFmtId="0" fontId="0" fillId="0" borderId="63" xfId="0" applyBorder="1" applyAlignment="1">
      <alignment horizontal="center" vertical="center"/>
    </xf>
    <xf numFmtId="0" fontId="28" fillId="0" borderId="25" xfId="0" applyFont="1" applyBorder="1" applyAlignment="1">
      <alignment horizontal="center" readingOrder="1"/>
    </xf>
    <xf numFmtId="0" fontId="0" fillId="3" borderId="7" xfId="0" applyFill="1" applyBorder="1"/>
    <xf numFmtId="0" fontId="0" fillId="3" borderId="9" xfId="0" applyFill="1" applyBorder="1"/>
    <xf numFmtId="0" fontId="0" fillId="3" borderId="25" xfId="0" applyFill="1" applyBorder="1"/>
    <xf numFmtId="0" fontId="0" fillId="8" borderId="36" xfId="0" applyFill="1" applyBorder="1" applyAlignment="1">
      <alignment horizontal="center"/>
    </xf>
    <xf numFmtId="0" fontId="0" fillId="8" borderId="37" xfId="0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28" fillId="0" borderId="0" xfId="0" applyFont="1" applyBorder="1" applyAlignment="1">
      <alignment horizontal="center" readingOrder="1"/>
    </xf>
    <xf numFmtId="0" fontId="0" fillId="3" borderId="28" xfId="0" applyFill="1" applyBorder="1"/>
    <xf numFmtId="0" fontId="0" fillId="0" borderId="0" xfId="0" applyBorder="1" applyAlignment="1">
      <alignment horizontal="left"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25" xfId="0" applyBorder="1" applyAlignment="1">
      <alignment horizontal="right" vertical="center"/>
    </xf>
    <xf numFmtId="0" fontId="0" fillId="0" borderId="0" xfId="0" applyFill="1" applyBorder="1" applyAlignment="1">
      <alignment horizontal="left" vertical="center"/>
    </xf>
    <xf numFmtId="49" fontId="0" fillId="0" borderId="0" xfId="0" applyNumberFormat="1" applyFill="1" applyBorder="1" applyAlignment="1">
      <alignment wrapText="1"/>
    </xf>
    <xf numFmtId="0" fontId="0" fillId="0" borderId="27" xfId="0" applyBorder="1" applyAlignment="1">
      <alignment horizontal="right" vertical="center"/>
    </xf>
    <xf numFmtId="0" fontId="0" fillId="0" borderId="28" xfId="0" applyBorder="1" applyAlignment="1">
      <alignment horizontal="right" vertical="center"/>
    </xf>
    <xf numFmtId="0" fontId="0" fillId="8" borderId="29" xfId="0" applyFill="1" applyBorder="1" applyAlignment="1">
      <alignment horizontal="left" vertical="center"/>
    </xf>
    <xf numFmtId="0" fontId="0" fillId="8" borderId="30" xfId="0" applyFill="1" applyBorder="1" applyAlignment="1">
      <alignment horizontal="left" vertical="center" wrapText="1"/>
    </xf>
    <xf numFmtId="0" fontId="1" fillId="0" borderId="85" xfId="0" applyFont="1" applyBorder="1" applyAlignment="1">
      <alignment horizontal="center" vertical="center"/>
    </xf>
    <xf numFmtId="0" fontId="0" fillId="0" borderId="13" xfId="0" applyBorder="1"/>
    <xf numFmtId="0" fontId="0" fillId="3" borderId="27" xfId="0" applyFill="1" applyBorder="1"/>
    <xf numFmtId="0" fontId="0" fillId="8" borderId="29" xfId="0" applyFill="1" applyBorder="1" applyAlignment="1">
      <alignment horizontal="center" vertical="center" wrapText="1"/>
    </xf>
    <xf numFmtId="0" fontId="0" fillId="8" borderId="30" xfId="0" applyFill="1" applyBorder="1" applyAlignment="1">
      <alignment horizontal="center" vertical="center" wrapText="1"/>
    </xf>
    <xf numFmtId="0" fontId="0" fillId="8" borderId="31" xfId="0" applyFill="1" applyBorder="1" applyAlignment="1">
      <alignment horizontal="center" vertical="center" wrapText="1"/>
    </xf>
    <xf numFmtId="49" fontId="0" fillId="0" borderId="0" xfId="0" applyNumberFormat="1" applyFill="1" applyBorder="1"/>
    <xf numFmtId="0" fontId="1" fillId="0" borderId="0" xfId="0" applyFont="1" applyFill="1" applyBorder="1" applyAlignment="1"/>
    <xf numFmtId="49" fontId="0" fillId="0" borderId="1" xfId="0" applyNumberFormat="1" applyFill="1" applyBorder="1" applyAlignment="1">
      <alignment horizontal="right" wrapText="1"/>
    </xf>
    <xf numFmtId="0" fontId="0" fillId="0" borderId="1" xfId="0" applyFill="1" applyBorder="1" applyAlignment="1">
      <alignment horizontal="right" vertical="center"/>
    </xf>
    <xf numFmtId="49" fontId="0" fillId="0" borderId="8" xfId="0" applyNumberFormat="1" applyFill="1" applyBorder="1" applyAlignment="1">
      <alignment wrapText="1"/>
    </xf>
    <xf numFmtId="49" fontId="0" fillId="0" borderId="27" xfId="0" applyNumberFormat="1" applyFill="1" applyBorder="1" applyAlignment="1">
      <alignment horizontal="right" wrapText="1"/>
    </xf>
    <xf numFmtId="49" fontId="0" fillId="8" borderId="29" xfId="0" applyNumberFormat="1" applyFill="1" applyBorder="1" applyAlignment="1">
      <alignment horizontal="center" wrapText="1"/>
    </xf>
    <xf numFmtId="0" fontId="0" fillId="8" borderId="30" xfId="0" applyFill="1" applyBorder="1" applyAlignment="1">
      <alignment horizontal="center" vertical="center"/>
    </xf>
    <xf numFmtId="0" fontId="0" fillId="8" borderId="31" xfId="0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27" xfId="0" applyBorder="1" applyAlignment="1">
      <alignment horizontal="right" vertical="center" wrapText="1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horizontal="right" vertical="center" wrapText="1"/>
    </xf>
    <xf numFmtId="0" fontId="0" fillId="0" borderId="36" xfId="0" applyBorder="1" applyAlignment="1">
      <alignment horizontal="right" vertical="center"/>
    </xf>
    <xf numFmtId="0" fontId="0" fillId="3" borderId="7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left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58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right" vertical="center" wrapText="1"/>
    </xf>
    <xf numFmtId="0" fontId="0" fillId="0" borderId="6" xfId="0" applyBorder="1" applyAlignment="1">
      <alignment horizontal="right" vertical="center"/>
    </xf>
    <xf numFmtId="0" fontId="0" fillId="0" borderId="24" xfId="0" applyBorder="1" applyAlignment="1">
      <alignment horizontal="right" vertical="center" wrapText="1"/>
    </xf>
    <xf numFmtId="0" fontId="9" fillId="0" borderId="0" xfId="0" applyFont="1"/>
    <xf numFmtId="0" fontId="1" fillId="0" borderId="0" xfId="0" applyFont="1" applyBorder="1"/>
    <xf numFmtId="0" fontId="9" fillId="0" borderId="0" xfId="0" applyFont="1" applyAlignment="1">
      <alignment horizontal="left" vertical="center"/>
    </xf>
    <xf numFmtId="0" fontId="0" fillId="0" borderId="8" xfId="0" applyBorder="1" applyAlignment="1">
      <alignment horizontal="left" vertical="center" wrapText="1"/>
    </xf>
    <xf numFmtId="0" fontId="1" fillId="4" borderId="8" xfId="0" applyFont="1" applyFill="1" applyBorder="1" applyAlignment="1">
      <alignment horizontal="right"/>
    </xf>
    <xf numFmtId="0" fontId="1" fillId="4" borderId="8" xfId="0" applyFont="1" applyFill="1" applyBorder="1" applyAlignment="1">
      <alignment horizontal="right" wrapText="1"/>
    </xf>
    <xf numFmtId="0" fontId="1" fillId="4" borderId="23" xfId="0" applyFont="1" applyFill="1" applyBorder="1" applyAlignment="1">
      <alignment horizontal="right"/>
    </xf>
    <xf numFmtId="0" fontId="0" fillId="4" borderId="5" xfId="0" applyFill="1" applyBorder="1"/>
    <xf numFmtId="0" fontId="0" fillId="0" borderId="24" xfId="0" applyFill="1" applyBorder="1"/>
    <xf numFmtId="0" fontId="0" fillId="0" borderId="6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0" xfId="0" applyBorder="1" applyAlignment="1">
      <alignment horizontal="left" vertical="center" wrapText="1"/>
    </xf>
    <xf numFmtId="0" fontId="0" fillId="0" borderId="27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0" fontId="12" fillId="0" borderId="1" xfId="0" applyFont="1" applyFill="1" applyBorder="1"/>
    <xf numFmtId="0" fontId="0" fillId="8" borderId="1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3" borderId="16" xfId="0" applyFill="1" applyBorder="1" applyAlignment="1">
      <alignment horizontal="right" vertical="center" wrapText="1"/>
    </xf>
    <xf numFmtId="0" fontId="0" fillId="3" borderId="17" xfId="0" applyFill="1" applyBorder="1" applyAlignment="1">
      <alignment horizontal="right" vertical="center"/>
    </xf>
    <xf numFmtId="0" fontId="0" fillId="3" borderId="18" xfId="0" applyFont="1" applyFill="1" applyBorder="1" applyAlignment="1">
      <alignment horizontal="right" vertical="center"/>
    </xf>
    <xf numFmtId="0" fontId="0" fillId="3" borderId="79" xfId="0" applyFill="1" applyBorder="1" applyAlignment="1">
      <alignment horizontal="right" vertical="center" wrapText="1"/>
    </xf>
    <xf numFmtId="0" fontId="0" fillId="0" borderId="4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3" borderId="77" xfId="0" applyFill="1" applyBorder="1" applyAlignment="1">
      <alignment horizontal="right" vertical="center" wrapText="1"/>
    </xf>
    <xf numFmtId="0" fontId="0" fillId="3" borderId="62" xfId="0" applyFont="1" applyFill="1" applyBorder="1" applyAlignment="1">
      <alignment horizontal="right" vertical="center"/>
    </xf>
    <xf numFmtId="0" fontId="0" fillId="8" borderId="29" xfId="0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8" borderId="58" xfId="0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2" fillId="0" borderId="6" xfId="0" applyFont="1" applyFill="1" applyBorder="1"/>
    <xf numFmtId="0" fontId="0" fillId="0" borderId="6" xfId="0" applyFill="1" applyBorder="1" applyAlignment="1">
      <alignment vertical="center" wrapText="1"/>
    </xf>
    <xf numFmtId="0" fontId="12" fillId="0" borderId="24" xfId="0" applyFont="1" applyFill="1" applyBorder="1"/>
    <xf numFmtId="0" fontId="0" fillId="0" borderId="24" xfId="0" applyFill="1" applyBorder="1" applyAlignment="1">
      <alignment vertical="center" wrapText="1"/>
    </xf>
    <xf numFmtId="0" fontId="0" fillId="0" borderId="6" xfId="0" applyFill="1" applyBorder="1" applyAlignment="1">
      <alignment horizontal="right" vertical="center" wrapText="1"/>
    </xf>
    <xf numFmtId="0" fontId="0" fillId="0" borderId="1" xfId="0" applyFill="1" applyBorder="1" applyAlignment="1">
      <alignment horizontal="right" vertical="center" wrapText="1"/>
    </xf>
    <xf numFmtId="0" fontId="0" fillId="0" borderId="24" xfId="0" applyFill="1" applyBorder="1" applyAlignment="1">
      <alignment horizontal="right" vertical="center" wrapText="1"/>
    </xf>
    <xf numFmtId="0" fontId="0" fillId="8" borderId="66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8" borderId="66" xfId="0" applyFill="1" applyBorder="1" applyAlignment="1">
      <alignment horizontal="center" vertical="center"/>
    </xf>
    <xf numFmtId="0" fontId="0" fillId="8" borderId="86" xfId="0" applyFill="1" applyBorder="1" applyAlignment="1">
      <alignment horizontal="center" vertical="center" wrapText="1"/>
    </xf>
    <xf numFmtId="0" fontId="0" fillId="8" borderId="87" xfId="0" applyFill="1" applyBorder="1" applyAlignment="1">
      <alignment horizontal="center" vertical="center" wrapText="1"/>
    </xf>
    <xf numFmtId="0" fontId="0" fillId="0" borderId="6" xfId="0" applyFill="1" applyBorder="1" applyAlignment="1">
      <alignment vertical="center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28" fillId="0" borderId="6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8" fillId="0" borderId="1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/>
    </xf>
    <xf numFmtId="0" fontId="10" fillId="7" borderId="34" xfId="0" applyFont="1" applyFill="1" applyBorder="1" applyAlignment="1">
      <alignment horizontal="center"/>
    </xf>
    <xf numFmtId="0" fontId="10" fillId="7" borderId="22" xfId="0" applyFont="1" applyFill="1" applyBorder="1" applyAlignment="1">
      <alignment horizontal="center"/>
    </xf>
    <xf numFmtId="0" fontId="8" fillId="2" borderId="21" xfId="0" applyFont="1" applyFill="1" applyBorder="1" applyAlignment="1">
      <alignment horizontal="center"/>
    </xf>
    <xf numFmtId="0" fontId="8" fillId="2" borderId="34" xfId="0" applyFont="1" applyFill="1" applyBorder="1" applyAlignment="1">
      <alignment horizontal="center"/>
    </xf>
    <xf numFmtId="0" fontId="8" fillId="2" borderId="22" xfId="0" applyFont="1" applyFill="1" applyBorder="1" applyAlignment="1">
      <alignment horizontal="center"/>
    </xf>
    <xf numFmtId="0" fontId="9" fillId="8" borderId="21" xfId="0" applyFont="1" applyFill="1" applyBorder="1" applyAlignment="1">
      <alignment horizontal="center"/>
    </xf>
    <xf numFmtId="0" fontId="9" fillId="8" borderId="34" xfId="0" applyFont="1" applyFill="1" applyBorder="1" applyAlignment="1">
      <alignment horizontal="center"/>
    </xf>
    <xf numFmtId="0" fontId="9" fillId="8" borderId="22" xfId="0" applyFont="1" applyFill="1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1" xfId="0" applyFont="1" applyBorder="1" applyAlignment="1">
      <alignment horizontal="left"/>
    </xf>
    <xf numFmtId="0" fontId="2" fillId="5" borderId="29" xfId="0" applyFont="1" applyFill="1" applyBorder="1" applyAlignment="1">
      <alignment horizontal="left"/>
    </xf>
    <xf numFmtId="0" fontId="2" fillId="5" borderId="30" xfId="0" applyFont="1" applyFill="1" applyBorder="1" applyAlignment="1">
      <alignment horizontal="left"/>
    </xf>
    <xf numFmtId="0" fontId="2" fillId="5" borderId="21" xfId="0" applyFont="1" applyFill="1" applyBorder="1" applyAlignment="1">
      <alignment horizontal="left"/>
    </xf>
    <xf numFmtId="0" fontId="2" fillId="5" borderId="34" xfId="0" applyFont="1" applyFill="1" applyBorder="1" applyAlignment="1">
      <alignment horizontal="left"/>
    </xf>
    <xf numFmtId="0" fontId="2" fillId="5" borderId="43" xfId="0" applyFont="1" applyFill="1" applyBorder="1" applyAlignment="1">
      <alignment horizontal="left"/>
    </xf>
    <xf numFmtId="164" fontId="1" fillId="5" borderId="24" xfId="0" applyNumberFormat="1" applyFont="1" applyFill="1" applyBorder="1" applyAlignment="1">
      <alignment horizontal="center"/>
    </xf>
    <xf numFmtId="164" fontId="1" fillId="5" borderId="25" xfId="0" applyNumberFormat="1" applyFont="1" applyFill="1" applyBorder="1" applyAlignment="1">
      <alignment horizontal="center"/>
    </xf>
    <xf numFmtId="0" fontId="8" fillId="0" borderId="0" xfId="0" applyFont="1" applyAlignment="1">
      <alignment horizontal="left" wrapText="1"/>
    </xf>
    <xf numFmtId="0" fontId="0" fillId="0" borderId="1" xfId="0" applyBorder="1" applyAlignment="1">
      <alignment horizontal="left"/>
    </xf>
    <xf numFmtId="0" fontId="20" fillId="9" borderId="21" xfId="0" applyFont="1" applyFill="1" applyBorder="1" applyAlignment="1">
      <alignment horizontal="center"/>
    </xf>
    <xf numFmtId="0" fontId="20" fillId="9" borderId="34" xfId="0" applyFont="1" applyFill="1" applyBorder="1" applyAlignment="1">
      <alignment horizontal="center"/>
    </xf>
    <xf numFmtId="0" fontId="20" fillId="9" borderId="22" xfId="0" applyFont="1" applyFill="1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76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77" xfId="0" applyFont="1" applyBorder="1" applyAlignment="1">
      <alignment horizontal="left"/>
    </xf>
    <xf numFmtId="0" fontId="0" fillId="0" borderId="69" xfId="0" applyFont="1" applyBorder="1" applyAlignment="1">
      <alignment horizontal="left"/>
    </xf>
    <xf numFmtId="0" fontId="0" fillId="0" borderId="32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  <xf numFmtId="0" fontId="5" fillId="0" borderId="29" xfId="0" applyFont="1" applyBorder="1" applyAlignment="1">
      <alignment horizontal="left"/>
    </xf>
    <xf numFmtId="0" fontId="5" fillId="0" borderId="30" xfId="0" applyFont="1" applyBorder="1" applyAlignment="1">
      <alignment horizontal="left"/>
    </xf>
    <xf numFmtId="0" fontId="5" fillId="0" borderId="31" xfId="0" applyFont="1" applyBorder="1" applyAlignment="1">
      <alignment horizontal="left"/>
    </xf>
    <xf numFmtId="0" fontId="2" fillId="5" borderId="46" xfId="0" applyFont="1" applyFill="1" applyBorder="1" applyAlignment="1">
      <alignment horizontal="left"/>
    </xf>
    <xf numFmtId="0" fontId="2" fillId="5" borderId="50" xfId="0" applyFont="1" applyFill="1" applyBorder="1" applyAlignment="1">
      <alignment horizontal="left"/>
    </xf>
    <xf numFmtId="0" fontId="9" fillId="10" borderId="38" xfId="0" applyFont="1" applyFill="1" applyBorder="1" applyAlignment="1">
      <alignment horizontal="left"/>
    </xf>
    <xf numFmtId="0" fontId="9" fillId="10" borderId="39" xfId="0" applyFont="1" applyFill="1" applyBorder="1" applyAlignment="1">
      <alignment horizontal="left"/>
    </xf>
    <xf numFmtId="0" fontId="9" fillId="0" borderId="0" xfId="0" applyFont="1" applyBorder="1" applyAlignment="1">
      <alignment horizontal="left" vertical="center"/>
    </xf>
    <xf numFmtId="0" fontId="3" fillId="8" borderId="21" xfId="0" applyFont="1" applyFill="1" applyBorder="1" applyAlignment="1">
      <alignment horizontal="center"/>
    </xf>
    <xf numFmtId="0" fontId="3" fillId="8" borderId="34" xfId="0" applyFont="1" applyFill="1" applyBorder="1" applyAlignment="1">
      <alignment horizontal="center"/>
    </xf>
    <xf numFmtId="0" fontId="3" fillId="8" borderId="22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0" fillId="8" borderId="6" xfId="0" applyFill="1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0" fontId="0" fillId="8" borderId="84" xfId="0" applyFill="1" applyBorder="1" applyAlignment="1">
      <alignment horizontal="center" vertical="center" wrapText="1"/>
    </xf>
    <xf numFmtId="0" fontId="0" fillId="8" borderId="80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35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1" fillId="8" borderId="21" xfId="0" applyFont="1" applyFill="1" applyBorder="1" applyAlignment="1">
      <alignment horizontal="center" vertical="center"/>
    </xf>
    <xf numFmtId="0" fontId="1" fillId="8" borderId="34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/>
    </xf>
    <xf numFmtId="0" fontId="3" fillId="4" borderId="34" xfId="0" applyFont="1" applyFill="1" applyBorder="1" applyAlignment="1">
      <alignment horizontal="center"/>
    </xf>
    <xf numFmtId="0" fontId="3" fillId="4" borderId="22" xfId="0" applyFont="1" applyFill="1" applyBorder="1" applyAlignment="1">
      <alignment horizontal="center"/>
    </xf>
    <xf numFmtId="0" fontId="0" fillId="4" borderId="17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6" fontId="0" fillId="11" borderId="6" xfId="0" applyNumberFormat="1" applyFill="1" applyBorder="1" applyAlignment="1">
      <alignment horizontal="center"/>
    </xf>
    <xf numFmtId="6" fontId="0" fillId="11" borderId="7" xfId="0" applyNumberFormat="1" applyFill="1" applyBorder="1" applyAlignment="1">
      <alignment horizontal="center"/>
    </xf>
    <xf numFmtId="0" fontId="5" fillId="4" borderId="21" xfId="0" applyFont="1" applyFill="1" applyBorder="1" applyAlignment="1">
      <alignment horizontal="left"/>
    </xf>
    <xf numFmtId="0" fontId="5" fillId="4" borderId="34" xfId="0" applyFont="1" applyFill="1" applyBorder="1" applyAlignment="1">
      <alignment horizontal="left"/>
    </xf>
    <xf numFmtId="0" fontId="5" fillId="4" borderId="22" xfId="0" applyFont="1" applyFill="1" applyBorder="1" applyAlignment="1">
      <alignment horizontal="left"/>
    </xf>
    <xf numFmtId="0" fontId="0" fillId="11" borderId="5" xfId="0" applyFill="1" applyBorder="1" applyAlignment="1">
      <alignment horizontal="center" vertical="center"/>
    </xf>
    <xf numFmtId="0" fontId="0" fillId="11" borderId="23" xfId="0" applyFill="1" applyBorder="1" applyAlignment="1">
      <alignment horizontal="center" vertical="center"/>
    </xf>
    <xf numFmtId="0" fontId="3" fillId="11" borderId="21" xfId="0" applyFont="1" applyFill="1" applyBorder="1" applyAlignment="1">
      <alignment horizontal="center" vertical="center"/>
    </xf>
    <xf numFmtId="0" fontId="3" fillId="11" borderId="34" xfId="0" applyFont="1" applyFill="1" applyBorder="1" applyAlignment="1">
      <alignment horizontal="center" vertical="center"/>
    </xf>
    <xf numFmtId="0" fontId="3" fillId="11" borderId="22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left"/>
    </xf>
    <xf numFmtId="0" fontId="1" fillId="8" borderId="34" xfId="0" applyFont="1" applyFill="1" applyBorder="1" applyAlignment="1">
      <alignment horizontal="left"/>
    </xf>
    <xf numFmtId="0" fontId="1" fillId="8" borderId="22" xfId="0" applyFont="1" applyFill="1" applyBorder="1" applyAlignment="1">
      <alignment horizontal="left"/>
    </xf>
    <xf numFmtId="0" fontId="1" fillId="8" borderId="5" xfId="0" applyFont="1" applyFill="1" applyBorder="1" applyAlignment="1">
      <alignment horizontal="center" wrapText="1"/>
    </xf>
    <xf numFmtId="0" fontId="1" fillId="8" borderId="6" xfId="0" applyFont="1" applyFill="1" applyBorder="1" applyAlignment="1">
      <alignment horizontal="center" wrapText="1"/>
    </xf>
    <xf numFmtId="0" fontId="0" fillId="8" borderId="24" xfId="0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right" vertical="center" wrapText="1"/>
    </xf>
    <xf numFmtId="0" fontId="8" fillId="3" borderId="78" xfId="0" applyFont="1" applyFill="1" applyBorder="1" applyAlignment="1">
      <alignment horizontal="right" vertical="center" wrapText="1"/>
    </xf>
    <xf numFmtId="0" fontId="0" fillId="0" borderId="2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3" borderId="78" xfId="0" applyFill="1" applyBorder="1" applyAlignment="1">
      <alignment horizontal="right" vertical="center"/>
    </xf>
    <xf numFmtId="0" fontId="0" fillId="0" borderId="6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3" borderId="55" xfId="0" applyFill="1" applyBorder="1" applyAlignment="1">
      <alignment horizontal="right" vertical="center"/>
    </xf>
    <xf numFmtId="0" fontId="0" fillId="3" borderId="61" xfId="0" applyFill="1" applyBorder="1" applyAlignment="1">
      <alignment horizontal="right" vertical="center"/>
    </xf>
    <xf numFmtId="0" fontId="0" fillId="8" borderId="7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wrapText="1"/>
    </xf>
    <xf numFmtId="0" fontId="0" fillId="8" borderId="24" xfId="0" applyFill="1" applyBorder="1" applyAlignment="1">
      <alignment horizontal="center" wrapText="1"/>
    </xf>
    <xf numFmtId="0" fontId="1" fillId="0" borderId="11" xfId="0" applyFont="1" applyFill="1" applyBorder="1" applyAlignment="1">
      <alignment horizontal="left" vertical="center"/>
    </xf>
    <xf numFmtId="0" fontId="1" fillId="0" borderId="12" xfId="0" applyFont="1" applyFill="1" applyBorder="1" applyAlignment="1">
      <alignment horizontal="left" vertical="center"/>
    </xf>
    <xf numFmtId="0" fontId="1" fillId="0" borderId="59" xfId="0" applyFont="1" applyBorder="1" applyAlignment="1">
      <alignment horizontal="left"/>
    </xf>
    <xf numFmtId="0" fontId="0" fillId="3" borderId="26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8" borderId="23" xfId="0" applyFill="1" applyBorder="1" applyAlignment="1">
      <alignment horizontal="center" vertical="center" wrapText="1"/>
    </xf>
    <xf numFmtId="0" fontId="0" fillId="8" borderId="24" xfId="0" applyFill="1" applyBorder="1" applyAlignment="1">
      <alignment horizontal="center" vertical="center"/>
    </xf>
    <xf numFmtId="0" fontId="0" fillId="8" borderId="6" xfId="0" applyFill="1" applyBorder="1" applyAlignment="1">
      <alignment horizontal="center"/>
    </xf>
    <xf numFmtId="0" fontId="0" fillId="3" borderId="23" xfId="0" applyFill="1" applyBorder="1" applyAlignment="1">
      <alignment horizontal="center" vertical="center" wrapText="1"/>
    </xf>
    <xf numFmtId="0" fontId="0" fillId="8" borderId="39" xfId="0" applyFill="1" applyBorder="1" applyAlignment="1">
      <alignment horizontal="center" vertical="center" wrapText="1"/>
    </xf>
    <xf numFmtId="0" fontId="0" fillId="8" borderId="50" xfId="0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8" borderId="25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wrapText="1"/>
    </xf>
    <xf numFmtId="0" fontId="0" fillId="3" borderId="35" xfId="0" applyFill="1" applyBorder="1" applyAlignment="1">
      <alignment horizontal="center" wrapText="1"/>
    </xf>
    <xf numFmtId="0" fontId="0" fillId="3" borderId="1" xfId="0" applyFill="1" applyBorder="1" applyAlignment="1">
      <alignment horizontal="left"/>
    </xf>
    <xf numFmtId="0" fontId="0" fillId="3" borderId="36" xfId="0" applyFill="1" applyBorder="1" applyAlignment="1">
      <alignment horizontal="left"/>
    </xf>
    <xf numFmtId="0" fontId="0" fillId="3" borderId="27" xfId="0" applyFill="1" applyBorder="1" applyAlignment="1">
      <alignment horizontal="left"/>
    </xf>
    <xf numFmtId="0" fontId="0" fillId="3" borderId="19" xfId="0" applyFont="1" applyFill="1" applyBorder="1" applyAlignment="1">
      <alignment horizontal="right"/>
    </xf>
    <xf numFmtId="0" fontId="0" fillId="3" borderId="55" xfId="0" applyFont="1" applyFill="1" applyBorder="1" applyAlignment="1">
      <alignment horizontal="right"/>
    </xf>
    <xf numFmtId="0" fontId="0" fillId="3" borderId="78" xfId="0" applyFont="1" applyFill="1" applyBorder="1" applyAlignment="1">
      <alignment horizontal="right"/>
    </xf>
    <xf numFmtId="0" fontId="0" fillId="8" borderId="5" xfId="0" applyFill="1" applyBorder="1" applyAlignment="1">
      <alignment horizontal="center"/>
    </xf>
    <xf numFmtId="0" fontId="0" fillId="3" borderId="81" xfId="0" applyFont="1" applyFill="1" applyBorder="1" applyAlignment="1">
      <alignment horizontal="right"/>
    </xf>
    <xf numFmtId="0" fontId="0" fillId="8" borderId="5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 wrapText="1"/>
    </xf>
    <xf numFmtId="0" fontId="0" fillId="8" borderId="69" xfId="0" applyFill="1" applyBorder="1" applyAlignment="1">
      <alignment horizontal="center" vertical="center" wrapText="1"/>
    </xf>
    <xf numFmtId="0" fontId="0" fillId="8" borderId="42" xfId="0" applyFill="1" applyBorder="1" applyAlignment="1">
      <alignment horizontal="center" vertical="center" wrapText="1"/>
    </xf>
    <xf numFmtId="0" fontId="10" fillId="17" borderId="21" xfId="0" applyFont="1" applyFill="1" applyBorder="1" applyAlignment="1">
      <alignment horizontal="center"/>
    </xf>
    <xf numFmtId="0" fontId="10" fillId="17" borderId="34" xfId="0" applyFont="1" applyFill="1" applyBorder="1" applyAlignment="1">
      <alignment horizontal="center"/>
    </xf>
    <xf numFmtId="0" fontId="10" fillId="17" borderId="22" xfId="0" applyFont="1" applyFill="1" applyBorder="1" applyAlignment="1">
      <alignment horizontal="center"/>
    </xf>
    <xf numFmtId="0" fontId="0" fillId="8" borderId="1" xfId="0" applyFill="1" applyBorder="1" applyAlignment="1">
      <alignment horizontal="center" vertical="center" wrapText="1"/>
    </xf>
    <xf numFmtId="0" fontId="0" fillId="8" borderId="32" xfId="0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3" borderId="19" xfId="0" applyFill="1" applyBorder="1" applyAlignment="1">
      <alignment horizontal="right"/>
    </xf>
    <xf numFmtId="0" fontId="0" fillId="3" borderId="55" xfId="0" applyFill="1" applyBorder="1" applyAlignment="1">
      <alignment horizontal="right"/>
    </xf>
    <xf numFmtId="0" fontId="0" fillId="3" borderId="81" xfId="0" applyFill="1" applyBorder="1" applyAlignment="1">
      <alignment horizontal="right"/>
    </xf>
    <xf numFmtId="0" fontId="0" fillId="3" borderId="78" xfId="0" applyFill="1" applyBorder="1" applyAlignment="1">
      <alignment horizontal="right"/>
    </xf>
    <xf numFmtId="0" fontId="23" fillId="13" borderId="67" xfId="0" applyFont="1" applyFill="1" applyBorder="1" applyAlignment="1">
      <alignment horizontal="center" vertical="center" wrapText="1"/>
    </xf>
    <xf numFmtId="0" fontId="23" fillId="13" borderId="68" xfId="0" applyFont="1" applyFill="1" applyBorder="1" applyAlignment="1">
      <alignment horizontal="center" vertical="center" wrapText="1"/>
    </xf>
    <xf numFmtId="0" fontId="23" fillId="13" borderId="14" xfId="0" applyFont="1" applyFill="1" applyBorder="1" applyAlignment="1">
      <alignment horizontal="center" vertical="center" wrapText="1"/>
    </xf>
    <xf numFmtId="0" fontId="0" fillId="13" borderId="23" xfId="0" applyFont="1" applyFill="1" applyBorder="1" applyAlignment="1">
      <alignment horizontal="center"/>
    </xf>
    <xf numFmtId="0" fontId="0" fillId="13" borderId="24" xfId="0" applyFont="1" applyFill="1" applyBorder="1" applyAlignment="1">
      <alignment horizontal="center"/>
    </xf>
    <xf numFmtId="0" fontId="0" fillId="13" borderId="25" xfId="0" applyFont="1" applyFill="1" applyBorder="1" applyAlignment="1">
      <alignment horizontal="center"/>
    </xf>
    <xf numFmtId="0" fontId="0" fillId="13" borderId="62" xfId="0" applyFill="1" applyBorder="1" applyAlignment="1">
      <alignment horizontal="center" vertical="center"/>
    </xf>
    <xf numFmtId="0" fontId="0" fillId="13" borderId="61" xfId="0" applyFill="1" applyBorder="1" applyAlignment="1">
      <alignment horizontal="center" vertical="center"/>
    </xf>
    <xf numFmtId="0" fontId="0" fillId="13" borderId="41" xfId="0" applyFill="1" applyBorder="1" applyAlignment="1">
      <alignment horizontal="center" vertical="center"/>
    </xf>
    <xf numFmtId="0" fontId="3" fillId="10" borderId="21" xfId="0" applyFont="1" applyFill="1" applyBorder="1" applyAlignment="1">
      <alignment horizontal="center"/>
    </xf>
    <xf numFmtId="0" fontId="3" fillId="10" borderId="34" xfId="0" applyFont="1" applyFill="1" applyBorder="1" applyAlignment="1">
      <alignment horizontal="center"/>
    </xf>
    <xf numFmtId="0" fontId="3" fillId="10" borderId="22" xfId="0" applyFont="1" applyFill="1" applyBorder="1" applyAlignment="1">
      <alignment horizontal="center"/>
    </xf>
    <xf numFmtId="0" fontId="8" fillId="0" borderId="21" xfId="0" applyFont="1" applyBorder="1" applyAlignment="1">
      <alignment horizontal="left"/>
    </xf>
    <xf numFmtId="0" fontId="8" fillId="0" borderId="34" xfId="0" applyFont="1" applyBorder="1" applyAlignment="1">
      <alignment horizontal="left"/>
    </xf>
    <xf numFmtId="0" fontId="8" fillId="0" borderId="22" xfId="0" applyFont="1" applyBorder="1" applyAlignment="1">
      <alignment horizontal="left"/>
    </xf>
    <xf numFmtId="1" fontId="8" fillId="0" borderId="21" xfId="0" applyNumberFormat="1" applyFont="1" applyBorder="1" applyAlignment="1">
      <alignment horizontal="left" vertical="center"/>
    </xf>
    <xf numFmtId="1" fontId="8" fillId="0" borderId="34" xfId="0" applyNumberFormat="1" applyFont="1" applyBorder="1" applyAlignment="1">
      <alignment horizontal="left" vertical="center"/>
    </xf>
    <xf numFmtId="0" fontId="15" fillId="14" borderId="21" xfId="0" applyFont="1" applyFill="1" applyBorder="1" applyAlignment="1">
      <alignment horizontal="left"/>
    </xf>
    <xf numFmtId="0" fontId="15" fillId="14" borderId="34" xfId="0" applyFont="1" applyFill="1" applyBorder="1" applyAlignment="1">
      <alignment horizontal="left"/>
    </xf>
    <xf numFmtId="0" fontId="0" fillId="13" borderId="62" xfId="0" applyFont="1" applyFill="1" applyBorder="1" applyAlignment="1">
      <alignment horizontal="center"/>
    </xf>
    <xf numFmtId="0" fontId="0" fillId="13" borderId="61" xfId="0" applyFont="1" applyFill="1" applyBorder="1" applyAlignment="1">
      <alignment horizontal="center"/>
    </xf>
    <xf numFmtId="0" fontId="0" fillId="13" borderId="41" xfId="0" applyFont="1" applyFill="1" applyBorder="1" applyAlignment="1">
      <alignment horizontal="center"/>
    </xf>
    <xf numFmtId="0" fontId="15" fillId="14" borderId="21" xfId="0" applyFont="1" applyFill="1" applyBorder="1" applyAlignment="1">
      <alignment horizontal="left" vertical="center" wrapText="1"/>
    </xf>
    <xf numFmtId="0" fontId="15" fillId="14" borderId="34" xfId="0" applyFont="1" applyFill="1" applyBorder="1" applyAlignment="1">
      <alignment horizontal="left" vertical="center" wrapText="1"/>
    </xf>
    <xf numFmtId="0" fontId="15" fillId="14" borderId="22" xfId="0" applyFont="1" applyFill="1" applyBorder="1" applyAlignment="1">
      <alignment horizontal="left" vertical="center" wrapText="1"/>
    </xf>
    <xf numFmtId="0" fontId="15" fillId="14" borderId="22" xfId="0" applyFont="1" applyFill="1" applyBorder="1" applyAlignment="1">
      <alignment horizontal="left"/>
    </xf>
    <xf numFmtId="1" fontId="24" fillId="0" borderId="11" xfId="0" applyNumberFormat="1" applyFont="1" applyFill="1" applyBorder="1" applyAlignment="1">
      <alignment horizontal="left"/>
    </xf>
    <xf numFmtId="1" fontId="24" fillId="0" borderId="12" xfId="0" applyNumberFormat="1" applyFont="1" applyFill="1" applyBorder="1" applyAlignment="1">
      <alignment horizontal="left"/>
    </xf>
    <xf numFmtId="0" fontId="5" fillId="13" borderId="21" xfId="0" applyFont="1" applyFill="1" applyBorder="1" applyAlignment="1">
      <alignment horizontal="left"/>
    </xf>
    <xf numFmtId="0" fontId="5" fillId="13" borderId="34" xfId="0" applyFont="1" applyFill="1" applyBorder="1" applyAlignment="1">
      <alignment horizontal="left"/>
    </xf>
    <xf numFmtId="0" fontId="5" fillId="13" borderId="22" xfId="0" applyFont="1" applyFill="1" applyBorder="1" applyAlignment="1">
      <alignment horizontal="left"/>
    </xf>
    <xf numFmtId="0" fontId="1" fillId="13" borderId="67" xfId="0" applyFont="1" applyFill="1" applyBorder="1" applyAlignment="1">
      <alignment horizontal="center" vertical="center"/>
    </xf>
    <xf numFmtId="0" fontId="1" fillId="13" borderId="14" xfId="0" applyFont="1" applyFill="1" applyBorder="1" applyAlignment="1">
      <alignment horizontal="center" vertical="center"/>
    </xf>
    <xf numFmtId="0" fontId="1" fillId="13" borderId="58" xfId="0" applyFont="1" applyFill="1" applyBorder="1" applyAlignment="1">
      <alignment horizontal="center" vertical="center"/>
    </xf>
    <xf numFmtId="0" fontId="1" fillId="13" borderId="11" xfId="0" applyFont="1" applyFill="1" applyBorder="1" applyAlignment="1">
      <alignment horizontal="center" vertical="center"/>
    </xf>
    <xf numFmtId="1" fontId="5" fillId="13" borderId="21" xfId="0" applyNumberFormat="1" applyFont="1" applyFill="1" applyBorder="1" applyAlignment="1">
      <alignment horizontal="left"/>
    </xf>
    <xf numFmtId="1" fontId="5" fillId="13" borderId="34" xfId="0" applyNumberFormat="1" applyFont="1" applyFill="1" applyBorder="1" applyAlignment="1">
      <alignment horizontal="left"/>
    </xf>
    <xf numFmtId="1" fontId="5" fillId="13" borderId="12" xfId="0" applyNumberFormat="1" applyFont="1" applyFill="1" applyBorder="1" applyAlignment="1">
      <alignment horizontal="left"/>
    </xf>
    <xf numFmtId="1" fontId="5" fillId="13" borderId="13" xfId="0" applyNumberFormat="1" applyFont="1" applyFill="1" applyBorder="1" applyAlignment="1">
      <alignment horizontal="left"/>
    </xf>
    <xf numFmtId="0" fontId="8" fillId="13" borderId="21" xfId="0" applyFont="1" applyFill="1" applyBorder="1" applyAlignment="1">
      <alignment horizontal="left"/>
    </xf>
    <xf numFmtId="0" fontId="8" fillId="13" borderId="34" xfId="0" applyFont="1" applyFill="1" applyBorder="1" applyAlignment="1">
      <alignment horizontal="left"/>
    </xf>
    <xf numFmtId="0" fontId="8" fillId="13" borderId="22" xfId="0" applyFont="1" applyFill="1" applyBorder="1" applyAlignment="1">
      <alignment horizontal="left"/>
    </xf>
    <xf numFmtId="0" fontId="0" fillId="13" borderId="29" xfId="0" applyFill="1" applyBorder="1" applyAlignment="1">
      <alignment horizontal="center"/>
    </xf>
    <xf numFmtId="0" fontId="0" fillId="13" borderId="31" xfId="0" applyFill="1" applyBorder="1" applyAlignment="1">
      <alignment horizontal="center"/>
    </xf>
    <xf numFmtId="0" fontId="0" fillId="13" borderId="43" xfId="0" applyFill="1" applyBorder="1" applyAlignment="1">
      <alignment horizontal="center"/>
    </xf>
    <xf numFmtId="0" fontId="0" fillId="13" borderId="47" xfId="0" applyFill="1" applyBorder="1" applyAlignment="1">
      <alignment horizontal="center"/>
    </xf>
    <xf numFmtId="0" fontId="12" fillId="10" borderId="21" xfId="0" applyFont="1" applyFill="1" applyBorder="1" applyAlignment="1">
      <alignment horizontal="center" vertical="center"/>
    </xf>
    <xf numFmtId="0" fontId="12" fillId="10" borderId="2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15" fillId="14" borderId="21" xfId="0" applyFont="1" applyFill="1" applyBorder="1" applyAlignment="1">
      <alignment horizontal="left" vertical="center"/>
    </xf>
    <xf numFmtId="0" fontId="15" fillId="14" borderId="34" xfId="0" applyFont="1" applyFill="1" applyBorder="1" applyAlignment="1">
      <alignment horizontal="left" vertical="center"/>
    </xf>
    <xf numFmtId="0" fontId="15" fillId="14" borderId="22" xfId="0" applyFont="1" applyFill="1" applyBorder="1" applyAlignment="1">
      <alignment horizontal="left" vertical="center"/>
    </xf>
    <xf numFmtId="0" fontId="12" fillId="10" borderId="34" xfId="0" applyFont="1" applyFill="1" applyBorder="1" applyAlignment="1">
      <alignment horizontal="center" vertical="center"/>
    </xf>
    <xf numFmtId="1" fontId="0" fillId="0" borderId="19" xfId="0" applyNumberFormat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1" fontId="0" fillId="0" borderId="0" xfId="0" applyNumberFormat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3" borderId="19" xfId="0" applyFill="1" applyBorder="1" applyAlignment="1">
      <alignment horizontal="center"/>
    </xf>
    <xf numFmtId="0" fontId="0" fillId="13" borderId="55" xfId="0" applyFill="1" applyBorder="1" applyAlignment="1">
      <alignment horizontal="center"/>
    </xf>
    <xf numFmtId="0" fontId="0" fillId="13" borderId="20" xfId="0" applyFill="1" applyBorder="1" applyAlignment="1">
      <alignment horizontal="center"/>
    </xf>
    <xf numFmtId="1" fontId="0" fillId="0" borderId="19" xfId="0" applyNumberForma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16" fillId="0" borderId="0" xfId="0" applyFont="1" applyAlignment="1">
      <alignment horizontal="left" vertical="center" textRotation="90"/>
    </xf>
    <xf numFmtId="1" fontId="0" fillId="0" borderId="19" xfId="0" applyNumberFormat="1" applyBorder="1" applyAlignment="1">
      <alignment horizontal="center" vertical="center"/>
    </xf>
    <xf numFmtId="1" fontId="0" fillId="0" borderId="20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13" borderId="19" xfId="0" applyFill="1" applyBorder="1" applyAlignment="1">
      <alignment horizontal="center" vertical="center" wrapText="1"/>
    </xf>
    <xf numFmtId="0" fontId="0" fillId="13" borderId="55" xfId="0" applyFill="1" applyBorder="1" applyAlignment="1">
      <alignment horizontal="center" vertical="center" wrapText="1"/>
    </xf>
    <xf numFmtId="0" fontId="0" fillId="13" borderId="20" xfId="0" applyFill="1" applyBorder="1" applyAlignment="1">
      <alignment horizontal="center" vertical="center" wrapText="1"/>
    </xf>
    <xf numFmtId="0" fontId="17" fillId="13" borderId="56" xfId="0" applyFont="1" applyFill="1" applyBorder="1" applyAlignment="1">
      <alignment horizontal="center" wrapText="1"/>
    </xf>
    <xf numFmtId="0" fontId="17" fillId="13" borderId="71" xfId="0" applyFont="1" applyFill="1" applyBorder="1" applyAlignment="1">
      <alignment horizontal="center" wrapText="1"/>
    </xf>
    <xf numFmtId="0" fontId="17" fillId="13" borderId="57" xfId="0" applyFont="1" applyFill="1" applyBorder="1" applyAlignment="1">
      <alignment horizontal="center" wrapText="1"/>
    </xf>
    <xf numFmtId="0" fontId="0" fillId="16" borderId="19" xfId="0" applyFill="1" applyBorder="1" applyAlignment="1">
      <alignment horizontal="center"/>
    </xf>
    <xf numFmtId="0" fontId="0" fillId="16" borderId="55" xfId="0" applyFill="1" applyBorder="1" applyAlignment="1">
      <alignment horizontal="center"/>
    </xf>
    <xf numFmtId="0" fontId="0" fillId="16" borderId="20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0" fontId="15" fillId="14" borderId="21" xfId="0" applyFont="1" applyFill="1" applyBorder="1" applyAlignment="1">
      <alignment horizontal="center" vertical="center"/>
    </xf>
    <xf numFmtId="0" fontId="15" fillId="14" borderId="34" xfId="0" applyFont="1" applyFill="1" applyBorder="1" applyAlignment="1">
      <alignment horizontal="center" vertical="center"/>
    </xf>
    <xf numFmtId="0" fontId="15" fillId="14" borderId="22" xfId="0" applyFont="1" applyFill="1" applyBorder="1" applyAlignment="1">
      <alignment horizontal="center" vertical="center"/>
    </xf>
    <xf numFmtId="0" fontId="0" fillId="13" borderId="19" xfId="0" applyFill="1" applyBorder="1" applyAlignment="1">
      <alignment horizontal="center" vertical="center"/>
    </xf>
    <xf numFmtId="0" fontId="0" fillId="13" borderId="55" xfId="0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16" fillId="0" borderId="3" xfId="0" applyFont="1" applyBorder="1" applyAlignment="1">
      <alignment horizontal="left" vertical="center" textRotation="90"/>
    </xf>
    <xf numFmtId="0" fontId="0" fillId="13" borderId="1" xfId="0" applyFill="1" applyBorder="1" applyAlignment="1">
      <alignment horizontal="center" vertical="center" wrapText="1"/>
    </xf>
    <xf numFmtId="0" fontId="0" fillId="13" borderId="56" xfId="0" applyFill="1" applyBorder="1" applyAlignment="1">
      <alignment horizontal="center" vertical="center"/>
    </xf>
    <xf numFmtId="0" fontId="0" fillId="13" borderId="57" xfId="0" applyFill="1" applyBorder="1" applyAlignment="1">
      <alignment horizontal="center" vertical="center"/>
    </xf>
    <xf numFmtId="0" fontId="3" fillId="15" borderId="21" xfId="0" applyFont="1" applyFill="1" applyBorder="1" applyAlignment="1">
      <alignment horizontal="center"/>
    </xf>
    <xf numFmtId="0" fontId="3" fillId="15" borderId="34" xfId="0" applyFont="1" applyFill="1" applyBorder="1" applyAlignment="1">
      <alignment horizontal="center"/>
    </xf>
    <xf numFmtId="0" fontId="3" fillId="15" borderId="22" xfId="0" applyFont="1" applyFill="1" applyBorder="1" applyAlignment="1">
      <alignment horizontal="center"/>
    </xf>
    <xf numFmtId="0" fontId="1" fillId="4" borderId="67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5" fillId="12" borderId="21" xfId="0" applyFont="1" applyFill="1" applyBorder="1" applyAlignment="1">
      <alignment horizontal="left"/>
    </xf>
    <xf numFmtId="0" fontId="15" fillId="12" borderId="34" xfId="0" applyFont="1" applyFill="1" applyBorder="1" applyAlignment="1">
      <alignment horizontal="left"/>
    </xf>
    <xf numFmtId="0" fontId="15" fillId="12" borderId="22" xfId="0" applyFont="1" applyFill="1" applyBorder="1" applyAlignment="1">
      <alignment horizontal="left"/>
    </xf>
    <xf numFmtId="0" fontId="1" fillId="4" borderId="58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wrapText="1"/>
    </xf>
    <xf numFmtId="0" fontId="0" fillId="4" borderId="55" xfId="0" applyFill="1" applyBorder="1" applyAlignment="1">
      <alignment horizontal="center" wrapText="1"/>
    </xf>
    <xf numFmtId="0" fontId="0" fillId="4" borderId="20" xfId="0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12" fillId="4" borderId="21" xfId="0" applyFont="1" applyFill="1" applyBorder="1" applyAlignment="1">
      <alignment horizontal="center" vertical="center"/>
    </xf>
    <xf numFmtId="0" fontId="12" fillId="4" borderId="34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5" fillId="12" borderId="21" xfId="0" applyFont="1" applyFill="1" applyBorder="1" applyAlignment="1">
      <alignment horizontal="left" vertical="center"/>
    </xf>
    <xf numFmtId="0" fontId="0" fillId="0" borderId="34" xfId="0" applyBorder="1"/>
    <xf numFmtId="0" fontId="0" fillId="0" borderId="22" xfId="0" applyBorder="1"/>
    <xf numFmtId="0" fontId="0" fillId="4" borderId="62" xfId="0" applyFill="1" applyBorder="1" applyAlignment="1">
      <alignment horizontal="center"/>
    </xf>
    <xf numFmtId="0" fontId="0" fillId="4" borderId="61" xfId="0" applyFill="1" applyBorder="1" applyAlignment="1">
      <alignment horizontal="center"/>
    </xf>
    <xf numFmtId="0" fontId="0" fillId="4" borderId="41" xfId="0" applyFill="1" applyBorder="1" applyAlignment="1">
      <alignment horizontal="center"/>
    </xf>
    <xf numFmtId="0" fontId="15" fillId="12" borderId="21" xfId="0" applyFont="1" applyFill="1" applyBorder="1" applyAlignment="1">
      <alignment horizontal="left" vertical="center" wrapText="1"/>
    </xf>
    <xf numFmtId="0" fontId="15" fillId="12" borderId="34" xfId="0" applyFont="1" applyFill="1" applyBorder="1" applyAlignment="1">
      <alignment horizontal="left" vertical="center" wrapText="1"/>
    </xf>
    <xf numFmtId="0" fontId="15" fillId="12" borderId="22" xfId="0" applyFont="1" applyFill="1" applyBorder="1" applyAlignment="1">
      <alignment horizontal="left" vertical="center" wrapText="1"/>
    </xf>
    <xf numFmtId="0" fontId="0" fillId="4" borderId="23" xfId="0" applyFont="1" applyFill="1" applyBorder="1" applyAlignment="1">
      <alignment horizontal="center"/>
    </xf>
    <xf numFmtId="0" fontId="0" fillId="4" borderId="24" xfId="0" applyFont="1" applyFill="1" applyBorder="1" applyAlignment="1">
      <alignment horizontal="center"/>
    </xf>
    <xf numFmtId="0" fontId="0" fillId="4" borderId="25" xfId="0" applyFont="1" applyFill="1" applyBorder="1" applyAlignment="1">
      <alignment horizontal="center"/>
    </xf>
    <xf numFmtId="0" fontId="17" fillId="4" borderId="56" xfId="0" applyFont="1" applyFill="1" applyBorder="1" applyAlignment="1">
      <alignment horizontal="center"/>
    </xf>
    <xf numFmtId="0" fontId="17" fillId="4" borderId="71" xfId="0" applyFont="1" applyFill="1" applyBorder="1" applyAlignment="1">
      <alignment horizontal="center"/>
    </xf>
    <xf numFmtId="0" fontId="17" fillId="4" borderId="57" xfId="0" applyFont="1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55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62" xfId="0" applyFont="1" applyFill="1" applyBorder="1" applyAlignment="1">
      <alignment horizontal="center"/>
    </xf>
    <xf numFmtId="0" fontId="0" fillId="4" borderId="61" xfId="0" applyFont="1" applyFill="1" applyBorder="1" applyAlignment="1">
      <alignment horizontal="center"/>
    </xf>
    <xf numFmtId="0" fontId="0" fillId="4" borderId="41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left"/>
    </xf>
    <xf numFmtId="0" fontId="5" fillId="4" borderId="13" xfId="0" applyFont="1" applyFill="1" applyBorder="1" applyAlignment="1">
      <alignment horizontal="left"/>
    </xf>
    <xf numFmtId="0" fontId="24" fillId="0" borderId="11" xfId="0" applyFont="1" applyFill="1" applyBorder="1" applyAlignment="1">
      <alignment horizontal="left" vertical="center"/>
    </xf>
    <xf numFmtId="0" fontId="24" fillId="0" borderId="12" xfId="0" applyFont="1" applyFill="1" applyBorder="1" applyAlignment="1">
      <alignment horizontal="left" vertical="center"/>
    </xf>
    <xf numFmtId="0" fontId="5" fillId="4" borderId="21" xfId="0" applyFont="1" applyFill="1" applyBorder="1" applyAlignment="1">
      <alignment horizontal="left" vertical="center"/>
    </xf>
    <xf numFmtId="0" fontId="5" fillId="4" borderId="34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left" vertical="center"/>
    </xf>
    <xf numFmtId="0" fontId="0" fillId="4" borderId="21" xfId="0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 wrapText="1"/>
    </xf>
    <xf numFmtId="0" fontId="0" fillId="4" borderId="43" xfId="0" applyFill="1" applyBorder="1" applyAlignment="1">
      <alignment horizontal="center" vertical="center" wrapText="1"/>
    </xf>
    <xf numFmtId="0" fontId="23" fillId="4" borderId="67" xfId="0" applyFont="1" applyFill="1" applyBorder="1" applyAlignment="1">
      <alignment horizontal="center" vertical="center" wrapText="1"/>
    </xf>
    <xf numFmtId="0" fontId="23" fillId="4" borderId="68" xfId="0" applyFont="1" applyFill="1" applyBorder="1" applyAlignment="1">
      <alignment horizontal="center" vertical="center" wrapText="1"/>
    </xf>
    <xf numFmtId="0" fontId="23" fillId="4" borderId="14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center"/>
    </xf>
    <xf numFmtId="0" fontId="8" fillId="0" borderId="34" xfId="0" applyFont="1" applyBorder="1" applyAlignment="1">
      <alignment horizontal="left" vertical="center"/>
    </xf>
    <xf numFmtId="0" fontId="0" fillId="4" borderId="1" xfId="0" applyFill="1" applyBorder="1" applyAlignment="1">
      <alignment horizontal="center"/>
    </xf>
    <xf numFmtId="0" fontId="0" fillId="8" borderId="58" xfId="0" applyFill="1" applyBorder="1" applyAlignment="1">
      <alignment horizontal="center" vertical="center" wrapText="1"/>
    </xf>
    <xf numFmtId="0" fontId="0" fillId="8" borderId="59" xfId="0" applyFill="1" applyBorder="1" applyAlignment="1">
      <alignment horizontal="center" vertical="center" wrapText="1"/>
    </xf>
    <xf numFmtId="0" fontId="0" fillId="8" borderId="60" xfId="0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 wrapText="1"/>
    </xf>
    <xf numFmtId="0" fontId="0" fillId="8" borderId="75" xfId="0" applyFill="1" applyBorder="1" applyAlignment="1">
      <alignment horizontal="center" vertical="center" wrapText="1"/>
    </xf>
    <xf numFmtId="0" fontId="0" fillId="8" borderId="0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3" borderId="77" xfId="0" applyFont="1" applyFill="1" applyBorder="1" applyAlignment="1">
      <alignment horizontal="center" vertical="center"/>
    </xf>
    <xf numFmtId="0" fontId="1" fillId="3" borderId="42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84" xfId="0" applyFont="1" applyFill="1" applyBorder="1" applyAlignment="1">
      <alignment horizontal="center" vertical="center"/>
    </xf>
    <xf numFmtId="0" fontId="1" fillId="5" borderId="42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9" fillId="3" borderId="58" xfId="0" applyFont="1" applyFill="1" applyBorder="1" applyAlignment="1">
      <alignment horizontal="center" vertical="center"/>
    </xf>
    <xf numFmtId="0" fontId="9" fillId="3" borderId="59" xfId="0" applyFont="1" applyFill="1" applyBorder="1" applyAlignment="1">
      <alignment horizontal="center" vertical="center"/>
    </xf>
    <xf numFmtId="0" fontId="9" fillId="3" borderId="60" xfId="0" applyFont="1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left" vertical="center" wrapText="1"/>
    </xf>
    <xf numFmtId="0" fontId="0" fillId="8" borderId="16" xfId="0" applyFill="1" applyBorder="1" applyAlignment="1">
      <alignment horizontal="center" vertical="center" wrapText="1"/>
    </xf>
    <xf numFmtId="0" fontId="0" fillId="8" borderId="17" xfId="0" applyFill="1" applyBorder="1" applyAlignment="1">
      <alignment horizontal="center" vertical="center" wrapText="1"/>
    </xf>
    <xf numFmtId="0" fontId="0" fillId="8" borderId="18" xfId="0" applyFill="1" applyBorder="1" applyAlignment="1">
      <alignment horizontal="center" vertical="center" wrapText="1"/>
    </xf>
    <xf numFmtId="0" fontId="0" fillId="8" borderId="79" xfId="0" applyFill="1" applyBorder="1" applyAlignment="1">
      <alignment horizontal="center" vertical="center" wrapText="1"/>
    </xf>
    <xf numFmtId="0" fontId="0" fillId="8" borderId="30" xfId="0" applyFill="1" applyBorder="1" applyAlignment="1">
      <alignment horizontal="center" vertical="center"/>
    </xf>
    <xf numFmtId="0" fontId="0" fillId="8" borderId="31" xfId="0" applyFill="1" applyBorder="1" applyAlignment="1">
      <alignment horizontal="center" vertical="center"/>
    </xf>
    <xf numFmtId="49" fontId="0" fillId="0" borderId="26" xfId="0" applyNumberFormat="1" applyFill="1" applyBorder="1" applyAlignment="1">
      <alignment horizontal="left" vertical="center" wrapText="1"/>
    </xf>
    <xf numFmtId="0" fontId="0" fillId="8" borderId="39" xfId="0" applyFill="1" applyBorder="1" applyAlignment="1">
      <alignment horizontal="center" vertical="center"/>
    </xf>
    <xf numFmtId="0" fontId="0" fillId="8" borderId="40" xfId="0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/>
    </xf>
    <xf numFmtId="0" fontId="10" fillId="3" borderId="34" xfId="0" applyFont="1" applyFill="1" applyBorder="1" applyAlignment="1">
      <alignment horizontal="center"/>
    </xf>
    <xf numFmtId="0" fontId="10" fillId="3" borderId="22" xfId="0" applyFont="1" applyFill="1" applyBorder="1" applyAlignment="1">
      <alignment horizontal="center"/>
    </xf>
    <xf numFmtId="0" fontId="0" fillId="0" borderId="23" xfId="0" applyBorder="1" applyAlignment="1">
      <alignment horizontal="left" vertical="center"/>
    </xf>
    <xf numFmtId="49" fontId="9" fillId="0" borderId="0" xfId="0" applyNumberFormat="1" applyFont="1" applyFill="1" applyBorder="1" applyAlignment="1">
      <alignment horizontal="left" vertical="center" wrapText="1"/>
    </xf>
    <xf numFmtId="49" fontId="9" fillId="3" borderId="21" xfId="0" applyNumberFormat="1" applyFont="1" applyFill="1" applyBorder="1" applyAlignment="1">
      <alignment horizontal="center" wrapText="1"/>
    </xf>
    <xf numFmtId="49" fontId="9" fillId="3" borderId="34" xfId="0" applyNumberFormat="1" applyFont="1" applyFill="1" applyBorder="1" applyAlignment="1">
      <alignment horizontal="center" wrapText="1"/>
    </xf>
    <xf numFmtId="49" fontId="9" fillId="3" borderId="22" xfId="0" applyNumberFormat="1" applyFont="1" applyFill="1" applyBorder="1" applyAlignment="1">
      <alignment horizontal="center" wrapText="1"/>
    </xf>
    <xf numFmtId="0" fontId="9" fillId="3" borderId="21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0" fontId="0" fillId="0" borderId="1" xfId="0" applyNumberFormat="1" applyBorder="1"/>
    <xf numFmtId="10" fontId="0" fillId="0" borderId="24" xfId="0" applyNumberFormat="1" applyBorder="1"/>
    <xf numFmtId="0" fontId="1" fillId="5" borderId="29" xfId="0" applyFont="1" applyFill="1" applyBorder="1" applyAlignment="1">
      <alignment horizontal="left" vertical="center"/>
    </xf>
    <xf numFmtId="0" fontId="1" fillId="5" borderId="30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0" fillId="0" borderId="24" xfId="0" applyBorder="1" applyAlignment="1">
      <alignment vertical="center"/>
    </xf>
    <xf numFmtId="10" fontId="0" fillId="0" borderId="0" xfId="0" applyNumberFormat="1" applyBorder="1"/>
    <xf numFmtId="0" fontId="1" fillId="10" borderId="38" xfId="0" applyFont="1" applyFill="1" applyBorder="1" applyAlignment="1">
      <alignment horizontal="left" vertical="center" wrapText="1"/>
    </xf>
    <xf numFmtId="0" fontId="1" fillId="10" borderId="39" xfId="0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" fontId="0" fillId="0" borderId="27" xfId="0" applyNumberFormat="1" applyBorder="1"/>
    <xf numFmtId="1" fontId="0" fillId="0" borderId="6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vertical="center"/>
    </xf>
    <xf numFmtId="1" fontId="0" fillId="0" borderId="36" xfId="0" applyNumberFormat="1" applyBorder="1" applyAlignment="1">
      <alignment vertical="center"/>
    </xf>
    <xf numFmtId="1" fontId="0" fillId="0" borderId="24" xfId="0" applyNumberFormat="1" applyBorder="1" applyAlignment="1">
      <alignment vertical="center"/>
    </xf>
    <xf numFmtId="1" fontId="12" fillId="0" borderId="4" xfId="0" applyNumberFormat="1" applyFont="1" applyFill="1" applyBorder="1" applyAlignment="1">
      <alignment horizontal="center" vertical="center"/>
    </xf>
    <xf numFmtId="1" fontId="12" fillId="15" borderId="7" xfId="0" applyNumberFormat="1" applyFont="1" applyFill="1" applyBorder="1" applyAlignment="1">
      <alignment horizontal="center" vertical="center"/>
    </xf>
    <xf numFmtId="0" fontId="0" fillId="0" borderId="84" xfId="0" applyFill="1" applyBorder="1" applyAlignment="1">
      <alignment horizontal="right" vertical="center" wrapText="1"/>
    </xf>
    <xf numFmtId="0" fontId="0" fillId="0" borderId="19" xfId="0" applyFill="1" applyBorder="1" applyAlignment="1">
      <alignment horizontal="right" vertical="center" wrapText="1"/>
    </xf>
    <xf numFmtId="0" fontId="0" fillId="0" borderId="85" xfId="0" applyFill="1" applyBorder="1" applyAlignment="1">
      <alignment horizontal="right" vertical="center" wrapText="1"/>
    </xf>
    <xf numFmtId="0" fontId="0" fillId="8" borderId="65" xfId="0" applyFill="1" applyBorder="1" applyAlignment="1">
      <alignment horizontal="center" vertical="center" wrapText="1"/>
    </xf>
    <xf numFmtId="0" fontId="0" fillId="8" borderId="67" xfId="0" applyFill="1" applyBorder="1" applyAlignment="1">
      <alignment vertical="center" wrapText="1"/>
    </xf>
    <xf numFmtId="0" fontId="0" fillId="8" borderId="68" xfId="0" applyFill="1" applyBorder="1" applyAlignment="1">
      <alignment vertical="center" wrapText="1"/>
    </xf>
    <xf numFmtId="0" fontId="0" fillId="8" borderId="14" xfId="0" applyFill="1" applyBorder="1" applyAlignment="1">
      <alignment vertical="center" wrapText="1"/>
    </xf>
    <xf numFmtId="0" fontId="33" fillId="0" borderId="0" xfId="0" applyFont="1"/>
  </cellXfs>
  <cellStyles count="2">
    <cellStyle name="Excel Built-in Normal" xfId="1"/>
    <cellStyle name="Normal" xfId="0" builtinId="0"/>
  </cellStyles>
  <dxfs count="21">
    <dxf>
      <font>
        <strike val="0"/>
        <color theme="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1238249</xdr:colOff>
      <xdr:row>21</xdr:row>
      <xdr:rowOff>163287</xdr:rowOff>
    </xdr:from>
    <xdr:to>
      <xdr:col>9</xdr:col>
      <xdr:colOff>517070</xdr:colOff>
      <xdr:row>27</xdr:row>
      <xdr:rowOff>217716</xdr:rowOff>
    </xdr:to>
    <xdr:grpSp>
      <xdr:nvGrpSpPr>
        <xdr:cNvPr id="4" name="Groupe 3"/>
        <xdr:cNvGrpSpPr/>
      </xdr:nvGrpSpPr>
      <xdr:grpSpPr>
        <a:xfrm>
          <a:off x="11212285" y="6272894"/>
          <a:ext cx="1932214" cy="1619251"/>
          <a:chOff x="10844892" y="4513237"/>
          <a:chExt cx="1932214" cy="1283406"/>
        </a:xfrm>
      </xdr:grpSpPr>
      <xdr:sp macro="" textlink="">
        <xdr:nvSpPr>
          <xdr:cNvPr id="2" name="Flèche vers le bas 1"/>
          <xdr:cNvSpPr/>
        </xdr:nvSpPr>
        <xdr:spPr>
          <a:xfrm>
            <a:off x="11661321" y="4912179"/>
            <a:ext cx="258536" cy="884464"/>
          </a:xfrm>
          <a:prstGeom prst="down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" name="ZoneTexte 2"/>
          <xdr:cNvSpPr txBox="1"/>
        </xdr:nvSpPr>
        <xdr:spPr>
          <a:xfrm>
            <a:off x="10844892" y="4513237"/>
            <a:ext cx="1932214" cy="345117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/>
              <a:t>Déterminé par analyse de sol : ici quelques exemples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63</xdr:row>
      <xdr:rowOff>119063</xdr:rowOff>
    </xdr:from>
    <xdr:to>
      <xdr:col>2</xdr:col>
      <xdr:colOff>1297781</xdr:colOff>
      <xdr:row>66</xdr:row>
      <xdr:rowOff>23813</xdr:rowOff>
    </xdr:to>
    <xdr:sp macro="" textlink="">
      <xdr:nvSpPr>
        <xdr:cNvPr id="27" name="Flèche droite 26"/>
        <xdr:cNvSpPr/>
      </xdr:nvSpPr>
      <xdr:spPr>
        <a:xfrm>
          <a:off x="3512344" y="16263938"/>
          <a:ext cx="964406" cy="440531"/>
        </a:xfrm>
        <a:prstGeom prst="rightArrow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285750</xdr:colOff>
      <xdr:row>80</xdr:row>
      <xdr:rowOff>47625</xdr:rowOff>
    </xdr:from>
    <xdr:to>
      <xdr:col>2</xdr:col>
      <xdr:colOff>1404938</xdr:colOff>
      <xdr:row>81</xdr:row>
      <xdr:rowOff>71437</xdr:rowOff>
    </xdr:to>
    <xdr:sp macro="" textlink="">
      <xdr:nvSpPr>
        <xdr:cNvPr id="26" name="Flèche droite 25"/>
        <xdr:cNvSpPr/>
      </xdr:nvSpPr>
      <xdr:spPr>
        <a:xfrm>
          <a:off x="3119438" y="21121688"/>
          <a:ext cx="1119188" cy="642937"/>
        </a:xfrm>
        <a:prstGeom prst="rightArrow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47625</xdr:rowOff>
    </xdr:from>
    <xdr:to>
      <xdr:col>3</xdr:col>
      <xdr:colOff>647700</xdr:colOff>
      <xdr:row>53</xdr:row>
      <xdr:rowOff>180975</xdr:rowOff>
    </xdr:to>
    <xdr:cxnSp macro="">
      <xdr:nvCxnSpPr>
        <xdr:cNvPr id="2" name="Connecteur droit avec flèche 1"/>
        <xdr:cNvCxnSpPr/>
      </xdr:nvCxnSpPr>
      <xdr:spPr>
        <a:xfrm>
          <a:off x="1638300" y="1724025"/>
          <a:ext cx="1409700" cy="90297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</xdr:colOff>
      <xdr:row>8</xdr:row>
      <xdr:rowOff>35719</xdr:rowOff>
    </xdr:from>
    <xdr:to>
      <xdr:col>7</xdr:col>
      <xdr:colOff>71438</xdr:colOff>
      <xdr:row>10</xdr:row>
      <xdr:rowOff>119062</xdr:rowOff>
    </xdr:to>
    <xdr:cxnSp macro="">
      <xdr:nvCxnSpPr>
        <xdr:cNvPr id="3" name="Connecteur droit avec flèche 2"/>
        <xdr:cNvCxnSpPr/>
      </xdr:nvCxnSpPr>
      <xdr:spPr>
        <a:xfrm>
          <a:off x="9944100" y="26381869"/>
          <a:ext cx="1624013" cy="55959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904875</xdr:colOff>
      <xdr:row>8</xdr:row>
      <xdr:rowOff>59532</xdr:rowOff>
    </xdr:from>
    <xdr:to>
      <xdr:col>9</xdr:col>
      <xdr:colOff>690563</xdr:colOff>
      <xdr:row>10</xdr:row>
      <xdr:rowOff>107156</xdr:rowOff>
    </xdr:to>
    <xdr:cxnSp macro="">
      <xdr:nvCxnSpPr>
        <xdr:cNvPr id="4" name="Connecteur droit avec flèche 3"/>
        <xdr:cNvCxnSpPr/>
      </xdr:nvCxnSpPr>
      <xdr:spPr>
        <a:xfrm flipH="1">
          <a:off x="12401550" y="26405682"/>
          <a:ext cx="1985963" cy="52387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765968</xdr:colOff>
      <xdr:row>8</xdr:row>
      <xdr:rowOff>66675</xdr:rowOff>
    </xdr:from>
    <xdr:to>
      <xdr:col>14</xdr:col>
      <xdr:colOff>57150</xdr:colOff>
      <xdr:row>10</xdr:row>
      <xdr:rowOff>44450</xdr:rowOff>
    </xdr:to>
    <xdr:cxnSp macro="">
      <xdr:nvCxnSpPr>
        <xdr:cNvPr id="5" name="Connecteur droit avec flèche 4"/>
        <xdr:cNvCxnSpPr/>
      </xdr:nvCxnSpPr>
      <xdr:spPr>
        <a:xfrm flipH="1">
          <a:off x="7576343" y="1743075"/>
          <a:ext cx="4377532" cy="358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420159</xdr:colOff>
      <xdr:row>15</xdr:row>
      <xdr:rowOff>13230</xdr:rowOff>
    </xdr:from>
    <xdr:to>
      <xdr:col>7</xdr:col>
      <xdr:colOff>420159</xdr:colOff>
      <xdr:row>16</xdr:row>
      <xdr:rowOff>166688</xdr:rowOff>
    </xdr:to>
    <xdr:cxnSp macro="">
      <xdr:nvCxnSpPr>
        <xdr:cNvPr id="6" name="Connecteur droit avec flèche 5"/>
        <xdr:cNvCxnSpPr/>
      </xdr:nvCxnSpPr>
      <xdr:spPr>
        <a:xfrm>
          <a:off x="6468534" y="2985030"/>
          <a:ext cx="0" cy="34395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765970</xdr:colOff>
      <xdr:row>21</xdr:row>
      <xdr:rowOff>57150</xdr:rowOff>
    </xdr:from>
    <xdr:to>
      <xdr:col>7</xdr:col>
      <xdr:colOff>409575</xdr:colOff>
      <xdr:row>24</xdr:row>
      <xdr:rowOff>67469</xdr:rowOff>
    </xdr:to>
    <xdr:cxnSp macro="">
      <xdr:nvCxnSpPr>
        <xdr:cNvPr id="7" name="Connecteur droit avec flèche 6"/>
        <xdr:cNvCxnSpPr/>
      </xdr:nvCxnSpPr>
      <xdr:spPr>
        <a:xfrm flipH="1">
          <a:off x="4804570" y="4171950"/>
          <a:ext cx="1653380" cy="58181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549807</xdr:colOff>
      <xdr:row>29</xdr:row>
      <xdr:rowOff>46302</xdr:rowOff>
    </xdr:from>
    <xdr:to>
      <xdr:col>5</xdr:col>
      <xdr:colOff>559594</xdr:colOff>
      <xdr:row>37</xdr:row>
      <xdr:rowOff>0</xdr:rowOff>
    </xdr:to>
    <xdr:cxnSp macro="">
      <xdr:nvCxnSpPr>
        <xdr:cNvPr id="8" name="Connecteur droit avec flèche 7"/>
        <xdr:cNvCxnSpPr/>
      </xdr:nvCxnSpPr>
      <xdr:spPr>
        <a:xfrm>
          <a:off x="8846082" y="30688227"/>
          <a:ext cx="9787" cy="1744398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11906</xdr:colOff>
      <xdr:row>56</xdr:row>
      <xdr:rowOff>47625</xdr:rowOff>
    </xdr:from>
    <xdr:to>
      <xdr:col>5</xdr:col>
      <xdr:colOff>11906</xdr:colOff>
      <xdr:row>57</xdr:row>
      <xdr:rowOff>178594</xdr:rowOff>
    </xdr:to>
    <xdr:cxnSp macro="">
      <xdr:nvCxnSpPr>
        <xdr:cNvPr id="9" name="Connecteur droit avec flèche 8"/>
        <xdr:cNvCxnSpPr/>
      </xdr:nvCxnSpPr>
      <xdr:spPr>
        <a:xfrm>
          <a:off x="8308181" y="36756975"/>
          <a:ext cx="0" cy="32146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61</xdr:row>
      <xdr:rowOff>142875</xdr:rowOff>
    </xdr:from>
    <xdr:to>
      <xdr:col>5</xdr:col>
      <xdr:colOff>0</xdr:colOff>
      <xdr:row>63</xdr:row>
      <xdr:rowOff>83344</xdr:rowOff>
    </xdr:to>
    <xdr:cxnSp macro="">
      <xdr:nvCxnSpPr>
        <xdr:cNvPr id="10" name="Connecteur droit avec flèche 9"/>
        <xdr:cNvCxnSpPr/>
      </xdr:nvCxnSpPr>
      <xdr:spPr>
        <a:xfrm>
          <a:off x="8296275" y="37957125"/>
          <a:ext cx="0" cy="39766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21</xdr:row>
      <xdr:rowOff>57150</xdr:rowOff>
    </xdr:from>
    <xdr:to>
      <xdr:col>9</xdr:col>
      <xdr:colOff>317500</xdr:colOff>
      <xdr:row>24</xdr:row>
      <xdr:rowOff>59531</xdr:rowOff>
    </xdr:to>
    <xdr:cxnSp macro="">
      <xdr:nvCxnSpPr>
        <xdr:cNvPr id="11" name="Connecteur droit avec flèche 10"/>
        <xdr:cNvCxnSpPr/>
      </xdr:nvCxnSpPr>
      <xdr:spPr>
        <a:xfrm>
          <a:off x="6477000" y="4171950"/>
          <a:ext cx="1555750" cy="57388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250031</xdr:colOff>
      <xdr:row>29</xdr:row>
      <xdr:rowOff>26194</xdr:rowOff>
    </xdr:from>
    <xdr:to>
      <xdr:col>10</xdr:col>
      <xdr:colOff>35719</xdr:colOff>
      <xdr:row>30</xdr:row>
      <xdr:rowOff>135731</xdr:rowOff>
    </xdr:to>
    <xdr:cxnSp macro="">
      <xdr:nvCxnSpPr>
        <xdr:cNvPr id="12" name="Connecteur droit avec flèche 11"/>
        <xdr:cNvCxnSpPr/>
      </xdr:nvCxnSpPr>
      <xdr:spPr>
        <a:xfrm flipH="1">
          <a:off x="7850981" y="5684044"/>
          <a:ext cx="547688" cy="300037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51594</xdr:colOff>
      <xdr:row>29</xdr:row>
      <xdr:rowOff>30163</xdr:rowOff>
    </xdr:from>
    <xdr:to>
      <xdr:col>13</xdr:col>
      <xdr:colOff>238125</xdr:colOff>
      <xdr:row>30</xdr:row>
      <xdr:rowOff>133350</xdr:rowOff>
    </xdr:to>
    <xdr:cxnSp macro="">
      <xdr:nvCxnSpPr>
        <xdr:cNvPr id="13" name="Connecteur droit avec flèche 12"/>
        <xdr:cNvCxnSpPr/>
      </xdr:nvCxnSpPr>
      <xdr:spPr>
        <a:xfrm>
          <a:off x="8414544" y="5688013"/>
          <a:ext cx="2586831" cy="293687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738188</xdr:colOff>
      <xdr:row>33</xdr:row>
      <xdr:rowOff>19050</xdr:rowOff>
    </xdr:from>
    <xdr:to>
      <xdr:col>7</xdr:col>
      <xdr:colOff>647700</xdr:colOff>
      <xdr:row>37</xdr:row>
      <xdr:rowOff>59531</xdr:rowOff>
    </xdr:to>
    <xdr:cxnSp macro="">
      <xdr:nvCxnSpPr>
        <xdr:cNvPr id="14" name="Connecteur droit avec flèche 13"/>
        <xdr:cNvCxnSpPr/>
      </xdr:nvCxnSpPr>
      <xdr:spPr>
        <a:xfrm flipH="1">
          <a:off x="4776788" y="6705600"/>
          <a:ext cx="1919287" cy="80248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297656</xdr:colOff>
      <xdr:row>4</xdr:row>
      <xdr:rowOff>0</xdr:rowOff>
    </xdr:from>
    <xdr:to>
      <xdr:col>0</xdr:col>
      <xdr:colOff>869156</xdr:colOff>
      <xdr:row>7</xdr:row>
      <xdr:rowOff>178594</xdr:rowOff>
    </xdr:to>
    <xdr:sp macro="" textlink="">
      <xdr:nvSpPr>
        <xdr:cNvPr id="15" name="Accolade ouvrante 14"/>
        <xdr:cNvSpPr/>
      </xdr:nvSpPr>
      <xdr:spPr>
        <a:xfrm>
          <a:off x="297656" y="25450800"/>
          <a:ext cx="571500" cy="883444"/>
        </a:xfrm>
        <a:prstGeom prst="leftBrace">
          <a:avLst>
            <a:gd name="adj1" fmla="val 27083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309563</xdr:colOff>
      <xdr:row>10</xdr:row>
      <xdr:rowOff>11906</xdr:rowOff>
    </xdr:from>
    <xdr:to>
      <xdr:col>0</xdr:col>
      <xdr:colOff>821531</xdr:colOff>
      <xdr:row>16</xdr:row>
      <xdr:rowOff>0</xdr:rowOff>
    </xdr:to>
    <xdr:sp macro="" textlink="">
      <xdr:nvSpPr>
        <xdr:cNvPr id="16" name="Accolade ouvrante 15"/>
        <xdr:cNvSpPr/>
      </xdr:nvSpPr>
      <xdr:spPr>
        <a:xfrm>
          <a:off x="309563" y="26834306"/>
          <a:ext cx="511968" cy="1150144"/>
        </a:xfrm>
        <a:prstGeom prst="leftBrace">
          <a:avLst>
            <a:gd name="adj1" fmla="val 22287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392906</xdr:colOff>
      <xdr:row>17</xdr:row>
      <xdr:rowOff>11906</xdr:rowOff>
    </xdr:from>
    <xdr:to>
      <xdr:col>0</xdr:col>
      <xdr:colOff>833437</xdr:colOff>
      <xdr:row>22</xdr:row>
      <xdr:rowOff>11907</xdr:rowOff>
    </xdr:to>
    <xdr:sp macro="" textlink="">
      <xdr:nvSpPr>
        <xdr:cNvPr id="17" name="Accolade ouvrante 16"/>
        <xdr:cNvSpPr/>
      </xdr:nvSpPr>
      <xdr:spPr>
        <a:xfrm>
          <a:off x="392906" y="28186856"/>
          <a:ext cx="440531" cy="942976"/>
        </a:xfrm>
        <a:prstGeom prst="leftBrace">
          <a:avLst>
            <a:gd name="adj1" fmla="val 22287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321469</xdr:colOff>
      <xdr:row>23</xdr:row>
      <xdr:rowOff>23813</xdr:rowOff>
    </xdr:from>
    <xdr:to>
      <xdr:col>1</xdr:col>
      <xdr:colOff>2381</xdr:colOff>
      <xdr:row>48</xdr:row>
      <xdr:rowOff>161925</xdr:rowOff>
    </xdr:to>
    <xdr:sp macro="" textlink="">
      <xdr:nvSpPr>
        <xdr:cNvPr id="18" name="Accolade ouvrante 17"/>
        <xdr:cNvSpPr/>
      </xdr:nvSpPr>
      <xdr:spPr>
        <a:xfrm>
          <a:off x="321469" y="4633913"/>
          <a:ext cx="442912" cy="5148262"/>
        </a:xfrm>
        <a:prstGeom prst="leftBrace">
          <a:avLst>
            <a:gd name="adj1" fmla="val 32287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297656</xdr:colOff>
      <xdr:row>51</xdr:row>
      <xdr:rowOff>0</xdr:rowOff>
    </xdr:from>
    <xdr:to>
      <xdr:col>0</xdr:col>
      <xdr:colOff>757238</xdr:colOff>
      <xdr:row>67</xdr:row>
      <xdr:rowOff>178593</xdr:rowOff>
    </xdr:to>
    <xdr:sp macro="" textlink="">
      <xdr:nvSpPr>
        <xdr:cNvPr id="19" name="Accolade ouvrante 18"/>
        <xdr:cNvSpPr/>
      </xdr:nvSpPr>
      <xdr:spPr>
        <a:xfrm>
          <a:off x="297656" y="10191750"/>
          <a:ext cx="459582" cy="3740943"/>
        </a:xfrm>
        <a:prstGeom prst="leftBrace">
          <a:avLst>
            <a:gd name="adj1" fmla="val 22287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833437</xdr:colOff>
      <xdr:row>57</xdr:row>
      <xdr:rowOff>35719</xdr:rowOff>
    </xdr:from>
    <xdr:to>
      <xdr:col>10</xdr:col>
      <xdr:colOff>750094</xdr:colOff>
      <xdr:row>60</xdr:row>
      <xdr:rowOff>83344</xdr:rowOff>
    </xdr:to>
    <xdr:sp macro="" textlink="">
      <xdr:nvSpPr>
        <xdr:cNvPr id="20" name="Bulle ronde 19"/>
        <xdr:cNvSpPr/>
      </xdr:nvSpPr>
      <xdr:spPr>
        <a:xfrm>
          <a:off x="12330112" y="36935569"/>
          <a:ext cx="2764632" cy="733425"/>
        </a:xfrm>
        <a:prstGeom prst="wedgeEllipseCallout">
          <a:avLst>
            <a:gd name="adj1" fmla="val -73008"/>
            <a:gd name="adj2" fmla="val -2262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Données issues de l'onglet "Plan d'épandage"</a:t>
          </a:r>
        </a:p>
      </xdr:txBody>
    </xdr:sp>
    <xdr:clientData/>
  </xdr:twoCellAnchor>
  <xdr:twoCellAnchor>
    <xdr:from>
      <xdr:col>10</xdr:col>
      <xdr:colOff>3972</xdr:colOff>
      <xdr:row>11</xdr:row>
      <xdr:rowOff>99218</xdr:rowOff>
    </xdr:from>
    <xdr:to>
      <xdr:col>13</xdr:col>
      <xdr:colOff>178594</xdr:colOff>
      <xdr:row>15</xdr:row>
      <xdr:rowOff>178593</xdr:rowOff>
    </xdr:to>
    <xdr:sp macro="" textlink="">
      <xdr:nvSpPr>
        <xdr:cNvPr id="21" name="Bulle ronde 20"/>
        <xdr:cNvSpPr/>
      </xdr:nvSpPr>
      <xdr:spPr>
        <a:xfrm>
          <a:off x="14462922" y="27112118"/>
          <a:ext cx="2270122" cy="850900"/>
        </a:xfrm>
        <a:prstGeom prst="wedgeEllipseCallout">
          <a:avLst>
            <a:gd name="adj1" fmla="val -73008"/>
            <a:gd name="adj2" fmla="val -2262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Données issues de simulations méthasim</a:t>
          </a:r>
        </a:p>
      </xdr:txBody>
    </xdr:sp>
    <xdr:clientData/>
  </xdr:twoCellAnchor>
  <xdr:twoCellAnchor>
    <xdr:from>
      <xdr:col>12</xdr:col>
      <xdr:colOff>11906</xdr:colOff>
      <xdr:row>25</xdr:row>
      <xdr:rowOff>0</xdr:rowOff>
    </xdr:from>
    <xdr:to>
      <xdr:col>14</xdr:col>
      <xdr:colOff>0</xdr:colOff>
      <xdr:row>29</xdr:row>
      <xdr:rowOff>0</xdr:rowOff>
    </xdr:to>
    <xdr:sp macro="" textlink="">
      <xdr:nvSpPr>
        <xdr:cNvPr id="22" name="Rectangle 21"/>
        <xdr:cNvSpPr/>
      </xdr:nvSpPr>
      <xdr:spPr>
        <a:xfrm>
          <a:off x="15604331" y="29879925"/>
          <a:ext cx="1750219" cy="762000"/>
        </a:xfrm>
        <a:prstGeom prst="wedgeRectCallout">
          <a:avLst>
            <a:gd name="adj1" fmla="val -71661"/>
            <a:gd name="adj2" fmla="val -21632"/>
          </a:avLst>
        </a:prstGeom>
        <a:noFill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535519</xdr:colOff>
      <xdr:row>42</xdr:row>
      <xdr:rowOff>55828</xdr:rowOff>
    </xdr:from>
    <xdr:to>
      <xdr:col>5</xdr:col>
      <xdr:colOff>535781</xdr:colOff>
      <xdr:row>43</xdr:row>
      <xdr:rowOff>142875</xdr:rowOff>
    </xdr:to>
    <xdr:cxnSp macro="">
      <xdr:nvCxnSpPr>
        <xdr:cNvPr id="23" name="Connecteur droit avec flèche 22"/>
        <xdr:cNvCxnSpPr/>
      </xdr:nvCxnSpPr>
      <xdr:spPr>
        <a:xfrm>
          <a:off x="8831794" y="33545728"/>
          <a:ext cx="262" cy="277547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35720</xdr:colOff>
      <xdr:row>35</xdr:row>
      <xdr:rowOff>19049</xdr:rowOff>
    </xdr:from>
    <xdr:to>
      <xdr:col>16</xdr:col>
      <xdr:colOff>266700</xdr:colOff>
      <xdr:row>54</xdr:row>
      <xdr:rowOff>119060</xdr:rowOff>
    </xdr:to>
    <xdr:cxnSp macro="">
      <xdr:nvCxnSpPr>
        <xdr:cNvPr id="24" name="Connecteur en arc 23"/>
        <xdr:cNvCxnSpPr/>
      </xdr:nvCxnSpPr>
      <xdr:spPr>
        <a:xfrm rot="10800000" flipV="1">
          <a:off x="6084095" y="7086599"/>
          <a:ext cx="7603330" cy="3833811"/>
        </a:xfrm>
        <a:prstGeom prst="curvedConnector3">
          <a:avLst>
            <a:gd name="adj1" fmla="val -987"/>
          </a:avLst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84</xdr:row>
      <xdr:rowOff>47625</xdr:rowOff>
    </xdr:from>
    <xdr:to>
      <xdr:col>5</xdr:col>
      <xdr:colOff>1178718</xdr:colOff>
      <xdr:row>119</xdr:row>
      <xdr:rowOff>71437</xdr:rowOff>
    </xdr:to>
    <xdr:cxnSp macro="">
      <xdr:nvCxnSpPr>
        <xdr:cNvPr id="23" name="Connecteur droit avec flèche 22"/>
        <xdr:cNvCxnSpPr/>
      </xdr:nvCxnSpPr>
      <xdr:spPr>
        <a:xfrm>
          <a:off x="2286000" y="15394781"/>
          <a:ext cx="4869656" cy="798909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488156</xdr:colOff>
      <xdr:row>84</xdr:row>
      <xdr:rowOff>59532</xdr:rowOff>
    </xdr:from>
    <xdr:to>
      <xdr:col>7</xdr:col>
      <xdr:colOff>702468</xdr:colOff>
      <xdr:row>86</xdr:row>
      <xdr:rowOff>83344</xdr:rowOff>
    </xdr:to>
    <xdr:cxnSp macro="">
      <xdr:nvCxnSpPr>
        <xdr:cNvPr id="25" name="Connecteur droit avec flèche 24"/>
        <xdr:cNvCxnSpPr/>
      </xdr:nvCxnSpPr>
      <xdr:spPr>
        <a:xfrm>
          <a:off x="8001000" y="10596563"/>
          <a:ext cx="1035843" cy="40481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59532</xdr:colOff>
      <xdr:row>84</xdr:row>
      <xdr:rowOff>47625</xdr:rowOff>
    </xdr:from>
    <xdr:to>
      <xdr:col>10</xdr:col>
      <xdr:colOff>178594</xdr:colOff>
      <xdr:row>86</xdr:row>
      <xdr:rowOff>71438</xdr:rowOff>
    </xdr:to>
    <xdr:cxnSp macro="">
      <xdr:nvCxnSpPr>
        <xdr:cNvPr id="26" name="Connecteur droit avec flèche 25"/>
        <xdr:cNvCxnSpPr/>
      </xdr:nvCxnSpPr>
      <xdr:spPr>
        <a:xfrm flipH="1">
          <a:off x="9334501" y="10584656"/>
          <a:ext cx="2000249" cy="404813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583406</xdr:colOff>
      <xdr:row>84</xdr:row>
      <xdr:rowOff>95251</xdr:rowOff>
    </xdr:from>
    <xdr:to>
      <xdr:col>14</xdr:col>
      <xdr:colOff>369093</xdr:colOff>
      <xdr:row>86</xdr:row>
      <xdr:rowOff>107157</xdr:rowOff>
    </xdr:to>
    <xdr:cxnSp macro="">
      <xdr:nvCxnSpPr>
        <xdr:cNvPr id="27" name="Connecteur droit avec flèche 26"/>
        <xdr:cNvCxnSpPr/>
      </xdr:nvCxnSpPr>
      <xdr:spPr>
        <a:xfrm flipH="1">
          <a:off x="9858375" y="10632282"/>
          <a:ext cx="4917281" cy="39290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939271</xdr:colOff>
      <xdr:row>91</xdr:row>
      <xdr:rowOff>48949</xdr:rowOff>
    </xdr:from>
    <xdr:to>
      <xdr:col>7</xdr:col>
      <xdr:colOff>939271</xdr:colOff>
      <xdr:row>93</xdr:row>
      <xdr:rowOff>112449</xdr:rowOff>
    </xdr:to>
    <xdr:cxnSp macro="">
      <xdr:nvCxnSpPr>
        <xdr:cNvPr id="28" name="Connecteur droit avec flèche 27"/>
        <xdr:cNvCxnSpPr/>
      </xdr:nvCxnSpPr>
      <xdr:spPr>
        <a:xfrm>
          <a:off x="9142677" y="11907574"/>
          <a:ext cx="0" cy="444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738187</xdr:colOff>
      <xdr:row>98</xdr:row>
      <xdr:rowOff>107157</xdr:rowOff>
    </xdr:from>
    <xdr:to>
      <xdr:col>9</xdr:col>
      <xdr:colOff>404812</xdr:colOff>
      <xdr:row>101</xdr:row>
      <xdr:rowOff>83344</xdr:rowOff>
    </xdr:to>
    <xdr:cxnSp macro="">
      <xdr:nvCxnSpPr>
        <xdr:cNvPr id="29" name="Connecteur droit avec flèche 28"/>
        <xdr:cNvCxnSpPr/>
      </xdr:nvCxnSpPr>
      <xdr:spPr>
        <a:xfrm flipH="1">
          <a:off x="7822406" y="20550188"/>
          <a:ext cx="2131219" cy="547687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762000</xdr:colOff>
      <xdr:row>106</xdr:row>
      <xdr:rowOff>46302</xdr:rowOff>
    </xdr:from>
    <xdr:to>
      <xdr:col>7</xdr:col>
      <xdr:colOff>764117</xdr:colOff>
      <xdr:row>109</xdr:row>
      <xdr:rowOff>107157</xdr:rowOff>
    </xdr:to>
    <xdr:cxnSp macro="">
      <xdr:nvCxnSpPr>
        <xdr:cNvPr id="33" name="Connecteur droit avec flèche 32"/>
        <xdr:cNvCxnSpPr/>
      </xdr:nvCxnSpPr>
      <xdr:spPr>
        <a:xfrm flipH="1">
          <a:off x="7846219" y="22441958"/>
          <a:ext cx="2117" cy="104907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678657</xdr:colOff>
      <xdr:row>122</xdr:row>
      <xdr:rowOff>47625</xdr:rowOff>
    </xdr:from>
    <xdr:to>
      <xdr:col>7</xdr:col>
      <xdr:colOff>678657</xdr:colOff>
      <xdr:row>123</xdr:row>
      <xdr:rowOff>178594</xdr:rowOff>
    </xdr:to>
    <xdr:cxnSp macro="">
      <xdr:nvCxnSpPr>
        <xdr:cNvPr id="36" name="Connecteur droit avec flèche 35"/>
        <xdr:cNvCxnSpPr/>
      </xdr:nvCxnSpPr>
      <xdr:spPr>
        <a:xfrm>
          <a:off x="7762876" y="26729531"/>
          <a:ext cx="0" cy="32146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666750</xdr:colOff>
      <xdr:row>127</xdr:row>
      <xdr:rowOff>154781</xdr:rowOff>
    </xdr:from>
    <xdr:to>
      <xdr:col>7</xdr:col>
      <xdr:colOff>666750</xdr:colOff>
      <xdr:row>129</xdr:row>
      <xdr:rowOff>95250</xdr:rowOff>
    </xdr:to>
    <xdr:cxnSp macro="">
      <xdr:nvCxnSpPr>
        <xdr:cNvPr id="39" name="Connecteur droit avec flèche 38"/>
        <xdr:cNvCxnSpPr/>
      </xdr:nvCxnSpPr>
      <xdr:spPr>
        <a:xfrm>
          <a:off x="7750969" y="28003500"/>
          <a:ext cx="0" cy="321469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642937</xdr:colOff>
      <xdr:row>87</xdr:row>
      <xdr:rowOff>71437</xdr:rowOff>
    </xdr:from>
    <xdr:to>
      <xdr:col>11</xdr:col>
      <xdr:colOff>738184</xdr:colOff>
      <xdr:row>90</xdr:row>
      <xdr:rowOff>142875</xdr:rowOff>
    </xdr:to>
    <xdr:sp macro="" textlink="">
      <xdr:nvSpPr>
        <xdr:cNvPr id="18" name="Bulle ronde 17"/>
        <xdr:cNvSpPr/>
      </xdr:nvSpPr>
      <xdr:spPr>
        <a:xfrm>
          <a:off x="10191750" y="18026062"/>
          <a:ext cx="2285997" cy="642938"/>
        </a:xfrm>
        <a:prstGeom prst="wedgeEllipseCallout">
          <a:avLst>
            <a:gd name="adj1" fmla="val -73008"/>
            <a:gd name="adj2" fmla="val -2262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Données issues de simulations méthasim</a:t>
          </a:r>
        </a:p>
      </xdr:txBody>
    </xdr:sp>
    <xdr:clientData/>
  </xdr:twoCellAnchor>
  <xdr:twoCellAnchor>
    <xdr:from>
      <xdr:col>9</xdr:col>
      <xdr:colOff>833437</xdr:colOff>
      <xdr:row>122</xdr:row>
      <xdr:rowOff>35719</xdr:rowOff>
    </xdr:from>
    <xdr:to>
      <xdr:col>12</xdr:col>
      <xdr:colOff>750094</xdr:colOff>
      <xdr:row>126</xdr:row>
      <xdr:rowOff>107156</xdr:rowOff>
    </xdr:to>
    <xdr:sp macro="" textlink="">
      <xdr:nvSpPr>
        <xdr:cNvPr id="19" name="Bulle ronde 18"/>
        <xdr:cNvSpPr/>
      </xdr:nvSpPr>
      <xdr:spPr>
        <a:xfrm>
          <a:off x="10382250" y="25955625"/>
          <a:ext cx="3059907" cy="833437"/>
        </a:xfrm>
        <a:prstGeom prst="wedgeEllipseCallout">
          <a:avLst>
            <a:gd name="adj1" fmla="val -73008"/>
            <a:gd name="adj2" fmla="val -2262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Données issues de l'onglet "Plan d'épandage"</a:t>
          </a:r>
        </a:p>
      </xdr:txBody>
    </xdr:sp>
    <xdr:clientData/>
  </xdr:twoCellAnchor>
  <xdr:twoCellAnchor>
    <xdr:from>
      <xdr:col>0</xdr:col>
      <xdr:colOff>297656</xdr:colOff>
      <xdr:row>80</xdr:row>
      <xdr:rowOff>0</xdr:rowOff>
    </xdr:from>
    <xdr:to>
      <xdr:col>0</xdr:col>
      <xdr:colOff>869156</xdr:colOff>
      <xdr:row>83</xdr:row>
      <xdr:rowOff>178594</xdr:rowOff>
    </xdr:to>
    <xdr:sp macro="" textlink="">
      <xdr:nvSpPr>
        <xdr:cNvPr id="21" name="Accolade ouvrante 20"/>
        <xdr:cNvSpPr/>
      </xdr:nvSpPr>
      <xdr:spPr>
        <a:xfrm>
          <a:off x="297656" y="24060150"/>
          <a:ext cx="571500" cy="1226344"/>
        </a:xfrm>
        <a:prstGeom prst="leftBrace">
          <a:avLst>
            <a:gd name="adj1" fmla="val 27083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309563</xdr:colOff>
      <xdr:row>86</xdr:row>
      <xdr:rowOff>11906</xdr:rowOff>
    </xdr:from>
    <xdr:to>
      <xdr:col>0</xdr:col>
      <xdr:colOff>821531</xdr:colOff>
      <xdr:row>92</xdr:row>
      <xdr:rowOff>0</xdr:rowOff>
    </xdr:to>
    <xdr:sp macro="" textlink="">
      <xdr:nvSpPr>
        <xdr:cNvPr id="22" name="Accolade ouvrante 21"/>
        <xdr:cNvSpPr/>
      </xdr:nvSpPr>
      <xdr:spPr>
        <a:xfrm>
          <a:off x="309563" y="25691306"/>
          <a:ext cx="511968" cy="1369219"/>
        </a:xfrm>
        <a:prstGeom prst="leftBrace">
          <a:avLst>
            <a:gd name="adj1" fmla="val 22287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392906</xdr:colOff>
      <xdr:row>93</xdr:row>
      <xdr:rowOff>11906</xdr:rowOff>
    </xdr:from>
    <xdr:to>
      <xdr:col>0</xdr:col>
      <xdr:colOff>833437</xdr:colOff>
      <xdr:row>98</xdr:row>
      <xdr:rowOff>11907</xdr:rowOff>
    </xdr:to>
    <xdr:sp macro="" textlink="">
      <xdr:nvSpPr>
        <xdr:cNvPr id="24" name="Accolade ouvrante 23"/>
        <xdr:cNvSpPr/>
      </xdr:nvSpPr>
      <xdr:spPr>
        <a:xfrm>
          <a:off x="392906" y="27301031"/>
          <a:ext cx="440531" cy="1209676"/>
        </a:xfrm>
        <a:prstGeom prst="leftBrace">
          <a:avLst>
            <a:gd name="adj1" fmla="val 22287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321469</xdr:colOff>
      <xdr:row>99</xdr:row>
      <xdr:rowOff>23813</xdr:rowOff>
    </xdr:from>
    <xdr:to>
      <xdr:col>0</xdr:col>
      <xdr:colOff>821531</xdr:colOff>
      <xdr:row>115</xdr:row>
      <xdr:rowOff>142874</xdr:rowOff>
    </xdr:to>
    <xdr:sp macro="" textlink="">
      <xdr:nvSpPr>
        <xdr:cNvPr id="30" name="Accolade ouvrante 29"/>
        <xdr:cNvSpPr/>
      </xdr:nvSpPr>
      <xdr:spPr>
        <a:xfrm>
          <a:off x="321469" y="28713113"/>
          <a:ext cx="500062" cy="4090986"/>
        </a:xfrm>
        <a:prstGeom prst="leftBrace">
          <a:avLst>
            <a:gd name="adj1" fmla="val 32287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297656</xdr:colOff>
      <xdr:row>118</xdr:row>
      <xdr:rowOff>11907</xdr:rowOff>
    </xdr:from>
    <xdr:to>
      <xdr:col>0</xdr:col>
      <xdr:colOff>833438</xdr:colOff>
      <xdr:row>133</xdr:row>
      <xdr:rowOff>178593</xdr:rowOff>
    </xdr:to>
    <xdr:sp macro="" textlink="">
      <xdr:nvSpPr>
        <xdr:cNvPr id="31" name="Accolade ouvrante 30"/>
        <xdr:cNvSpPr/>
      </xdr:nvSpPr>
      <xdr:spPr>
        <a:xfrm>
          <a:off x="297656" y="24574501"/>
          <a:ext cx="535782" cy="3238498"/>
        </a:xfrm>
        <a:prstGeom prst="leftBrace">
          <a:avLst>
            <a:gd name="adj1" fmla="val 22287"/>
            <a:gd name="adj2" fmla="val 50000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119063</xdr:colOff>
      <xdr:row>67</xdr:row>
      <xdr:rowOff>130968</xdr:rowOff>
    </xdr:from>
    <xdr:to>
      <xdr:col>9</xdr:col>
      <xdr:colOff>654844</xdr:colOff>
      <xdr:row>68</xdr:row>
      <xdr:rowOff>178593</xdr:rowOff>
    </xdr:to>
    <xdr:sp macro="" textlink="">
      <xdr:nvSpPr>
        <xdr:cNvPr id="34" name="Flèche gauche 33"/>
        <xdr:cNvSpPr/>
      </xdr:nvSpPr>
      <xdr:spPr>
        <a:xfrm>
          <a:off x="9822657" y="11037093"/>
          <a:ext cx="1881187" cy="666750"/>
        </a:xfrm>
        <a:prstGeom prst="lef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1095375</xdr:colOff>
      <xdr:row>64</xdr:row>
      <xdr:rowOff>154781</xdr:rowOff>
    </xdr:from>
    <xdr:to>
      <xdr:col>12</xdr:col>
      <xdr:colOff>916782</xdr:colOff>
      <xdr:row>73</xdr:row>
      <xdr:rowOff>369094</xdr:rowOff>
    </xdr:to>
    <xdr:sp macro="" textlink="">
      <xdr:nvSpPr>
        <xdr:cNvPr id="35" name="ZoneTexte 34"/>
        <xdr:cNvSpPr txBox="1"/>
      </xdr:nvSpPr>
      <xdr:spPr>
        <a:xfrm>
          <a:off x="12870656" y="11882437"/>
          <a:ext cx="2964657" cy="27265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/>
            <a:t>Cette</a:t>
          </a:r>
          <a:r>
            <a:rPr lang="fr-FR" sz="1600" baseline="0"/>
            <a:t> solution ne convient pas car il reste du digestat qui ne sera pas séché par le tapis.</a:t>
          </a:r>
        </a:p>
        <a:p>
          <a:pPr algn="l"/>
          <a:r>
            <a:rPr lang="fr-FR" sz="1600" baseline="0"/>
            <a:t>De plus le solde du plan d'épandage se révèle négatif  : il y a donc possibilité de traiter le digestat brut,  de sécher la fraction solide et d'inclure la fraction liquide au plan d'épandage (voir onglet suivant).</a:t>
          </a:r>
          <a:endParaRPr lang="fr-FR" sz="16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1167678</xdr:colOff>
      <xdr:row>126</xdr:row>
      <xdr:rowOff>158895</xdr:rowOff>
    </xdr:from>
    <xdr:to>
      <xdr:col>4</xdr:col>
      <xdr:colOff>44162</xdr:colOff>
      <xdr:row>127</xdr:row>
      <xdr:rowOff>182708</xdr:rowOff>
    </xdr:to>
    <xdr:sp macro="" textlink="">
      <xdr:nvSpPr>
        <xdr:cNvPr id="13" name="Organigramme : Connecteur page suivante 12"/>
        <xdr:cNvSpPr/>
      </xdr:nvSpPr>
      <xdr:spPr>
        <a:xfrm>
          <a:off x="6925973" y="28768531"/>
          <a:ext cx="71439" cy="222972"/>
        </a:xfrm>
        <a:prstGeom prst="flowChartOffpage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1229590</xdr:colOff>
      <xdr:row>124</xdr:row>
      <xdr:rowOff>69273</xdr:rowOff>
    </xdr:from>
    <xdr:to>
      <xdr:col>8</xdr:col>
      <xdr:colOff>462398</xdr:colOff>
      <xdr:row>127</xdr:row>
      <xdr:rowOff>185955</xdr:rowOff>
    </xdr:to>
    <xdr:grpSp>
      <xdr:nvGrpSpPr>
        <xdr:cNvPr id="25" name="Groupe 24"/>
        <xdr:cNvGrpSpPr/>
      </xdr:nvGrpSpPr>
      <xdr:grpSpPr>
        <a:xfrm>
          <a:off x="5377295" y="28297909"/>
          <a:ext cx="6350580" cy="696841"/>
          <a:chOff x="5377295" y="28297909"/>
          <a:chExt cx="6350580" cy="696841"/>
        </a:xfrm>
      </xdr:grpSpPr>
      <xdr:sp macro="" textlink="">
        <xdr:nvSpPr>
          <xdr:cNvPr id="7" name="Organigramme : Connecteur page suivante 6"/>
          <xdr:cNvSpPr/>
        </xdr:nvSpPr>
        <xdr:spPr>
          <a:xfrm>
            <a:off x="5713917" y="28766582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4" name="Organigramme : Connecteur page suivante 13"/>
          <xdr:cNvSpPr/>
        </xdr:nvSpPr>
        <xdr:spPr>
          <a:xfrm>
            <a:off x="6925973" y="28768531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5" name="Organigramme : Connecteur page suivante 14"/>
          <xdr:cNvSpPr/>
        </xdr:nvSpPr>
        <xdr:spPr>
          <a:xfrm>
            <a:off x="7797294" y="28771778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6" name="Organigramme : Connecteur page suivante 15"/>
          <xdr:cNvSpPr/>
        </xdr:nvSpPr>
        <xdr:spPr>
          <a:xfrm>
            <a:off x="9707490" y="28768315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7" name="Organigramme : Connecteur page suivante 16"/>
          <xdr:cNvSpPr/>
        </xdr:nvSpPr>
        <xdr:spPr>
          <a:xfrm>
            <a:off x="10474685" y="28756193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8" name="Organigramme : Connecteur page suivante 17"/>
          <xdr:cNvSpPr/>
        </xdr:nvSpPr>
        <xdr:spPr>
          <a:xfrm>
            <a:off x="11233221" y="28752730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9" name="ZoneTexte 18"/>
          <xdr:cNvSpPr txBox="1"/>
        </xdr:nvSpPr>
        <xdr:spPr>
          <a:xfrm>
            <a:off x="5377295" y="28488409"/>
            <a:ext cx="779318" cy="27709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/>
              <a:t>T renforcé</a:t>
            </a:r>
          </a:p>
        </xdr:txBody>
      </xdr:sp>
      <xdr:sp macro="" textlink="">
        <xdr:nvSpPr>
          <xdr:cNvPr id="20" name="ZoneTexte 19"/>
          <xdr:cNvSpPr txBox="1"/>
        </xdr:nvSpPr>
        <xdr:spPr>
          <a:xfrm>
            <a:off x="6577445" y="28389695"/>
            <a:ext cx="826078" cy="43641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/>
              <a:t>T impasse  -10%</a:t>
            </a:r>
          </a:p>
        </xdr:txBody>
      </xdr:sp>
      <xdr:sp macro="" textlink="">
        <xdr:nvSpPr>
          <xdr:cNvPr id="21" name="ZoneTexte 20"/>
          <xdr:cNvSpPr txBox="1"/>
        </xdr:nvSpPr>
        <xdr:spPr>
          <a:xfrm>
            <a:off x="7439891" y="28498801"/>
            <a:ext cx="826078" cy="31865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/>
              <a:t>T impasse</a:t>
            </a:r>
          </a:p>
        </xdr:txBody>
      </xdr:sp>
      <xdr:sp macro="" textlink="">
        <xdr:nvSpPr>
          <xdr:cNvPr id="22" name="ZoneTexte 21"/>
          <xdr:cNvSpPr txBox="1"/>
        </xdr:nvSpPr>
        <xdr:spPr>
          <a:xfrm>
            <a:off x="9332769" y="28322154"/>
            <a:ext cx="826078" cy="51261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/>
              <a:t>T impasse +10%</a:t>
            </a:r>
          </a:p>
        </xdr:txBody>
      </xdr:sp>
      <xdr:sp macro="" textlink="">
        <xdr:nvSpPr>
          <xdr:cNvPr id="23" name="ZoneTexte 22"/>
          <xdr:cNvSpPr txBox="1"/>
        </xdr:nvSpPr>
        <xdr:spPr>
          <a:xfrm>
            <a:off x="10117283" y="28310031"/>
            <a:ext cx="826078" cy="51261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/>
              <a:t>2x</a:t>
            </a:r>
            <a:r>
              <a:rPr lang="fr-FR" sz="1100" baseline="0"/>
              <a:t>               </a:t>
            </a:r>
            <a:r>
              <a:rPr lang="fr-FR" sz="1100"/>
              <a:t>T impasse </a:t>
            </a:r>
          </a:p>
        </xdr:txBody>
      </xdr:sp>
      <xdr:sp macro="" textlink="">
        <xdr:nvSpPr>
          <xdr:cNvPr id="24" name="ZoneTexte 23"/>
          <xdr:cNvSpPr txBox="1"/>
        </xdr:nvSpPr>
        <xdr:spPr>
          <a:xfrm>
            <a:off x="10901797" y="28297909"/>
            <a:ext cx="826078" cy="51261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/>
              <a:t>3x</a:t>
            </a:r>
            <a:r>
              <a:rPr lang="fr-FR" sz="1100" baseline="0"/>
              <a:t>               </a:t>
            </a:r>
            <a:r>
              <a:rPr lang="fr-FR" sz="1100"/>
              <a:t>T impasse </a:t>
            </a:r>
          </a:p>
        </xdr:txBody>
      </xdr:sp>
    </xdr:grpSp>
    <xdr:clientData/>
  </xdr:twoCellAnchor>
  <xdr:twoCellAnchor>
    <xdr:from>
      <xdr:col>2</xdr:col>
      <xdr:colOff>1234786</xdr:colOff>
      <xdr:row>138</xdr:row>
      <xdr:rowOff>83127</xdr:rowOff>
    </xdr:from>
    <xdr:to>
      <xdr:col>8</xdr:col>
      <xdr:colOff>467594</xdr:colOff>
      <xdr:row>141</xdr:row>
      <xdr:rowOff>191150</xdr:rowOff>
    </xdr:to>
    <xdr:grpSp>
      <xdr:nvGrpSpPr>
        <xdr:cNvPr id="26" name="Groupe 25"/>
        <xdr:cNvGrpSpPr/>
      </xdr:nvGrpSpPr>
      <xdr:grpSpPr>
        <a:xfrm>
          <a:off x="5382491" y="31221218"/>
          <a:ext cx="6350580" cy="696841"/>
          <a:chOff x="5377295" y="28297909"/>
          <a:chExt cx="6350580" cy="696841"/>
        </a:xfrm>
      </xdr:grpSpPr>
      <xdr:sp macro="" textlink="">
        <xdr:nvSpPr>
          <xdr:cNvPr id="27" name="Organigramme : Connecteur page suivante 26"/>
          <xdr:cNvSpPr/>
        </xdr:nvSpPr>
        <xdr:spPr>
          <a:xfrm>
            <a:off x="5713917" y="28766582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8" name="Organigramme : Connecteur page suivante 27"/>
          <xdr:cNvSpPr/>
        </xdr:nvSpPr>
        <xdr:spPr>
          <a:xfrm>
            <a:off x="6925973" y="28768531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9" name="Organigramme : Connecteur page suivante 28"/>
          <xdr:cNvSpPr/>
        </xdr:nvSpPr>
        <xdr:spPr>
          <a:xfrm>
            <a:off x="7797294" y="28771778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0" name="Organigramme : Connecteur page suivante 29"/>
          <xdr:cNvSpPr/>
        </xdr:nvSpPr>
        <xdr:spPr>
          <a:xfrm>
            <a:off x="9707490" y="28768315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1" name="Organigramme : Connecteur page suivante 30"/>
          <xdr:cNvSpPr/>
        </xdr:nvSpPr>
        <xdr:spPr>
          <a:xfrm>
            <a:off x="10474685" y="28756193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2" name="Organigramme : Connecteur page suivante 31"/>
          <xdr:cNvSpPr/>
        </xdr:nvSpPr>
        <xdr:spPr>
          <a:xfrm>
            <a:off x="11233221" y="28752730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3" name="ZoneTexte 32"/>
          <xdr:cNvSpPr txBox="1"/>
        </xdr:nvSpPr>
        <xdr:spPr>
          <a:xfrm>
            <a:off x="5377295" y="28488409"/>
            <a:ext cx="779318" cy="27709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/>
              <a:t>T renforcé</a:t>
            </a:r>
          </a:p>
        </xdr:txBody>
      </xdr:sp>
      <xdr:sp macro="" textlink="">
        <xdr:nvSpPr>
          <xdr:cNvPr id="34" name="ZoneTexte 33"/>
          <xdr:cNvSpPr txBox="1"/>
        </xdr:nvSpPr>
        <xdr:spPr>
          <a:xfrm>
            <a:off x="6577445" y="28389695"/>
            <a:ext cx="826078" cy="43641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/>
              <a:t>T impasse  -10%</a:t>
            </a:r>
          </a:p>
        </xdr:txBody>
      </xdr:sp>
      <xdr:sp macro="" textlink="">
        <xdr:nvSpPr>
          <xdr:cNvPr id="35" name="ZoneTexte 34"/>
          <xdr:cNvSpPr txBox="1"/>
        </xdr:nvSpPr>
        <xdr:spPr>
          <a:xfrm>
            <a:off x="7439891" y="28498801"/>
            <a:ext cx="826078" cy="31865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/>
              <a:t>T impasse</a:t>
            </a:r>
          </a:p>
        </xdr:txBody>
      </xdr:sp>
      <xdr:sp macro="" textlink="">
        <xdr:nvSpPr>
          <xdr:cNvPr id="36" name="ZoneTexte 35"/>
          <xdr:cNvSpPr txBox="1"/>
        </xdr:nvSpPr>
        <xdr:spPr>
          <a:xfrm>
            <a:off x="9332769" y="28322154"/>
            <a:ext cx="826078" cy="51261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/>
              <a:t>T impasse +10%</a:t>
            </a:r>
          </a:p>
        </xdr:txBody>
      </xdr:sp>
      <xdr:sp macro="" textlink="">
        <xdr:nvSpPr>
          <xdr:cNvPr id="37" name="ZoneTexte 36"/>
          <xdr:cNvSpPr txBox="1"/>
        </xdr:nvSpPr>
        <xdr:spPr>
          <a:xfrm>
            <a:off x="10117283" y="28310031"/>
            <a:ext cx="826078" cy="51261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/>
              <a:t>2x</a:t>
            </a:r>
            <a:r>
              <a:rPr lang="fr-FR" sz="1100" baseline="0"/>
              <a:t>               </a:t>
            </a:r>
            <a:r>
              <a:rPr lang="fr-FR" sz="1100"/>
              <a:t>T impasse </a:t>
            </a:r>
          </a:p>
        </xdr:txBody>
      </xdr:sp>
      <xdr:sp macro="" textlink="">
        <xdr:nvSpPr>
          <xdr:cNvPr id="38" name="ZoneTexte 37"/>
          <xdr:cNvSpPr txBox="1"/>
        </xdr:nvSpPr>
        <xdr:spPr>
          <a:xfrm>
            <a:off x="10901797" y="28297909"/>
            <a:ext cx="826078" cy="51261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/>
              <a:t>3x</a:t>
            </a:r>
            <a:r>
              <a:rPr lang="fr-FR" sz="1100" baseline="0"/>
              <a:t>               </a:t>
            </a:r>
            <a:r>
              <a:rPr lang="fr-FR" sz="1100"/>
              <a:t>T impasse </a:t>
            </a:r>
          </a:p>
        </xdr:txBody>
      </xdr:sp>
    </xdr:grpSp>
    <xdr:clientData/>
  </xdr:twoCellAnchor>
  <xdr:twoCellAnchor>
    <xdr:from>
      <xdr:col>2</xdr:col>
      <xdr:colOff>1239981</xdr:colOff>
      <xdr:row>151</xdr:row>
      <xdr:rowOff>79664</xdr:rowOff>
    </xdr:from>
    <xdr:to>
      <xdr:col>8</xdr:col>
      <xdr:colOff>472789</xdr:colOff>
      <xdr:row>155</xdr:row>
      <xdr:rowOff>187686</xdr:rowOff>
    </xdr:to>
    <xdr:grpSp>
      <xdr:nvGrpSpPr>
        <xdr:cNvPr id="39" name="Groupe 38"/>
        <xdr:cNvGrpSpPr/>
      </xdr:nvGrpSpPr>
      <xdr:grpSpPr>
        <a:xfrm>
          <a:off x="5387686" y="33962687"/>
          <a:ext cx="6350580" cy="887340"/>
          <a:chOff x="5377295" y="28297909"/>
          <a:chExt cx="6350580" cy="696841"/>
        </a:xfrm>
      </xdr:grpSpPr>
      <xdr:sp macro="" textlink="">
        <xdr:nvSpPr>
          <xdr:cNvPr id="40" name="Organigramme : Connecteur page suivante 39"/>
          <xdr:cNvSpPr/>
        </xdr:nvSpPr>
        <xdr:spPr>
          <a:xfrm>
            <a:off x="5713917" y="28766582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1" name="Organigramme : Connecteur page suivante 40"/>
          <xdr:cNvSpPr/>
        </xdr:nvSpPr>
        <xdr:spPr>
          <a:xfrm>
            <a:off x="6925973" y="28768531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2" name="Organigramme : Connecteur page suivante 41"/>
          <xdr:cNvSpPr/>
        </xdr:nvSpPr>
        <xdr:spPr>
          <a:xfrm>
            <a:off x="7797294" y="28771778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3" name="Organigramme : Connecteur page suivante 42"/>
          <xdr:cNvSpPr/>
        </xdr:nvSpPr>
        <xdr:spPr>
          <a:xfrm>
            <a:off x="9707490" y="28768315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4" name="Organigramme : Connecteur page suivante 43"/>
          <xdr:cNvSpPr/>
        </xdr:nvSpPr>
        <xdr:spPr>
          <a:xfrm>
            <a:off x="10474685" y="28756193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5" name="Organigramme : Connecteur page suivante 44"/>
          <xdr:cNvSpPr/>
        </xdr:nvSpPr>
        <xdr:spPr>
          <a:xfrm>
            <a:off x="11233221" y="28752730"/>
            <a:ext cx="74685" cy="222972"/>
          </a:xfrm>
          <a:prstGeom prst="flowChartOffpageConnector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6" name="ZoneTexte 45"/>
          <xdr:cNvSpPr txBox="1"/>
        </xdr:nvSpPr>
        <xdr:spPr>
          <a:xfrm>
            <a:off x="5377295" y="28488409"/>
            <a:ext cx="779318" cy="27709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100"/>
              <a:t>T renforcé</a:t>
            </a:r>
          </a:p>
        </xdr:txBody>
      </xdr:sp>
      <xdr:sp macro="" textlink="">
        <xdr:nvSpPr>
          <xdr:cNvPr id="47" name="ZoneTexte 46"/>
          <xdr:cNvSpPr txBox="1"/>
        </xdr:nvSpPr>
        <xdr:spPr>
          <a:xfrm>
            <a:off x="6577445" y="28389695"/>
            <a:ext cx="826078" cy="43641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/>
              <a:t>T impasse  -10%</a:t>
            </a:r>
          </a:p>
        </xdr:txBody>
      </xdr:sp>
      <xdr:sp macro="" textlink="">
        <xdr:nvSpPr>
          <xdr:cNvPr id="48" name="ZoneTexte 47"/>
          <xdr:cNvSpPr txBox="1"/>
        </xdr:nvSpPr>
        <xdr:spPr>
          <a:xfrm>
            <a:off x="7439891" y="28498801"/>
            <a:ext cx="826078" cy="31865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/>
              <a:t>T impasse</a:t>
            </a:r>
          </a:p>
        </xdr:txBody>
      </xdr:sp>
      <xdr:sp macro="" textlink="">
        <xdr:nvSpPr>
          <xdr:cNvPr id="49" name="ZoneTexte 48"/>
          <xdr:cNvSpPr txBox="1"/>
        </xdr:nvSpPr>
        <xdr:spPr>
          <a:xfrm>
            <a:off x="9332769" y="28322154"/>
            <a:ext cx="826078" cy="51261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/>
              <a:t>T impasse +10%</a:t>
            </a:r>
          </a:p>
        </xdr:txBody>
      </xdr:sp>
      <xdr:sp macro="" textlink="">
        <xdr:nvSpPr>
          <xdr:cNvPr id="50" name="ZoneTexte 49"/>
          <xdr:cNvSpPr txBox="1"/>
        </xdr:nvSpPr>
        <xdr:spPr>
          <a:xfrm>
            <a:off x="10117283" y="28310031"/>
            <a:ext cx="826078" cy="51261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/>
              <a:t>2x</a:t>
            </a:r>
            <a:r>
              <a:rPr lang="fr-FR" sz="1100" baseline="0"/>
              <a:t>               </a:t>
            </a:r>
            <a:r>
              <a:rPr lang="fr-FR" sz="1100"/>
              <a:t>T impasse </a:t>
            </a:r>
          </a:p>
        </xdr:txBody>
      </xdr:sp>
      <xdr:sp macro="" textlink="">
        <xdr:nvSpPr>
          <xdr:cNvPr id="51" name="ZoneTexte 50"/>
          <xdr:cNvSpPr txBox="1"/>
        </xdr:nvSpPr>
        <xdr:spPr>
          <a:xfrm>
            <a:off x="10901797" y="28297909"/>
            <a:ext cx="826078" cy="51261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100"/>
              <a:t>3x</a:t>
            </a:r>
            <a:r>
              <a:rPr lang="fr-FR" sz="1100" baseline="0"/>
              <a:t>               </a:t>
            </a:r>
            <a:r>
              <a:rPr lang="fr-FR" sz="1100"/>
              <a:t>T impasse 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13" Type="http://schemas.openxmlformats.org/officeDocument/2006/relationships/control" Target="../activeX/activeX11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12" Type="http://schemas.openxmlformats.org/officeDocument/2006/relationships/control" Target="../activeX/activeX10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11" Type="http://schemas.openxmlformats.org/officeDocument/2006/relationships/control" Target="../activeX/activeX9.xml"/><Relationship Id="rId5" Type="http://schemas.openxmlformats.org/officeDocument/2006/relationships/control" Target="../activeX/activeX3.xml"/><Relationship Id="rId15" Type="http://schemas.openxmlformats.org/officeDocument/2006/relationships/control" Target="../activeX/activeX13.xml"/><Relationship Id="rId10" Type="http://schemas.openxmlformats.org/officeDocument/2006/relationships/control" Target="../activeX/activeX8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Relationship Id="rId14" Type="http://schemas.openxmlformats.org/officeDocument/2006/relationships/control" Target="../activeX/activeX1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F46"/>
  <sheetViews>
    <sheetView showGridLines="0" view="pageLayout" topLeftCell="A10" zoomScaleNormal="100" workbookViewId="0">
      <selection activeCell="E15" sqref="E15"/>
    </sheetView>
  </sheetViews>
  <sheetFormatPr baseColWidth="10" defaultRowHeight="15"/>
  <cols>
    <col min="2" max="2" width="40.28515625" customWidth="1"/>
    <col min="4" max="4" width="11.42578125" style="38"/>
    <col min="8" max="8" width="40.140625" customWidth="1"/>
  </cols>
  <sheetData>
    <row r="1" spans="1:6" ht="15.75" customHeight="1" thickBot="1">
      <c r="A1" s="609" t="s">
        <v>98</v>
      </c>
      <c r="B1" s="610"/>
      <c r="C1" s="610"/>
      <c r="D1" s="610"/>
      <c r="E1" s="610"/>
      <c r="F1" s="611"/>
    </row>
    <row r="2" spans="1:6" ht="18.75">
      <c r="B2" s="253"/>
      <c r="C2" s="253"/>
      <c r="D2" s="253"/>
    </row>
    <row r="3" spans="1:6" ht="15.75" thickBot="1"/>
    <row r="4" spans="1:6" ht="16.5" thickBot="1">
      <c r="B4" s="615" t="s">
        <v>29</v>
      </c>
      <c r="C4" s="616"/>
      <c r="D4" s="617"/>
    </row>
    <row r="5" spans="1:6" ht="15.75">
      <c r="B5" s="254"/>
      <c r="C5" s="254"/>
      <c r="D5" s="254"/>
    </row>
    <row r="6" spans="1:6" ht="15.75" thickBot="1"/>
    <row r="7" spans="1:6" ht="15.75" thickBot="1">
      <c r="B7" s="217" t="s">
        <v>152</v>
      </c>
      <c r="C7" s="218" t="s">
        <v>30</v>
      </c>
      <c r="D7" s="219" t="s">
        <v>46</v>
      </c>
    </row>
    <row r="8" spans="1:6">
      <c r="B8" s="47" t="s">
        <v>45</v>
      </c>
      <c r="C8" s="33"/>
      <c r="D8" s="48" t="s">
        <v>47</v>
      </c>
    </row>
    <row r="9" spans="1:6">
      <c r="B9" s="28" t="s">
        <v>166</v>
      </c>
      <c r="C9" s="15"/>
      <c r="D9" s="40" t="s">
        <v>48</v>
      </c>
    </row>
    <row r="10" spans="1:6">
      <c r="B10" s="28" t="s">
        <v>163</v>
      </c>
      <c r="C10" s="15"/>
      <c r="D10" s="40" t="s">
        <v>164</v>
      </c>
    </row>
    <row r="11" spans="1:6">
      <c r="B11" s="28" t="s">
        <v>162</v>
      </c>
      <c r="C11" s="15"/>
      <c r="D11" s="40" t="s">
        <v>47</v>
      </c>
    </row>
    <row r="12" spans="1:6">
      <c r="B12" s="28" t="s">
        <v>165</v>
      </c>
      <c r="C12" s="15"/>
      <c r="D12" s="40" t="s">
        <v>48</v>
      </c>
    </row>
    <row r="13" spans="1:6" ht="15.75" thickBot="1">
      <c r="B13" s="29" t="s">
        <v>167</v>
      </c>
      <c r="C13" s="30"/>
      <c r="D13" s="41" t="s">
        <v>164</v>
      </c>
    </row>
    <row r="14" spans="1:6">
      <c r="B14" s="23"/>
      <c r="C14" s="23"/>
      <c r="D14" s="42"/>
    </row>
    <row r="15" spans="1:6" ht="15.75" thickBot="1">
      <c r="B15" s="23"/>
      <c r="C15" s="23"/>
      <c r="D15" s="42"/>
    </row>
    <row r="16" spans="1:6" ht="15.75" thickBot="1">
      <c r="B16" s="953" t="s">
        <v>153</v>
      </c>
      <c r="C16" s="954" t="s">
        <v>30</v>
      </c>
      <c r="D16" s="955" t="s">
        <v>46</v>
      </c>
      <c r="E16" s="961"/>
      <c r="F16" s="962"/>
    </row>
    <row r="17" spans="2:6">
      <c r="B17" s="31" t="s">
        <v>49</v>
      </c>
      <c r="C17" s="963">
        <f>190/C19</f>
        <v>826.08695652173913</v>
      </c>
      <c r="D17" s="39" t="s">
        <v>50</v>
      </c>
      <c r="E17" s="960"/>
      <c r="F17" s="42"/>
    </row>
    <row r="18" spans="2:6">
      <c r="B18" s="28" t="s">
        <v>51</v>
      </c>
      <c r="C18" s="15">
        <v>8000</v>
      </c>
      <c r="D18" s="40" t="s">
        <v>52</v>
      </c>
      <c r="E18" s="960"/>
      <c r="F18" s="42"/>
    </row>
    <row r="19" spans="2:6">
      <c r="B19" s="220" t="s">
        <v>109</v>
      </c>
      <c r="C19" s="951">
        <f>1-C20-0.15</f>
        <v>0.23</v>
      </c>
      <c r="D19" s="40" t="s">
        <v>7</v>
      </c>
      <c r="E19" s="960"/>
      <c r="F19" s="42"/>
    </row>
    <row r="20" spans="2:6" ht="15.75" thickBot="1">
      <c r="B20" s="49" t="s">
        <v>168</v>
      </c>
      <c r="C20" s="952">
        <v>0.62</v>
      </c>
      <c r="D20" s="41" t="s">
        <v>7</v>
      </c>
      <c r="E20" s="960"/>
      <c r="F20" s="42"/>
    </row>
    <row r="21" spans="2:6">
      <c r="B21" s="24"/>
      <c r="C21" s="957"/>
      <c r="D21" s="42"/>
    </row>
    <row r="22" spans="2:6" ht="15.75" thickBot="1">
      <c r="B22" s="24"/>
      <c r="C22" s="23"/>
      <c r="D22" s="42"/>
    </row>
    <row r="23" spans="2:6" ht="15.75" thickBot="1">
      <c r="B23" s="36" t="s">
        <v>161</v>
      </c>
      <c r="C23" s="37" t="s">
        <v>30</v>
      </c>
      <c r="D23" s="43" t="s">
        <v>46</v>
      </c>
    </row>
    <row r="24" spans="2:6" ht="15.75" thickBot="1">
      <c r="B24" s="612" t="s">
        <v>85</v>
      </c>
      <c r="C24" s="613"/>
      <c r="D24" s="614"/>
    </row>
    <row r="25" spans="2:6">
      <c r="B25" s="31" t="s">
        <v>86</v>
      </c>
      <c r="C25" s="32"/>
      <c r="D25" s="39"/>
    </row>
    <row r="26" spans="2:6">
      <c r="B26" s="31" t="s">
        <v>170</v>
      </c>
      <c r="C26" s="32"/>
      <c r="D26" s="39" t="s">
        <v>7</v>
      </c>
    </row>
    <row r="27" spans="2:6">
      <c r="B27" s="28" t="s">
        <v>87</v>
      </c>
      <c r="C27" s="15"/>
      <c r="D27" s="40" t="s">
        <v>7</v>
      </c>
    </row>
    <row r="28" spans="2:6">
      <c r="B28" s="28" t="s">
        <v>88</v>
      </c>
      <c r="C28" s="15"/>
      <c r="D28" s="40" t="s">
        <v>7</v>
      </c>
    </row>
    <row r="29" spans="2:6" ht="15.75" thickBot="1">
      <c r="B29" s="34" t="s">
        <v>171</v>
      </c>
      <c r="C29" s="35"/>
      <c r="D29" s="44" t="s">
        <v>7</v>
      </c>
    </row>
    <row r="30" spans="2:6" ht="15.75" thickBot="1">
      <c r="B30" s="612" t="s">
        <v>89</v>
      </c>
      <c r="C30" s="613"/>
      <c r="D30" s="614"/>
    </row>
    <row r="31" spans="2:6">
      <c r="B31" s="31" t="s">
        <v>86</v>
      </c>
      <c r="C31" s="32"/>
      <c r="D31" s="39"/>
    </row>
    <row r="32" spans="2:6">
      <c r="B32" s="31" t="s">
        <v>170</v>
      </c>
      <c r="C32" s="32"/>
      <c r="D32" s="39" t="s">
        <v>7</v>
      </c>
    </row>
    <row r="33" spans="2:4">
      <c r="B33" s="28" t="s">
        <v>87</v>
      </c>
      <c r="C33" s="15"/>
      <c r="D33" s="40" t="s">
        <v>7</v>
      </c>
    </row>
    <row r="34" spans="2:4">
      <c r="B34" s="28" t="s">
        <v>88</v>
      </c>
      <c r="C34" s="15"/>
      <c r="D34" s="40" t="s">
        <v>7</v>
      </c>
    </row>
    <row r="35" spans="2:4" ht="15.75" thickBot="1">
      <c r="B35" s="29" t="s">
        <v>171</v>
      </c>
      <c r="C35" s="30"/>
      <c r="D35" s="41" t="s">
        <v>7</v>
      </c>
    </row>
    <row r="36" spans="2:4" ht="15.75" thickBot="1">
      <c r="B36" s="612" t="s">
        <v>97</v>
      </c>
      <c r="C36" s="613"/>
      <c r="D36" s="614"/>
    </row>
    <row r="37" spans="2:4">
      <c r="B37" s="31" t="s">
        <v>86</v>
      </c>
      <c r="C37" s="32"/>
      <c r="D37" s="39"/>
    </row>
    <row r="38" spans="2:4">
      <c r="B38" s="31" t="s">
        <v>170</v>
      </c>
      <c r="C38" s="32"/>
      <c r="D38" s="39" t="s">
        <v>7</v>
      </c>
    </row>
    <row r="39" spans="2:4">
      <c r="B39" s="28" t="s">
        <v>87</v>
      </c>
      <c r="C39" s="15"/>
      <c r="D39" s="40" t="s">
        <v>7</v>
      </c>
    </row>
    <row r="40" spans="2:4">
      <c r="B40" s="28" t="s">
        <v>88</v>
      </c>
      <c r="C40" s="15"/>
      <c r="D40" s="40" t="s">
        <v>7</v>
      </c>
    </row>
    <row r="41" spans="2:4" ht="15.75" thickBot="1">
      <c r="B41" s="29" t="s">
        <v>171</v>
      </c>
      <c r="C41" s="30"/>
      <c r="D41" s="41" t="s">
        <v>7</v>
      </c>
    </row>
    <row r="46" spans="2:4" s="3" customFormat="1"/>
  </sheetData>
  <mergeCells count="5">
    <mergeCell ref="A1:F1"/>
    <mergeCell ref="B24:D24"/>
    <mergeCell ref="B30:D30"/>
    <mergeCell ref="B36:D36"/>
    <mergeCell ref="B4:D4"/>
  </mergeCells>
  <pageMargins left="0.25" right="0.25" top="0.75" bottom="0.75" header="0.3" footer="0.3"/>
  <pageSetup paperSize="9" orientation="portrait" r:id="rId1"/>
  <headerFooter>
    <oddFooter>Page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E86"/>
  <sheetViews>
    <sheetView showGridLines="0" view="pageLayout" topLeftCell="A10" zoomScaleNormal="100" workbookViewId="0">
      <selection activeCell="E21" sqref="E21"/>
    </sheetView>
  </sheetViews>
  <sheetFormatPr baseColWidth="10" defaultRowHeight="15"/>
  <cols>
    <col min="1" max="1" width="36" customWidth="1"/>
    <col min="2" max="2" width="13.85546875" style="1" customWidth="1"/>
    <col min="3" max="3" width="16.28515625" style="1" customWidth="1"/>
    <col min="4" max="4" width="14.42578125" style="1" customWidth="1"/>
    <col min="5" max="5" width="14.5703125" style="1" customWidth="1"/>
  </cols>
  <sheetData>
    <row r="1" spans="1:5" ht="24" thickBot="1">
      <c r="A1" s="629" t="s">
        <v>157</v>
      </c>
      <c r="B1" s="630"/>
      <c r="C1" s="630"/>
      <c r="D1" s="630"/>
      <c r="E1" s="631"/>
    </row>
    <row r="3" spans="1:5" ht="15.75" thickBot="1">
      <c r="B3" s="10"/>
      <c r="C3" s="10"/>
      <c r="D3" s="10"/>
      <c r="E3" s="10"/>
    </row>
    <row r="4" spans="1:5" ht="16.5" thickBot="1">
      <c r="A4" s="221" t="s">
        <v>0</v>
      </c>
      <c r="B4" s="222" t="s">
        <v>30</v>
      </c>
      <c r="C4" s="223" t="s">
        <v>11</v>
      </c>
      <c r="D4" s="10"/>
    </row>
    <row r="5" spans="1:5" s="3" customFormat="1">
      <c r="A5" s="224" t="s">
        <v>26</v>
      </c>
      <c r="B5" s="225"/>
      <c r="C5" s="226" t="s">
        <v>173</v>
      </c>
      <c r="D5" s="84"/>
    </row>
    <row r="6" spans="1:5">
      <c r="A6" s="28" t="s">
        <v>27</v>
      </c>
      <c r="B6" s="199"/>
      <c r="C6" s="202" t="s">
        <v>173</v>
      </c>
      <c r="D6" s="25"/>
    </row>
    <row r="7" spans="1:5">
      <c r="A7" s="28" t="s">
        <v>8</v>
      </c>
      <c r="B7" s="200"/>
      <c r="C7" s="202" t="s">
        <v>173</v>
      </c>
      <c r="D7" s="25"/>
    </row>
    <row r="8" spans="1:5">
      <c r="A8" s="28" t="s">
        <v>16</v>
      </c>
      <c r="B8" s="199"/>
      <c r="C8" s="202" t="s">
        <v>173</v>
      </c>
      <c r="D8" s="25"/>
      <c r="E8"/>
    </row>
    <row r="9" spans="1:5">
      <c r="A9" s="28" t="s">
        <v>53</v>
      </c>
      <c r="B9" s="199"/>
      <c r="C9" s="202" t="s">
        <v>173</v>
      </c>
      <c r="D9" s="25"/>
      <c r="E9"/>
    </row>
    <row r="10" spans="1:5">
      <c r="A10" s="28" t="s">
        <v>172</v>
      </c>
      <c r="B10" s="199"/>
      <c r="C10" s="202" t="s">
        <v>173</v>
      </c>
      <c r="D10" s="25"/>
      <c r="E10"/>
    </row>
    <row r="11" spans="1:5">
      <c r="A11" s="28" t="s">
        <v>17</v>
      </c>
      <c r="B11" s="199"/>
      <c r="C11" s="202" t="s">
        <v>173</v>
      </c>
      <c r="D11" s="25"/>
    </row>
    <row r="12" spans="1:5">
      <c r="A12" s="28" t="s">
        <v>18</v>
      </c>
      <c r="B12" s="199"/>
      <c r="C12" s="202" t="s">
        <v>173</v>
      </c>
      <c r="D12" s="25"/>
      <c r="E12"/>
    </row>
    <row r="13" spans="1:5">
      <c r="A13" s="28" t="s">
        <v>54</v>
      </c>
      <c r="B13" s="199"/>
      <c r="C13" s="202" t="s">
        <v>173</v>
      </c>
      <c r="D13" s="25"/>
      <c r="E13" s="10"/>
    </row>
    <row r="14" spans="1:5">
      <c r="A14" s="28" t="s">
        <v>10</v>
      </c>
      <c r="B14" s="199"/>
      <c r="C14" s="202" t="s">
        <v>173</v>
      </c>
      <c r="D14" s="25"/>
      <c r="E14" s="10"/>
    </row>
    <row r="15" spans="1:5">
      <c r="A15" s="28" t="s">
        <v>174</v>
      </c>
      <c r="B15" s="199"/>
      <c r="C15" s="202" t="s">
        <v>173</v>
      </c>
      <c r="D15" s="25"/>
      <c r="E15" s="10"/>
    </row>
    <row r="16" spans="1:5">
      <c r="A16" s="220" t="s">
        <v>175</v>
      </c>
      <c r="B16" s="199"/>
      <c r="C16" s="202" t="s">
        <v>173</v>
      </c>
      <c r="D16" s="25"/>
      <c r="E16" s="10"/>
    </row>
    <row r="17" spans="1:5">
      <c r="A17" s="220" t="s">
        <v>176</v>
      </c>
      <c r="B17" s="199"/>
      <c r="C17" s="202" t="s">
        <v>173</v>
      </c>
      <c r="D17" s="25"/>
      <c r="E17" s="10"/>
    </row>
    <row r="18" spans="1:5">
      <c r="A18" s="28" t="s">
        <v>177</v>
      </c>
      <c r="B18" s="199"/>
      <c r="C18" s="202" t="s">
        <v>173</v>
      </c>
      <c r="D18" s="25"/>
      <c r="E18" s="10"/>
    </row>
    <row r="19" spans="1:5" ht="15.75" thickBot="1">
      <c r="A19" s="227" t="s">
        <v>9</v>
      </c>
      <c r="B19" s="625">
        <f>SUM(B5:B18)</f>
        <v>0</v>
      </c>
      <c r="C19" s="626"/>
      <c r="D19" s="198"/>
    </row>
    <row r="20" spans="1:5">
      <c r="A20" s="198"/>
      <c r="B20" s="212"/>
      <c r="C20" s="212"/>
      <c r="D20" s="198"/>
    </row>
    <row r="21" spans="1:5">
      <c r="A21" s="235" t="s">
        <v>160</v>
      </c>
      <c r="B21" s="212"/>
      <c r="C21" s="212"/>
      <c r="D21" s="198"/>
    </row>
    <row r="22" spans="1:5">
      <c r="A22" s="213" t="s">
        <v>28</v>
      </c>
      <c r="B22" s="212"/>
      <c r="C22" s="212"/>
      <c r="D22" s="198"/>
    </row>
    <row r="23" spans="1:5">
      <c r="A23" s="211" t="s">
        <v>21</v>
      </c>
      <c r="B23" s="212"/>
      <c r="C23" s="212"/>
      <c r="D23" s="198"/>
    </row>
    <row r="24" spans="1:5">
      <c r="A24" s="211" t="s">
        <v>22</v>
      </c>
      <c r="B24" s="10"/>
      <c r="C24" s="10"/>
      <c r="D24" s="10"/>
      <c r="E24" s="10"/>
    </row>
    <row r="25" spans="1:5" ht="15.75" thickBot="1">
      <c r="A25" s="23"/>
      <c r="B25" s="10"/>
      <c r="C25" s="10"/>
      <c r="D25" s="10"/>
      <c r="E25" s="10"/>
    </row>
    <row r="26" spans="1:5" ht="16.5" thickBot="1">
      <c r="A26" s="228" t="s">
        <v>178</v>
      </c>
      <c r="B26" s="222" t="s">
        <v>158</v>
      </c>
      <c r="C26" s="222" t="s">
        <v>11</v>
      </c>
      <c r="D26" s="223" t="s">
        <v>193</v>
      </c>
      <c r="E26" s="23"/>
    </row>
    <row r="27" spans="1:5">
      <c r="A27" s="639" t="s">
        <v>180</v>
      </c>
      <c r="B27" s="640"/>
      <c r="C27" s="640"/>
      <c r="D27" s="241"/>
      <c r="E27" s="25"/>
    </row>
    <row r="28" spans="1:5">
      <c r="A28" s="28" t="s">
        <v>181</v>
      </c>
      <c r="B28" s="74"/>
      <c r="C28" s="74" t="s">
        <v>7</v>
      </c>
      <c r="D28" s="203"/>
      <c r="E28"/>
    </row>
    <row r="29" spans="1:5">
      <c r="A29" s="231" t="s">
        <v>182</v>
      </c>
      <c r="B29" s="206"/>
      <c r="C29" s="74" t="s">
        <v>173</v>
      </c>
      <c r="D29" s="204"/>
      <c r="E29"/>
    </row>
    <row r="30" spans="1:5">
      <c r="A30" s="231" t="s">
        <v>183</v>
      </c>
      <c r="B30" s="206"/>
      <c r="C30" s="74"/>
      <c r="D30" s="204"/>
      <c r="E30"/>
    </row>
    <row r="31" spans="1:5">
      <c r="A31" s="231" t="s">
        <v>184</v>
      </c>
      <c r="B31" s="206"/>
      <c r="C31" s="74"/>
      <c r="D31" s="204"/>
      <c r="E31"/>
    </row>
    <row r="32" spans="1:5">
      <c r="A32" s="28" t="s">
        <v>185</v>
      </c>
      <c r="B32" s="206"/>
      <c r="C32" s="74"/>
      <c r="D32" s="207"/>
      <c r="E32"/>
    </row>
    <row r="33" spans="1:5">
      <c r="A33" s="28" t="s">
        <v>186</v>
      </c>
      <c r="B33" s="206"/>
      <c r="C33" s="74"/>
      <c r="D33" s="207"/>
      <c r="E33"/>
    </row>
    <row r="34" spans="1:5">
      <c r="A34" s="28" t="s">
        <v>187</v>
      </c>
      <c r="B34" s="206"/>
      <c r="C34" s="74"/>
      <c r="D34" s="207"/>
      <c r="E34"/>
    </row>
    <row r="35" spans="1:5" ht="15.75" thickBot="1">
      <c r="A35" s="29" t="s">
        <v>188</v>
      </c>
      <c r="B35" s="234"/>
      <c r="C35" s="232"/>
      <c r="D35" s="233"/>
      <c r="E35"/>
    </row>
    <row r="36" spans="1:5" ht="15.75" thickBot="1">
      <c r="A36" s="239" t="s">
        <v>179</v>
      </c>
      <c r="B36" s="240"/>
      <c r="C36" s="240"/>
      <c r="D36" s="229">
        <f>SUM(D27:D35)</f>
        <v>0</v>
      </c>
      <c r="E36"/>
    </row>
    <row r="38" spans="1:5" ht="15.75" thickBot="1">
      <c r="A38" s="195"/>
      <c r="B38" s="196"/>
      <c r="C38" s="196"/>
      <c r="D38" s="196"/>
      <c r="E38" s="197"/>
    </row>
    <row r="39" spans="1:5" ht="16.5" thickBot="1">
      <c r="A39" s="228" t="s">
        <v>1</v>
      </c>
      <c r="B39" s="222" t="s">
        <v>158</v>
      </c>
      <c r="C39" s="222" t="s">
        <v>11</v>
      </c>
      <c r="D39" s="222" t="s">
        <v>190</v>
      </c>
      <c r="E39" s="223" t="s">
        <v>193</v>
      </c>
    </row>
    <row r="40" spans="1:5">
      <c r="A40" s="47" t="s">
        <v>12</v>
      </c>
      <c r="B40" s="201"/>
      <c r="C40" s="201" t="s">
        <v>14</v>
      </c>
      <c r="D40" s="201"/>
      <c r="E40" s="230"/>
    </row>
    <row r="41" spans="1:5">
      <c r="A41" s="28" t="s">
        <v>2</v>
      </c>
      <c r="B41" s="74"/>
      <c r="C41" s="74" t="s">
        <v>13</v>
      </c>
      <c r="D41" s="74"/>
      <c r="E41" s="203"/>
    </row>
    <row r="42" spans="1:5">
      <c r="A42" s="28" t="s">
        <v>23</v>
      </c>
      <c r="B42" s="206">
        <v>0.01</v>
      </c>
      <c r="C42" s="74" t="s">
        <v>15</v>
      </c>
      <c r="D42" s="74"/>
      <c r="E42" s="204"/>
    </row>
    <row r="43" spans="1:5">
      <c r="A43" s="28" t="s">
        <v>24</v>
      </c>
      <c r="B43" s="206">
        <v>7.0000000000000007E-2</v>
      </c>
      <c r="C43" s="74" t="s">
        <v>55</v>
      </c>
      <c r="D43" s="74">
        <v>0.6</v>
      </c>
      <c r="E43" s="207"/>
    </row>
    <row r="44" spans="1:5">
      <c r="A44" s="28" t="s">
        <v>19</v>
      </c>
      <c r="B44" s="74"/>
      <c r="C44" s="74" t="s">
        <v>56</v>
      </c>
      <c r="D44" s="74"/>
      <c r="E44" s="207"/>
    </row>
    <row r="45" spans="1:5">
      <c r="A45" s="34" t="s">
        <v>192</v>
      </c>
      <c r="B45" s="208"/>
      <c r="C45" s="208" t="s">
        <v>173</v>
      </c>
      <c r="D45" s="208"/>
      <c r="E45" s="209"/>
    </row>
    <row r="46" spans="1:5">
      <c r="A46" s="34" t="s">
        <v>191</v>
      </c>
      <c r="B46" s="208"/>
      <c r="C46" s="208" t="s">
        <v>173</v>
      </c>
      <c r="D46" s="208"/>
      <c r="E46" s="209"/>
    </row>
    <row r="47" spans="1:5" ht="15.75" thickBot="1">
      <c r="A47" s="29" t="s">
        <v>189</v>
      </c>
      <c r="B47" s="232"/>
      <c r="C47" s="232" t="s">
        <v>173</v>
      </c>
      <c r="D47" s="232"/>
      <c r="E47" s="233"/>
    </row>
    <row r="48" spans="1:5" ht="15.75" thickBot="1">
      <c r="A48" s="622" t="s">
        <v>3</v>
      </c>
      <c r="B48" s="623"/>
      <c r="C48" s="623"/>
      <c r="D48" s="624"/>
      <c r="E48" s="229">
        <f>SUM(E39:E47)</f>
        <v>0</v>
      </c>
    </row>
    <row r="49" spans="1:5">
      <c r="A49" s="23"/>
      <c r="B49" s="10"/>
      <c r="C49" s="10"/>
      <c r="D49" s="10"/>
      <c r="E49" s="10"/>
    </row>
    <row r="50" spans="1:5" ht="33" customHeight="1">
      <c r="A50" s="627" t="s">
        <v>159</v>
      </c>
      <c r="B50" s="627"/>
      <c r="C50" s="627"/>
      <c r="D50" s="627"/>
      <c r="E50" s="627"/>
    </row>
    <row r="51" spans="1:5">
      <c r="A51" s="23"/>
      <c r="B51" s="10"/>
      <c r="C51" s="10"/>
      <c r="D51" s="10"/>
      <c r="E51" s="10"/>
    </row>
    <row r="56" spans="1:5" ht="15.75" thickBot="1"/>
    <row r="57" spans="1:5" ht="16.5" thickBot="1">
      <c r="A57" s="215" t="s">
        <v>4</v>
      </c>
      <c r="B57" s="214" t="s">
        <v>158</v>
      </c>
      <c r="C57" s="214" t="s">
        <v>11</v>
      </c>
      <c r="D57" s="214" t="s">
        <v>190</v>
      </c>
      <c r="E57" s="193" t="s">
        <v>193</v>
      </c>
    </row>
    <row r="58" spans="1:5">
      <c r="A58" s="31" t="s">
        <v>5</v>
      </c>
      <c r="B58" s="106"/>
      <c r="C58" s="106" t="s">
        <v>14</v>
      </c>
      <c r="D58" s="106"/>
      <c r="E58" s="210"/>
    </row>
    <row r="59" spans="1:5">
      <c r="A59" s="31" t="s">
        <v>194</v>
      </c>
      <c r="B59" s="106"/>
      <c r="C59" s="106" t="s">
        <v>195</v>
      </c>
      <c r="D59" s="106"/>
      <c r="E59" s="210"/>
    </row>
    <row r="60" spans="1:5">
      <c r="A60" s="28" t="s">
        <v>196</v>
      </c>
      <c r="B60" s="20"/>
      <c r="C60" s="20" t="s">
        <v>14</v>
      </c>
      <c r="D60" s="74"/>
      <c r="E60" s="207"/>
    </row>
    <row r="61" spans="1:5">
      <c r="A61" s="28" t="s">
        <v>20</v>
      </c>
      <c r="B61" s="74"/>
      <c r="C61" s="20" t="s">
        <v>14</v>
      </c>
      <c r="D61" s="74"/>
      <c r="E61" s="207"/>
    </row>
    <row r="62" spans="1:5">
      <c r="A62" s="28" t="s">
        <v>200</v>
      </c>
      <c r="B62" s="74"/>
      <c r="C62" s="74" t="s">
        <v>197</v>
      </c>
      <c r="D62" s="74"/>
      <c r="E62" s="207"/>
    </row>
    <row r="63" spans="1:5">
      <c r="A63" s="28" t="s">
        <v>199</v>
      </c>
      <c r="B63" s="74"/>
      <c r="D63" s="74"/>
      <c r="E63" s="207"/>
    </row>
    <row r="64" spans="1:5">
      <c r="A64" s="28" t="s">
        <v>198</v>
      </c>
      <c r="B64" s="74"/>
      <c r="C64" s="74"/>
      <c r="D64" s="74"/>
      <c r="E64" s="207"/>
    </row>
    <row r="65" spans="1:5" ht="15.75" thickBot="1">
      <c r="A65" s="34" t="s">
        <v>25</v>
      </c>
      <c r="B65" s="208"/>
      <c r="C65" s="208"/>
      <c r="D65" s="208"/>
      <c r="E65" s="209"/>
    </row>
    <row r="66" spans="1:5" ht="15.75" thickBot="1">
      <c r="A66" s="620" t="s">
        <v>6</v>
      </c>
      <c r="B66" s="621"/>
      <c r="C66" s="621"/>
      <c r="D66" s="621"/>
      <c r="E66" s="216">
        <f>SUM(E58:E65)</f>
        <v>0</v>
      </c>
    </row>
    <row r="68" spans="1:5" ht="15.75" thickBot="1"/>
    <row r="69" spans="1:5" ht="16.5" thickBot="1">
      <c r="A69" s="648" t="s">
        <v>201</v>
      </c>
      <c r="B69" s="649"/>
      <c r="C69" s="223" t="s">
        <v>209</v>
      </c>
      <c r="D69" s="84"/>
      <c r="E69" s="84"/>
    </row>
    <row r="70" spans="1:5">
      <c r="A70" s="636" t="s">
        <v>202</v>
      </c>
      <c r="B70" s="637"/>
      <c r="C70" s="638"/>
      <c r="D70" s="84"/>
      <c r="E70" s="84"/>
    </row>
    <row r="71" spans="1:5">
      <c r="A71" s="618" t="s">
        <v>216</v>
      </c>
      <c r="B71" s="628"/>
      <c r="C71" s="202"/>
      <c r="D71" s="84"/>
      <c r="E71" s="84"/>
    </row>
    <row r="72" spans="1:5">
      <c r="A72" s="618" t="s">
        <v>208</v>
      </c>
      <c r="B72" s="628"/>
      <c r="C72" s="202"/>
      <c r="D72" s="84"/>
      <c r="E72" s="84"/>
    </row>
    <row r="73" spans="1:5">
      <c r="A73" s="618" t="s">
        <v>215</v>
      </c>
      <c r="B73" s="628"/>
      <c r="C73" s="202"/>
      <c r="D73" s="84"/>
      <c r="E73" s="84"/>
    </row>
    <row r="74" spans="1:5">
      <c r="A74" s="618" t="s">
        <v>214</v>
      </c>
      <c r="B74" s="619"/>
      <c r="C74" s="202"/>
      <c r="D74" s="84"/>
      <c r="E74" s="84"/>
    </row>
    <row r="75" spans="1:5">
      <c r="A75" s="618" t="s">
        <v>213</v>
      </c>
      <c r="B75" s="628"/>
      <c r="C75" s="202"/>
      <c r="D75" s="84"/>
      <c r="E75" s="84"/>
    </row>
    <row r="76" spans="1:5">
      <c r="A76" s="618" t="s">
        <v>212</v>
      </c>
      <c r="B76" s="628"/>
      <c r="C76" s="202"/>
      <c r="D76" s="84"/>
      <c r="E76" s="84"/>
    </row>
    <row r="77" spans="1:5" ht="15.75" customHeight="1">
      <c r="A77" s="634" t="s">
        <v>211</v>
      </c>
      <c r="B77" s="635"/>
      <c r="C77" s="202"/>
      <c r="D77" s="84"/>
      <c r="E77" s="84"/>
    </row>
    <row r="78" spans="1:5">
      <c r="A78" s="618" t="s">
        <v>210</v>
      </c>
      <c r="B78" s="628"/>
      <c r="C78" s="202"/>
      <c r="D78" s="84"/>
      <c r="E78" s="84"/>
    </row>
    <row r="79" spans="1:5" ht="15.75" thickBot="1">
      <c r="A79" s="646" t="s">
        <v>203</v>
      </c>
      <c r="B79" s="647"/>
      <c r="C79" s="229">
        <f>SUM(C71:C78)</f>
        <v>0</v>
      </c>
      <c r="D79" s="84"/>
      <c r="E79" s="84"/>
    </row>
    <row r="80" spans="1:5" ht="15.75" thickBot="1">
      <c r="A80" s="643" t="s">
        <v>204</v>
      </c>
      <c r="B80" s="644"/>
      <c r="C80" s="645"/>
      <c r="D80" s="237"/>
      <c r="E80" s="237"/>
    </row>
    <row r="81" spans="1:5">
      <c r="A81" s="641" t="s">
        <v>205</v>
      </c>
      <c r="B81" s="642"/>
      <c r="C81" s="205"/>
      <c r="D81" s="84"/>
      <c r="E81" s="84"/>
    </row>
    <row r="82" spans="1:5">
      <c r="A82" s="618" t="s">
        <v>206</v>
      </c>
      <c r="B82" s="628"/>
      <c r="C82" s="202"/>
      <c r="D82" s="84"/>
      <c r="E82" s="84"/>
    </row>
    <row r="83" spans="1:5">
      <c r="A83" s="618" t="s">
        <v>207</v>
      </c>
      <c r="B83" s="628"/>
      <c r="C83" s="202"/>
      <c r="D83" s="84"/>
      <c r="E83" s="84"/>
    </row>
    <row r="84" spans="1:5" ht="15.75" thickBot="1">
      <c r="A84" s="632" t="s">
        <v>217</v>
      </c>
      <c r="B84" s="633"/>
      <c r="C84" s="236"/>
      <c r="D84" s="84"/>
      <c r="E84" s="84"/>
    </row>
    <row r="85" spans="1:5">
      <c r="D85" s="238"/>
    </row>
    <row r="86" spans="1:5">
      <c r="C86" s="84"/>
      <c r="D86" s="84"/>
    </row>
  </sheetData>
  <mergeCells count="22">
    <mergeCell ref="A1:E1"/>
    <mergeCell ref="A83:B83"/>
    <mergeCell ref="A84:B84"/>
    <mergeCell ref="A77:B77"/>
    <mergeCell ref="A70:C70"/>
    <mergeCell ref="A27:C27"/>
    <mergeCell ref="A75:B75"/>
    <mergeCell ref="A76:B76"/>
    <mergeCell ref="A78:B78"/>
    <mergeCell ref="A81:B81"/>
    <mergeCell ref="A82:B82"/>
    <mergeCell ref="A80:C80"/>
    <mergeCell ref="A79:B79"/>
    <mergeCell ref="A69:B69"/>
    <mergeCell ref="A71:B71"/>
    <mergeCell ref="A72:B72"/>
    <mergeCell ref="A74:B74"/>
    <mergeCell ref="A66:D66"/>
    <mergeCell ref="A48:D48"/>
    <mergeCell ref="B19:C19"/>
    <mergeCell ref="A50:E50"/>
    <mergeCell ref="A73:B73"/>
  </mergeCells>
  <pageMargins left="0.70866141732283472" right="0.70866141732283472" top="0.74803149606299213" bottom="0.74803149606299213" header="0.31496062992125984" footer="0.31496062992125984"/>
  <pageSetup paperSize="9" scale="91" fitToHeight="5" orientation="portrait" r:id="rId1"/>
  <headerFooter>
    <oddFooter>Page &amp;P de &amp;N</oddFooter>
  </headerFooter>
  <legacyDrawing r:id="rId2"/>
  <controls>
    <control shapeId="3097" r:id="rId3" name="Control 25"/>
    <control shapeId="3095" r:id="rId4" name="Control 23"/>
    <control shapeId="3093" r:id="rId5" name="Control 21"/>
    <control shapeId="3091" r:id="rId6" name="Control 19"/>
    <control shapeId="3089" r:id="rId7" name="Control 17"/>
    <control shapeId="3087" r:id="rId8" name="Control 15"/>
    <control shapeId="3085" r:id="rId9" name="Control 13"/>
    <control shapeId="3083" r:id="rId10" name="Control 11"/>
    <control shapeId="3081" r:id="rId11" name="Control 9"/>
    <control shapeId="3079" r:id="rId12" name="Control 7"/>
    <control shapeId="3077" r:id="rId13" name="Control 5"/>
    <control shapeId="3075" r:id="rId14" name="Control 3"/>
    <control shapeId="3073" r:id="rId15" name="Control 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N135"/>
  <sheetViews>
    <sheetView topLeftCell="A15" zoomScale="70" zoomScaleNormal="70" zoomScaleSheetLayoutView="80" workbookViewId="0">
      <selection activeCell="B59" sqref="B59"/>
    </sheetView>
  </sheetViews>
  <sheetFormatPr baseColWidth="10" defaultRowHeight="15"/>
  <cols>
    <col min="2" max="2" width="27.5703125" customWidth="1"/>
    <col min="3" max="3" width="26.5703125" customWidth="1"/>
    <col min="4" max="4" width="16.85546875" customWidth="1"/>
    <col min="5" max="6" width="25.5703125" customWidth="1"/>
    <col min="7" max="7" width="16.140625" customWidth="1"/>
    <col min="8" max="8" width="24.7109375" customWidth="1"/>
    <col min="9" max="9" width="15.140625" customWidth="1"/>
    <col min="10" max="10" width="12.42578125" customWidth="1"/>
    <col min="11" max="11" width="21.140625" customWidth="1"/>
    <col min="12" max="12" width="18.42578125" customWidth="1"/>
    <col min="13" max="13" width="15.7109375" customWidth="1"/>
    <col min="14" max="14" width="10.7109375" customWidth="1"/>
  </cols>
  <sheetData>
    <row r="1" spans="1:14" ht="24.75" thickBot="1">
      <c r="A1" s="651" t="s">
        <v>483</v>
      </c>
      <c r="B1" s="652"/>
      <c r="C1" s="652"/>
      <c r="D1" s="652"/>
      <c r="E1" s="652"/>
      <c r="F1" s="652"/>
      <c r="G1" s="652"/>
      <c r="H1" s="652"/>
      <c r="I1" s="652"/>
      <c r="J1" s="653"/>
      <c r="K1" s="143"/>
      <c r="L1" s="143"/>
      <c r="M1" s="143"/>
      <c r="N1" s="24"/>
    </row>
    <row r="2" spans="1:14">
      <c r="J2" s="24"/>
      <c r="K2" s="24"/>
      <c r="L2" s="24"/>
      <c r="M2" s="24"/>
      <c r="N2" s="24"/>
    </row>
    <row r="3" spans="1:14" ht="15.75">
      <c r="A3" s="654" t="s">
        <v>479</v>
      </c>
      <c r="B3" s="654"/>
      <c r="C3" s="654"/>
      <c r="D3" s="654"/>
      <c r="E3" s="654"/>
      <c r="F3" s="654"/>
      <c r="G3" s="489"/>
      <c r="H3" s="79"/>
      <c r="J3" s="24"/>
      <c r="K3" s="24"/>
      <c r="L3" s="24"/>
      <c r="M3" s="24"/>
      <c r="N3" s="24"/>
    </row>
    <row r="4" spans="1:14" ht="15.75" thickBot="1">
      <c r="G4" s="3"/>
    </row>
    <row r="5" spans="1:14" ht="30" customHeight="1">
      <c r="A5" s="659" t="s">
        <v>324</v>
      </c>
      <c r="B5" s="657" t="s">
        <v>321</v>
      </c>
      <c r="C5" s="655" t="s">
        <v>322</v>
      </c>
      <c r="D5" s="655" t="s">
        <v>298</v>
      </c>
      <c r="E5" s="661" t="s">
        <v>323</v>
      </c>
      <c r="F5" s="662"/>
      <c r="G5" s="334"/>
    </row>
    <row r="6" spans="1:14" ht="18.75" thickBot="1">
      <c r="A6" s="660"/>
      <c r="B6" s="658"/>
      <c r="C6" s="656"/>
      <c r="D6" s="656"/>
      <c r="E6" s="487" t="s">
        <v>471</v>
      </c>
      <c r="F6" s="488" t="s">
        <v>472</v>
      </c>
      <c r="G6" s="402"/>
    </row>
    <row r="7" spans="1:14" ht="30">
      <c r="A7" s="480">
        <v>1</v>
      </c>
      <c r="B7" s="595" t="s">
        <v>698</v>
      </c>
      <c r="C7" s="596" t="s">
        <v>679</v>
      </c>
      <c r="D7" s="597" t="s">
        <v>312</v>
      </c>
      <c r="E7" s="598" t="str">
        <f>VLOOKUP(D7,'Sources P2O5 K2O'!$A$7:$B$24,2,FALSE)</f>
        <v>Peu exigentes</v>
      </c>
      <c r="F7" s="599" t="str">
        <f>VLOOKUP(D7,'Sources P2O5 K2O'!$A$7:$C$24,3,FALSE)</f>
        <v>Peu exigentes</v>
      </c>
      <c r="G7" s="490"/>
    </row>
    <row r="8" spans="1:14">
      <c r="A8" s="559">
        <v>2</v>
      </c>
      <c r="B8" s="549" t="s">
        <v>694</v>
      </c>
      <c r="C8" s="600" t="s">
        <v>331</v>
      </c>
      <c r="D8" s="100" t="s">
        <v>302</v>
      </c>
      <c r="E8" s="601" t="str">
        <f>VLOOKUP(D8,'Sources P2O5 K2O'!$A$7:$B$24,2,FALSE)</f>
        <v>Très exigeantes</v>
      </c>
      <c r="F8" s="602" t="str">
        <f>VLOOKUP(D8,'Sources P2O5 K2O'!$A$7:$C$24,3,FALSE)</f>
        <v>Moyennement exigeantes</v>
      </c>
      <c r="G8" s="490"/>
    </row>
    <row r="9" spans="1:14" ht="30">
      <c r="A9" s="559">
        <v>3</v>
      </c>
      <c r="B9" s="549" t="s">
        <v>334</v>
      </c>
      <c r="C9" s="600" t="s">
        <v>335</v>
      </c>
      <c r="D9" s="100" t="s">
        <v>303</v>
      </c>
      <c r="E9" s="601" t="str">
        <f>VLOOKUP(D9,'Sources P2O5 K2O'!$A$7:$B$24,2,FALSE)</f>
        <v>Très exigeantes</v>
      </c>
      <c r="F9" s="602" t="str">
        <f>VLOOKUP(D9,'Sources P2O5 K2O'!$A$7:$C$24,3,FALSE)</f>
        <v>Moyennement exigeantes</v>
      </c>
      <c r="G9" s="490"/>
    </row>
    <row r="10" spans="1:14" ht="30">
      <c r="A10" s="559">
        <v>4</v>
      </c>
      <c r="B10" s="549" t="s">
        <v>337</v>
      </c>
      <c r="C10" s="600" t="s">
        <v>339</v>
      </c>
      <c r="D10" s="100" t="s">
        <v>304</v>
      </c>
      <c r="E10" s="601" t="str">
        <f>VLOOKUP(D10,'Sources P2O5 K2O'!$A$7:$B$24,2,FALSE)</f>
        <v>Très exigeantes</v>
      </c>
      <c r="F10" s="602" t="str">
        <f>VLOOKUP(D10,'Sources P2O5 K2O'!$A$7:$C$24,3,FALSE)</f>
        <v>Très exigeantes</v>
      </c>
      <c r="G10" s="490"/>
    </row>
    <row r="11" spans="1:14" ht="30">
      <c r="A11" s="559">
        <v>5</v>
      </c>
      <c r="B11" s="549" t="s">
        <v>696</v>
      </c>
      <c r="C11" s="600" t="s">
        <v>366</v>
      </c>
      <c r="D11" s="100" t="s">
        <v>305</v>
      </c>
      <c r="E11" s="601" t="str">
        <f>VLOOKUP(D11,'Sources P2O5 K2O'!$A$7:$B$24,2,FALSE)</f>
        <v>Moyennement exigeantes</v>
      </c>
      <c r="F11" s="602">
        <f>VLOOKUP(D11,'Sources P2O5 K2O'!$A$7:$C$24,3,FALSE)</f>
        <v>0</v>
      </c>
      <c r="G11" s="490"/>
    </row>
    <row r="12" spans="1:14">
      <c r="A12" s="559">
        <v>6</v>
      </c>
      <c r="B12" s="549" t="s">
        <v>658</v>
      </c>
      <c r="C12" s="600" t="s">
        <v>328</v>
      </c>
      <c r="D12" s="100" t="s">
        <v>315</v>
      </c>
      <c r="E12" s="601" t="str">
        <f>VLOOKUP(D12,'Sources P2O5 K2O'!$A$7:$B$24,2,FALSE)</f>
        <v>Peu exigentes</v>
      </c>
      <c r="F12" s="602" t="str">
        <f>VLOOKUP(D12,'Sources P2O5 K2O'!$A$7:$C$24,3,FALSE)</f>
        <v>Peu exigentes</v>
      </c>
      <c r="G12" s="490"/>
    </row>
    <row r="13" spans="1:14">
      <c r="A13" s="559">
        <v>7</v>
      </c>
      <c r="B13" s="549" t="s">
        <v>697</v>
      </c>
      <c r="C13" s="600" t="s">
        <v>692</v>
      </c>
      <c r="D13" s="100" t="s">
        <v>307</v>
      </c>
      <c r="E13" s="601" t="str">
        <f>VLOOKUP(D13,'Sources P2O5 K2O'!$A$7:$B$24,2,FALSE)</f>
        <v>Moyennement exigeantes</v>
      </c>
      <c r="F13" s="602">
        <f>VLOOKUP(D13,'Sources P2O5 K2O'!$A$7:$C$24,3,FALSE)</f>
        <v>0</v>
      </c>
      <c r="G13" s="490"/>
    </row>
    <row r="14" spans="1:14">
      <c r="A14" s="559">
        <v>8</v>
      </c>
      <c r="B14" s="549" t="s">
        <v>348</v>
      </c>
      <c r="C14" s="600" t="s">
        <v>685</v>
      </c>
      <c r="D14" s="100" t="s">
        <v>308</v>
      </c>
      <c r="E14" s="601" t="str">
        <f>VLOOKUP(D14,'Sources P2O5 K2O'!$A$7:$B$24,2,FALSE)</f>
        <v>Moyennement exigeantes</v>
      </c>
      <c r="F14" s="602" t="str">
        <f>VLOOKUP(D14,'Sources P2O5 K2O'!$A$7:$C$24,3,FALSE)</f>
        <v>Peu exigentes</v>
      </c>
      <c r="G14" s="490"/>
    </row>
    <row r="15" spans="1:14" ht="30">
      <c r="A15" s="559">
        <v>9</v>
      </c>
      <c r="B15" s="549" t="s">
        <v>464</v>
      </c>
      <c r="C15" s="600" t="s">
        <v>680</v>
      </c>
      <c r="D15" s="100" t="s">
        <v>309</v>
      </c>
      <c r="E15" s="601" t="str">
        <f>VLOOKUP(D15,'Sources P2O5 K2O'!$A$7:$B$24,2,FALSE)</f>
        <v>Moyennement exigeantes</v>
      </c>
      <c r="F15" s="602" t="str">
        <f>VLOOKUP(D15,'Sources P2O5 K2O'!$A$7:$C$24,3,FALSE)</f>
        <v>Moyennement exigeantes</v>
      </c>
      <c r="G15" s="490"/>
    </row>
    <row r="16" spans="1:14">
      <c r="A16" s="559">
        <v>10</v>
      </c>
      <c r="B16" s="549" t="s">
        <v>693</v>
      </c>
      <c r="C16" s="600" t="s">
        <v>352</v>
      </c>
      <c r="D16" s="100" t="s">
        <v>310</v>
      </c>
      <c r="E16" s="601" t="str">
        <f>VLOOKUP(D16,'Sources P2O5 K2O'!$A$7:$B$24,2,FALSE)</f>
        <v>Moyennement exigeantes</v>
      </c>
      <c r="F16" s="602" t="str">
        <f>VLOOKUP(D16,'Sources P2O5 K2O'!$A$7:$C$24,3,FALSE)</f>
        <v>Moyennement exigeantes</v>
      </c>
      <c r="G16" s="490"/>
    </row>
    <row r="17" spans="1:12">
      <c r="A17" s="559">
        <v>11</v>
      </c>
      <c r="B17" s="549" t="s">
        <v>698</v>
      </c>
      <c r="C17" s="600" t="s">
        <v>351</v>
      </c>
      <c r="D17" s="100" t="s">
        <v>311</v>
      </c>
      <c r="E17" s="601" t="str">
        <f>VLOOKUP(D17,'Sources P2O5 K2O'!$A$7:$B$24,2,FALSE)</f>
        <v>Moyennement exigeantes</v>
      </c>
      <c r="F17" s="602" t="str">
        <f>VLOOKUP(D17,'Sources P2O5 K2O'!$A$7:$C$24,3,FALSE)</f>
        <v>Peu exigentes</v>
      </c>
      <c r="G17" s="490"/>
    </row>
    <row r="18" spans="1:12" ht="30">
      <c r="A18" s="559">
        <v>12</v>
      </c>
      <c r="B18" s="549" t="s">
        <v>699</v>
      </c>
      <c r="C18" s="600" t="s">
        <v>357</v>
      </c>
      <c r="D18" s="100" t="s">
        <v>315</v>
      </c>
      <c r="E18" s="601" t="str">
        <f>VLOOKUP(D18,'Sources P2O5 K2O'!$A$7:$B$24,2,FALSE)</f>
        <v>Peu exigentes</v>
      </c>
      <c r="F18" s="602" t="str">
        <f>VLOOKUP(D18,'Sources P2O5 K2O'!$A$7:$C$24,3,FALSE)</f>
        <v>Peu exigentes</v>
      </c>
      <c r="G18" s="490"/>
    </row>
    <row r="19" spans="1:12" ht="60">
      <c r="A19" s="559">
        <v>13</v>
      </c>
      <c r="B19" s="549" t="s">
        <v>360</v>
      </c>
      <c r="C19" s="600" t="s">
        <v>361</v>
      </c>
      <c r="D19" s="100" t="s">
        <v>313</v>
      </c>
      <c r="E19" s="601" t="str">
        <f>VLOOKUP(D19,'Sources P2O5 K2O'!$A$7:$B$24,2,FALSE)</f>
        <v>Peu exigentes</v>
      </c>
      <c r="F19" s="602" t="str">
        <f>VLOOKUP(D19,'Sources P2O5 K2O'!$A$7:$C$24,3,FALSE)</f>
        <v>Peu exigentes</v>
      </c>
      <c r="G19" s="490"/>
    </row>
    <row r="20" spans="1:12">
      <c r="A20" s="559">
        <v>14</v>
      </c>
      <c r="B20" s="549" t="s">
        <v>696</v>
      </c>
      <c r="C20" s="600" t="s">
        <v>676</v>
      </c>
      <c r="D20" s="100" t="s">
        <v>314</v>
      </c>
      <c r="E20" s="601" t="str">
        <f>VLOOKUP(D20,'Sources P2O5 K2O'!$A$7:$B$24,2,FALSE)</f>
        <v>Peu exigentes</v>
      </c>
      <c r="F20" s="602">
        <f>VLOOKUP(D20,'Sources P2O5 K2O'!$A$7:$C$24,3,FALSE)</f>
        <v>0</v>
      </c>
      <c r="G20" s="490"/>
    </row>
    <row r="21" spans="1:12">
      <c r="A21" s="559">
        <v>15</v>
      </c>
      <c r="B21" s="549" t="s">
        <v>695</v>
      </c>
      <c r="C21" s="600" t="s">
        <v>470</v>
      </c>
      <c r="D21" s="100" t="s">
        <v>315</v>
      </c>
      <c r="E21" s="601" t="str">
        <f>VLOOKUP(D21,'Sources P2O5 K2O'!$A$7:$B$24,2,FALSE)</f>
        <v>Peu exigentes</v>
      </c>
      <c r="F21" s="602" t="str">
        <f>VLOOKUP(D21,'Sources P2O5 K2O'!$A$7:$C$24,3,FALSE)</f>
        <v>Peu exigentes</v>
      </c>
      <c r="G21" s="490"/>
    </row>
    <row r="22" spans="1:12" ht="45">
      <c r="A22" s="559">
        <v>16</v>
      </c>
      <c r="B22" s="549" t="s">
        <v>700</v>
      </c>
      <c r="C22" s="600" t="s">
        <v>371</v>
      </c>
      <c r="D22" s="100" t="s">
        <v>316</v>
      </c>
      <c r="E22" s="601" t="str">
        <f>VLOOKUP(D22,'Sources P2O5 K2O'!$A$7:$B$24,2,FALSE)</f>
        <v>Peu exigentes</v>
      </c>
      <c r="F22" s="602" t="str">
        <f>VLOOKUP(D22,'Sources P2O5 K2O'!$A$7:$C$24,3,FALSE)</f>
        <v>Moyennement exigeantes</v>
      </c>
      <c r="G22" s="490"/>
    </row>
    <row r="23" spans="1:12">
      <c r="A23" s="559">
        <v>17</v>
      </c>
      <c r="B23" s="549" t="s">
        <v>694</v>
      </c>
      <c r="C23" s="600" t="s">
        <v>661</v>
      </c>
      <c r="D23" s="100" t="s">
        <v>317</v>
      </c>
      <c r="E23" s="601" t="str">
        <f>VLOOKUP(D23,'Sources P2O5 K2O'!$A$7:$B$24,2,FALSE)</f>
        <v>Peu exigentes</v>
      </c>
      <c r="F23" s="602" t="str">
        <f>VLOOKUP(D23,'Sources P2O5 K2O'!$A$7:$C$24,3,FALSE)</f>
        <v>Moyennement exigeantes</v>
      </c>
      <c r="G23" s="490"/>
    </row>
    <row r="24" spans="1:12" ht="15.75" thickBot="1">
      <c r="A24" s="440">
        <v>18</v>
      </c>
      <c r="B24" s="544" t="s">
        <v>658</v>
      </c>
      <c r="C24" s="466" t="s">
        <v>328</v>
      </c>
      <c r="D24" s="30" t="s">
        <v>313</v>
      </c>
      <c r="E24" s="409" t="str">
        <f>VLOOKUP(D24,'Sources P2O5 K2O'!$A$7:$B$24,2,FALSE)</f>
        <v>Peu exigentes</v>
      </c>
      <c r="F24" s="483" t="str">
        <f>VLOOKUP(D24,'Sources P2O5 K2O'!$A$7:$C$24,3,FALSE)</f>
        <v>Peu exigentes</v>
      </c>
      <c r="G24" s="490"/>
    </row>
    <row r="26" spans="1:12" ht="15.75">
      <c r="A26" s="654" t="s">
        <v>495</v>
      </c>
      <c r="B26" s="654"/>
      <c r="C26" s="654"/>
      <c r="D26" s="654"/>
      <c r="E26" s="654"/>
      <c r="F26" s="654"/>
      <c r="G26" s="654"/>
      <c r="H26" s="654"/>
      <c r="I26" s="654"/>
      <c r="J26" s="654"/>
      <c r="K26" s="654"/>
      <c r="L26" s="654"/>
    </row>
    <row r="27" spans="1:12" ht="15.75" thickBot="1">
      <c r="A27" s="23"/>
    </row>
    <row r="28" spans="1:12" ht="18.75" thickBot="1">
      <c r="A28" s="505"/>
      <c r="B28" s="663" t="s">
        <v>484</v>
      </c>
      <c r="C28" s="664"/>
      <c r="D28" s="664"/>
      <c r="E28" s="664"/>
      <c r="F28" s="664"/>
      <c r="G28" s="664"/>
      <c r="H28" s="664"/>
      <c r="I28" s="664"/>
      <c r="J28" s="665"/>
    </row>
    <row r="29" spans="1:12" ht="45" customHeight="1" thickBot="1">
      <c r="A29" s="581" t="s">
        <v>324</v>
      </c>
      <c r="B29" s="590" t="s">
        <v>482</v>
      </c>
      <c r="C29" s="591" t="s">
        <v>481</v>
      </c>
      <c r="D29" s="592" t="s">
        <v>486</v>
      </c>
      <c r="E29" s="592" t="s">
        <v>487</v>
      </c>
      <c r="F29" s="592" t="s">
        <v>488</v>
      </c>
      <c r="G29" s="592" t="s">
        <v>489</v>
      </c>
      <c r="H29" s="590" t="s">
        <v>711</v>
      </c>
      <c r="I29" s="593" t="s">
        <v>717</v>
      </c>
      <c r="J29" s="594" t="s">
        <v>477</v>
      </c>
    </row>
    <row r="30" spans="1:12">
      <c r="A30" s="480">
        <v>1</v>
      </c>
      <c r="B30" s="583">
        <f t="array" aca="1" ref="B30" ca="1">IFERROR(OFFSET(INDEX('Sources P2O5 K2O'!$C$38:$H$124,MATCH(DoseP2O5K2O!$B7&amp;DoseP2O5K2O!$C7,'Sources P2O5 K2O'!$A$38:$A$124&amp;'Sources P2O5 K2O'!$B$38:$B$124,0),MATCH(DoseP2O5K2O!$E7,'Sources P2O5 K2O'!$C$36:$H$36,0)),,1),"")</f>
        <v>120</v>
      </c>
      <c r="C30" s="583">
        <f t="array" ref="C30">IFERROR(INDEX('Sources P2O5 K2O'!$C$38:$H$124,MATCH(DoseP2O5K2O!$B7&amp;DoseP2O5K2O!$C7,'Sources P2O5 K2O'!$A$38:$A$124&amp;'Sources P2O5 K2O'!$B$38:$B$124,0),MATCH(DoseP2O5K2O!$E7,'Sources P2O5 K2O'!$C$36:$H$36,0)),"")</f>
        <v>50</v>
      </c>
      <c r="D30" s="33">
        <f ca="1">B30-0.1*B30</f>
        <v>108</v>
      </c>
      <c r="E30" s="33">
        <f ca="1">B30+0.1*B30</f>
        <v>132</v>
      </c>
      <c r="F30" s="33">
        <f ca="1">2*B30</f>
        <v>240</v>
      </c>
      <c r="G30" s="33">
        <f ca="1">3*B30</f>
        <v>360</v>
      </c>
      <c r="H30" s="587">
        <v>0</v>
      </c>
      <c r="I30" s="584">
        <v>40</v>
      </c>
      <c r="J30" s="484"/>
      <c r="K30" s="978"/>
    </row>
    <row r="31" spans="1:12">
      <c r="A31" s="603">
        <v>2</v>
      </c>
      <c r="B31" s="551">
        <f t="array" aca="1" ref="B31" ca="1">IFERROR(OFFSET(INDEX('Sources P2O5 K2O'!$C$38:$H$124,MATCH(DoseP2O5K2O!B8&amp;DoseP2O5K2O!C8,'Sources P2O5 K2O'!$A$38:$A$124&amp;'Sources P2O5 K2O'!$B$38:$B$124,0),MATCH(DoseP2O5K2O!E8,'Sources P2O5 K2O'!$C$36:$H$36,0)),,1),"")</f>
        <v>160</v>
      </c>
      <c r="C31" s="551">
        <f t="array" ref="C31">IFERROR(INDEX('Sources P2O5 K2O'!$C$38:$H$124,MATCH(DoseP2O5K2O!$B8&amp;DoseP2O5K2O!$C8,'Sources P2O5 K2O'!$A$38:$A$124&amp;'Sources P2O5 K2O'!$B$38:$B$124,0),MATCH(DoseP2O5K2O!$E8,'Sources P2O5 K2O'!$C$36:$H$36,0)),"")</f>
        <v>100</v>
      </c>
      <c r="D31" s="15">
        <f t="shared" ref="D31:D47" ca="1" si="0">B31-0.1*B31</f>
        <v>144</v>
      </c>
      <c r="E31" s="15">
        <f t="shared" ref="E31:E47" ca="1" si="1">B31+0.1*B31</f>
        <v>176</v>
      </c>
      <c r="F31" s="15">
        <f t="shared" ref="F31:F47" ca="1" si="2">2*B31</f>
        <v>320</v>
      </c>
      <c r="G31" s="15">
        <f t="shared" ref="G31:G47" ca="1" si="3">3*B31</f>
        <v>480</v>
      </c>
      <c r="H31" s="588">
        <v>1</v>
      </c>
      <c r="I31" s="582">
        <v>160</v>
      </c>
      <c r="J31" s="485"/>
      <c r="K31" s="978"/>
    </row>
    <row r="32" spans="1:12">
      <c r="A32" s="603">
        <v>3</v>
      </c>
      <c r="B32" s="551">
        <f t="array" aca="1" ref="B32" ca="1">IFERROR(OFFSET(INDEX('Sources P2O5 K2O'!$C$38:$H$124,MATCH(DoseP2O5K2O!B9&amp;DoseP2O5K2O!C9,'Sources P2O5 K2O'!$A$38:$A$124&amp;'Sources P2O5 K2O'!$B$38:$B$124,0),MATCH(DoseP2O5K2O!E9,'Sources P2O5 K2O'!$C$36:$H$36,0)),,1),"")</f>
        <v>200</v>
      </c>
      <c r="C32" s="551">
        <f t="array" ref="C32">IFERROR(INDEX('Sources P2O5 K2O'!$C$38:$H$124,MATCH(DoseP2O5K2O!$B9&amp;DoseP2O5K2O!$C9,'Sources P2O5 K2O'!$A$38:$A$124&amp;'Sources P2O5 K2O'!$B$38:$B$124,0),MATCH(DoseP2O5K2O!$E9,'Sources P2O5 K2O'!$C$36:$H$36,0)),"")</f>
        <v>140</v>
      </c>
      <c r="D32" s="15">
        <f t="shared" ca="1" si="0"/>
        <v>180</v>
      </c>
      <c r="E32" s="15">
        <f t="shared" ca="1" si="1"/>
        <v>220</v>
      </c>
      <c r="F32" s="15">
        <f t="shared" ca="1" si="2"/>
        <v>400</v>
      </c>
      <c r="G32" s="15">
        <f t="shared" ca="1" si="3"/>
        <v>600</v>
      </c>
      <c r="H32" s="588">
        <v>0</v>
      </c>
      <c r="I32" s="582">
        <v>100</v>
      </c>
      <c r="J32" s="485"/>
    </row>
    <row r="33" spans="1:11">
      <c r="A33" s="603">
        <v>4</v>
      </c>
      <c r="B33" s="551">
        <f t="array" aca="1" ref="B33" ca="1">IFERROR(OFFSET(INDEX('Sources P2O5 K2O'!$C$38:$H$124,MATCH(DoseP2O5K2O!B10&amp;DoseP2O5K2O!C10,'Sources P2O5 K2O'!$A$38:$A$124&amp;'Sources P2O5 K2O'!$B$38:$B$124,0),MATCH(DoseP2O5K2O!E10,'Sources P2O5 K2O'!$C$36:$H$36,0)),,1),"")</f>
        <v>200</v>
      </c>
      <c r="C33" s="551">
        <f t="array" ref="C33">IFERROR(INDEX('Sources P2O5 K2O'!$C$38:$H$124,MATCH(DoseP2O5K2O!$B10&amp;DoseP2O5K2O!$C10,'Sources P2O5 K2O'!$A$38:$A$124&amp;'Sources P2O5 K2O'!$B$38:$B$124,0),MATCH(DoseP2O5K2O!$E10,'Sources P2O5 K2O'!$C$36:$H$36,0)),"")</f>
        <v>140</v>
      </c>
      <c r="D33" s="15">
        <f t="shared" ca="1" si="0"/>
        <v>180</v>
      </c>
      <c r="E33" s="15">
        <f t="shared" ca="1" si="1"/>
        <v>220</v>
      </c>
      <c r="F33" s="15">
        <f t="shared" ca="1" si="2"/>
        <v>400</v>
      </c>
      <c r="G33" s="15">
        <f t="shared" ca="1" si="3"/>
        <v>600</v>
      </c>
      <c r="H33" s="588" t="s">
        <v>490</v>
      </c>
      <c r="I33" s="582">
        <v>170</v>
      </c>
      <c r="J33" s="485"/>
      <c r="K33" s="978"/>
    </row>
    <row r="34" spans="1:11">
      <c r="A34" s="603">
        <v>5</v>
      </c>
      <c r="B34" s="551">
        <f t="array" aca="1" ref="B34" ca="1">IFERROR(OFFSET(INDEX('Sources P2O5 K2O'!$C$38:$H$124,MATCH(DoseP2O5K2O!B11&amp;DoseP2O5K2O!C11,'Sources P2O5 K2O'!$A$38:$A$124&amp;'Sources P2O5 K2O'!$B$38:$B$124,0),MATCH(DoseP2O5K2O!E11,'Sources P2O5 K2O'!$C$36:$H$36,0)),,1),"")</f>
        <v>160</v>
      </c>
      <c r="C34" s="551">
        <f t="array" ref="C34">IFERROR(INDEX('Sources P2O5 K2O'!$C$38:$H$124,MATCH(DoseP2O5K2O!$B11&amp;DoseP2O5K2O!$C11,'Sources P2O5 K2O'!$A$38:$A$124&amp;'Sources P2O5 K2O'!$B$38:$B$124,0),MATCH(DoseP2O5K2O!$E11,'Sources P2O5 K2O'!$C$36:$H$36,0)),"")</f>
        <v>60</v>
      </c>
      <c r="D34" s="15">
        <f t="shared" ca="1" si="0"/>
        <v>144</v>
      </c>
      <c r="E34" s="15">
        <f t="shared" ca="1" si="1"/>
        <v>176</v>
      </c>
      <c r="F34" s="15">
        <f t="shared" ca="1" si="2"/>
        <v>320</v>
      </c>
      <c r="G34" s="15">
        <f t="shared" ca="1" si="3"/>
        <v>480</v>
      </c>
      <c r="H34" s="588">
        <v>0</v>
      </c>
      <c r="I34" s="582">
        <v>200</v>
      </c>
      <c r="J34" s="485"/>
    </row>
    <row r="35" spans="1:11">
      <c r="A35" s="603">
        <v>6</v>
      </c>
      <c r="B35" s="551">
        <f t="array" aca="1" ref="B35" ca="1">IFERROR(OFFSET(INDEX('Sources P2O5 K2O'!$C$38:$H$124,MATCH(DoseP2O5K2O!B12&amp;DoseP2O5K2O!C12,'Sources P2O5 K2O'!$A$38:$A$124&amp;'Sources P2O5 K2O'!$B$38:$B$124,0),MATCH(DoseP2O5K2O!E12,'Sources P2O5 K2O'!$C$36:$H$36,0)),,1),"")</f>
        <v>150</v>
      </c>
      <c r="C35" s="551">
        <f t="array" ref="C35">IFERROR(INDEX('Sources P2O5 K2O'!$C$38:$H$124,MATCH(DoseP2O5K2O!$B12&amp;DoseP2O5K2O!$C12,'Sources P2O5 K2O'!$A$38:$A$124&amp;'Sources P2O5 K2O'!$B$38:$B$124,0),MATCH(DoseP2O5K2O!$E12,'Sources P2O5 K2O'!$C$36:$H$36,0)),"")</f>
        <v>70</v>
      </c>
      <c r="D35" s="15">
        <f t="shared" ca="1" si="0"/>
        <v>135</v>
      </c>
      <c r="E35" s="15">
        <f t="shared" ca="1" si="1"/>
        <v>165</v>
      </c>
      <c r="F35" s="15">
        <f t="shared" ca="1" si="2"/>
        <v>300</v>
      </c>
      <c r="G35" s="15">
        <f t="shared" ca="1" si="3"/>
        <v>450</v>
      </c>
      <c r="H35" s="588" t="s">
        <v>490</v>
      </c>
      <c r="I35" s="582">
        <v>20</v>
      </c>
      <c r="J35" s="485"/>
      <c r="K35" s="978"/>
    </row>
    <row r="36" spans="1:11">
      <c r="A36" s="603">
        <v>7</v>
      </c>
      <c r="B36" s="551">
        <f t="array" aca="1" ref="B36" ca="1">IFERROR(OFFSET(INDEX('Sources P2O5 K2O'!$C$38:$H$124,MATCH(DoseP2O5K2O!B13&amp;DoseP2O5K2O!C13,'Sources P2O5 K2O'!$A$38:$A$124&amp;'Sources P2O5 K2O'!$B$38:$B$124,0),MATCH(DoseP2O5K2O!E13,'Sources P2O5 K2O'!$C$36:$H$36,0)),,1),"")</f>
        <v>130</v>
      </c>
      <c r="C36" s="551">
        <f t="array" ref="C36">IFERROR(INDEX('Sources P2O5 K2O'!$C$38:$H$124,MATCH(DoseP2O5K2O!$B13&amp;DoseP2O5K2O!$C13,'Sources P2O5 K2O'!$A$38:$A$124&amp;'Sources P2O5 K2O'!$B$38:$B$124,0),MATCH(DoseP2O5K2O!$E13,'Sources P2O5 K2O'!$C$36:$H$36,0)),"")</f>
        <v>80</v>
      </c>
      <c r="D36" s="15">
        <f t="shared" ca="1" si="0"/>
        <v>117</v>
      </c>
      <c r="E36" s="15">
        <f t="shared" ca="1" si="1"/>
        <v>143</v>
      </c>
      <c r="F36" s="15">
        <f t="shared" ca="1" si="2"/>
        <v>260</v>
      </c>
      <c r="G36" s="15">
        <f t="shared" ca="1" si="3"/>
        <v>390</v>
      </c>
      <c r="H36" s="588">
        <v>0</v>
      </c>
      <c r="I36" s="582">
        <v>120</v>
      </c>
      <c r="J36" s="485"/>
      <c r="K36" s="978"/>
    </row>
    <row r="37" spans="1:11">
      <c r="A37" s="603">
        <v>8</v>
      </c>
      <c r="B37" s="551">
        <f t="array" aca="1" ref="B37" ca="1">IFERROR(OFFSET(INDEX('Sources P2O5 K2O'!$C$38:$H$124,MATCH(DoseP2O5K2O!B14&amp;DoseP2O5K2O!C14,'Sources P2O5 K2O'!$A$38:$A$124&amp;'Sources P2O5 K2O'!$B$38:$B$124,0),MATCH(DoseP2O5K2O!E14,'Sources P2O5 K2O'!$C$36:$H$36,0)),,1),"")</f>
        <v>160</v>
      </c>
      <c r="C37" s="551">
        <f t="array" ref="C37">IFERROR(INDEX('Sources P2O5 K2O'!$C$38:$H$124,MATCH(DoseP2O5K2O!$B14&amp;DoseP2O5K2O!$C14,'Sources P2O5 K2O'!$A$38:$A$124&amp;'Sources P2O5 K2O'!$B$38:$B$124,0),MATCH(DoseP2O5K2O!$E14,'Sources P2O5 K2O'!$C$36:$H$36,0)),"")</f>
        <v>60</v>
      </c>
      <c r="D37" s="15">
        <f t="shared" ca="1" si="0"/>
        <v>144</v>
      </c>
      <c r="E37" s="15">
        <f t="shared" ca="1" si="1"/>
        <v>176</v>
      </c>
      <c r="F37" s="15">
        <f t="shared" ca="1" si="2"/>
        <v>320</v>
      </c>
      <c r="G37" s="15">
        <f t="shared" ca="1" si="3"/>
        <v>480</v>
      </c>
      <c r="H37" s="588">
        <v>0</v>
      </c>
      <c r="I37" s="582">
        <v>160</v>
      </c>
      <c r="J37" s="485"/>
      <c r="K37" s="978"/>
    </row>
    <row r="38" spans="1:11">
      <c r="A38" s="603">
        <v>9</v>
      </c>
      <c r="B38" s="551">
        <f t="array" aca="1" ref="B38" ca="1">IFERROR(OFFSET(INDEX('Sources P2O5 K2O'!$C$38:$H$124,MATCH(DoseP2O5K2O!B15&amp;DoseP2O5K2O!C15,'Sources P2O5 K2O'!$A$38:$A$124&amp;'Sources P2O5 K2O'!$B$38:$B$124,0),MATCH(DoseP2O5K2O!E15,'Sources P2O5 K2O'!$C$36:$H$36,0)),,1),"")</f>
        <v>180</v>
      </c>
      <c r="C38" s="551">
        <f t="array" ref="C38">IFERROR(INDEX('Sources P2O5 K2O'!$C$38:$H$124,MATCH(DoseP2O5K2O!$B15&amp;DoseP2O5K2O!$C15,'Sources P2O5 K2O'!$A$38:$A$124&amp;'Sources P2O5 K2O'!$B$38:$B$124,0),MATCH(DoseP2O5K2O!$E15,'Sources P2O5 K2O'!$C$36:$H$36,0)),"")</f>
        <v>80</v>
      </c>
      <c r="D38" s="15">
        <f t="shared" ca="1" si="0"/>
        <v>162</v>
      </c>
      <c r="E38" s="15">
        <f t="shared" ca="1" si="1"/>
        <v>198</v>
      </c>
      <c r="F38" s="15">
        <f t="shared" ca="1" si="2"/>
        <v>360</v>
      </c>
      <c r="G38" s="15">
        <f t="shared" ca="1" si="3"/>
        <v>540</v>
      </c>
      <c r="H38" s="588">
        <v>1</v>
      </c>
      <c r="I38" s="582">
        <v>100</v>
      </c>
      <c r="J38" s="485"/>
      <c r="K38" s="978"/>
    </row>
    <row r="39" spans="1:11">
      <c r="A39" s="603">
        <v>10</v>
      </c>
      <c r="B39" s="551">
        <f t="array" aca="1" ref="B39" ca="1">IFERROR(OFFSET(INDEX('Sources P2O5 K2O'!$C$38:$H$124,MATCH(DoseP2O5K2O!B16&amp;DoseP2O5K2O!C16,'Sources P2O5 K2O'!$A$38:$A$124&amp;'Sources P2O5 K2O'!$B$38:$B$124,0),MATCH(DoseP2O5K2O!E16,'Sources P2O5 K2O'!$C$36:$H$36,0)),,1),"")</f>
        <v>180</v>
      </c>
      <c r="C39" s="551">
        <f t="array" ref="C39">IFERROR(INDEX('Sources P2O5 K2O'!$C$38:$H$124,MATCH(DoseP2O5K2O!$B16&amp;DoseP2O5K2O!$C16,'Sources P2O5 K2O'!$A$38:$A$124&amp;'Sources P2O5 K2O'!$B$38:$B$124,0),MATCH(DoseP2O5K2O!$E16,'Sources P2O5 K2O'!$C$36:$H$36,0)),"")</f>
        <v>80</v>
      </c>
      <c r="D39" s="15">
        <f t="shared" ca="1" si="0"/>
        <v>162</v>
      </c>
      <c r="E39" s="15">
        <f t="shared" ca="1" si="1"/>
        <v>198</v>
      </c>
      <c r="F39" s="15">
        <f t="shared" ca="1" si="2"/>
        <v>360</v>
      </c>
      <c r="G39" s="15">
        <f t="shared" ca="1" si="3"/>
        <v>540</v>
      </c>
      <c r="H39" s="588" t="s">
        <v>490</v>
      </c>
      <c r="I39" s="582">
        <v>170</v>
      </c>
      <c r="J39" s="485"/>
    </row>
    <row r="40" spans="1:11">
      <c r="A40" s="603">
        <v>11</v>
      </c>
      <c r="B40" s="551">
        <f t="array" aca="1" ref="B40" ca="1">IFERROR(OFFSET(INDEX('Sources P2O5 K2O'!$C$38:$H$124,MATCH(DoseP2O5K2O!B17&amp;DoseP2O5K2O!C17,'Sources P2O5 K2O'!$A$38:$A$124&amp;'Sources P2O5 K2O'!$B$38:$B$124,0),MATCH(DoseP2O5K2O!E17,'Sources P2O5 K2O'!$C$36:$H$36,0)),,1),"")</f>
        <v>160</v>
      </c>
      <c r="C40" s="551">
        <f t="array" ref="C40">IFERROR(INDEX('Sources P2O5 K2O'!$C$38:$H$124,MATCH(DoseP2O5K2O!$B17&amp;DoseP2O5K2O!$C17,'Sources P2O5 K2O'!$A$38:$A$124&amp;'Sources P2O5 K2O'!$B$38:$B$124,0),MATCH(DoseP2O5K2O!$E17,'Sources P2O5 K2O'!$C$36:$H$36,0)),"")</f>
        <v>60</v>
      </c>
      <c r="D40" s="15">
        <f t="shared" ca="1" si="0"/>
        <v>144</v>
      </c>
      <c r="E40" s="15">
        <f t="shared" ca="1" si="1"/>
        <v>176</v>
      </c>
      <c r="F40" s="15">
        <f t="shared" ca="1" si="2"/>
        <v>320</v>
      </c>
      <c r="G40" s="15">
        <f t="shared" ca="1" si="3"/>
        <v>480</v>
      </c>
      <c r="H40" s="588">
        <v>1</v>
      </c>
      <c r="I40" s="582">
        <v>200</v>
      </c>
      <c r="J40" s="485"/>
    </row>
    <row r="41" spans="1:11">
      <c r="A41" s="603">
        <v>12</v>
      </c>
      <c r="B41" s="551">
        <f t="array" aca="1" ref="B41" ca="1">IFERROR(OFFSET(INDEX('Sources P2O5 K2O'!$C$38:$H$124,MATCH(DoseP2O5K2O!B18&amp;DoseP2O5K2O!C18,'Sources P2O5 K2O'!$A$38:$A$124&amp;'Sources P2O5 K2O'!$B$38:$B$124,0),MATCH(DoseP2O5K2O!E18,'Sources P2O5 K2O'!$C$36:$H$36,0)),,1),"")</f>
        <v>220</v>
      </c>
      <c r="C41" s="551">
        <f t="array" ref="C41">IFERROR(INDEX('Sources P2O5 K2O'!$C$38:$H$124,MATCH(DoseP2O5K2O!$B18&amp;DoseP2O5K2O!$C18,'Sources P2O5 K2O'!$A$38:$A$124&amp;'Sources P2O5 K2O'!$B$38:$B$124,0),MATCH(DoseP2O5K2O!$E18,'Sources P2O5 K2O'!$C$36:$H$36,0)),"")</f>
        <v>100</v>
      </c>
      <c r="D41" s="15">
        <f t="shared" ca="1" si="0"/>
        <v>198</v>
      </c>
      <c r="E41" s="15">
        <f t="shared" ca="1" si="1"/>
        <v>242</v>
      </c>
      <c r="F41" s="15">
        <f t="shared" ca="1" si="2"/>
        <v>440</v>
      </c>
      <c r="G41" s="15">
        <f t="shared" ca="1" si="3"/>
        <v>660</v>
      </c>
      <c r="H41" s="588">
        <v>0</v>
      </c>
      <c r="I41" s="582">
        <v>170</v>
      </c>
      <c r="J41" s="485"/>
    </row>
    <row r="42" spans="1:11">
      <c r="A42" s="603">
        <v>13</v>
      </c>
      <c r="B42" s="551">
        <f t="array" aca="1" ref="B42" ca="1">IFERROR(OFFSET(INDEX('Sources P2O5 K2O'!$C$38:$H$124,MATCH(DoseP2O5K2O!B19&amp;DoseP2O5K2O!C19,'Sources P2O5 K2O'!$A$38:$A$124&amp;'Sources P2O5 K2O'!$B$38:$B$124,0),MATCH(DoseP2O5K2O!E19,'Sources P2O5 K2O'!$C$36:$H$36,0)),,1),"")</f>
        <v>130</v>
      </c>
      <c r="C42" s="551">
        <f t="array" ref="C42">IFERROR(INDEX('Sources P2O5 K2O'!$C$38:$H$124,MATCH(DoseP2O5K2O!$B19&amp;DoseP2O5K2O!$C19,'Sources P2O5 K2O'!$A$38:$A$124&amp;'Sources P2O5 K2O'!$B$38:$B$124,0),MATCH(DoseP2O5K2O!$E19,'Sources P2O5 K2O'!$C$36:$H$36,0)),"")</f>
        <v>50</v>
      </c>
      <c r="D42" s="15">
        <f t="shared" ca="1" si="0"/>
        <v>117</v>
      </c>
      <c r="E42" s="15">
        <f t="shared" ca="1" si="1"/>
        <v>143</v>
      </c>
      <c r="F42" s="15">
        <f t="shared" ca="1" si="2"/>
        <v>260</v>
      </c>
      <c r="G42" s="15">
        <f t="shared" ca="1" si="3"/>
        <v>390</v>
      </c>
      <c r="H42" s="588">
        <v>1</v>
      </c>
      <c r="I42" s="582">
        <v>200</v>
      </c>
      <c r="J42" s="485"/>
    </row>
    <row r="43" spans="1:11">
      <c r="A43" s="603">
        <v>14</v>
      </c>
      <c r="B43" s="551">
        <f t="array" aca="1" ref="B43" ca="1">IFERROR(OFFSET(INDEX('Sources P2O5 K2O'!$C$38:$H$124,MATCH(DoseP2O5K2O!B20&amp;DoseP2O5K2O!C20,'Sources P2O5 K2O'!$A$38:$A$124&amp;'Sources P2O5 K2O'!$B$38:$B$124,0),MATCH(DoseP2O5K2O!E20,'Sources P2O5 K2O'!$C$36:$H$36,0)),,1),"")</f>
        <v>120</v>
      </c>
      <c r="C43" s="551">
        <f t="array" ref="C43">IFERROR(INDEX('Sources P2O5 K2O'!$C$38:$H$124,MATCH(DoseP2O5K2O!$B20&amp;DoseP2O5K2O!$C20,'Sources P2O5 K2O'!$A$38:$A$124&amp;'Sources P2O5 K2O'!$B$38:$B$124,0),MATCH(DoseP2O5K2O!$E20,'Sources P2O5 K2O'!$C$36:$H$36,0)),"")</f>
        <v>50</v>
      </c>
      <c r="D43" s="15">
        <f t="shared" ca="1" si="0"/>
        <v>108</v>
      </c>
      <c r="E43" s="15">
        <f t="shared" ca="1" si="1"/>
        <v>132</v>
      </c>
      <c r="F43" s="15">
        <f t="shared" ca="1" si="2"/>
        <v>240</v>
      </c>
      <c r="G43" s="15">
        <f t="shared" ca="1" si="3"/>
        <v>360</v>
      </c>
      <c r="H43" s="588">
        <v>0</v>
      </c>
      <c r="I43" s="582">
        <v>20</v>
      </c>
      <c r="J43" s="485"/>
    </row>
    <row r="44" spans="1:11">
      <c r="A44" s="603">
        <v>15</v>
      </c>
      <c r="B44" s="551">
        <f t="array" aca="1" ref="B44" ca="1">IFERROR(OFFSET(INDEX('Sources P2O5 K2O'!$C$38:$H$124,MATCH(DoseP2O5K2O!B21&amp;DoseP2O5K2O!C21,'Sources P2O5 K2O'!$A$38:$A$124&amp;'Sources P2O5 K2O'!$B$38:$B$124,0),MATCH(DoseP2O5K2O!E21,'Sources P2O5 K2O'!$C$36:$H$36,0)),,1),"")</f>
        <v>150</v>
      </c>
      <c r="C44" s="551">
        <f t="array" ref="C44">IFERROR(INDEX('Sources P2O5 K2O'!$C$38:$H$124,MATCH(DoseP2O5K2O!$B21&amp;DoseP2O5K2O!$C21,'Sources P2O5 K2O'!$A$38:$A$124&amp;'Sources P2O5 K2O'!$B$38:$B$124,0),MATCH(DoseP2O5K2O!$E21,'Sources P2O5 K2O'!$C$36:$H$36,0)),"")</f>
        <v>70</v>
      </c>
      <c r="D44" s="15">
        <f t="shared" ca="1" si="0"/>
        <v>135</v>
      </c>
      <c r="E44" s="15">
        <f t="shared" ca="1" si="1"/>
        <v>165</v>
      </c>
      <c r="F44" s="15">
        <f t="shared" ca="1" si="2"/>
        <v>300</v>
      </c>
      <c r="G44" s="15">
        <f t="shared" ca="1" si="3"/>
        <v>450</v>
      </c>
      <c r="H44" s="588">
        <v>0</v>
      </c>
      <c r="I44" s="582">
        <v>120</v>
      </c>
      <c r="J44" s="485"/>
    </row>
    <row r="45" spans="1:11">
      <c r="A45" s="603">
        <v>16</v>
      </c>
      <c r="B45" s="551">
        <f t="array" aca="1" ref="B45" ca="1">IFERROR(OFFSET(INDEX('Sources P2O5 K2O'!$C$38:$H$124,MATCH(DoseP2O5K2O!B22&amp;DoseP2O5K2O!C22,'Sources P2O5 K2O'!$A$38:$A$124&amp;'Sources P2O5 K2O'!$B$38:$B$124,0),MATCH(DoseP2O5K2O!E22,'Sources P2O5 K2O'!$C$36:$H$36,0)),,1),"")</f>
        <v>120</v>
      </c>
      <c r="C45" s="551">
        <f t="array" ref="C45">IFERROR(INDEX('Sources P2O5 K2O'!$C$38:$H$124,MATCH(DoseP2O5K2O!$B22&amp;DoseP2O5K2O!$C22,'Sources P2O5 K2O'!$A$38:$A$124&amp;'Sources P2O5 K2O'!$B$38:$B$124,0),MATCH(DoseP2O5K2O!$E22,'Sources P2O5 K2O'!$C$36:$H$36,0)),"")</f>
        <v>40</v>
      </c>
      <c r="D45" s="15">
        <f t="shared" ca="1" si="0"/>
        <v>108</v>
      </c>
      <c r="E45" s="15">
        <f t="shared" ca="1" si="1"/>
        <v>132</v>
      </c>
      <c r="F45" s="15">
        <f t="shared" ca="1" si="2"/>
        <v>240</v>
      </c>
      <c r="G45" s="15">
        <f t="shared" ca="1" si="3"/>
        <v>360</v>
      </c>
      <c r="H45" s="588">
        <v>0</v>
      </c>
      <c r="I45" s="582">
        <v>160</v>
      </c>
      <c r="J45" s="485"/>
    </row>
    <row r="46" spans="1:11">
      <c r="A46" s="603">
        <v>17</v>
      </c>
      <c r="B46" s="551">
        <f t="array" aca="1" ref="B46" ca="1">IFERROR(OFFSET(INDEX('Sources P2O5 K2O'!$C$38:$H$124,MATCH(DoseP2O5K2O!B23&amp;DoseP2O5K2O!C23,'Sources P2O5 K2O'!$A$38:$A$124&amp;'Sources P2O5 K2O'!$B$38:$B$124,0),MATCH(DoseP2O5K2O!E23,'Sources P2O5 K2O'!$C$36:$H$36,0)),,1),"")</f>
        <v>150</v>
      </c>
      <c r="C46" s="551">
        <f t="array" ref="C46">IFERROR(INDEX('Sources P2O5 K2O'!$C$38:$H$124,MATCH(DoseP2O5K2O!$B23&amp;DoseP2O5K2O!$C23,'Sources P2O5 K2O'!$A$38:$A$124&amp;'Sources P2O5 K2O'!$B$38:$B$124,0),MATCH(DoseP2O5K2O!$E23,'Sources P2O5 K2O'!$C$36:$H$36,0)),"")</f>
        <v>70</v>
      </c>
      <c r="D46" s="15">
        <f t="shared" ca="1" si="0"/>
        <v>135</v>
      </c>
      <c r="E46" s="15">
        <f t="shared" ca="1" si="1"/>
        <v>165</v>
      </c>
      <c r="F46" s="15">
        <f t="shared" ca="1" si="2"/>
        <v>300</v>
      </c>
      <c r="G46" s="15">
        <f t="shared" ca="1" si="3"/>
        <v>450</v>
      </c>
      <c r="H46" s="588">
        <v>0</v>
      </c>
      <c r="I46" s="582">
        <v>100</v>
      </c>
      <c r="J46" s="485"/>
    </row>
    <row r="47" spans="1:11" ht="15.75" thickBot="1">
      <c r="A47" s="604">
        <v>18</v>
      </c>
      <c r="B47" s="585">
        <f t="array" aca="1" ref="B47" ca="1">IFERROR(OFFSET(INDEX('Sources P2O5 K2O'!$C$38:$H$124,MATCH(DoseP2O5K2O!B24&amp;DoseP2O5K2O!C24,'Sources P2O5 K2O'!$A$38:$A$124&amp;'Sources P2O5 K2O'!$B$38:$B$124,0),MATCH(DoseP2O5K2O!E24,'Sources P2O5 K2O'!$C$36:$H$36,0)),,1),"")</f>
        <v>150</v>
      </c>
      <c r="C47" s="585">
        <f t="array" ref="C47">IFERROR(INDEX('Sources P2O5 K2O'!$C$38:$H$124,MATCH(DoseP2O5K2O!$B24&amp;DoseP2O5K2O!$C24,'Sources P2O5 K2O'!$A$38:$A$124&amp;'Sources P2O5 K2O'!$B$38:$B$124,0),MATCH(DoseP2O5K2O!$E24,'Sources P2O5 K2O'!$C$36:$H$36,0)),"")</f>
        <v>70</v>
      </c>
      <c r="D47" s="30">
        <f t="shared" ca="1" si="0"/>
        <v>135</v>
      </c>
      <c r="E47" s="30">
        <f t="shared" ca="1" si="1"/>
        <v>165</v>
      </c>
      <c r="F47" s="30">
        <f t="shared" ca="1" si="2"/>
        <v>300</v>
      </c>
      <c r="G47" s="30">
        <f t="shared" ca="1" si="3"/>
        <v>450</v>
      </c>
      <c r="H47" s="589">
        <v>0</v>
      </c>
      <c r="I47" s="586">
        <v>100</v>
      </c>
      <c r="J47" s="486"/>
    </row>
    <row r="48" spans="1:11" ht="15.75" thickBot="1">
      <c r="A48" s="42"/>
    </row>
    <row r="49" spans="1:10" ht="18.75" thickBot="1">
      <c r="A49" s="42"/>
      <c r="B49" s="663" t="s">
        <v>485</v>
      </c>
      <c r="C49" s="664"/>
      <c r="D49" s="664"/>
      <c r="E49" s="664"/>
      <c r="F49" s="664"/>
      <c r="G49" s="664"/>
      <c r="H49" s="664"/>
      <c r="I49" s="664"/>
      <c r="J49" s="665"/>
    </row>
    <row r="50" spans="1:10" ht="47.25" customHeight="1" thickBot="1">
      <c r="A50" s="581" t="s">
        <v>324</v>
      </c>
      <c r="B50" s="590" t="s">
        <v>482</v>
      </c>
      <c r="C50" s="974" t="s">
        <v>481</v>
      </c>
      <c r="D50" s="592" t="s">
        <v>486</v>
      </c>
      <c r="E50" s="592" t="s">
        <v>487</v>
      </c>
      <c r="F50" s="592" t="s">
        <v>488</v>
      </c>
      <c r="G50" s="592" t="s">
        <v>489</v>
      </c>
      <c r="H50" s="590" t="s">
        <v>480</v>
      </c>
      <c r="I50" s="593" t="s">
        <v>719</v>
      </c>
      <c r="J50" s="594" t="s">
        <v>477</v>
      </c>
    </row>
    <row r="51" spans="1:10">
      <c r="A51" s="480">
        <v>1</v>
      </c>
      <c r="B51" s="33">
        <f t="array" aca="1" ref="B51" ca="1">IFERROR(OFFSET(INDEX('Sources P2O5 K2O'!$I$38:$N$124,MATCH(DoseP2O5K2O!$B7&amp;DoseP2O5K2O!$C7,'Sources P2O5 K2O'!$A$38:$A$124&amp;'Sources P2O5 K2O'!$B$38:$B$124,0),MATCH(DoseP2O5K2O!$F7,'Sources P2O5 K2O'!$I$36:$N$36,0)),,1),"")</f>
        <v>180</v>
      </c>
      <c r="C51" s="33">
        <f t="array" ref="C51">IFERROR(INDEX('Sources P2O5 K2O'!$I$38:$N$124,MATCH(DoseP2O5K2O!$B7&amp;DoseP2O5K2O!$C7,'Sources P2O5 K2O'!$A$38:$A$124&amp;'Sources P2O5 K2O'!$B$38:$B$124,0),MATCH(DoseP2O5K2O!$F7,'Sources P2O5 K2O'!$I$36:$N$36,0)),"")</f>
        <v>100</v>
      </c>
      <c r="D51" s="33">
        <f ca="1">B51-0.1*B51</f>
        <v>162</v>
      </c>
      <c r="E51" s="33">
        <f ca="1">B51+0.1*B51</f>
        <v>198</v>
      </c>
      <c r="F51" s="33">
        <f ca="1">2*B51</f>
        <v>360</v>
      </c>
      <c r="G51" s="33">
        <f ca="1">3*B51</f>
        <v>540</v>
      </c>
      <c r="H51" s="587">
        <v>1</v>
      </c>
      <c r="I51" s="971">
        <v>120</v>
      </c>
      <c r="J51" s="484"/>
    </row>
    <row r="52" spans="1:10">
      <c r="A52" s="603">
        <v>2</v>
      </c>
      <c r="B52" s="15">
        <f t="array" aca="1" ref="B52" ca="1">IFERROR(OFFSET(INDEX('Sources P2O5 K2O'!$I$38:$N$124,MATCH(DoseP2O5K2O!$B8&amp;DoseP2O5K2O!$C8,'Sources P2O5 K2O'!$A$38:$A$124&amp;'Sources P2O5 K2O'!$B$38:$B$124,0),MATCH(DoseP2O5K2O!$F8,'Sources P2O5 K2O'!$I$36:$N$36,0)),,1),"")</f>
        <v>180</v>
      </c>
      <c r="C52" s="15">
        <f t="array" ref="C52">IFERROR(INDEX('Sources P2O5 K2O'!$I$38:$N$124,MATCH(DoseP2O5K2O!$B8&amp;DoseP2O5K2O!$C8,'Sources P2O5 K2O'!$A$38:$A$124&amp;'Sources P2O5 K2O'!$B$38:$B$124,0),MATCH(DoseP2O5K2O!$F8,'Sources P2O5 K2O'!$I$36:$N$36,0)),"")</f>
        <v>120</v>
      </c>
      <c r="D52" s="15">
        <f t="shared" ref="D52:D68" ca="1" si="4">B52-0.1*B52</f>
        <v>162</v>
      </c>
      <c r="E52" s="15">
        <f t="shared" ref="E52:E68" ca="1" si="5">B52+0.1*B52</f>
        <v>198</v>
      </c>
      <c r="F52" s="15">
        <f t="shared" ref="F52:F68" ca="1" si="6">2*B52</f>
        <v>360</v>
      </c>
      <c r="G52" s="15">
        <f t="shared" ref="G52:G68" ca="1" si="7">3*B52</f>
        <v>540</v>
      </c>
      <c r="H52" s="588" t="s">
        <v>490</v>
      </c>
      <c r="I52" s="972">
        <v>212</v>
      </c>
      <c r="J52" s="485"/>
    </row>
    <row r="53" spans="1:10">
      <c r="A53" s="603">
        <v>3</v>
      </c>
      <c r="B53" s="15">
        <f t="array" aca="1" ref="B53" ca="1">IFERROR(OFFSET(INDEX('Sources P2O5 K2O'!$I$38:$N$124,MATCH(DoseP2O5K2O!$B9&amp;DoseP2O5K2O!$C9,'Sources P2O5 K2O'!$A$38:$A$124&amp;'Sources P2O5 K2O'!$B$38:$B$124,0),MATCH(DoseP2O5K2O!$F9,'Sources P2O5 K2O'!$I$36:$N$36,0)),,1),"")</f>
        <v>400</v>
      </c>
      <c r="C53" s="15">
        <f t="array" ref="C53">IFERROR(INDEX('Sources P2O5 K2O'!$I$38:$N$124,MATCH(DoseP2O5K2O!$B9&amp;DoseP2O5K2O!$C9,'Sources P2O5 K2O'!$A$38:$A$124&amp;'Sources P2O5 K2O'!$B$38:$B$124,0),MATCH(DoseP2O5K2O!$F9,'Sources P2O5 K2O'!$I$36:$N$36,0)),"")</f>
        <v>300</v>
      </c>
      <c r="D53" s="15">
        <f t="shared" ca="1" si="4"/>
        <v>360</v>
      </c>
      <c r="E53" s="15">
        <f t="shared" ca="1" si="5"/>
        <v>440</v>
      </c>
      <c r="F53" s="15">
        <f t="shared" ca="1" si="6"/>
        <v>800</v>
      </c>
      <c r="G53" s="15">
        <f t="shared" ca="1" si="7"/>
        <v>1200</v>
      </c>
      <c r="H53" s="588">
        <v>1</v>
      </c>
      <c r="I53" s="972">
        <v>325</v>
      </c>
      <c r="J53" s="485"/>
    </row>
    <row r="54" spans="1:10">
      <c r="A54" s="603">
        <v>4</v>
      </c>
      <c r="B54" s="15">
        <f t="array" aca="1" ref="B54" ca="1">IFERROR(OFFSET(INDEX('Sources P2O5 K2O'!$I$38:$N$124,MATCH(DoseP2O5K2O!$B10&amp;DoseP2O5K2O!$C10,'Sources P2O5 K2O'!$A$38:$A$124&amp;'Sources P2O5 K2O'!$B$38:$B$124,0),MATCH(DoseP2O5K2O!$F10,'Sources P2O5 K2O'!$I$36:$N$36,0)),,1),"")</f>
        <v>400</v>
      </c>
      <c r="C54" s="15">
        <f t="array" ref="C54">IFERROR(INDEX('Sources P2O5 K2O'!$I$38:$N$124,MATCH(DoseP2O5K2O!$B10&amp;DoseP2O5K2O!$C10,'Sources P2O5 K2O'!$A$38:$A$124&amp;'Sources P2O5 K2O'!$B$38:$B$124,0),MATCH(DoseP2O5K2O!$F10,'Sources P2O5 K2O'!$I$36:$N$36,0)),"")</f>
        <v>300</v>
      </c>
      <c r="D54" s="15">
        <f t="shared" ca="1" si="4"/>
        <v>360</v>
      </c>
      <c r="E54" s="15">
        <f t="shared" ca="1" si="5"/>
        <v>440</v>
      </c>
      <c r="F54" s="15">
        <f t="shared" ca="1" si="6"/>
        <v>800</v>
      </c>
      <c r="G54" s="15">
        <f t="shared" ca="1" si="7"/>
        <v>1200</v>
      </c>
      <c r="H54" s="588">
        <v>0</v>
      </c>
      <c r="I54" s="972">
        <v>50</v>
      </c>
      <c r="J54" s="485"/>
    </row>
    <row r="55" spans="1:10">
      <c r="A55" s="603">
        <v>5</v>
      </c>
      <c r="B55" s="15" t="str">
        <f t="array" aca="1" ref="B55" ca="1">IFERROR(OFFSET(INDEX('Sources P2O5 K2O'!$I$38:$N$124,MATCH(DoseP2O5K2O!$B11&amp;DoseP2O5K2O!$C11,'Sources P2O5 K2O'!$A$38:$A$124&amp;'Sources P2O5 K2O'!$B$38:$B$124,0),MATCH(DoseP2O5K2O!$F11,'Sources P2O5 K2O'!$I$36:$N$36,0)),,1),"")</f>
        <v/>
      </c>
      <c r="C55" s="15" t="str">
        <f t="array" ref="C55">IFERROR(INDEX('Sources P2O5 K2O'!$I$38:$N$124,MATCH(DoseP2O5K2O!$B11&amp;DoseP2O5K2O!$C11,'Sources P2O5 K2O'!$A$38:$A$124&amp;'Sources P2O5 K2O'!$B$38:$B$124,0),MATCH(DoseP2O5K2O!$F11,'Sources P2O5 K2O'!$I$36:$N$36,0)),"")</f>
        <v/>
      </c>
      <c r="D55" s="15" t="e">
        <f t="shared" ca="1" si="4"/>
        <v>#VALUE!</v>
      </c>
      <c r="E55" s="15" t="e">
        <f t="shared" ca="1" si="5"/>
        <v>#VALUE!</v>
      </c>
      <c r="F55" s="15" t="e">
        <f t="shared" ca="1" si="6"/>
        <v>#VALUE!</v>
      </c>
      <c r="G55" s="15" t="e">
        <f t="shared" ca="1" si="7"/>
        <v>#VALUE!</v>
      </c>
      <c r="H55" s="588">
        <v>1</v>
      </c>
      <c r="I55" s="972">
        <v>185</v>
      </c>
      <c r="J55" s="485"/>
    </row>
    <row r="56" spans="1:10">
      <c r="A56" s="603">
        <v>6</v>
      </c>
      <c r="B56" s="15">
        <f t="array" aca="1" ref="B56" ca="1">IFERROR(OFFSET(INDEX('Sources P2O5 K2O'!$I$38:$N$124,MATCH(DoseP2O5K2O!$B12&amp;DoseP2O5K2O!$C12,'Sources P2O5 K2O'!$A$38:$A$124&amp;'Sources P2O5 K2O'!$B$38:$B$124,0),MATCH(DoseP2O5K2O!$F12,'Sources P2O5 K2O'!$I$36:$N$36,0)),,1),"")</f>
        <v>150</v>
      </c>
      <c r="C56" s="15">
        <f t="array" ref="C56">IFERROR(INDEX('Sources P2O5 K2O'!$I$38:$N$124,MATCH(DoseP2O5K2O!$B12&amp;DoseP2O5K2O!$C12,'Sources P2O5 K2O'!$A$38:$A$124&amp;'Sources P2O5 K2O'!$B$38:$B$124,0),MATCH(DoseP2O5K2O!$F12,'Sources P2O5 K2O'!$I$36:$N$36,0)),"")</f>
        <v>80</v>
      </c>
      <c r="D56" s="15">
        <f t="shared" ca="1" si="4"/>
        <v>135</v>
      </c>
      <c r="E56" s="15">
        <f t="shared" ca="1" si="5"/>
        <v>165</v>
      </c>
      <c r="F56" s="15">
        <f t="shared" ca="1" si="6"/>
        <v>300</v>
      </c>
      <c r="G56" s="15">
        <f t="shared" ca="1" si="7"/>
        <v>450</v>
      </c>
      <c r="H56" s="588">
        <v>0</v>
      </c>
      <c r="I56" s="972">
        <v>89</v>
      </c>
      <c r="J56" s="485"/>
    </row>
    <row r="57" spans="1:10">
      <c r="A57" s="603">
        <v>7</v>
      </c>
      <c r="B57" s="15" t="str">
        <f t="array" aca="1" ref="B57" ca="1">IFERROR(OFFSET(INDEX('Sources P2O5 K2O'!$I$38:$N$124,MATCH(DoseP2O5K2O!$B13&amp;DoseP2O5K2O!$C13,'Sources P2O5 K2O'!$A$38:$A$124&amp;'Sources P2O5 K2O'!$B$38:$B$124,0),MATCH(DoseP2O5K2O!$F13,'Sources P2O5 K2O'!$I$36:$N$36,0)),,1),"")</f>
        <v/>
      </c>
      <c r="C57" s="15" t="str">
        <f t="array" ref="C57">IFERROR(INDEX('Sources P2O5 K2O'!$I$38:$N$124,MATCH(DoseP2O5K2O!$B13&amp;DoseP2O5K2O!$C13,'Sources P2O5 K2O'!$A$38:$A$124&amp;'Sources P2O5 K2O'!$B$38:$B$124,0),MATCH(DoseP2O5K2O!$F13,'Sources P2O5 K2O'!$I$36:$N$36,0)),"")</f>
        <v/>
      </c>
      <c r="D57" s="15" t="e">
        <f t="shared" ca="1" si="4"/>
        <v>#VALUE!</v>
      </c>
      <c r="E57" s="15" t="e">
        <f t="shared" ca="1" si="5"/>
        <v>#VALUE!</v>
      </c>
      <c r="F57" s="15" t="e">
        <f t="shared" ca="1" si="6"/>
        <v>#VALUE!</v>
      </c>
      <c r="G57" s="15" t="e">
        <f t="shared" ca="1" si="7"/>
        <v>#VALUE!</v>
      </c>
      <c r="H57" s="588" t="s">
        <v>490</v>
      </c>
      <c r="I57" s="972">
        <v>398</v>
      </c>
      <c r="J57" s="485"/>
    </row>
    <row r="58" spans="1:10">
      <c r="A58" s="603">
        <v>8</v>
      </c>
      <c r="B58" s="15">
        <f t="array" aca="1" ref="B58" ca="1">IFERROR(OFFSET(INDEX('Sources P2O5 K2O'!$I$38:$N$124,MATCH(DoseP2O5K2O!$B14&amp;DoseP2O5K2O!$C14,'Sources P2O5 K2O'!$A$38:$A$124&amp;'Sources P2O5 K2O'!$B$38:$B$124,0),MATCH(DoseP2O5K2O!$F14,'Sources P2O5 K2O'!$I$36:$N$36,0)),,1),"")</f>
        <v>150</v>
      </c>
      <c r="C58" s="15">
        <f t="array" ref="C58">IFERROR(INDEX('Sources P2O5 K2O'!$I$38:$N$124,MATCH(DoseP2O5K2O!$B14&amp;DoseP2O5K2O!$C14,'Sources P2O5 K2O'!$A$38:$A$124&amp;'Sources P2O5 K2O'!$B$38:$B$124,0),MATCH(DoseP2O5K2O!$F14,'Sources P2O5 K2O'!$I$36:$N$36,0)),"")</f>
        <v>80</v>
      </c>
      <c r="D58" s="15">
        <f t="shared" ca="1" si="4"/>
        <v>135</v>
      </c>
      <c r="E58" s="15">
        <f t="shared" ca="1" si="5"/>
        <v>165</v>
      </c>
      <c r="F58" s="15">
        <f t="shared" ca="1" si="6"/>
        <v>300</v>
      </c>
      <c r="G58" s="15">
        <f t="shared" ca="1" si="7"/>
        <v>450</v>
      </c>
      <c r="H58" s="588">
        <v>1</v>
      </c>
      <c r="I58" s="972">
        <v>598</v>
      </c>
      <c r="J58" s="485"/>
    </row>
    <row r="59" spans="1:10">
      <c r="A59" s="603">
        <v>9</v>
      </c>
      <c r="B59" s="15">
        <f t="array" aca="1" ref="B59" ca="1">IFERROR(OFFSET(INDEX('Sources P2O5 K2O'!$I$38:$N$124,MATCH(DoseP2O5K2O!$B15&amp;DoseP2O5K2O!$C15,'Sources P2O5 K2O'!$A$38:$A$124&amp;'Sources P2O5 K2O'!$B$38:$B$124,0),MATCH(DoseP2O5K2O!$F15,'Sources P2O5 K2O'!$I$36:$N$36,0)),,1),"")</f>
        <v>160</v>
      </c>
      <c r="C59" s="15">
        <f t="array" ref="C59">IFERROR(INDEX('Sources P2O5 K2O'!$I$38:$N$124,MATCH(DoseP2O5K2O!$B15&amp;DoseP2O5K2O!$C15,'Sources P2O5 K2O'!$A$38:$A$124&amp;'Sources P2O5 K2O'!$B$38:$B$124,0),MATCH(DoseP2O5K2O!$F15,'Sources P2O5 K2O'!$I$36:$N$36,0)),"")</f>
        <v>80</v>
      </c>
      <c r="D59" s="15">
        <f t="shared" ca="1" si="4"/>
        <v>144</v>
      </c>
      <c r="E59" s="15">
        <f t="shared" ca="1" si="5"/>
        <v>176</v>
      </c>
      <c r="F59" s="15">
        <f t="shared" ca="1" si="6"/>
        <v>320</v>
      </c>
      <c r="G59" s="15">
        <f t="shared" ca="1" si="7"/>
        <v>480</v>
      </c>
      <c r="H59" s="588">
        <v>0</v>
      </c>
      <c r="I59" s="972">
        <v>898</v>
      </c>
      <c r="J59" s="485"/>
    </row>
    <row r="60" spans="1:10">
      <c r="A60" s="603">
        <v>10</v>
      </c>
      <c r="B60" s="15">
        <f t="array" aca="1" ref="B60" ca="1">IFERROR(OFFSET(INDEX('Sources P2O5 K2O'!$I$38:$N$124,MATCH(DoseP2O5K2O!$B16&amp;DoseP2O5K2O!$C16,'Sources P2O5 K2O'!$A$38:$A$124&amp;'Sources P2O5 K2O'!$B$38:$B$124,0),MATCH(DoseP2O5K2O!$F16,'Sources P2O5 K2O'!$I$36:$N$36,0)),,1),"")</f>
        <v>270</v>
      </c>
      <c r="C60" s="15">
        <f t="array" ref="C60">IFERROR(INDEX('Sources P2O5 K2O'!$I$38:$N$124,MATCH(DoseP2O5K2O!$B16&amp;DoseP2O5K2O!$C16,'Sources P2O5 K2O'!$A$38:$A$124&amp;'Sources P2O5 K2O'!$B$38:$B$124,0),MATCH(DoseP2O5K2O!$F16,'Sources P2O5 K2O'!$I$36:$N$36,0)),"")</f>
        <v>200</v>
      </c>
      <c r="D60" s="15">
        <f t="shared" ca="1" si="4"/>
        <v>243</v>
      </c>
      <c r="E60" s="15">
        <f t="shared" ca="1" si="5"/>
        <v>297</v>
      </c>
      <c r="F60" s="15">
        <f t="shared" ca="1" si="6"/>
        <v>540</v>
      </c>
      <c r="G60" s="15">
        <f t="shared" ca="1" si="7"/>
        <v>810</v>
      </c>
      <c r="H60" s="588" t="s">
        <v>490</v>
      </c>
      <c r="I60" s="972">
        <v>15452</v>
      </c>
      <c r="J60" s="485"/>
    </row>
    <row r="61" spans="1:10">
      <c r="A61" s="603">
        <v>11</v>
      </c>
      <c r="B61" s="15">
        <f t="array" aca="1" ref="B61" ca="1">IFERROR(OFFSET(INDEX('Sources P2O5 K2O'!$I$38:$N$124,MATCH(DoseP2O5K2O!$B17&amp;DoseP2O5K2O!$C17,'Sources P2O5 K2O'!$A$38:$A$124&amp;'Sources P2O5 K2O'!$B$38:$B$124,0),MATCH(DoseP2O5K2O!$F17,'Sources P2O5 K2O'!$I$36:$N$36,0)),,1),"")</f>
        <v>100</v>
      </c>
      <c r="C61" s="15">
        <f t="array" ref="C61">IFERROR(INDEX('Sources P2O5 K2O'!$I$38:$N$124,MATCH(DoseP2O5K2O!$B17&amp;DoseP2O5K2O!$C17,'Sources P2O5 K2O'!$A$38:$A$124&amp;'Sources P2O5 K2O'!$B$38:$B$124,0),MATCH(DoseP2O5K2O!$F17,'Sources P2O5 K2O'!$I$36:$N$36,0)),"")</f>
        <v>50</v>
      </c>
      <c r="D61" s="15">
        <f t="shared" ca="1" si="4"/>
        <v>90</v>
      </c>
      <c r="E61" s="15">
        <f t="shared" ca="1" si="5"/>
        <v>110</v>
      </c>
      <c r="F61" s="15">
        <f t="shared" ca="1" si="6"/>
        <v>200</v>
      </c>
      <c r="G61" s="15">
        <f t="shared" ca="1" si="7"/>
        <v>300</v>
      </c>
      <c r="H61" s="588">
        <v>1</v>
      </c>
      <c r="I61" s="972">
        <v>212</v>
      </c>
      <c r="J61" s="485"/>
    </row>
    <row r="62" spans="1:10">
      <c r="A62" s="603">
        <v>12</v>
      </c>
      <c r="B62" s="15">
        <f t="array" aca="1" ref="B62" ca="1">IFERROR(OFFSET(INDEX('Sources P2O5 K2O'!$I$38:$N$124,MATCH(DoseP2O5K2O!$B18&amp;DoseP2O5K2O!$C18,'Sources P2O5 K2O'!$A$38:$A$124&amp;'Sources P2O5 K2O'!$B$38:$B$124,0),MATCH(DoseP2O5K2O!$F18,'Sources P2O5 K2O'!$I$36:$N$36,0)),,1),"")</f>
        <v>100</v>
      </c>
      <c r="C62" s="15">
        <f t="array" ref="C62">IFERROR(INDEX('Sources P2O5 K2O'!$I$38:$N$124,MATCH(DoseP2O5K2O!$B18&amp;DoseP2O5K2O!$C18,'Sources P2O5 K2O'!$A$38:$A$124&amp;'Sources P2O5 K2O'!$B$38:$B$124,0),MATCH(DoseP2O5K2O!$F18,'Sources P2O5 K2O'!$I$36:$N$36,0)),"")</f>
        <v>50</v>
      </c>
      <c r="D62" s="15">
        <f t="shared" ca="1" si="4"/>
        <v>90</v>
      </c>
      <c r="E62" s="15">
        <f t="shared" ca="1" si="5"/>
        <v>110</v>
      </c>
      <c r="F62" s="15">
        <f t="shared" ca="1" si="6"/>
        <v>200</v>
      </c>
      <c r="G62" s="15">
        <f t="shared" ca="1" si="7"/>
        <v>300</v>
      </c>
      <c r="H62" s="588" t="s">
        <v>490</v>
      </c>
      <c r="I62" s="972">
        <v>325</v>
      </c>
      <c r="J62" s="485"/>
    </row>
    <row r="63" spans="1:10">
      <c r="A63" s="603">
        <v>13</v>
      </c>
      <c r="B63" s="15">
        <f t="array" aca="1" ref="B63" ca="1">IFERROR(OFFSET(INDEX('Sources P2O5 K2O'!$I$38:$N$124,MATCH(DoseP2O5K2O!$B19&amp;DoseP2O5K2O!$C19,'Sources P2O5 K2O'!$A$38:$A$124&amp;'Sources P2O5 K2O'!$B$38:$B$124,0),MATCH(DoseP2O5K2O!$F19,'Sources P2O5 K2O'!$I$36:$N$36,0)),,1),"")</f>
        <v>180</v>
      </c>
      <c r="C63" s="15">
        <f t="array" ref="C63">IFERROR(INDEX('Sources P2O5 K2O'!$I$38:$N$124,MATCH(DoseP2O5K2O!$B19&amp;DoseP2O5K2O!$C19,'Sources P2O5 K2O'!$A$38:$A$124&amp;'Sources P2O5 K2O'!$B$38:$B$124,0),MATCH(DoseP2O5K2O!$F19,'Sources P2O5 K2O'!$I$36:$N$36,0)),"")</f>
        <v>100</v>
      </c>
      <c r="D63" s="15">
        <f t="shared" ca="1" si="4"/>
        <v>162</v>
      </c>
      <c r="E63" s="15">
        <f t="shared" ca="1" si="5"/>
        <v>198</v>
      </c>
      <c r="F63" s="15">
        <f t="shared" ca="1" si="6"/>
        <v>360</v>
      </c>
      <c r="G63" s="15">
        <f t="shared" ca="1" si="7"/>
        <v>540</v>
      </c>
      <c r="H63" s="588">
        <v>1</v>
      </c>
      <c r="I63" s="972">
        <v>50</v>
      </c>
      <c r="J63" s="485"/>
    </row>
    <row r="64" spans="1:10">
      <c r="A64" s="603">
        <v>14</v>
      </c>
      <c r="B64" s="15" t="str">
        <f t="array" aca="1" ref="B64" ca="1">IFERROR(OFFSET(INDEX('Sources P2O5 K2O'!$I$38:$N$124,MATCH(DoseP2O5K2O!$B20&amp;DoseP2O5K2O!$C20,'Sources P2O5 K2O'!$A$38:$A$124&amp;'Sources P2O5 K2O'!$B$38:$B$124,0),MATCH(DoseP2O5K2O!$F20,'Sources P2O5 K2O'!$I$36:$N$36,0)),,1),"")</f>
        <v/>
      </c>
      <c r="C64" s="15" t="str">
        <f t="array" ref="C64">IFERROR(INDEX('Sources P2O5 K2O'!$I$38:$N$124,MATCH(DoseP2O5K2O!$B20&amp;DoseP2O5K2O!$C20,'Sources P2O5 K2O'!$A$38:$A$124&amp;'Sources P2O5 K2O'!$B$38:$B$124,0),MATCH(DoseP2O5K2O!$F20,'Sources P2O5 K2O'!$I$36:$N$36,0)),"")</f>
        <v/>
      </c>
      <c r="D64" s="15" t="e">
        <f t="shared" ca="1" si="4"/>
        <v>#VALUE!</v>
      </c>
      <c r="E64" s="15" t="e">
        <f t="shared" ca="1" si="5"/>
        <v>#VALUE!</v>
      </c>
      <c r="F64" s="15" t="e">
        <f t="shared" ca="1" si="6"/>
        <v>#VALUE!</v>
      </c>
      <c r="G64" s="15" t="e">
        <f t="shared" ca="1" si="7"/>
        <v>#VALUE!</v>
      </c>
      <c r="H64" s="588">
        <v>0</v>
      </c>
      <c r="I64" s="972">
        <v>185</v>
      </c>
      <c r="J64" s="485"/>
    </row>
    <row r="65" spans="1:10">
      <c r="A65" s="603">
        <v>15</v>
      </c>
      <c r="B65" s="15">
        <f t="array" aca="1" ref="B65" ca="1">IFERROR(OFFSET(INDEX('Sources P2O5 K2O'!$I$38:$N$124,MATCH(DoseP2O5K2O!$B21&amp;DoseP2O5K2O!$C21,'Sources P2O5 K2O'!$A$38:$A$124&amp;'Sources P2O5 K2O'!$B$38:$B$124,0),MATCH(DoseP2O5K2O!$F21,'Sources P2O5 K2O'!$I$36:$N$36,0)),,1),"")</f>
        <v>150</v>
      </c>
      <c r="C65" s="15">
        <f t="array" ref="C65">IFERROR(INDEX('Sources P2O5 K2O'!$I$38:$N$124,MATCH(DoseP2O5K2O!$B21&amp;DoseP2O5K2O!$C21,'Sources P2O5 K2O'!$A$38:$A$124&amp;'Sources P2O5 K2O'!$B$38:$B$124,0),MATCH(DoseP2O5K2O!$F21,'Sources P2O5 K2O'!$I$36:$N$36,0)),"")</f>
        <v>80</v>
      </c>
      <c r="D65" s="15">
        <f t="shared" ca="1" si="4"/>
        <v>135</v>
      </c>
      <c r="E65" s="15">
        <f t="shared" ca="1" si="5"/>
        <v>165</v>
      </c>
      <c r="F65" s="15">
        <f t="shared" ca="1" si="6"/>
        <v>300</v>
      </c>
      <c r="G65" s="15">
        <f t="shared" ca="1" si="7"/>
        <v>450</v>
      </c>
      <c r="H65" s="588" t="s">
        <v>490</v>
      </c>
      <c r="I65" s="972">
        <v>89</v>
      </c>
      <c r="J65" s="485"/>
    </row>
    <row r="66" spans="1:10">
      <c r="A66" s="603">
        <v>16</v>
      </c>
      <c r="B66" s="15">
        <f t="array" aca="1" ref="B66" ca="1">IFERROR(OFFSET(INDEX('Sources P2O5 K2O'!$I$38:$N$124,MATCH(DoseP2O5K2O!$B22&amp;DoseP2O5K2O!$C22,'Sources P2O5 K2O'!$A$38:$A$124&amp;'Sources P2O5 K2O'!$B$38:$B$124,0),MATCH(DoseP2O5K2O!$F22,'Sources P2O5 K2O'!$I$36:$N$36,0)),,1),"")</f>
        <v>120</v>
      </c>
      <c r="C66" s="15">
        <f t="array" ref="C66">IFERROR(INDEX('Sources P2O5 K2O'!$I$38:$N$124,MATCH(DoseP2O5K2O!$B22&amp;DoseP2O5K2O!$C22,'Sources P2O5 K2O'!$A$38:$A$124&amp;'Sources P2O5 K2O'!$B$38:$B$124,0),MATCH(DoseP2O5K2O!$F22,'Sources P2O5 K2O'!$I$36:$N$36,0)),"")</f>
        <v>80</v>
      </c>
      <c r="D66" s="15">
        <f t="shared" ca="1" si="4"/>
        <v>108</v>
      </c>
      <c r="E66" s="15">
        <f t="shared" ca="1" si="5"/>
        <v>132</v>
      </c>
      <c r="F66" s="15">
        <f t="shared" ca="1" si="6"/>
        <v>240</v>
      </c>
      <c r="G66" s="15">
        <f t="shared" ca="1" si="7"/>
        <v>360</v>
      </c>
      <c r="H66" s="588">
        <v>1</v>
      </c>
      <c r="I66" s="972">
        <v>398</v>
      </c>
      <c r="J66" s="485"/>
    </row>
    <row r="67" spans="1:10">
      <c r="A67" s="603">
        <v>17</v>
      </c>
      <c r="B67" s="15">
        <f t="array" aca="1" ref="B67" ca="1">IFERROR(OFFSET(INDEX('Sources P2O5 K2O'!$I$38:$N$124,MATCH(DoseP2O5K2O!$B23&amp;DoseP2O5K2O!$C23,'Sources P2O5 K2O'!$A$38:$A$124&amp;'Sources P2O5 K2O'!$B$38:$B$124,0),MATCH(DoseP2O5K2O!$F23,'Sources P2O5 K2O'!$I$36:$N$36,0)),,1),"")</f>
        <v>400</v>
      </c>
      <c r="C67" s="15">
        <f t="array" ref="C67">IFERROR(INDEX('Sources P2O5 K2O'!$I$38:$N$124,MATCH(DoseP2O5K2O!$B23&amp;DoseP2O5K2O!$C23,'Sources P2O5 K2O'!$A$38:$A$124&amp;'Sources P2O5 K2O'!$B$38:$B$124,0),MATCH(DoseP2O5K2O!$F23,'Sources P2O5 K2O'!$I$36:$N$36,0)),"")</f>
        <v>300</v>
      </c>
      <c r="D67" s="15">
        <f t="shared" ca="1" si="4"/>
        <v>360</v>
      </c>
      <c r="E67" s="15">
        <f t="shared" ca="1" si="5"/>
        <v>440</v>
      </c>
      <c r="F67" s="15">
        <f t="shared" ca="1" si="6"/>
        <v>800</v>
      </c>
      <c r="G67" s="15">
        <f t="shared" ca="1" si="7"/>
        <v>1200</v>
      </c>
      <c r="H67" s="588">
        <v>0</v>
      </c>
      <c r="I67" s="972">
        <v>598</v>
      </c>
      <c r="J67" s="485"/>
    </row>
    <row r="68" spans="1:10" ht="15.75" thickBot="1">
      <c r="A68" s="604">
        <v>18</v>
      </c>
      <c r="B68" s="30">
        <f t="array" aca="1" ref="B68" ca="1">IFERROR(OFFSET(INDEX('Sources P2O5 K2O'!$I$38:$N$124,MATCH(DoseP2O5K2O!$B24&amp;DoseP2O5K2O!$C24,'Sources P2O5 K2O'!$A$38:$A$124&amp;'Sources P2O5 K2O'!$B$38:$B$124,0),MATCH(DoseP2O5K2O!$F24,'Sources P2O5 K2O'!$I$36:$N$36,0)),,1),"")</f>
        <v>150</v>
      </c>
      <c r="C68" s="30">
        <f t="array" ref="C68">IFERROR(INDEX('Sources P2O5 K2O'!$I$38:$N$124,MATCH(DoseP2O5K2O!$B24&amp;DoseP2O5K2O!$C24,'Sources P2O5 K2O'!$A$38:$A$124&amp;'Sources P2O5 K2O'!$B$38:$B$124,0),MATCH(DoseP2O5K2O!$F24,'Sources P2O5 K2O'!$I$36:$N$36,0)),"")</f>
        <v>80</v>
      </c>
      <c r="D68" s="30">
        <f t="shared" ca="1" si="4"/>
        <v>135</v>
      </c>
      <c r="E68" s="30">
        <f t="shared" ca="1" si="5"/>
        <v>165</v>
      </c>
      <c r="F68" s="30">
        <f t="shared" ca="1" si="6"/>
        <v>300</v>
      </c>
      <c r="G68" s="30">
        <f t="shared" ca="1" si="7"/>
        <v>450</v>
      </c>
      <c r="H68" s="589">
        <v>1</v>
      </c>
      <c r="I68" s="973"/>
      <c r="J68" s="486"/>
    </row>
    <row r="69" spans="1:10">
      <c r="A69" s="42"/>
    </row>
    <row r="70" spans="1:10">
      <c r="A70" s="42"/>
    </row>
    <row r="71" spans="1:10" ht="15.75">
      <c r="A71" s="650" t="s">
        <v>494</v>
      </c>
      <c r="B71" s="650"/>
      <c r="C71" s="650"/>
      <c r="D71" s="650"/>
      <c r="E71" s="650"/>
      <c r="F71" s="650"/>
      <c r="G71" s="650"/>
      <c r="H71" s="650"/>
      <c r="I71" s="650"/>
    </row>
    <row r="72" spans="1:10" ht="15.75" thickBot="1">
      <c r="A72" s="42"/>
    </row>
    <row r="73" spans="1:10" ht="74.25" customHeight="1" thickBot="1">
      <c r="A73" s="507" t="s">
        <v>324</v>
      </c>
      <c r="B73" s="508" t="s">
        <v>496</v>
      </c>
      <c r="C73" s="508" t="s">
        <v>497</v>
      </c>
      <c r="D73" s="508" t="s">
        <v>498</v>
      </c>
      <c r="E73" s="508" t="s">
        <v>499</v>
      </c>
      <c r="F73" s="509" t="s">
        <v>500</v>
      </c>
    </row>
    <row r="74" spans="1:10">
      <c r="A74" s="407">
        <v>1</v>
      </c>
      <c r="B74" s="32"/>
      <c r="C74" s="32"/>
      <c r="D74" s="506">
        <f>C74*B74*J30</f>
        <v>0</v>
      </c>
      <c r="E74" s="32"/>
      <c r="F74" s="491">
        <f>E74*B74*J51</f>
        <v>0</v>
      </c>
    </row>
    <row r="75" spans="1:10">
      <c r="A75" s="408">
        <v>2</v>
      </c>
      <c r="B75" s="15"/>
      <c r="C75" s="15"/>
      <c r="D75" s="506">
        <f t="shared" ref="D75:D91" si="8">C75*B75*J31</f>
        <v>0</v>
      </c>
      <c r="E75" s="15"/>
      <c r="F75" s="491">
        <f>E75*B75*J52</f>
        <v>0</v>
      </c>
    </row>
    <row r="76" spans="1:10">
      <c r="A76" s="408">
        <v>3</v>
      </c>
      <c r="B76" s="15"/>
      <c r="C76" s="15"/>
      <c r="D76" s="506">
        <f t="shared" si="8"/>
        <v>0</v>
      </c>
      <c r="E76" s="15"/>
      <c r="F76" s="491">
        <f>E76*B76*J53</f>
        <v>0</v>
      </c>
    </row>
    <row r="77" spans="1:10">
      <c r="A77" s="408">
        <v>4</v>
      </c>
      <c r="B77" s="15"/>
      <c r="C77" s="15"/>
      <c r="D77" s="506">
        <f t="shared" si="8"/>
        <v>0</v>
      </c>
      <c r="E77" s="15"/>
      <c r="F77" s="491">
        <f>E77*B77*J54</f>
        <v>0</v>
      </c>
    </row>
    <row r="78" spans="1:10">
      <c r="A78" s="408">
        <v>5</v>
      </c>
      <c r="B78" s="15"/>
      <c r="C78" s="15"/>
      <c r="D78" s="506">
        <f t="shared" si="8"/>
        <v>0</v>
      </c>
      <c r="E78" s="15"/>
      <c r="F78" s="491">
        <f>E78*B78*J55</f>
        <v>0</v>
      </c>
    </row>
    <row r="79" spans="1:10">
      <c r="A79" s="408">
        <v>6</v>
      </c>
      <c r="B79" s="15"/>
      <c r="C79" s="15"/>
      <c r="D79" s="506">
        <f t="shared" si="8"/>
        <v>0</v>
      </c>
      <c r="E79" s="15"/>
      <c r="F79" s="491">
        <f>E79*B79*J56</f>
        <v>0</v>
      </c>
    </row>
    <row r="80" spans="1:10">
      <c r="A80" s="408">
        <v>7</v>
      </c>
      <c r="B80" s="15"/>
      <c r="C80" s="15"/>
      <c r="D80" s="506">
        <f t="shared" si="8"/>
        <v>0</v>
      </c>
      <c r="E80" s="15"/>
      <c r="F80" s="491">
        <f>E80*B80*J57</f>
        <v>0</v>
      </c>
    </row>
    <row r="81" spans="1:6">
      <c r="A81" s="408">
        <v>8</v>
      </c>
      <c r="B81" s="15"/>
      <c r="C81" s="15"/>
      <c r="D81" s="506">
        <f t="shared" si="8"/>
        <v>0</v>
      </c>
      <c r="E81" s="15"/>
      <c r="F81" s="491">
        <f>E81*B81*J58</f>
        <v>0</v>
      </c>
    </row>
    <row r="82" spans="1:6">
      <c r="A82" s="408">
        <v>9</v>
      </c>
      <c r="B82" s="15"/>
      <c r="C82" s="15"/>
      <c r="D82" s="506">
        <f t="shared" si="8"/>
        <v>0</v>
      </c>
      <c r="E82" s="15"/>
      <c r="F82" s="491">
        <f>E82*B82*J59</f>
        <v>0</v>
      </c>
    </row>
    <row r="83" spans="1:6">
      <c r="A83" s="408">
        <v>10</v>
      </c>
      <c r="B83" s="15"/>
      <c r="C83" s="15"/>
      <c r="D83" s="506">
        <f t="shared" si="8"/>
        <v>0</v>
      </c>
      <c r="E83" s="15"/>
      <c r="F83" s="491">
        <f>E83*B83*J60</f>
        <v>0</v>
      </c>
    </row>
    <row r="84" spans="1:6">
      <c r="A84" s="408">
        <v>11</v>
      </c>
      <c r="B84" s="15"/>
      <c r="C84" s="15"/>
      <c r="D84" s="506">
        <f t="shared" si="8"/>
        <v>0</v>
      </c>
      <c r="E84" s="15"/>
      <c r="F84" s="491">
        <f>E84*B84*J61</f>
        <v>0</v>
      </c>
    </row>
    <row r="85" spans="1:6">
      <c r="A85" s="408">
        <v>12</v>
      </c>
      <c r="B85" s="15"/>
      <c r="C85" s="15"/>
      <c r="D85" s="506">
        <f t="shared" si="8"/>
        <v>0</v>
      </c>
      <c r="E85" s="15"/>
      <c r="F85" s="491">
        <f>E85*B85*J62</f>
        <v>0</v>
      </c>
    </row>
    <row r="86" spans="1:6">
      <c r="A86" s="408">
        <v>13</v>
      </c>
      <c r="B86" s="15"/>
      <c r="C86" s="15"/>
      <c r="D86" s="506">
        <f t="shared" si="8"/>
        <v>0</v>
      </c>
      <c r="E86" s="15"/>
      <c r="F86" s="491">
        <f>E86*B86*J63</f>
        <v>0</v>
      </c>
    </row>
    <row r="87" spans="1:6">
      <c r="A87" s="408">
        <v>14</v>
      </c>
      <c r="B87" s="15"/>
      <c r="C87" s="15"/>
      <c r="D87" s="506">
        <f t="shared" si="8"/>
        <v>0</v>
      </c>
      <c r="E87" s="15"/>
      <c r="F87" s="491">
        <f>E87*B87*J64</f>
        <v>0</v>
      </c>
    </row>
    <row r="88" spans="1:6">
      <c r="A88" s="408">
        <v>15</v>
      </c>
      <c r="B88" s="15"/>
      <c r="C88" s="15"/>
      <c r="D88" s="506">
        <f t="shared" si="8"/>
        <v>0</v>
      </c>
      <c r="E88" s="15"/>
      <c r="F88" s="491">
        <f>E88*B88*J65</f>
        <v>0</v>
      </c>
    </row>
    <row r="89" spans="1:6">
      <c r="A89" s="408">
        <v>16</v>
      </c>
      <c r="B89" s="15"/>
      <c r="C89" s="15"/>
      <c r="D89" s="506">
        <f t="shared" si="8"/>
        <v>0</v>
      </c>
      <c r="E89" s="15"/>
      <c r="F89" s="491">
        <f>E89*B89*J66</f>
        <v>0</v>
      </c>
    </row>
    <row r="90" spans="1:6">
      <c r="A90" s="408">
        <v>17</v>
      </c>
      <c r="B90" s="15"/>
      <c r="C90" s="15"/>
      <c r="D90" s="506">
        <f t="shared" si="8"/>
        <v>0</v>
      </c>
      <c r="E90" s="15"/>
      <c r="F90" s="491">
        <f>E90*B90*J67</f>
        <v>0</v>
      </c>
    </row>
    <row r="91" spans="1:6" ht="15.75" thickBot="1">
      <c r="A91" s="61">
        <v>18</v>
      </c>
      <c r="B91" s="30"/>
      <c r="C91" s="30"/>
      <c r="D91" s="506">
        <f t="shared" si="8"/>
        <v>0</v>
      </c>
      <c r="E91" s="30"/>
      <c r="F91" s="491">
        <f>E91*B91*J68</f>
        <v>0</v>
      </c>
    </row>
    <row r="92" spans="1:6">
      <c r="A92" s="42"/>
    </row>
    <row r="93" spans="1:6">
      <c r="A93" s="42"/>
    </row>
    <row r="94" spans="1:6">
      <c r="A94" s="42"/>
    </row>
    <row r="95" spans="1:6">
      <c r="A95" s="42"/>
    </row>
    <row r="96" spans="1:6">
      <c r="A96" s="42"/>
    </row>
    <row r="97" spans="1:14">
      <c r="A97" s="42"/>
    </row>
    <row r="98" spans="1:14">
      <c r="A98" s="42"/>
    </row>
    <row r="99" spans="1:14">
      <c r="A99" s="42"/>
    </row>
    <row r="100" spans="1:14">
      <c r="A100" s="42"/>
    </row>
    <row r="101" spans="1:14">
      <c r="A101" s="42"/>
    </row>
    <row r="102" spans="1:14">
      <c r="A102" s="42"/>
    </row>
    <row r="103" spans="1:14">
      <c r="A103" s="42"/>
    </row>
    <row r="104" spans="1:14">
      <c r="A104" s="42"/>
    </row>
    <row r="105" spans="1:14">
      <c r="A105" s="402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</row>
    <row r="106" spans="1:14">
      <c r="A106" s="402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</row>
    <row r="107" spans="1:14">
      <c r="A107" s="402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</row>
    <row r="108" spans="1:14">
      <c r="A108" s="402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</row>
    <row r="109" spans="1:14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</row>
    <row r="110" spans="1:14">
      <c r="A110" s="24"/>
      <c r="B110" s="511"/>
      <c r="C110" s="511"/>
      <c r="D110" s="511"/>
      <c r="E110" s="511"/>
      <c r="F110" s="511"/>
      <c r="G110" s="511"/>
      <c r="H110" s="511"/>
      <c r="I110" s="511"/>
      <c r="J110" s="511"/>
      <c r="K110" s="511"/>
      <c r="L110" s="511"/>
      <c r="M110" s="511"/>
      <c r="N110" s="24"/>
    </row>
    <row r="111" spans="1:14">
      <c r="A111" s="438"/>
      <c r="B111" s="438"/>
      <c r="C111" s="438"/>
      <c r="D111" s="438"/>
      <c r="E111" s="438"/>
      <c r="F111" s="438"/>
      <c r="G111" s="438"/>
      <c r="H111" s="438"/>
      <c r="I111" s="438"/>
      <c r="J111" s="438"/>
      <c r="K111" s="438"/>
      <c r="L111" s="438"/>
      <c r="M111" s="438"/>
      <c r="N111" s="438"/>
    </row>
    <row r="112" spans="1:14" ht="15.75" customHeight="1">
      <c r="A112" s="438"/>
      <c r="B112" s="438"/>
      <c r="C112" s="438"/>
      <c r="D112" s="438"/>
      <c r="E112" s="438"/>
      <c r="F112" s="438"/>
      <c r="G112" s="438"/>
      <c r="H112" s="438"/>
      <c r="I112" s="438"/>
      <c r="J112" s="438"/>
      <c r="K112" s="438"/>
      <c r="L112" s="438"/>
      <c r="M112" s="438"/>
      <c r="N112" s="438"/>
    </row>
    <row r="113" spans="1:14">
      <c r="A113" s="402"/>
      <c r="B113" s="24"/>
      <c r="C113" s="24"/>
      <c r="D113" s="510"/>
      <c r="E113" s="510"/>
      <c r="F113" s="24"/>
      <c r="G113" s="24"/>
      <c r="H113" s="24"/>
      <c r="I113" s="24"/>
      <c r="J113" s="510"/>
      <c r="K113" s="510"/>
      <c r="L113" s="24"/>
      <c r="M113" s="24"/>
      <c r="N113" s="24"/>
    </row>
    <row r="114" spans="1:14">
      <c r="A114" s="402"/>
      <c r="B114" s="402"/>
      <c r="C114" s="24"/>
      <c r="D114" s="510"/>
      <c r="E114" s="510"/>
      <c r="F114" s="24"/>
      <c r="G114" s="24"/>
      <c r="H114" s="402"/>
      <c r="I114" s="24"/>
      <c r="J114" s="510"/>
      <c r="K114" s="510"/>
      <c r="L114" s="24"/>
      <c r="M114" s="24"/>
      <c r="N114" s="24"/>
    </row>
    <row r="115" spans="1:14">
      <c r="A115" s="402"/>
      <c r="B115" s="24"/>
      <c r="C115" s="24"/>
      <c r="D115" s="510"/>
      <c r="E115" s="510"/>
      <c r="F115" s="24"/>
      <c r="G115" s="24"/>
      <c r="H115" s="24"/>
      <c r="I115" s="24"/>
      <c r="J115" s="510"/>
      <c r="K115" s="510"/>
      <c r="L115" s="24"/>
      <c r="M115" s="24"/>
      <c r="N115" s="24"/>
    </row>
    <row r="116" spans="1:14">
      <c r="A116" s="402"/>
      <c r="B116" s="24"/>
      <c r="C116" s="24"/>
      <c r="D116" s="510"/>
      <c r="E116" s="510"/>
      <c r="F116" s="24"/>
      <c r="G116" s="24"/>
      <c r="H116" s="24"/>
      <c r="I116" s="24"/>
      <c r="J116" s="510"/>
      <c r="K116" s="510"/>
      <c r="L116" s="24"/>
      <c r="M116" s="24"/>
      <c r="N116" s="24"/>
    </row>
    <row r="117" spans="1:14">
      <c r="A117" s="402"/>
      <c r="B117" s="24"/>
      <c r="C117" s="24"/>
      <c r="D117" s="510"/>
      <c r="E117" s="510"/>
      <c r="F117" s="24"/>
      <c r="G117" s="24"/>
      <c r="H117" s="24"/>
      <c r="I117" s="24"/>
      <c r="J117" s="510"/>
      <c r="K117" s="510"/>
      <c r="L117" s="24"/>
      <c r="M117" s="24"/>
      <c r="N117" s="24"/>
    </row>
    <row r="118" spans="1:14">
      <c r="A118" s="402"/>
      <c r="B118" s="24"/>
      <c r="C118" s="24"/>
      <c r="D118" s="510"/>
      <c r="E118" s="510"/>
      <c r="F118" s="24"/>
      <c r="G118" s="24"/>
      <c r="H118" s="24"/>
      <c r="I118" s="24"/>
      <c r="J118" s="510"/>
      <c r="K118" s="510"/>
      <c r="L118" s="24"/>
      <c r="M118" s="24"/>
      <c r="N118" s="24"/>
    </row>
    <row r="119" spans="1:14">
      <c r="A119" s="402"/>
      <c r="B119" s="24"/>
      <c r="C119" s="24"/>
      <c r="D119" s="510"/>
      <c r="E119" s="510"/>
      <c r="F119" s="24"/>
      <c r="G119" s="24"/>
      <c r="H119" s="24"/>
      <c r="I119" s="24"/>
      <c r="J119" s="510"/>
      <c r="K119" s="510"/>
      <c r="L119" s="24"/>
      <c r="M119" s="24"/>
      <c r="N119" s="24"/>
    </row>
    <row r="120" spans="1:14">
      <c r="A120" s="402"/>
      <c r="B120" s="24"/>
      <c r="C120" s="24"/>
      <c r="D120" s="510"/>
      <c r="E120" s="510"/>
      <c r="F120" s="24"/>
      <c r="G120" s="24"/>
      <c r="H120" s="24"/>
      <c r="I120" s="24"/>
      <c r="J120" s="510"/>
      <c r="K120" s="510"/>
      <c r="L120" s="24"/>
      <c r="M120" s="24"/>
      <c r="N120" s="24"/>
    </row>
    <row r="121" spans="1:14">
      <c r="A121" s="402"/>
      <c r="B121" s="24"/>
      <c r="C121" s="24"/>
      <c r="D121" s="510"/>
      <c r="E121" s="510"/>
      <c r="F121" s="24"/>
      <c r="G121" s="24"/>
      <c r="H121" s="24"/>
      <c r="I121" s="24"/>
      <c r="J121" s="510"/>
      <c r="K121" s="510"/>
      <c r="L121" s="24"/>
      <c r="M121" s="24"/>
      <c r="N121" s="24"/>
    </row>
    <row r="122" spans="1:14">
      <c r="A122" s="402"/>
      <c r="B122" s="24"/>
      <c r="C122" s="24"/>
      <c r="D122" s="510"/>
      <c r="E122" s="510"/>
      <c r="F122" s="24"/>
      <c r="G122" s="24"/>
      <c r="H122" s="24"/>
      <c r="I122" s="24"/>
      <c r="J122" s="510"/>
      <c r="K122" s="510"/>
      <c r="L122" s="24"/>
      <c r="M122" s="24"/>
      <c r="N122" s="24"/>
    </row>
    <row r="123" spans="1:14">
      <c r="A123" s="402"/>
      <c r="B123" s="24"/>
      <c r="C123" s="24"/>
      <c r="D123" s="510"/>
      <c r="E123" s="510"/>
      <c r="F123" s="24"/>
      <c r="G123" s="24"/>
      <c r="H123" s="24"/>
      <c r="I123" s="24"/>
      <c r="J123" s="510"/>
      <c r="K123" s="510"/>
      <c r="L123" s="24"/>
      <c r="M123" s="24"/>
      <c r="N123" s="24"/>
    </row>
    <row r="124" spans="1:14">
      <c r="A124" s="402"/>
      <c r="B124" s="24"/>
      <c r="C124" s="24"/>
      <c r="D124" s="510"/>
      <c r="E124" s="510"/>
      <c r="F124" s="24"/>
      <c r="G124" s="24"/>
      <c r="H124" s="24"/>
      <c r="I124" s="24"/>
      <c r="J124" s="510"/>
      <c r="K124" s="510"/>
      <c r="L124" s="24"/>
      <c r="M124" s="24"/>
      <c r="N124" s="24"/>
    </row>
    <row r="125" spans="1:14">
      <c r="A125" s="402"/>
      <c r="B125" s="24"/>
      <c r="C125" s="24"/>
      <c r="D125" s="510"/>
      <c r="E125" s="510"/>
      <c r="F125" s="24"/>
      <c r="G125" s="24"/>
      <c r="H125" s="24"/>
      <c r="I125" s="24"/>
      <c r="J125" s="510"/>
      <c r="K125" s="510"/>
      <c r="L125" s="24"/>
      <c r="M125" s="24"/>
      <c r="N125" s="24"/>
    </row>
    <row r="126" spans="1:14">
      <c r="A126" s="402"/>
      <c r="B126" s="24"/>
      <c r="C126" s="24"/>
      <c r="D126" s="510"/>
      <c r="E126" s="510"/>
      <c r="F126" s="24"/>
      <c r="G126" s="24"/>
      <c r="H126" s="24"/>
      <c r="I126" s="24"/>
      <c r="J126" s="510"/>
      <c r="K126" s="510"/>
      <c r="L126" s="24"/>
      <c r="M126" s="24"/>
      <c r="N126" s="24"/>
    </row>
    <row r="127" spans="1:14">
      <c r="A127" s="402"/>
      <c r="B127" s="24"/>
      <c r="C127" s="24"/>
      <c r="D127" s="510"/>
      <c r="E127" s="510"/>
      <c r="F127" s="24"/>
      <c r="G127" s="24"/>
      <c r="H127" s="24"/>
      <c r="I127" s="24"/>
      <c r="J127" s="510"/>
      <c r="K127" s="510"/>
      <c r="L127" s="24"/>
      <c r="M127" s="24"/>
      <c r="N127" s="24"/>
    </row>
    <row r="128" spans="1:14">
      <c r="A128" s="402"/>
      <c r="B128" s="24"/>
      <c r="C128" s="24"/>
      <c r="D128" s="510"/>
      <c r="E128" s="510"/>
      <c r="F128" s="24"/>
      <c r="G128" s="24"/>
      <c r="H128" s="24"/>
      <c r="I128" s="24"/>
      <c r="J128" s="510"/>
      <c r="K128" s="510"/>
      <c r="L128" s="24"/>
      <c r="M128" s="24"/>
      <c r="N128" s="24"/>
    </row>
    <row r="129" spans="1:14">
      <c r="A129" s="402"/>
      <c r="B129" s="24"/>
      <c r="C129" s="24"/>
      <c r="D129" s="510"/>
      <c r="E129" s="510"/>
      <c r="F129" s="24"/>
      <c r="G129" s="24"/>
      <c r="H129" s="24"/>
      <c r="I129" s="24"/>
      <c r="J129" s="510"/>
      <c r="K129" s="510"/>
      <c r="L129" s="24"/>
      <c r="M129" s="24"/>
      <c r="N129" s="24"/>
    </row>
    <row r="130" spans="1:14">
      <c r="A130" s="402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</row>
    <row r="131" spans="1:14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</row>
    <row r="132" spans="1:14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</row>
    <row r="133" spans="1:14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</row>
    <row r="134" spans="1:14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</row>
    <row r="135" spans="1:14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</row>
  </sheetData>
  <dataConsolidate/>
  <mergeCells count="11">
    <mergeCell ref="A71:I71"/>
    <mergeCell ref="A26:L26"/>
    <mergeCell ref="A3:F3"/>
    <mergeCell ref="D5:D6"/>
    <mergeCell ref="B5:B6"/>
    <mergeCell ref="C5:C6"/>
    <mergeCell ref="A5:A6"/>
    <mergeCell ref="E5:F5"/>
    <mergeCell ref="B28:J28"/>
    <mergeCell ref="A1:J1"/>
    <mergeCell ref="B49:J49"/>
  </mergeCells>
  <conditionalFormatting sqref="E7:G24">
    <cfRule type="cellIs" dxfId="0" priority="3" operator="equal">
      <formula>0</formula>
    </cfRule>
  </conditionalFormatting>
  <dataValidations disablePrompts="1" count="4">
    <dataValidation type="list" allowBlank="1" showInputMessage="1" showErrorMessage="1" sqref="C7:C24">
      <formula1>INDIRECT(SUBSTITUTE(B7," ","_"))</formula1>
    </dataValidation>
    <dataValidation type="list" allowBlank="1" showInputMessage="1" showErrorMessage="1" sqref="D7:D24">
      <formula1>culture</formula1>
    </dataValidation>
    <dataValidation type="list" allowBlank="1" showInputMessage="1" showErrorMessage="1" sqref="B7:B24">
      <formula1>diffré</formula1>
    </dataValidation>
    <dataValidation type="list" allowBlank="1" showInputMessage="1" showErrorMessage="1" sqref="H30:H47 H51:H68">
      <formula1>années</formula1>
    </dataValidation>
  </dataValidations>
  <pageMargins left="0.70866141732283472" right="0.70866141732283472" top="0.74803149606299213" bottom="0.74803149606299213" header="0.31496062992125984" footer="0.31496062992125984"/>
  <pageSetup paperSize="9" scale="3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Z27"/>
  <sheetViews>
    <sheetView workbookViewId="0">
      <selection activeCell="M9" sqref="M9"/>
    </sheetView>
  </sheetViews>
  <sheetFormatPr baseColWidth="10" defaultRowHeight="15"/>
  <cols>
    <col min="1" max="1" width="15.7109375" customWidth="1"/>
    <col min="2" max="2" width="32.140625" customWidth="1"/>
    <col min="3" max="3" width="19.5703125" customWidth="1"/>
    <col min="5" max="5" width="16.42578125" customWidth="1"/>
    <col min="6" max="6" width="20.140625" customWidth="1"/>
    <col min="7" max="7" width="18" customWidth="1"/>
    <col min="9" max="9" width="13" customWidth="1"/>
    <col min="17" max="17" width="19.7109375" customWidth="1"/>
    <col min="18" max="18" width="14.85546875" customWidth="1"/>
    <col min="19" max="19" width="15.42578125" customWidth="1"/>
    <col min="20" max="20" width="15.7109375" customWidth="1"/>
    <col min="21" max="21" width="18.7109375" customWidth="1"/>
    <col min="22" max="22" width="19.140625" customWidth="1"/>
    <col min="23" max="23" width="20.140625" customWidth="1"/>
    <col min="24" max="24" width="17.42578125" customWidth="1"/>
    <col min="25" max="25" width="25.140625" customWidth="1"/>
    <col min="26" max="26" width="18" customWidth="1"/>
  </cols>
  <sheetData>
    <row r="1" spans="1:26" ht="21.75" thickBot="1">
      <c r="A1" s="668" t="s">
        <v>655</v>
      </c>
      <c r="B1" s="669"/>
      <c r="C1" s="669"/>
      <c r="D1" s="669"/>
      <c r="E1" s="669"/>
      <c r="F1" s="669"/>
      <c r="G1" s="669"/>
      <c r="H1" s="669"/>
      <c r="I1" s="669"/>
      <c r="J1" s="669"/>
      <c r="K1" s="669"/>
      <c r="L1" s="669"/>
      <c r="M1" s="670"/>
    </row>
    <row r="4" spans="1:26" ht="15.75" thickBot="1"/>
    <row r="5" spans="1:26">
      <c r="A5" s="666" t="s">
        <v>653</v>
      </c>
      <c r="B5" s="543" t="s">
        <v>718</v>
      </c>
      <c r="C5" s="201">
        <v>1</v>
      </c>
      <c r="D5" s="201">
        <v>2</v>
      </c>
      <c r="E5" s="201">
        <v>3</v>
      </c>
      <c r="F5" s="201">
        <v>4</v>
      </c>
      <c r="G5" s="201">
        <v>5</v>
      </c>
      <c r="H5" s="201">
        <v>6</v>
      </c>
      <c r="I5" s="201">
        <v>7</v>
      </c>
      <c r="J5" s="201">
        <v>8</v>
      </c>
      <c r="K5" s="201">
        <v>9</v>
      </c>
      <c r="L5" s="201">
        <v>10</v>
      </c>
      <c r="M5" s="201">
        <v>11</v>
      </c>
    </row>
    <row r="6" spans="1:26">
      <c r="A6" s="667"/>
      <c r="B6" s="468" t="s">
        <v>654</v>
      </c>
      <c r="C6" s="404"/>
      <c r="D6" s="404"/>
      <c r="E6" s="404"/>
      <c r="F6" s="404"/>
      <c r="G6" s="404"/>
      <c r="H6" s="404"/>
      <c r="I6" s="404"/>
      <c r="J6" s="404"/>
      <c r="K6" s="404"/>
      <c r="L6" s="404"/>
      <c r="M6" s="207"/>
    </row>
    <row r="7" spans="1:26">
      <c r="A7" s="667"/>
      <c r="B7" s="468" t="s">
        <v>280</v>
      </c>
      <c r="C7" s="404"/>
      <c r="D7" s="404"/>
      <c r="E7" s="404"/>
      <c r="F7" s="404"/>
      <c r="G7" s="404"/>
      <c r="H7" s="404"/>
      <c r="I7" s="404"/>
      <c r="J7" s="404"/>
      <c r="K7" s="404"/>
      <c r="L7" s="404"/>
      <c r="M7" s="207"/>
    </row>
    <row r="8" spans="1:26">
      <c r="A8" s="667"/>
      <c r="B8" s="468" t="s">
        <v>281</v>
      </c>
      <c r="C8" s="404" t="str">
        <f>DoseP2O5K2O!D7</f>
        <v>Avoine</v>
      </c>
      <c r="D8" s="404" t="str">
        <f>DoseP2O5K2O!D8</f>
        <v>Colza</v>
      </c>
      <c r="E8" s="404" t="str">
        <f>DoseP2O5K2O!D9</f>
        <v>Luzerne</v>
      </c>
      <c r="F8" s="404" t="str">
        <f>DoseP2O5K2O!D10</f>
        <v>Pomme de terre</v>
      </c>
      <c r="G8" s="404" t="str">
        <f>DoseP2O5K2O!D11</f>
        <v>Blé suivant un blé</v>
      </c>
      <c r="H8" s="404" t="str">
        <f>DoseP2O5K2O!D12</f>
        <v>Seigle</v>
      </c>
      <c r="I8" s="404" t="str">
        <f>DoseP2O5K2O!D13</f>
        <v>Maïs ensilage</v>
      </c>
      <c r="J8" s="404" t="str">
        <f>DoseP2O5K2O!D14</f>
        <v>Orge</v>
      </c>
      <c r="K8" s="404" t="str">
        <f>DoseP2O5K2O!D15</f>
        <v>Pois</v>
      </c>
      <c r="L8" s="404" t="str">
        <f>DoseP2O5K2O!D16</f>
        <v>Ray-grass</v>
      </c>
      <c r="M8" s="207" t="str">
        <f>DoseP2O5K2O!D17</f>
        <v>Sorgho</v>
      </c>
    </row>
    <row r="9" spans="1:26">
      <c r="A9" s="667"/>
      <c r="B9" s="468" t="s">
        <v>282</v>
      </c>
      <c r="C9" s="404"/>
      <c r="D9" s="404"/>
      <c r="E9" s="404"/>
      <c r="F9" s="404"/>
      <c r="G9" s="404"/>
      <c r="H9" s="404"/>
      <c r="I9" s="404"/>
      <c r="J9" s="404"/>
      <c r="K9" s="404"/>
      <c r="L9" s="404"/>
      <c r="M9" s="207"/>
    </row>
    <row r="10" spans="1:26">
      <c r="A10" s="667"/>
      <c r="B10" s="468" t="s">
        <v>283</v>
      </c>
      <c r="C10" s="404"/>
      <c r="D10" s="404"/>
      <c r="E10" s="404"/>
      <c r="F10" s="404"/>
      <c r="G10" s="404"/>
      <c r="H10" s="404"/>
      <c r="I10" s="404"/>
      <c r="J10" s="404"/>
      <c r="K10" s="404"/>
      <c r="L10" s="404"/>
      <c r="M10" s="20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</row>
    <row r="11" spans="1:26" ht="69" customHeight="1">
      <c r="A11" s="667"/>
      <c r="B11" s="468" t="s">
        <v>284</v>
      </c>
      <c r="C11" s="607" t="str">
        <f>DoseP2O5K2O!C7</f>
        <v xml:space="preserve">Argilo-calcaires profonds sur marne </v>
      </c>
      <c r="D11" s="607" t="str">
        <f>DoseP2O5K2O!C8</f>
        <v>Limon</v>
      </c>
      <c r="E11" s="607" t="str">
        <f>DoseP2O5K2O!C9</f>
        <v xml:space="preserve">Argilo-calcaire superficiels (prof&lt;=40cm) </v>
      </c>
      <c r="F11" s="607" t="str">
        <f>DoseP2O5K2O!C10</f>
        <v xml:space="preserve">Hardt superficielle, Ried brun caillouteux </v>
      </c>
      <c r="G11" s="607" t="str">
        <f>DoseP2O5K2O!C11</f>
        <v xml:space="preserve">Alluvions récentes (sableuses) </v>
      </c>
      <c r="H11" s="607" t="str">
        <f>DoseP2O5K2O!C12</f>
        <v xml:space="preserve">Limons battants </v>
      </c>
      <c r="I11" s="607" t="str">
        <f>DoseP2O5K2O!C13</f>
        <v>Limon argileux</v>
      </c>
      <c r="J11" s="607" t="str">
        <f>DoseP2O5K2O!C14</f>
        <v xml:space="preserve">Limons sableux </v>
      </c>
      <c r="K11" s="607" t="str">
        <f>DoseP2O5K2O!C15</f>
        <v xml:space="preserve">Sables caillouteux non calcaires </v>
      </c>
      <c r="L11" s="607" t="str">
        <f>DoseP2O5K2O!C16</f>
        <v xml:space="preserve">Terres lourdes </v>
      </c>
      <c r="M11" s="608" t="str">
        <f>DoseP2O5K2O!C17</f>
        <v xml:space="preserve">Sables </v>
      </c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</row>
    <row r="12" spans="1:26">
      <c r="A12" s="671" t="s">
        <v>650</v>
      </c>
      <c r="B12" s="468" t="s">
        <v>287</v>
      </c>
      <c r="C12" s="404"/>
      <c r="D12" s="404"/>
      <c r="E12" s="404"/>
      <c r="F12" s="404"/>
      <c r="G12" s="404"/>
      <c r="H12" s="404"/>
      <c r="I12" s="404"/>
      <c r="J12" s="404"/>
      <c r="K12" s="404"/>
      <c r="L12" s="404"/>
      <c r="M12" s="207"/>
    </row>
    <row r="13" spans="1:26" ht="30">
      <c r="A13" s="671"/>
      <c r="B13" s="539" t="s">
        <v>288</v>
      </c>
      <c r="C13" s="404"/>
      <c r="D13" s="404"/>
      <c r="E13" s="404"/>
      <c r="F13" s="404"/>
      <c r="G13" s="404"/>
      <c r="H13" s="404"/>
      <c r="I13" s="404"/>
      <c r="J13" s="404"/>
      <c r="K13" s="404"/>
      <c r="L13" s="404"/>
      <c r="M13" s="207"/>
    </row>
    <row r="14" spans="1:26">
      <c r="A14" s="671"/>
      <c r="B14" s="540" t="s">
        <v>285</v>
      </c>
      <c r="C14" s="404">
        <f>SUM(C12:C13)</f>
        <v>0</v>
      </c>
      <c r="D14" s="404">
        <f t="shared" ref="D14:M14" si="0">SUM(D12:D13)</f>
        <v>0</v>
      </c>
      <c r="E14" s="404">
        <f t="shared" si="0"/>
        <v>0</v>
      </c>
      <c r="F14" s="404">
        <f t="shared" si="0"/>
        <v>0</v>
      </c>
      <c r="G14" s="404">
        <f t="shared" si="0"/>
        <v>0</v>
      </c>
      <c r="H14" s="404">
        <f t="shared" si="0"/>
        <v>0</v>
      </c>
      <c r="I14" s="404">
        <f t="shared" si="0"/>
        <v>0</v>
      </c>
      <c r="J14" s="404">
        <f t="shared" si="0"/>
        <v>0</v>
      </c>
      <c r="K14" s="404">
        <f t="shared" si="0"/>
        <v>0</v>
      </c>
      <c r="L14" s="404">
        <f t="shared" si="0"/>
        <v>0</v>
      </c>
      <c r="M14" s="207">
        <f t="shared" si="0"/>
        <v>0</v>
      </c>
    </row>
    <row r="15" spans="1:26" ht="30">
      <c r="A15" s="671" t="s">
        <v>651</v>
      </c>
      <c r="B15" s="539" t="s">
        <v>289</v>
      </c>
      <c r="C15" s="404"/>
      <c r="D15" s="404"/>
      <c r="E15" s="404"/>
      <c r="F15" s="404"/>
      <c r="G15" s="404"/>
      <c r="H15" s="404"/>
      <c r="I15" s="404"/>
      <c r="J15" s="404"/>
      <c r="K15" s="404"/>
      <c r="L15" s="404"/>
      <c r="M15" s="207"/>
    </row>
    <row r="16" spans="1:26">
      <c r="A16" s="671"/>
      <c r="B16" s="468" t="s">
        <v>290</v>
      </c>
      <c r="C16" s="404"/>
      <c r="D16" s="404"/>
      <c r="E16" s="404"/>
      <c r="F16" s="404"/>
      <c r="G16" s="404"/>
      <c r="H16" s="404"/>
      <c r="I16" s="404"/>
      <c r="J16" s="404"/>
      <c r="K16" s="404"/>
      <c r="L16" s="404"/>
      <c r="M16" s="207"/>
    </row>
    <row r="17" spans="1:13" ht="45">
      <c r="A17" s="671"/>
      <c r="B17" s="539" t="s">
        <v>291</v>
      </c>
      <c r="C17" s="404"/>
      <c r="D17" s="404"/>
      <c r="E17" s="404"/>
      <c r="F17" s="404"/>
      <c r="G17" s="404"/>
      <c r="H17" s="404"/>
      <c r="I17" s="404"/>
      <c r="J17" s="404"/>
      <c r="K17" s="404"/>
      <c r="L17" s="404"/>
      <c r="M17" s="207"/>
    </row>
    <row r="18" spans="1:13">
      <c r="A18" s="671"/>
      <c r="B18" s="539" t="s">
        <v>292</v>
      </c>
      <c r="C18" s="404"/>
      <c r="D18" s="404"/>
      <c r="E18" s="404"/>
      <c r="F18" s="404"/>
      <c r="G18" s="404"/>
      <c r="H18" s="404"/>
      <c r="I18" s="404"/>
      <c r="J18" s="404"/>
      <c r="K18" s="404"/>
      <c r="L18" s="404"/>
      <c r="M18" s="207"/>
    </row>
    <row r="19" spans="1:13" ht="30">
      <c r="A19" s="671"/>
      <c r="B19" s="539" t="s">
        <v>293</v>
      </c>
      <c r="C19" s="404"/>
      <c r="D19" s="404"/>
      <c r="E19" s="404"/>
      <c r="F19" s="404"/>
      <c r="G19" s="404"/>
      <c r="H19" s="404"/>
      <c r="I19" s="404"/>
      <c r="J19" s="404"/>
      <c r="K19" s="404"/>
      <c r="L19" s="404"/>
      <c r="M19" s="207"/>
    </row>
    <row r="20" spans="1:13" ht="30">
      <c r="A20" s="671"/>
      <c r="B20" s="539" t="s">
        <v>294</v>
      </c>
      <c r="C20" s="404"/>
      <c r="D20" s="404"/>
      <c r="E20" s="404"/>
      <c r="F20" s="404"/>
      <c r="G20" s="404"/>
      <c r="H20" s="404"/>
      <c r="I20" s="404"/>
      <c r="J20" s="404"/>
      <c r="K20" s="404"/>
      <c r="L20" s="404"/>
      <c r="M20" s="207"/>
    </row>
    <row r="21" spans="1:13" ht="45">
      <c r="A21" s="671"/>
      <c r="B21" s="539" t="s">
        <v>295</v>
      </c>
      <c r="C21" s="404"/>
      <c r="D21" s="404"/>
      <c r="E21" s="404"/>
      <c r="F21" s="404"/>
      <c r="G21" s="404"/>
      <c r="H21" s="404"/>
      <c r="I21" s="404"/>
      <c r="J21" s="404"/>
      <c r="K21" s="404"/>
      <c r="L21" s="404"/>
      <c r="M21" s="207"/>
    </row>
    <row r="22" spans="1:13">
      <c r="A22" s="671"/>
      <c r="B22" s="541" t="s">
        <v>296</v>
      </c>
      <c r="C22" s="404">
        <f>SUM(C15:C21)</f>
        <v>0</v>
      </c>
      <c r="D22" s="404">
        <f t="shared" ref="D22:M22" si="1">SUM(D15:D21)</f>
        <v>0</v>
      </c>
      <c r="E22" s="404">
        <f t="shared" si="1"/>
        <v>0</v>
      </c>
      <c r="F22" s="404">
        <f t="shared" si="1"/>
        <v>0</v>
      </c>
      <c r="G22" s="404">
        <f t="shared" si="1"/>
        <v>0</v>
      </c>
      <c r="H22" s="404">
        <f t="shared" si="1"/>
        <v>0</v>
      </c>
      <c r="I22" s="404">
        <f t="shared" si="1"/>
        <v>0</v>
      </c>
      <c r="J22" s="404">
        <f t="shared" si="1"/>
        <v>0</v>
      </c>
      <c r="K22" s="404">
        <f t="shared" si="1"/>
        <v>0</v>
      </c>
      <c r="L22" s="404">
        <f t="shared" si="1"/>
        <v>0</v>
      </c>
      <c r="M22" s="207">
        <f t="shared" si="1"/>
        <v>0</v>
      </c>
    </row>
    <row r="23" spans="1:13" ht="30">
      <c r="A23" s="671" t="s">
        <v>652</v>
      </c>
      <c r="B23" s="541" t="s">
        <v>297</v>
      </c>
      <c r="C23" s="404">
        <f>C14-C22</f>
        <v>0</v>
      </c>
      <c r="D23" s="404">
        <f t="shared" ref="D23:M23" si="2">D14-D22</f>
        <v>0</v>
      </c>
      <c r="E23" s="404">
        <f t="shared" si="2"/>
        <v>0</v>
      </c>
      <c r="F23" s="404">
        <f t="shared" si="2"/>
        <v>0</v>
      </c>
      <c r="G23" s="404">
        <f t="shared" si="2"/>
        <v>0</v>
      </c>
      <c r="H23" s="404">
        <f t="shared" si="2"/>
        <v>0</v>
      </c>
      <c r="I23" s="404">
        <f t="shared" si="2"/>
        <v>0</v>
      </c>
      <c r="J23" s="404">
        <f t="shared" si="2"/>
        <v>0</v>
      </c>
      <c r="K23" s="404">
        <f t="shared" si="2"/>
        <v>0</v>
      </c>
      <c r="L23" s="404">
        <f t="shared" si="2"/>
        <v>0</v>
      </c>
      <c r="M23" s="207">
        <f t="shared" si="2"/>
        <v>0</v>
      </c>
    </row>
    <row r="24" spans="1:13" ht="30">
      <c r="A24" s="671"/>
      <c r="B24" s="539" t="s">
        <v>656</v>
      </c>
      <c r="C24" s="404"/>
      <c r="D24" s="404"/>
      <c r="E24" s="404"/>
      <c r="F24" s="404"/>
      <c r="G24" s="404"/>
      <c r="H24" s="404"/>
      <c r="I24" s="404"/>
      <c r="J24" s="404"/>
      <c r="K24" s="404"/>
      <c r="L24" s="404"/>
      <c r="M24" s="207"/>
    </row>
    <row r="25" spans="1:13" ht="15.75" thickBot="1">
      <c r="A25" s="672"/>
      <c r="B25" s="542" t="s">
        <v>286</v>
      </c>
      <c r="C25" s="232">
        <f>C23+C24</f>
        <v>0</v>
      </c>
      <c r="D25" s="232">
        <f t="shared" ref="D25:M25" si="3">D23+D24</f>
        <v>0</v>
      </c>
      <c r="E25" s="232">
        <f t="shared" si="3"/>
        <v>0</v>
      </c>
      <c r="F25" s="232">
        <f t="shared" si="3"/>
        <v>0</v>
      </c>
      <c r="G25" s="232">
        <f t="shared" si="3"/>
        <v>0</v>
      </c>
      <c r="H25" s="232">
        <f t="shared" si="3"/>
        <v>0</v>
      </c>
      <c r="I25" s="232">
        <f t="shared" si="3"/>
        <v>0</v>
      </c>
      <c r="J25" s="232">
        <f t="shared" si="3"/>
        <v>0</v>
      </c>
      <c r="K25" s="232">
        <f t="shared" si="3"/>
        <v>0</v>
      </c>
      <c r="L25" s="232">
        <f t="shared" si="3"/>
        <v>0</v>
      </c>
      <c r="M25" s="233">
        <f t="shared" si="3"/>
        <v>0</v>
      </c>
    </row>
    <row r="26" spans="1:13">
      <c r="G26" s="23"/>
      <c r="H26" s="23"/>
    </row>
    <row r="27" spans="1:13">
      <c r="G27" s="23"/>
      <c r="H27" s="23"/>
    </row>
  </sheetData>
  <mergeCells count="5">
    <mergeCell ref="A5:A11"/>
    <mergeCell ref="A1:M1"/>
    <mergeCell ref="A12:A14"/>
    <mergeCell ref="A15:A22"/>
    <mergeCell ref="A23:A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I71"/>
  <sheetViews>
    <sheetView showGridLines="0" view="pageLayout" zoomScaleNormal="100" workbookViewId="0">
      <selection activeCell="C26" sqref="C26"/>
    </sheetView>
  </sheetViews>
  <sheetFormatPr baseColWidth="10" defaultRowHeight="15"/>
  <cols>
    <col min="1" max="1" width="16.7109375" customWidth="1"/>
    <col min="2" max="2" width="20.140625" customWidth="1"/>
    <col min="3" max="3" width="28.42578125" customWidth="1"/>
    <col min="4" max="4" width="9.85546875" customWidth="1"/>
    <col min="5" max="5" width="13.42578125" style="1" customWidth="1"/>
    <col min="6" max="6" width="13.28515625" style="1" customWidth="1"/>
    <col min="7" max="7" width="23.42578125" style="1" customWidth="1"/>
    <col min="8" max="8" width="26.7109375" style="1" customWidth="1"/>
    <col min="9" max="9" width="14.140625" customWidth="1"/>
  </cols>
  <sheetData>
    <row r="1" spans="2:9" ht="21" customHeight="1" thickBot="1">
      <c r="B1" s="680" t="s">
        <v>68</v>
      </c>
      <c r="C1" s="681"/>
      <c r="D1" s="682"/>
      <c r="E1" s="125"/>
      <c r="F1" s="125"/>
      <c r="G1" s="2"/>
      <c r="H1" s="3"/>
      <c r="I1" s="3"/>
    </row>
    <row r="2" spans="2:9">
      <c r="C2" s="2"/>
      <c r="D2" s="2"/>
      <c r="E2" s="2"/>
      <c r="F2" s="2"/>
      <c r="G2" s="2"/>
      <c r="H2" s="3"/>
      <c r="I2" s="5"/>
    </row>
    <row r="3" spans="2:9" s="3" customFormat="1">
      <c r="B3" s="4" t="s">
        <v>69</v>
      </c>
      <c r="D3" s="2"/>
      <c r="E3" s="2"/>
      <c r="F3" s="2"/>
      <c r="G3" s="2"/>
    </row>
    <row r="4" spans="2:9">
      <c r="C4" s="3"/>
      <c r="D4" s="6"/>
      <c r="E4" s="6"/>
      <c r="F4" s="6"/>
      <c r="G4" s="2"/>
      <c r="H4" s="3"/>
      <c r="I4" s="3"/>
    </row>
    <row r="5" spans="2:9" ht="15.75" thickBot="1">
      <c r="C5" s="3"/>
      <c r="D5" s="6"/>
      <c r="E5" s="6"/>
      <c r="F5" s="6"/>
      <c r="G5" s="2"/>
      <c r="H5" s="3"/>
      <c r="I5" s="3"/>
    </row>
    <row r="6" spans="2:9">
      <c r="B6" s="678" t="s">
        <v>250</v>
      </c>
      <c r="C6" s="673" t="s">
        <v>82</v>
      </c>
      <c r="D6" s="674"/>
      <c r="E6" s="6"/>
      <c r="F6" s="2"/>
      <c r="G6" s="3"/>
      <c r="H6" s="3"/>
    </row>
    <row r="7" spans="2:9" ht="15.75" thickBot="1">
      <c r="B7" s="679"/>
      <c r="C7" s="266" t="s">
        <v>38</v>
      </c>
      <c r="D7" s="267" t="s">
        <v>39</v>
      </c>
      <c r="E7" s="6"/>
      <c r="F7" s="2"/>
      <c r="G7" s="3"/>
      <c r="H7" s="3"/>
    </row>
    <row r="8" spans="2:9" ht="15.75" thickBot="1">
      <c r="B8" s="675" t="s">
        <v>70</v>
      </c>
      <c r="C8" s="676"/>
      <c r="D8" s="677"/>
      <c r="E8" s="6"/>
      <c r="F8" s="2"/>
      <c r="G8" s="3"/>
      <c r="H8" s="3"/>
    </row>
    <row r="9" spans="2:9">
      <c r="B9" s="31" t="s">
        <v>72</v>
      </c>
      <c r="C9" s="83">
        <v>11900</v>
      </c>
      <c r="D9" s="39">
        <v>4955</v>
      </c>
      <c r="E9" s="6"/>
      <c r="F9" s="2"/>
      <c r="G9" s="3"/>
      <c r="H9" s="3"/>
    </row>
    <row r="10" spans="2:9" ht="15.75" thickBot="1">
      <c r="B10" s="128" t="s">
        <v>84</v>
      </c>
      <c r="C10" s="129">
        <v>4980</v>
      </c>
      <c r="D10" s="44">
        <v>1328</v>
      </c>
      <c r="E10" s="6"/>
      <c r="F10" s="2"/>
      <c r="G10" s="3"/>
      <c r="H10" s="3"/>
    </row>
    <row r="11" spans="2:9" ht="15.75" thickBot="1">
      <c r="B11" s="675" t="s">
        <v>71</v>
      </c>
      <c r="C11" s="676"/>
      <c r="D11" s="677"/>
      <c r="E11" s="6"/>
      <c r="F11" s="2"/>
      <c r="G11" s="3"/>
      <c r="H11" s="3"/>
    </row>
    <row r="12" spans="2:9">
      <c r="B12" s="31" t="s">
        <v>73</v>
      </c>
      <c r="C12" s="83">
        <v>924</v>
      </c>
      <c r="D12" s="39">
        <v>372</v>
      </c>
      <c r="E12" s="6"/>
      <c r="F12" s="2"/>
      <c r="G12" s="3"/>
      <c r="H12" s="3"/>
    </row>
    <row r="13" spans="2:9">
      <c r="B13" s="28" t="s">
        <v>74</v>
      </c>
      <c r="C13" s="26">
        <v>644</v>
      </c>
      <c r="D13" s="40">
        <v>787</v>
      </c>
      <c r="E13" s="6"/>
      <c r="F13" s="2"/>
      <c r="G13" s="3"/>
      <c r="H13" s="3"/>
    </row>
    <row r="14" spans="2:9">
      <c r="B14" s="28" t="s">
        <v>75</v>
      </c>
      <c r="C14" s="26">
        <v>4972</v>
      </c>
      <c r="D14" s="40">
        <v>2075</v>
      </c>
      <c r="E14" s="6"/>
      <c r="F14" s="2"/>
      <c r="G14" s="3"/>
      <c r="H14" s="3"/>
    </row>
    <row r="15" spans="2:9">
      <c r="B15" s="28" t="s">
        <v>76</v>
      </c>
      <c r="C15" s="26">
        <v>3044</v>
      </c>
      <c r="D15" s="40">
        <v>976</v>
      </c>
      <c r="E15" s="8"/>
      <c r="F15" s="2"/>
      <c r="G15" s="3"/>
      <c r="H15" s="3"/>
    </row>
    <row r="16" spans="2:9">
      <c r="B16" s="28" t="s">
        <v>77</v>
      </c>
      <c r="C16" s="26">
        <v>2740</v>
      </c>
      <c r="D16" s="40">
        <v>685</v>
      </c>
      <c r="E16" s="2"/>
      <c r="F16" s="2"/>
      <c r="G16" s="3"/>
      <c r="H16" s="3"/>
    </row>
    <row r="17" spans="2:9">
      <c r="B17" s="28" t="s">
        <v>78</v>
      </c>
      <c r="C17" s="26">
        <v>3587</v>
      </c>
      <c r="D17" s="40">
        <v>919</v>
      </c>
      <c r="E17" s="2"/>
      <c r="F17" s="2"/>
      <c r="G17" s="3"/>
      <c r="H17" s="3"/>
    </row>
    <row r="18" spans="2:9">
      <c r="B18" s="28" t="s">
        <v>79</v>
      </c>
      <c r="C18" s="26">
        <v>2058</v>
      </c>
      <c r="D18" s="40">
        <v>929</v>
      </c>
      <c r="E18" s="2"/>
      <c r="F18" s="2"/>
      <c r="G18" s="3"/>
      <c r="H18" s="3"/>
    </row>
    <row r="19" spans="2:9">
      <c r="B19" s="28" t="s">
        <v>80</v>
      </c>
      <c r="C19" s="26">
        <v>231</v>
      </c>
      <c r="D19" s="40">
        <v>83</v>
      </c>
      <c r="E19" s="2"/>
      <c r="F19" s="2"/>
      <c r="G19" s="3"/>
      <c r="H19" s="3"/>
    </row>
    <row r="20" spans="2:9" ht="15.75" thickBot="1">
      <c r="B20" s="34" t="s">
        <v>81</v>
      </c>
      <c r="C20" s="129">
        <v>14094</v>
      </c>
      <c r="D20" s="44">
        <v>4707</v>
      </c>
      <c r="E20" s="2"/>
      <c r="F20" s="6"/>
      <c r="G20" s="3"/>
      <c r="H20" s="3"/>
    </row>
    <row r="21" spans="2:9" ht="15.75" thickBot="1">
      <c r="B21" s="268" t="s">
        <v>83</v>
      </c>
      <c r="C21" s="269">
        <f>SUM(C9:C20)</f>
        <v>49174</v>
      </c>
      <c r="D21" s="270">
        <f>SUM(D9:D20)</f>
        <v>17816</v>
      </c>
      <c r="E21" s="2"/>
      <c r="F21" s="7"/>
      <c r="G21" s="3"/>
      <c r="H21" s="3"/>
    </row>
    <row r="22" spans="2:9">
      <c r="B22" s="395"/>
      <c r="C22" s="124"/>
      <c r="D22" s="124"/>
      <c r="E22" s="2"/>
      <c r="F22" s="7"/>
      <c r="G22" s="3"/>
      <c r="H22" s="3"/>
    </row>
    <row r="23" spans="2:9">
      <c r="B23" s="395"/>
      <c r="C23" s="124"/>
      <c r="D23" s="124"/>
      <c r="E23" s="2"/>
      <c r="F23" s="7"/>
      <c r="G23" s="3"/>
      <c r="H23" s="3"/>
    </row>
    <row r="24" spans="2:9">
      <c r="B24" s="402"/>
      <c r="C24" s="392"/>
      <c r="D24" s="393"/>
      <c r="E24" s="331"/>
      <c r="F24" s="331"/>
      <c r="G24" s="9"/>
      <c r="H24" s="3"/>
      <c r="I24" s="3"/>
    </row>
    <row r="36" spans="1:8" ht="33.75" customHeight="1"/>
    <row r="37" spans="1:8" ht="21" customHeight="1"/>
    <row r="38" spans="1:8" ht="17.25" customHeight="1"/>
    <row r="39" spans="1:8" ht="17.25" customHeight="1"/>
    <row r="40" spans="1:8" ht="45" customHeight="1"/>
    <row r="41" spans="1:8" ht="15.75" customHeight="1"/>
    <row r="42" spans="1:8" ht="30.75" customHeight="1"/>
    <row r="43" spans="1:8" ht="33.75" customHeight="1"/>
    <row r="45" spans="1:8">
      <c r="D45" s="1"/>
      <c r="H45" s="79"/>
    </row>
    <row r="46" spans="1:8">
      <c r="A46" s="23"/>
      <c r="B46" s="23"/>
      <c r="C46" s="23"/>
      <c r="D46" s="10"/>
      <c r="E46" s="10"/>
      <c r="H46" s="79"/>
    </row>
    <row r="47" spans="1:8">
      <c r="A47" s="23"/>
      <c r="B47" s="23"/>
      <c r="C47" s="23"/>
      <c r="D47" s="10"/>
      <c r="E47" s="10"/>
      <c r="H47"/>
    </row>
    <row r="48" spans="1:8">
      <c r="A48" s="23"/>
      <c r="B48" s="23"/>
      <c r="C48" s="23"/>
      <c r="D48" s="10"/>
      <c r="E48" s="10"/>
      <c r="H48"/>
    </row>
    <row r="49" spans="1:8">
      <c r="A49" s="23"/>
      <c r="B49" s="23"/>
      <c r="C49" s="23"/>
      <c r="D49" s="10"/>
      <c r="E49" s="10"/>
      <c r="H49"/>
    </row>
    <row r="50" spans="1:8">
      <c r="D50" s="1"/>
      <c r="E50" s="10"/>
      <c r="H50"/>
    </row>
    <row r="51" spans="1:8">
      <c r="D51" s="1"/>
      <c r="E51" s="10"/>
      <c r="H51"/>
    </row>
    <row r="52" spans="1:8">
      <c r="D52" s="1"/>
      <c r="E52" s="10"/>
      <c r="H52"/>
    </row>
    <row r="53" spans="1:8">
      <c r="D53" s="1"/>
      <c r="E53" s="10"/>
      <c r="H53"/>
    </row>
    <row r="54" spans="1:8">
      <c r="D54" s="1"/>
      <c r="E54" s="10"/>
      <c r="H54"/>
    </row>
    <row r="55" spans="1:8">
      <c r="D55" s="1"/>
      <c r="E55" s="10"/>
      <c r="H55"/>
    </row>
    <row r="56" spans="1:8" ht="27.75" customHeight="1">
      <c r="D56" s="1"/>
      <c r="E56" s="10"/>
      <c r="H56"/>
    </row>
    <row r="57" spans="1:8" ht="24.75" customHeight="1">
      <c r="D57" s="1"/>
      <c r="E57" s="10"/>
      <c r="H57"/>
    </row>
    <row r="58" spans="1:8" ht="13.5" customHeight="1">
      <c r="D58" s="1"/>
      <c r="E58" s="10"/>
      <c r="H58"/>
    </row>
    <row r="59" spans="1:8" ht="15" customHeight="1">
      <c r="D59" s="1"/>
      <c r="E59" s="10"/>
      <c r="H59"/>
    </row>
    <row r="60" spans="1:8">
      <c r="D60" s="1"/>
      <c r="E60" s="10"/>
      <c r="H60"/>
    </row>
    <row r="61" spans="1:8">
      <c r="D61" s="1"/>
      <c r="E61" s="10"/>
      <c r="H61"/>
    </row>
    <row r="62" spans="1:8">
      <c r="D62" s="1"/>
      <c r="E62" s="10"/>
      <c r="H62"/>
    </row>
    <row r="63" spans="1:8">
      <c r="D63" s="1"/>
      <c r="E63" s="10"/>
      <c r="H63"/>
    </row>
    <row r="64" spans="1:8">
      <c r="D64" s="1"/>
      <c r="E64" s="10"/>
      <c r="H64"/>
    </row>
    <row r="65" spans="1:8">
      <c r="D65" s="1"/>
      <c r="E65" s="10"/>
      <c r="H65"/>
    </row>
    <row r="66" spans="1:8">
      <c r="D66" s="1"/>
      <c r="E66" s="10"/>
      <c r="H66"/>
    </row>
    <row r="67" spans="1:8" ht="30" customHeight="1">
      <c r="D67" s="1"/>
      <c r="E67" s="10"/>
      <c r="H67"/>
    </row>
    <row r="68" spans="1:8" ht="15" customHeight="1">
      <c r="D68" s="1"/>
      <c r="E68" s="10"/>
      <c r="H68"/>
    </row>
    <row r="69" spans="1:8">
      <c r="D69" s="1"/>
      <c r="E69" s="10"/>
      <c r="H69"/>
    </row>
    <row r="70" spans="1:8">
      <c r="A70" s="23"/>
      <c r="B70" s="391"/>
      <c r="C70" s="23"/>
      <c r="D70" s="23"/>
      <c r="E70" s="10"/>
      <c r="F70" s="10"/>
    </row>
    <row r="71" spans="1:8">
      <c r="A71" s="23"/>
      <c r="B71" s="23"/>
      <c r="C71" s="23"/>
      <c r="D71" s="23"/>
      <c r="E71" s="10"/>
      <c r="F71" s="10"/>
    </row>
  </sheetData>
  <mergeCells count="5">
    <mergeCell ref="C6:D6"/>
    <mergeCell ref="B11:D11"/>
    <mergeCell ref="B8:D8"/>
    <mergeCell ref="B6:B7"/>
    <mergeCell ref="B1:D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&amp;CPage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M94"/>
  <sheetViews>
    <sheetView showGridLines="0" topLeftCell="A79" workbookViewId="0">
      <selection activeCell="M41" sqref="M41"/>
    </sheetView>
  </sheetViews>
  <sheetFormatPr baseColWidth="10" defaultRowHeight="15"/>
  <cols>
    <col min="1" max="1" width="18.7109375" customWidth="1"/>
    <col min="2" max="2" width="18.140625" customWidth="1"/>
    <col min="3" max="3" width="20.28515625" customWidth="1"/>
    <col min="4" max="4" width="15" customWidth="1"/>
    <col min="5" max="5" width="17.42578125" customWidth="1"/>
    <col min="6" max="6" width="16.85546875" customWidth="1"/>
    <col min="7" max="7" width="16.140625" customWidth="1"/>
    <col min="8" max="8" width="15.140625" customWidth="1"/>
    <col min="9" max="9" width="17.5703125" customWidth="1"/>
    <col min="10" max="10" width="14.7109375" customWidth="1"/>
    <col min="11" max="11" width="18.140625" customWidth="1"/>
    <col min="12" max="12" width="15.140625" customWidth="1"/>
    <col min="13" max="13" width="15.42578125" customWidth="1"/>
  </cols>
  <sheetData>
    <row r="1" spans="1:13" ht="21.75" thickBot="1">
      <c r="A1" s="651" t="s">
        <v>375</v>
      </c>
      <c r="B1" s="652"/>
      <c r="C1" s="652"/>
      <c r="D1" s="652"/>
      <c r="E1" s="652"/>
      <c r="F1" s="652"/>
      <c r="G1" s="652"/>
      <c r="H1" s="652"/>
      <c r="I1" s="652"/>
      <c r="J1" s="652"/>
      <c r="K1" s="652"/>
      <c r="L1" s="652"/>
      <c r="M1" s="653"/>
    </row>
    <row r="2" spans="1:13" ht="15.75" thickBot="1"/>
    <row r="3" spans="1:13" ht="15.75" thickBot="1">
      <c r="A3" s="683" t="s">
        <v>376</v>
      </c>
      <c r="B3" s="684"/>
      <c r="C3" s="684"/>
      <c r="D3" s="684"/>
      <c r="E3" s="685"/>
    </row>
    <row r="4" spans="1:13" ht="45">
      <c r="A4" s="444" t="s">
        <v>383</v>
      </c>
      <c r="B4" s="419"/>
      <c r="C4" s="451" t="s">
        <v>399</v>
      </c>
      <c r="D4" s="696"/>
      <c r="E4" s="697"/>
    </row>
    <row r="5" spans="1:13" ht="30">
      <c r="A5" s="446" t="s">
        <v>384</v>
      </c>
      <c r="B5" s="415"/>
      <c r="C5" s="452" t="s">
        <v>400</v>
      </c>
      <c r="D5" s="415"/>
      <c r="E5" s="432" t="s">
        <v>377</v>
      </c>
    </row>
    <row r="6" spans="1:13" ht="30">
      <c r="A6" s="446" t="s">
        <v>385</v>
      </c>
      <c r="B6" s="415"/>
      <c r="C6" s="453" t="s">
        <v>401</v>
      </c>
      <c r="D6" s="415"/>
      <c r="E6" s="432" t="s">
        <v>377</v>
      </c>
    </row>
    <row r="7" spans="1:13">
      <c r="A7" s="445" t="s">
        <v>443</v>
      </c>
      <c r="B7" s="415"/>
      <c r="C7" s="689" t="s">
        <v>402</v>
      </c>
      <c r="D7" s="691"/>
      <c r="E7" s="693" t="s">
        <v>377</v>
      </c>
    </row>
    <row r="8" spans="1:13">
      <c r="A8" s="445" t="s">
        <v>386</v>
      </c>
      <c r="B8" s="415"/>
      <c r="C8" s="690"/>
      <c r="D8" s="692"/>
      <c r="E8" s="694"/>
    </row>
    <row r="9" spans="1:13" ht="45.75" thickBot="1">
      <c r="A9" s="447" t="s">
        <v>387</v>
      </c>
      <c r="B9" s="420"/>
      <c r="C9" s="454" t="s">
        <v>403</v>
      </c>
      <c r="D9" s="420"/>
      <c r="E9" s="433" t="s">
        <v>377</v>
      </c>
    </row>
    <row r="10" spans="1:13" ht="15.75" thickBot="1"/>
    <row r="11" spans="1:13" ht="15.75" thickBot="1">
      <c r="A11" s="683" t="s">
        <v>378</v>
      </c>
      <c r="B11" s="684"/>
      <c r="C11" s="684"/>
      <c r="D11" s="684"/>
      <c r="E11" s="684"/>
      <c r="F11" s="685"/>
    </row>
    <row r="12" spans="1:13" ht="30">
      <c r="A12" s="448" t="s">
        <v>388</v>
      </c>
      <c r="B12" s="42" t="s">
        <v>379</v>
      </c>
      <c r="C12" s="455"/>
      <c r="D12" s="46"/>
      <c r="E12" s="391"/>
      <c r="F12" s="429"/>
    </row>
    <row r="13" spans="1:13" ht="30">
      <c r="A13" s="449" t="s">
        <v>389</v>
      </c>
      <c r="B13" s="421" t="s">
        <v>381</v>
      </c>
      <c r="C13" s="451" t="s">
        <v>393</v>
      </c>
      <c r="D13" s="692"/>
      <c r="E13" s="692"/>
      <c r="F13" s="694"/>
    </row>
    <row r="14" spans="1:13" ht="30">
      <c r="A14" s="446" t="s">
        <v>390</v>
      </c>
      <c r="B14" s="416"/>
      <c r="C14" s="452" t="s">
        <v>394</v>
      </c>
      <c r="D14" s="415"/>
      <c r="E14" s="452" t="s">
        <v>395</v>
      </c>
      <c r="F14" s="430"/>
    </row>
    <row r="15" spans="1:13" ht="45">
      <c r="A15" s="446" t="s">
        <v>391</v>
      </c>
      <c r="B15" s="416"/>
      <c r="C15" s="452" t="s">
        <v>398</v>
      </c>
      <c r="D15" s="415"/>
      <c r="E15" s="426" t="s">
        <v>396</v>
      </c>
      <c r="F15" s="430"/>
    </row>
    <row r="16" spans="1:13" ht="45.75" thickBot="1">
      <c r="A16" s="450" t="s">
        <v>392</v>
      </c>
      <c r="B16" s="417"/>
      <c r="C16" s="456" t="s">
        <v>397</v>
      </c>
      <c r="D16" s="420"/>
      <c r="E16" s="424" t="s">
        <v>396</v>
      </c>
      <c r="F16" s="431"/>
    </row>
    <row r="17" spans="1:12" ht="15.75" thickBot="1"/>
    <row r="18" spans="1:12" ht="29.25" customHeight="1">
      <c r="A18" s="686" t="s">
        <v>412</v>
      </c>
      <c r="B18" s="687"/>
      <c r="C18" s="655" t="s">
        <v>406</v>
      </c>
      <c r="D18" s="655"/>
      <c r="E18" s="655"/>
      <c r="F18" s="661" t="s">
        <v>414</v>
      </c>
      <c r="G18" s="661" t="s">
        <v>408</v>
      </c>
      <c r="H18" s="655" t="s">
        <v>409</v>
      </c>
      <c r="I18" s="655"/>
      <c r="J18" s="655"/>
      <c r="K18" s="655"/>
      <c r="L18" s="700"/>
    </row>
    <row r="19" spans="1:12" ht="18.75" thickBot="1">
      <c r="A19" s="434" t="s">
        <v>404</v>
      </c>
      <c r="B19" s="435" t="s">
        <v>405</v>
      </c>
      <c r="C19" s="435" t="s">
        <v>419</v>
      </c>
      <c r="D19" s="435" t="s">
        <v>275</v>
      </c>
      <c r="E19" s="435" t="s">
        <v>276</v>
      </c>
      <c r="F19" s="688"/>
      <c r="G19" s="688"/>
      <c r="H19" s="435" t="s">
        <v>410</v>
      </c>
      <c r="I19" s="435" t="s">
        <v>415</v>
      </c>
      <c r="J19" s="435" t="s">
        <v>418</v>
      </c>
      <c r="K19" s="435" t="s">
        <v>275</v>
      </c>
      <c r="L19" s="436" t="s">
        <v>276</v>
      </c>
    </row>
    <row r="20" spans="1:12">
      <c r="A20" s="47"/>
      <c r="B20" s="33"/>
      <c r="C20" s="33"/>
      <c r="D20" s="33"/>
      <c r="E20" s="33"/>
      <c r="F20" s="33"/>
      <c r="G20" s="33"/>
      <c r="H20" s="33"/>
      <c r="I20" s="33"/>
      <c r="J20" s="33">
        <f>I20*F20*C20</f>
        <v>0</v>
      </c>
      <c r="K20" s="33"/>
      <c r="L20" s="441"/>
    </row>
    <row r="21" spans="1:12">
      <c r="A21" s="28"/>
      <c r="B21" s="15"/>
      <c r="C21" s="15"/>
      <c r="D21" s="15"/>
      <c r="E21" s="15"/>
      <c r="F21" s="15"/>
      <c r="G21" s="15"/>
      <c r="H21" s="15"/>
      <c r="I21" s="15"/>
      <c r="J21" s="32">
        <f t="shared" ref="J21:J26" si="0">I21*F21*C21</f>
        <v>0</v>
      </c>
      <c r="K21" s="15"/>
      <c r="L21" s="397"/>
    </row>
    <row r="22" spans="1:12">
      <c r="A22" s="28"/>
      <c r="B22" s="15"/>
      <c r="C22" s="15"/>
      <c r="D22" s="15"/>
      <c r="E22" s="15"/>
      <c r="F22" s="15"/>
      <c r="G22" s="15"/>
      <c r="H22" s="15"/>
      <c r="I22" s="15"/>
      <c r="J22" s="32">
        <f t="shared" si="0"/>
        <v>0</v>
      </c>
      <c r="K22" s="15"/>
      <c r="L22" s="397"/>
    </row>
    <row r="23" spans="1:12">
      <c r="A23" s="28"/>
      <c r="B23" s="15"/>
      <c r="C23" s="15"/>
      <c r="D23" s="15"/>
      <c r="E23" s="15"/>
      <c r="F23" s="15"/>
      <c r="G23" s="15"/>
      <c r="H23" s="15"/>
      <c r="I23" s="15"/>
      <c r="J23" s="32">
        <f t="shared" si="0"/>
        <v>0</v>
      </c>
      <c r="K23" s="15"/>
      <c r="L23" s="397"/>
    </row>
    <row r="24" spans="1:12">
      <c r="A24" s="28"/>
      <c r="B24" s="15"/>
      <c r="C24" s="15"/>
      <c r="D24" s="15"/>
      <c r="E24" s="15"/>
      <c r="F24" s="15"/>
      <c r="G24" s="15"/>
      <c r="H24" s="15"/>
      <c r="I24" s="15"/>
      <c r="J24" s="32">
        <f t="shared" si="0"/>
        <v>0</v>
      </c>
      <c r="K24" s="15"/>
      <c r="L24" s="397"/>
    </row>
    <row r="25" spans="1:12">
      <c r="A25" s="28"/>
      <c r="B25" s="15"/>
      <c r="C25" s="15"/>
      <c r="D25" s="15"/>
      <c r="E25" s="15"/>
      <c r="F25" s="15"/>
      <c r="G25" s="15"/>
      <c r="H25" s="15"/>
      <c r="I25" s="15"/>
      <c r="J25" s="32">
        <f t="shared" si="0"/>
        <v>0</v>
      </c>
      <c r="K25" s="15"/>
      <c r="L25" s="397"/>
    </row>
    <row r="26" spans="1:12" ht="15.75" thickBot="1">
      <c r="A26" s="29"/>
      <c r="B26" s="30"/>
      <c r="C26" s="30"/>
      <c r="D26" s="30"/>
      <c r="E26" s="30"/>
      <c r="F26" s="30"/>
      <c r="G26" s="30"/>
      <c r="H26" s="30"/>
      <c r="I26" s="30"/>
      <c r="J26" s="140">
        <f t="shared" si="0"/>
        <v>0</v>
      </c>
      <c r="K26" s="30"/>
      <c r="L26" s="398"/>
    </row>
    <row r="27" spans="1:12" ht="15.75" thickBot="1">
      <c r="A27" s="437" t="s">
        <v>416</v>
      </c>
    </row>
    <row r="28" spans="1:12" ht="30" customHeight="1">
      <c r="A28" s="686" t="s">
        <v>413</v>
      </c>
      <c r="B28" s="687"/>
      <c r="C28" s="655" t="s">
        <v>406</v>
      </c>
      <c r="D28" s="655"/>
      <c r="E28" s="655"/>
      <c r="F28" s="661" t="s">
        <v>414</v>
      </c>
      <c r="G28" s="701" t="s">
        <v>408</v>
      </c>
      <c r="H28" s="655" t="s">
        <v>434</v>
      </c>
      <c r="I28" s="655"/>
      <c r="J28" s="655"/>
      <c r="K28" s="655"/>
      <c r="L28" s="700"/>
    </row>
    <row r="29" spans="1:12" ht="18.75" thickBot="1">
      <c r="A29" s="434" t="s">
        <v>404</v>
      </c>
      <c r="B29" s="435" t="s">
        <v>405</v>
      </c>
      <c r="C29" s="435" t="s">
        <v>419</v>
      </c>
      <c r="D29" s="435" t="s">
        <v>275</v>
      </c>
      <c r="E29" s="435" t="s">
        <v>276</v>
      </c>
      <c r="F29" s="688"/>
      <c r="G29" s="702"/>
      <c r="H29" s="435" t="s">
        <v>410</v>
      </c>
      <c r="I29" s="435" t="s">
        <v>415</v>
      </c>
      <c r="J29" s="435" t="s">
        <v>417</v>
      </c>
      <c r="K29" s="435" t="s">
        <v>275</v>
      </c>
      <c r="L29" s="436" t="s">
        <v>276</v>
      </c>
    </row>
    <row r="30" spans="1:12">
      <c r="A30" s="47"/>
      <c r="B30" s="33"/>
      <c r="C30" s="33"/>
      <c r="D30" s="33"/>
      <c r="E30" s="33"/>
      <c r="F30" s="33"/>
      <c r="G30" s="33"/>
      <c r="H30" s="33"/>
      <c r="I30" s="33"/>
      <c r="J30" s="33">
        <f>I30*F30*C30</f>
        <v>0</v>
      </c>
      <c r="K30" s="33"/>
      <c r="L30" s="441"/>
    </row>
    <row r="31" spans="1:12">
      <c r="A31" s="28"/>
      <c r="B31" s="15"/>
      <c r="C31" s="15"/>
      <c r="D31" s="15"/>
      <c r="E31" s="15"/>
      <c r="F31" s="15"/>
      <c r="G31" s="15"/>
      <c r="H31" s="15"/>
      <c r="I31" s="15"/>
      <c r="J31" s="32">
        <f t="shared" ref="J31:J36" si="1">I31*F31*C31</f>
        <v>0</v>
      </c>
      <c r="K31" s="15"/>
      <c r="L31" s="397"/>
    </row>
    <row r="32" spans="1:12">
      <c r="A32" s="28"/>
      <c r="B32" s="15"/>
      <c r="C32" s="15"/>
      <c r="D32" s="15"/>
      <c r="E32" s="15"/>
      <c r="F32" s="15"/>
      <c r="G32" s="15"/>
      <c r="H32" s="15"/>
      <c r="I32" s="15"/>
      <c r="J32" s="32">
        <f t="shared" si="1"/>
        <v>0</v>
      </c>
      <c r="K32" s="15"/>
      <c r="L32" s="397"/>
    </row>
    <row r="33" spans="1:13">
      <c r="A33" s="28"/>
      <c r="B33" s="15"/>
      <c r="C33" s="15"/>
      <c r="D33" s="15"/>
      <c r="E33" s="15"/>
      <c r="F33" s="15"/>
      <c r="G33" s="15"/>
      <c r="H33" s="15"/>
      <c r="I33" s="15"/>
      <c r="J33" s="32">
        <f t="shared" si="1"/>
        <v>0</v>
      </c>
      <c r="K33" s="15"/>
      <c r="L33" s="397"/>
    </row>
    <row r="34" spans="1:13">
      <c r="A34" s="28"/>
      <c r="B34" s="15"/>
      <c r="C34" s="15"/>
      <c r="D34" s="15"/>
      <c r="E34" s="15"/>
      <c r="F34" s="15"/>
      <c r="G34" s="15"/>
      <c r="H34" s="15"/>
      <c r="I34" s="15"/>
      <c r="J34" s="32">
        <f t="shared" si="1"/>
        <v>0</v>
      </c>
      <c r="K34" s="15"/>
      <c r="L34" s="397"/>
    </row>
    <row r="35" spans="1:13">
      <c r="A35" s="28"/>
      <c r="B35" s="15"/>
      <c r="C35" s="15"/>
      <c r="D35" s="15"/>
      <c r="E35" s="15"/>
      <c r="F35" s="15"/>
      <c r="G35" s="15"/>
      <c r="H35" s="15"/>
      <c r="I35" s="15"/>
      <c r="J35" s="32">
        <f t="shared" si="1"/>
        <v>0</v>
      </c>
      <c r="K35" s="15"/>
      <c r="L35" s="397"/>
    </row>
    <row r="36" spans="1:13" ht="15.75" thickBot="1">
      <c r="A36" s="29"/>
      <c r="B36" s="30"/>
      <c r="C36" s="30"/>
      <c r="D36" s="30"/>
      <c r="E36" s="30"/>
      <c r="F36" s="30"/>
      <c r="G36" s="30"/>
      <c r="H36" s="30"/>
      <c r="I36" s="30"/>
      <c r="J36" s="140">
        <f t="shared" si="1"/>
        <v>0</v>
      </c>
      <c r="K36" s="30"/>
      <c r="L36" s="398"/>
    </row>
    <row r="38" spans="1:13" ht="15.75" thickBot="1"/>
    <row r="39" spans="1:13" ht="18.75" thickBot="1">
      <c r="A39" s="683" t="s">
        <v>428</v>
      </c>
      <c r="B39" s="684"/>
      <c r="C39" s="684"/>
      <c r="D39" s="684"/>
      <c r="E39" s="684"/>
      <c r="F39" s="684"/>
      <c r="G39" s="684"/>
      <c r="H39" s="685"/>
    </row>
    <row r="40" spans="1:13" ht="30">
      <c r="A40" s="449" t="s">
        <v>421</v>
      </c>
      <c r="B40" s="419"/>
      <c r="C40" s="419" t="s">
        <v>420</v>
      </c>
      <c r="D40" s="695" t="s">
        <v>425</v>
      </c>
      <c r="E40" s="695"/>
      <c r="F40" s="695"/>
      <c r="G40" s="419"/>
      <c r="H40" s="425" t="s">
        <v>422</v>
      </c>
    </row>
    <row r="41" spans="1:13" ht="31.5" customHeight="1">
      <c r="A41" s="446" t="s">
        <v>426</v>
      </c>
      <c r="B41" s="415"/>
      <c r="C41" s="415" t="s">
        <v>422</v>
      </c>
      <c r="D41" s="698" t="s">
        <v>423</v>
      </c>
      <c r="E41" s="698"/>
      <c r="F41" s="698"/>
      <c r="G41" s="415"/>
      <c r="H41" s="427" t="s">
        <v>422</v>
      </c>
    </row>
    <row r="42" spans="1:13" ht="30.75" thickBot="1">
      <c r="A42" s="450" t="s">
        <v>427</v>
      </c>
      <c r="B42" s="420"/>
      <c r="C42" s="420" t="s">
        <v>422</v>
      </c>
      <c r="D42" s="699" t="s">
        <v>424</v>
      </c>
      <c r="E42" s="699"/>
      <c r="F42" s="699"/>
      <c r="G42" s="420"/>
      <c r="H42" s="428" t="s">
        <v>422</v>
      </c>
    </row>
    <row r="44" spans="1:13" ht="19.5" thickBot="1">
      <c r="A44" s="703" t="s">
        <v>436</v>
      </c>
      <c r="B44" s="704"/>
      <c r="C44" s="704"/>
      <c r="D44" s="704"/>
      <c r="E44" s="704"/>
      <c r="F44" s="704"/>
      <c r="G44" s="704"/>
      <c r="H44" s="704"/>
      <c r="I44" s="704"/>
      <c r="J44" s="704"/>
      <c r="K44" s="704"/>
      <c r="L44" s="704"/>
      <c r="M44" s="704"/>
    </row>
    <row r="45" spans="1:13" ht="19.5" customHeight="1">
      <c r="A45" s="659" t="s">
        <v>429</v>
      </c>
      <c r="B45" s="661"/>
      <c r="C45" s="655" t="s">
        <v>405</v>
      </c>
      <c r="D45" s="710" t="s">
        <v>406</v>
      </c>
      <c r="E45" s="710"/>
      <c r="F45" s="710"/>
      <c r="G45" s="701" t="s">
        <v>414</v>
      </c>
      <c r="H45" s="701" t="s">
        <v>433</v>
      </c>
      <c r="I45" s="655" t="s">
        <v>434</v>
      </c>
      <c r="J45" s="655"/>
      <c r="K45" s="655"/>
      <c r="L45" s="655"/>
      <c r="M45" s="700"/>
    </row>
    <row r="46" spans="1:13" ht="26.25" customHeight="1" thickBot="1">
      <c r="A46" s="708"/>
      <c r="B46" s="688"/>
      <c r="C46" s="709"/>
      <c r="D46" s="435" t="s">
        <v>432</v>
      </c>
      <c r="E46" s="435" t="s">
        <v>275</v>
      </c>
      <c r="F46" s="435" t="s">
        <v>276</v>
      </c>
      <c r="G46" s="702"/>
      <c r="H46" s="702"/>
      <c r="I46" s="435" t="s">
        <v>410</v>
      </c>
      <c r="J46" s="435" t="s">
        <v>415</v>
      </c>
      <c r="K46" s="435" t="s">
        <v>417</v>
      </c>
      <c r="L46" s="435" t="s">
        <v>275</v>
      </c>
      <c r="M46" s="436" t="s">
        <v>276</v>
      </c>
    </row>
    <row r="47" spans="1:13">
      <c r="A47" s="706" t="s">
        <v>430</v>
      </c>
      <c r="B47" s="32"/>
      <c r="C47" s="32"/>
      <c r="D47" s="32"/>
      <c r="E47" s="32"/>
      <c r="F47" s="32"/>
      <c r="G47" s="32"/>
      <c r="H47" s="32"/>
      <c r="I47" s="32"/>
      <c r="J47" s="32"/>
      <c r="K47" s="32">
        <f>J47*G47*D47</f>
        <v>0</v>
      </c>
      <c r="L47" s="32"/>
      <c r="M47" s="399"/>
    </row>
    <row r="48" spans="1:13">
      <c r="A48" s="707"/>
      <c r="B48" s="15"/>
      <c r="C48" s="15"/>
      <c r="D48" s="15"/>
      <c r="E48" s="15"/>
      <c r="F48" s="15"/>
      <c r="G48" s="15"/>
      <c r="H48" s="15"/>
      <c r="I48" s="15"/>
      <c r="J48" s="15"/>
      <c r="K48" s="32">
        <f t="shared" ref="K48:K51" si="2">J48*G48*D48</f>
        <v>0</v>
      </c>
      <c r="L48" s="15"/>
      <c r="M48" s="397"/>
    </row>
    <row r="49" spans="1:13">
      <c r="A49" s="707" t="s">
        <v>431</v>
      </c>
      <c r="B49" s="15"/>
      <c r="C49" s="15"/>
      <c r="D49" s="15"/>
      <c r="E49" s="15"/>
      <c r="F49" s="15"/>
      <c r="G49" s="15"/>
      <c r="H49" s="15"/>
      <c r="I49" s="15"/>
      <c r="J49" s="15"/>
      <c r="K49" s="32">
        <f t="shared" si="2"/>
        <v>0</v>
      </c>
      <c r="L49" s="15"/>
      <c r="M49" s="397"/>
    </row>
    <row r="50" spans="1:13">
      <c r="A50" s="707"/>
      <c r="B50" s="15"/>
      <c r="C50" s="15"/>
      <c r="D50" s="15"/>
      <c r="E50" s="15"/>
      <c r="F50" s="15"/>
      <c r="G50" s="15"/>
      <c r="H50" s="15"/>
      <c r="I50" s="15"/>
      <c r="J50" s="15"/>
      <c r="K50" s="32">
        <f t="shared" si="2"/>
        <v>0</v>
      </c>
      <c r="L50" s="15"/>
      <c r="M50" s="397"/>
    </row>
    <row r="51" spans="1:13" ht="15.75" thickBot="1">
      <c r="A51" s="711"/>
      <c r="B51" s="30"/>
      <c r="C51" s="30"/>
      <c r="D51" s="30"/>
      <c r="E51" s="30"/>
      <c r="F51" s="30"/>
      <c r="G51" s="30"/>
      <c r="H51" s="30"/>
      <c r="I51" s="30"/>
      <c r="J51" s="30"/>
      <c r="K51" s="32">
        <f t="shared" si="2"/>
        <v>0</v>
      </c>
      <c r="L51" s="30"/>
      <c r="M51" s="398"/>
    </row>
    <row r="52" spans="1:13" ht="19.5" thickBot="1">
      <c r="A52" s="705" t="s">
        <v>435</v>
      </c>
      <c r="B52" s="705"/>
      <c r="C52" s="705"/>
      <c r="D52" s="705"/>
      <c r="E52" s="705"/>
      <c r="F52" s="705"/>
      <c r="G52" s="705"/>
      <c r="H52" s="705"/>
      <c r="I52" s="705"/>
      <c r="J52" s="705"/>
      <c r="K52" s="705"/>
      <c r="L52" s="705"/>
      <c r="M52" s="705"/>
    </row>
    <row r="53" spans="1:13" ht="22.5" customHeight="1">
      <c r="A53" s="659" t="s">
        <v>429</v>
      </c>
      <c r="B53" s="661"/>
      <c r="C53" s="655" t="s">
        <v>437</v>
      </c>
      <c r="D53" s="710" t="s">
        <v>438</v>
      </c>
      <c r="E53" s="710"/>
      <c r="F53" s="710"/>
      <c r="G53" s="712" t="s">
        <v>440</v>
      </c>
      <c r="H53" s="701" t="s">
        <v>433</v>
      </c>
      <c r="I53" s="655" t="s">
        <v>434</v>
      </c>
      <c r="J53" s="655"/>
      <c r="K53" s="655"/>
      <c r="L53" s="655"/>
      <c r="M53" s="700"/>
    </row>
    <row r="54" spans="1:13" ht="21.75" customHeight="1" thickBot="1">
      <c r="A54" s="708"/>
      <c r="B54" s="688"/>
      <c r="C54" s="709"/>
      <c r="D54" s="435" t="s">
        <v>439</v>
      </c>
      <c r="E54" s="435" t="s">
        <v>275</v>
      </c>
      <c r="F54" s="435" t="s">
        <v>276</v>
      </c>
      <c r="G54" s="713"/>
      <c r="H54" s="702"/>
      <c r="I54" s="435" t="s">
        <v>410</v>
      </c>
      <c r="J54" s="435" t="s">
        <v>441</v>
      </c>
      <c r="K54" s="435" t="s">
        <v>442</v>
      </c>
      <c r="L54" s="435" t="s">
        <v>275</v>
      </c>
      <c r="M54" s="436" t="s">
        <v>276</v>
      </c>
    </row>
    <row r="55" spans="1:13">
      <c r="A55" s="714"/>
      <c r="B55" s="715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99"/>
    </row>
    <row r="56" spans="1:13">
      <c r="A56" s="716"/>
      <c r="B56" s="717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397"/>
    </row>
    <row r="57" spans="1:13">
      <c r="A57" s="716"/>
      <c r="B57" s="717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397"/>
    </row>
    <row r="58" spans="1:13">
      <c r="A58" s="716"/>
      <c r="B58" s="717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397"/>
    </row>
    <row r="59" spans="1:13" ht="15.75" thickBot="1">
      <c r="A59" s="718"/>
      <c r="B59" s="719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98"/>
    </row>
    <row r="60" spans="1:13" ht="15.75" thickBot="1"/>
    <row r="61" spans="1:13" ht="15.75" thickBot="1">
      <c r="A61" s="683" t="s">
        <v>444</v>
      </c>
      <c r="B61" s="684"/>
      <c r="C61" s="684"/>
      <c r="D61" s="684"/>
      <c r="E61" s="684"/>
      <c r="F61" s="684"/>
      <c r="G61" s="684"/>
      <c r="H61" s="684"/>
      <c r="I61" s="684"/>
      <c r="J61" s="684"/>
      <c r="K61" s="684"/>
      <c r="L61" s="684"/>
      <c r="M61" s="685"/>
    </row>
    <row r="62" spans="1:13" ht="15" customHeight="1">
      <c r="A62" s="725" t="s">
        <v>449</v>
      </c>
      <c r="B62" s="725"/>
      <c r="C62" s="725"/>
      <c r="D62" s="443"/>
      <c r="E62" s="23"/>
      <c r="F62" s="23"/>
      <c r="G62" s="23"/>
      <c r="H62" s="23"/>
      <c r="I62" s="23"/>
      <c r="J62" s="23"/>
      <c r="K62" s="23"/>
      <c r="L62" s="23"/>
      <c r="M62" s="418"/>
    </row>
    <row r="63" spans="1:13">
      <c r="A63" s="721" t="s">
        <v>445</v>
      </c>
      <c r="B63" s="723" t="s">
        <v>446</v>
      </c>
      <c r="C63" s="723"/>
      <c r="D63" s="397" t="s">
        <v>448</v>
      </c>
      <c r="E63" s="23"/>
      <c r="F63" s="23"/>
      <c r="G63" s="23"/>
      <c r="H63" s="23"/>
      <c r="I63" s="23"/>
      <c r="J63" s="23"/>
      <c r="K63" s="23"/>
      <c r="L63" s="23"/>
      <c r="M63" s="418"/>
    </row>
    <row r="64" spans="1:13" ht="15.75" thickBot="1">
      <c r="A64" s="722"/>
      <c r="B64" s="724" t="s">
        <v>447</v>
      </c>
      <c r="C64" s="724"/>
      <c r="D64" s="442" t="s">
        <v>448</v>
      </c>
      <c r="E64" s="23"/>
      <c r="F64" s="23"/>
      <c r="G64" s="23"/>
      <c r="H64" s="23"/>
      <c r="I64" s="23"/>
      <c r="J64" s="23"/>
      <c r="K64" s="23"/>
      <c r="L64" s="23"/>
      <c r="M64" s="418"/>
    </row>
    <row r="65" spans="1:13" ht="20.25" customHeight="1">
      <c r="A65" s="731" t="s">
        <v>450</v>
      </c>
      <c r="B65" s="655"/>
      <c r="C65" s="710" t="s">
        <v>406</v>
      </c>
      <c r="D65" s="710"/>
      <c r="E65" s="710"/>
      <c r="F65" s="701" t="s">
        <v>414</v>
      </c>
      <c r="G65" s="661" t="s">
        <v>408</v>
      </c>
      <c r="H65" s="655" t="s">
        <v>451</v>
      </c>
      <c r="I65" s="655"/>
      <c r="J65" s="655"/>
      <c r="K65" s="655"/>
      <c r="L65" s="655"/>
      <c r="M65" s="662" t="s">
        <v>452</v>
      </c>
    </row>
    <row r="66" spans="1:13" ht="24.75" customHeight="1" thickBot="1">
      <c r="A66" s="434" t="s">
        <v>404</v>
      </c>
      <c r="B66" s="435" t="s">
        <v>405</v>
      </c>
      <c r="C66" s="435" t="s">
        <v>432</v>
      </c>
      <c r="D66" s="435" t="s">
        <v>275</v>
      </c>
      <c r="E66" s="435" t="s">
        <v>276</v>
      </c>
      <c r="F66" s="702"/>
      <c r="G66" s="688"/>
      <c r="H66" s="435" t="s">
        <v>410</v>
      </c>
      <c r="I66" s="435" t="s">
        <v>415</v>
      </c>
      <c r="J66" s="435" t="s">
        <v>417</v>
      </c>
      <c r="K66" s="435" t="s">
        <v>275</v>
      </c>
      <c r="L66" s="435" t="s">
        <v>276</v>
      </c>
      <c r="M66" s="720"/>
    </row>
    <row r="67" spans="1:13">
      <c r="A67" s="31"/>
      <c r="B67" s="32"/>
      <c r="C67" s="32"/>
      <c r="D67" s="32"/>
      <c r="E67" s="32"/>
      <c r="F67" s="32"/>
      <c r="G67" s="32"/>
      <c r="H67" s="32"/>
      <c r="I67" s="32"/>
      <c r="J67" s="32">
        <f>I67*F67*C67</f>
        <v>0</v>
      </c>
      <c r="K67" s="32"/>
      <c r="L67" s="32"/>
      <c r="M67" s="399"/>
    </row>
    <row r="68" spans="1:13">
      <c r="A68" s="28"/>
      <c r="B68" s="15"/>
      <c r="C68" s="15"/>
      <c r="D68" s="15"/>
      <c r="E68" s="15"/>
      <c r="F68" s="15"/>
      <c r="G68" s="15"/>
      <c r="H68" s="15"/>
      <c r="I68" s="15"/>
      <c r="J68" s="32">
        <f t="shared" ref="J68:J70" si="3">I68*F68*C68</f>
        <v>0</v>
      </c>
      <c r="K68" s="15"/>
      <c r="L68" s="15"/>
      <c r="M68" s="397"/>
    </row>
    <row r="69" spans="1:13">
      <c r="A69" s="28"/>
      <c r="B69" s="15"/>
      <c r="C69" s="15"/>
      <c r="D69" s="15"/>
      <c r="E69" s="15"/>
      <c r="F69" s="15"/>
      <c r="G69" s="15"/>
      <c r="H69" s="15"/>
      <c r="I69" s="15"/>
      <c r="J69" s="32">
        <f t="shared" si="3"/>
        <v>0</v>
      </c>
      <c r="K69" s="15"/>
      <c r="L69" s="15"/>
      <c r="M69" s="397"/>
    </row>
    <row r="70" spans="1:13" ht="15.75" thickBot="1">
      <c r="A70" s="29"/>
      <c r="B70" s="30"/>
      <c r="C70" s="30"/>
      <c r="D70" s="30"/>
      <c r="E70" s="30"/>
      <c r="F70" s="30"/>
      <c r="G70" s="30"/>
      <c r="H70" s="30"/>
      <c r="I70" s="30"/>
      <c r="J70" s="32">
        <f t="shared" si="3"/>
        <v>0</v>
      </c>
      <c r="K70" s="30"/>
      <c r="L70" s="30"/>
      <c r="M70" s="398"/>
    </row>
    <row r="71" spans="1:13" ht="22.5" customHeight="1">
      <c r="A71" s="729" t="s">
        <v>450</v>
      </c>
      <c r="B71" s="710"/>
      <c r="C71" s="710" t="s">
        <v>438</v>
      </c>
      <c r="D71" s="710"/>
      <c r="E71" s="710"/>
      <c r="F71" s="712" t="s">
        <v>407</v>
      </c>
      <c r="G71" s="661" t="s">
        <v>408</v>
      </c>
      <c r="H71" s="655" t="s">
        <v>451</v>
      </c>
      <c r="I71" s="655"/>
      <c r="J71" s="655"/>
      <c r="K71" s="655"/>
      <c r="L71" s="655"/>
      <c r="M71" s="662" t="s">
        <v>453</v>
      </c>
    </row>
    <row r="72" spans="1:13" ht="23.25" customHeight="1" thickBot="1">
      <c r="A72" s="434" t="s">
        <v>404</v>
      </c>
      <c r="B72" s="435" t="s">
        <v>437</v>
      </c>
      <c r="C72" s="435" t="s">
        <v>38</v>
      </c>
      <c r="D72" s="435" t="s">
        <v>275</v>
      </c>
      <c r="E72" s="435" t="s">
        <v>276</v>
      </c>
      <c r="F72" s="713"/>
      <c r="G72" s="688"/>
      <c r="H72" s="435" t="s">
        <v>410</v>
      </c>
      <c r="I72" s="435" t="s">
        <v>411</v>
      </c>
      <c r="J72" s="435" t="s">
        <v>442</v>
      </c>
      <c r="K72" s="435" t="s">
        <v>275</v>
      </c>
      <c r="L72" s="435" t="s">
        <v>276</v>
      </c>
      <c r="M72" s="720"/>
    </row>
    <row r="73" spans="1:13">
      <c r="A73" s="31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99"/>
    </row>
    <row r="74" spans="1:13">
      <c r="A74" s="28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397"/>
    </row>
    <row r="75" spans="1:13">
      <c r="A75" s="28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397"/>
    </row>
    <row r="76" spans="1:13" ht="15.75" thickBot="1">
      <c r="A76" s="29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98"/>
    </row>
    <row r="77" spans="1:13" ht="15.75" thickBot="1"/>
    <row r="78" spans="1:13" ht="15.75" thickBot="1">
      <c r="A78" s="683" t="s">
        <v>454</v>
      </c>
      <c r="B78" s="684"/>
      <c r="C78" s="684"/>
      <c r="D78" s="684"/>
      <c r="E78" s="684"/>
      <c r="F78" s="684"/>
      <c r="G78" s="684"/>
      <c r="H78" s="684"/>
      <c r="I78" s="685"/>
    </row>
    <row r="79" spans="1:13">
      <c r="A79" s="730" t="s">
        <v>455</v>
      </c>
      <c r="B79" s="728"/>
      <c r="C79" s="458"/>
      <c r="D79" s="728" t="s">
        <v>462</v>
      </c>
      <c r="E79" s="728"/>
      <c r="F79" s="459"/>
      <c r="G79" s="728" t="s">
        <v>459</v>
      </c>
      <c r="H79" s="728"/>
      <c r="I79" s="458"/>
    </row>
    <row r="80" spans="1:13">
      <c r="A80" s="726" t="s">
        <v>456</v>
      </c>
      <c r="B80" s="727"/>
      <c r="C80" s="460"/>
      <c r="D80" s="727" t="s">
        <v>458</v>
      </c>
      <c r="E80" s="727"/>
      <c r="F80" s="461"/>
      <c r="G80" s="727" t="s">
        <v>460</v>
      </c>
      <c r="H80" s="727"/>
      <c r="I80" s="460"/>
    </row>
    <row r="81" spans="1:12">
      <c r="A81" s="726" t="s">
        <v>457</v>
      </c>
      <c r="B81" s="727"/>
      <c r="C81" s="460"/>
      <c r="D81" s="727" t="s">
        <v>461</v>
      </c>
      <c r="E81" s="727"/>
      <c r="F81" s="461"/>
      <c r="G81" s="462"/>
      <c r="H81" s="462"/>
      <c r="I81" s="460"/>
    </row>
    <row r="84" spans="1:12" ht="15.75" thickBot="1"/>
    <row r="85" spans="1:12" ht="19.5" thickBot="1">
      <c r="A85" s="735" t="s">
        <v>129</v>
      </c>
      <c r="B85" s="736"/>
      <c r="C85" s="736"/>
      <c r="D85" s="736"/>
      <c r="E85" s="736"/>
      <c r="F85" s="736"/>
      <c r="G85" s="736"/>
      <c r="H85" s="736"/>
      <c r="I85" s="736"/>
      <c r="J85" s="736"/>
      <c r="K85" s="736"/>
      <c r="L85" s="737"/>
    </row>
    <row r="86" spans="1:12" ht="15.75" thickBot="1"/>
    <row r="87" spans="1:12" ht="42" customHeight="1">
      <c r="A87" s="659" t="s">
        <v>702</v>
      </c>
      <c r="B87" s="657" t="s">
        <v>706</v>
      </c>
      <c r="C87" s="733"/>
      <c r="D87" s="734"/>
      <c r="E87" s="661" t="s">
        <v>703</v>
      </c>
      <c r="F87" s="657" t="s">
        <v>707</v>
      </c>
      <c r="G87" s="733"/>
      <c r="H87" s="734"/>
      <c r="I87" s="661" t="s">
        <v>705</v>
      </c>
      <c r="J87" s="657" t="s">
        <v>708</v>
      </c>
      <c r="K87" s="733"/>
      <c r="L87" s="739"/>
    </row>
    <row r="88" spans="1:12" ht="36.75" customHeight="1">
      <c r="A88" s="732"/>
      <c r="B88" s="552" t="s">
        <v>410</v>
      </c>
      <c r="C88" s="552" t="s">
        <v>275</v>
      </c>
      <c r="D88" s="552" t="s">
        <v>276</v>
      </c>
      <c r="E88" s="738"/>
      <c r="F88" s="552" t="s">
        <v>410</v>
      </c>
      <c r="G88" s="552" t="s">
        <v>275</v>
      </c>
      <c r="H88" s="552" t="s">
        <v>276</v>
      </c>
      <c r="I88" s="738"/>
      <c r="J88" s="552" t="s">
        <v>410</v>
      </c>
      <c r="K88" s="552" t="s">
        <v>275</v>
      </c>
      <c r="L88" s="553" t="s">
        <v>276</v>
      </c>
    </row>
    <row r="89" spans="1:12" ht="15.75" thickBot="1">
      <c r="A89" s="29"/>
      <c r="B89" s="30"/>
      <c r="C89" s="30"/>
      <c r="D89" s="30"/>
      <c r="E89" s="30"/>
      <c r="F89" s="30"/>
      <c r="G89" s="30"/>
      <c r="H89" s="30"/>
      <c r="I89" s="30">
        <f>E89+A89</f>
        <v>0</v>
      </c>
      <c r="J89" s="30">
        <f>F89+B89</f>
        <v>0</v>
      </c>
      <c r="K89" s="30">
        <f t="shared" ref="K89:L89" si="4">G89+C89</f>
        <v>0</v>
      </c>
      <c r="L89" s="30">
        <f t="shared" si="4"/>
        <v>0</v>
      </c>
    </row>
    <row r="91" spans="1:12" ht="15.75" thickBot="1"/>
    <row r="92" spans="1:12" ht="33" customHeight="1">
      <c r="A92" s="659" t="s">
        <v>704</v>
      </c>
      <c r="B92" s="655" t="s">
        <v>701</v>
      </c>
      <c r="C92" s="655"/>
      <c r="D92" s="700"/>
      <c r="F92" s="659" t="s">
        <v>710</v>
      </c>
      <c r="G92" s="655" t="s">
        <v>709</v>
      </c>
      <c r="H92" s="655"/>
      <c r="I92" s="700"/>
    </row>
    <row r="93" spans="1:12" ht="29.25" customHeight="1">
      <c r="A93" s="732"/>
      <c r="B93" s="552" t="s">
        <v>410</v>
      </c>
      <c r="C93" s="552" t="s">
        <v>275</v>
      </c>
      <c r="D93" s="553" t="s">
        <v>276</v>
      </c>
      <c r="F93" s="732"/>
      <c r="G93" s="552" t="s">
        <v>410</v>
      </c>
      <c r="H93" s="552" t="s">
        <v>275</v>
      </c>
      <c r="I93" s="553" t="s">
        <v>276</v>
      </c>
    </row>
    <row r="94" spans="1:12" ht="15.75" thickBot="1">
      <c r="A94" s="29"/>
      <c r="B94" s="30"/>
      <c r="C94" s="30"/>
      <c r="D94" s="398"/>
      <c r="F94" s="29">
        <f>A94-I89</f>
        <v>0</v>
      </c>
      <c r="G94" s="30">
        <f t="shared" ref="G94:I94" si="5">B94-J89</f>
        <v>0</v>
      </c>
      <c r="H94" s="30">
        <f t="shared" si="5"/>
        <v>0</v>
      </c>
      <c r="I94" s="398">
        <f t="shared" si="5"/>
        <v>0</v>
      </c>
    </row>
  </sheetData>
  <mergeCells count="80">
    <mergeCell ref="A85:L85"/>
    <mergeCell ref="E87:E88"/>
    <mergeCell ref="F87:H87"/>
    <mergeCell ref="I87:I88"/>
    <mergeCell ref="J87:L87"/>
    <mergeCell ref="F92:F93"/>
    <mergeCell ref="G92:I92"/>
    <mergeCell ref="A92:A93"/>
    <mergeCell ref="B92:D92"/>
    <mergeCell ref="A87:A88"/>
    <mergeCell ref="B87:D87"/>
    <mergeCell ref="G79:H79"/>
    <mergeCell ref="G80:H80"/>
    <mergeCell ref="A78:I78"/>
    <mergeCell ref="A61:M61"/>
    <mergeCell ref="A1:M1"/>
    <mergeCell ref="A79:B79"/>
    <mergeCell ref="A80:B80"/>
    <mergeCell ref="F71:F72"/>
    <mergeCell ref="G71:G72"/>
    <mergeCell ref="H71:L71"/>
    <mergeCell ref="M71:M72"/>
    <mergeCell ref="A65:B65"/>
    <mergeCell ref="C65:E65"/>
    <mergeCell ref="F65:F66"/>
    <mergeCell ref="G65:G66"/>
    <mergeCell ref="H65:L65"/>
    <mergeCell ref="A81:B81"/>
    <mergeCell ref="D79:E79"/>
    <mergeCell ref="D80:E80"/>
    <mergeCell ref="D81:E81"/>
    <mergeCell ref="A71:B71"/>
    <mergeCell ref="C71:E71"/>
    <mergeCell ref="M65:M66"/>
    <mergeCell ref="A63:A64"/>
    <mergeCell ref="B63:C63"/>
    <mergeCell ref="B64:C64"/>
    <mergeCell ref="A62:C62"/>
    <mergeCell ref="A55:B55"/>
    <mergeCell ref="A56:B56"/>
    <mergeCell ref="A57:B57"/>
    <mergeCell ref="A58:B58"/>
    <mergeCell ref="A59:B59"/>
    <mergeCell ref="I53:M53"/>
    <mergeCell ref="G45:G46"/>
    <mergeCell ref="H45:H46"/>
    <mergeCell ref="I45:M45"/>
    <mergeCell ref="A49:A51"/>
    <mergeCell ref="A53:B54"/>
    <mergeCell ref="C53:C54"/>
    <mergeCell ref="D53:F53"/>
    <mergeCell ref="G53:G54"/>
    <mergeCell ref="H53:H54"/>
    <mergeCell ref="A44:M44"/>
    <mergeCell ref="A52:M52"/>
    <mergeCell ref="A47:A48"/>
    <mergeCell ref="A45:B46"/>
    <mergeCell ref="C45:C46"/>
    <mergeCell ref="D45:F45"/>
    <mergeCell ref="D40:F40"/>
    <mergeCell ref="D4:E4"/>
    <mergeCell ref="D13:F13"/>
    <mergeCell ref="D41:F41"/>
    <mergeCell ref="D42:F42"/>
    <mergeCell ref="A39:H39"/>
    <mergeCell ref="H18:L18"/>
    <mergeCell ref="A28:B28"/>
    <mergeCell ref="C28:E28"/>
    <mergeCell ref="F28:F29"/>
    <mergeCell ref="G28:G29"/>
    <mergeCell ref="H28:L28"/>
    <mergeCell ref="A11:F11"/>
    <mergeCell ref="A3:E3"/>
    <mergeCell ref="A18:B18"/>
    <mergeCell ref="C18:E18"/>
    <mergeCell ref="F18:F19"/>
    <mergeCell ref="G18:G19"/>
    <mergeCell ref="C7:C8"/>
    <mergeCell ref="D7:D8"/>
    <mergeCell ref="E7:E8"/>
  </mergeCells>
  <conditionalFormatting sqref="F94:I94">
    <cfRule type="cellIs" dxfId="20" priority="1" operator="equal">
      <formula>0</formula>
    </cfRule>
    <cfRule type="cellIs" dxfId="19" priority="2" operator="greaterThan">
      <formula>0</formula>
    </cfRule>
    <cfRule type="cellIs" dxfId="18" priority="3" operator="lessThan">
      <formula>0</formula>
    </cfRule>
  </conditionalFormatting>
  <dataValidations count="2">
    <dataValidation type="list" allowBlank="1" showInputMessage="1" showErrorMessage="1" sqref="B12">
      <formula1>Résidus</formula1>
    </dataValidation>
    <dataValidation type="list" allowBlank="1" showInputMessage="1" showErrorMessage="1" sqref="B13">
      <formula1>Repousses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94"/>
  <sheetViews>
    <sheetView showGridLines="0" topLeftCell="A61" workbookViewId="0">
      <selection activeCell="G98" sqref="G98"/>
    </sheetView>
  </sheetViews>
  <sheetFormatPr baseColWidth="10" defaultRowHeight="15"/>
  <cols>
    <col min="1" max="1" width="18.7109375" customWidth="1"/>
    <col min="2" max="2" width="18.140625" customWidth="1"/>
    <col min="3" max="3" width="20.28515625" customWidth="1"/>
    <col min="4" max="4" width="15" customWidth="1"/>
    <col min="5" max="5" width="18" customWidth="1"/>
    <col min="6" max="6" width="16.85546875" customWidth="1"/>
    <col min="7" max="7" width="16.140625" customWidth="1"/>
    <col min="8" max="8" width="15.140625" customWidth="1"/>
    <col min="9" max="9" width="16.140625" customWidth="1"/>
    <col min="10" max="10" width="14.7109375" customWidth="1"/>
    <col min="11" max="11" width="15" customWidth="1"/>
    <col min="13" max="13" width="15.42578125" customWidth="1"/>
  </cols>
  <sheetData>
    <row r="1" spans="1:13" ht="21.75" thickBot="1">
      <c r="A1" s="651" t="s">
        <v>463</v>
      </c>
      <c r="B1" s="652"/>
      <c r="C1" s="652"/>
      <c r="D1" s="652"/>
      <c r="E1" s="652"/>
      <c r="F1" s="652"/>
      <c r="G1" s="652"/>
      <c r="H1" s="652"/>
      <c r="I1" s="652"/>
      <c r="J1" s="652"/>
      <c r="K1" s="652"/>
      <c r="L1" s="652"/>
      <c r="M1" s="653"/>
    </row>
    <row r="2" spans="1:13" ht="15.75" thickBot="1"/>
    <row r="3" spans="1:13" ht="15.75" thickBot="1">
      <c r="A3" s="683" t="s">
        <v>376</v>
      </c>
      <c r="B3" s="684"/>
      <c r="C3" s="684"/>
      <c r="D3" s="684"/>
      <c r="E3" s="685"/>
    </row>
    <row r="4" spans="1:13" ht="45">
      <c r="A4" s="444" t="s">
        <v>383</v>
      </c>
      <c r="B4" s="419"/>
      <c r="C4" s="451" t="s">
        <v>399</v>
      </c>
      <c r="D4" s="696"/>
      <c r="E4" s="697"/>
    </row>
    <row r="5" spans="1:13" ht="30">
      <c r="A5" s="446" t="s">
        <v>384</v>
      </c>
      <c r="B5" s="415"/>
      <c r="C5" s="452" t="s">
        <v>400</v>
      </c>
      <c r="D5" s="415"/>
      <c r="E5" s="432" t="s">
        <v>377</v>
      </c>
    </row>
    <row r="6" spans="1:13" ht="30">
      <c r="A6" s="446" t="s">
        <v>385</v>
      </c>
      <c r="B6" s="415"/>
      <c r="C6" s="453" t="s">
        <v>401</v>
      </c>
      <c r="D6" s="415"/>
      <c r="E6" s="432" t="s">
        <v>377</v>
      </c>
    </row>
    <row r="7" spans="1:13">
      <c r="A7" s="445" t="s">
        <v>443</v>
      </c>
      <c r="B7" s="415"/>
      <c r="C7" s="453"/>
      <c r="D7" s="415"/>
      <c r="E7" s="432"/>
    </row>
    <row r="8" spans="1:13" ht="30">
      <c r="A8" s="445" t="s">
        <v>386</v>
      </c>
      <c r="B8" s="415"/>
      <c r="C8" s="453" t="s">
        <v>402</v>
      </c>
      <c r="D8" s="415"/>
      <c r="E8" s="432" t="s">
        <v>377</v>
      </c>
    </row>
    <row r="9" spans="1:13" ht="45.75" thickBot="1">
      <c r="A9" s="447" t="s">
        <v>387</v>
      </c>
      <c r="B9" s="420"/>
      <c r="C9" s="454" t="s">
        <v>403</v>
      </c>
      <c r="D9" s="420"/>
      <c r="E9" s="433" t="s">
        <v>377</v>
      </c>
    </row>
    <row r="10" spans="1:13" ht="15.75" thickBot="1"/>
    <row r="11" spans="1:13" ht="15.75" thickBot="1">
      <c r="A11" s="683" t="s">
        <v>378</v>
      </c>
      <c r="B11" s="684"/>
      <c r="C11" s="684"/>
      <c r="D11" s="684"/>
      <c r="E11" s="684"/>
      <c r="F11" s="685"/>
    </row>
    <row r="12" spans="1:13" ht="30">
      <c r="A12" s="448" t="s">
        <v>388</v>
      </c>
      <c r="B12" s="42" t="s">
        <v>379</v>
      </c>
      <c r="C12" s="455"/>
      <c r="D12" s="46"/>
      <c r="E12" s="391"/>
      <c r="F12" s="429"/>
    </row>
    <row r="13" spans="1:13" ht="30">
      <c r="A13" s="449" t="s">
        <v>389</v>
      </c>
      <c r="B13" s="421" t="s">
        <v>381</v>
      </c>
      <c r="C13" s="451" t="s">
        <v>393</v>
      </c>
      <c r="D13" s="692"/>
      <c r="E13" s="692"/>
      <c r="F13" s="694"/>
    </row>
    <row r="14" spans="1:13" ht="30">
      <c r="A14" s="446" t="s">
        <v>390</v>
      </c>
      <c r="B14" s="416"/>
      <c r="C14" s="452" t="s">
        <v>394</v>
      </c>
      <c r="D14" s="415"/>
      <c r="E14" s="452" t="s">
        <v>395</v>
      </c>
      <c r="F14" s="430"/>
    </row>
    <row r="15" spans="1:13" ht="45">
      <c r="A15" s="446" t="s">
        <v>391</v>
      </c>
      <c r="B15" s="416"/>
      <c r="C15" s="452" t="s">
        <v>398</v>
      </c>
      <c r="D15" s="415"/>
      <c r="E15" s="426" t="s">
        <v>396</v>
      </c>
      <c r="F15" s="430"/>
    </row>
    <row r="16" spans="1:13" ht="45.75" thickBot="1">
      <c r="A16" s="450" t="s">
        <v>392</v>
      </c>
      <c r="B16" s="417"/>
      <c r="C16" s="456" t="s">
        <v>397</v>
      </c>
      <c r="D16" s="420"/>
      <c r="E16" s="424" t="s">
        <v>396</v>
      </c>
      <c r="F16" s="431"/>
    </row>
    <row r="17" spans="1:12" ht="15.75" thickBot="1"/>
    <row r="18" spans="1:12" ht="29.25" customHeight="1">
      <c r="A18" s="686" t="s">
        <v>412</v>
      </c>
      <c r="B18" s="687"/>
      <c r="C18" s="655" t="s">
        <v>406</v>
      </c>
      <c r="D18" s="655"/>
      <c r="E18" s="655"/>
      <c r="F18" s="661" t="s">
        <v>414</v>
      </c>
      <c r="G18" s="701" t="s">
        <v>408</v>
      </c>
      <c r="H18" s="655" t="s">
        <v>409</v>
      </c>
      <c r="I18" s="655"/>
      <c r="J18" s="655"/>
      <c r="K18" s="655"/>
      <c r="L18" s="700"/>
    </row>
    <row r="19" spans="1:12" ht="18.75" thickBot="1">
      <c r="A19" s="434" t="s">
        <v>404</v>
      </c>
      <c r="B19" s="435" t="s">
        <v>405</v>
      </c>
      <c r="C19" s="435" t="s">
        <v>419</v>
      </c>
      <c r="D19" s="435" t="s">
        <v>275</v>
      </c>
      <c r="E19" s="435" t="s">
        <v>276</v>
      </c>
      <c r="F19" s="688"/>
      <c r="G19" s="702"/>
      <c r="H19" s="435" t="s">
        <v>410</v>
      </c>
      <c r="I19" s="435" t="s">
        <v>415</v>
      </c>
      <c r="J19" s="435" t="s">
        <v>418</v>
      </c>
      <c r="K19" s="435" t="s">
        <v>275</v>
      </c>
      <c r="L19" s="436" t="s">
        <v>276</v>
      </c>
    </row>
    <row r="20" spans="1:12">
      <c r="A20" s="31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99"/>
    </row>
    <row r="21" spans="1:12">
      <c r="A21" s="28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397"/>
    </row>
    <row r="22" spans="1:12">
      <c r="A22" s="28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397"/>
    </row>
    <row r="23" spans="1:12">
      <c r="A23" s="28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397"/>
    </row>
    <row r="24" spans="1:12">
      <c r="A24" s="28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397"/>
    </row>
    <row r="25" spans="1:12">
      <c r="A25" s="28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397"/>
    </row>
    <row r="26" spans="1:12" ht="15.75" thickBot="1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98"/>
    </row>
    <row r="27" spans="1:12" ht="15.75" thickBot="1">
      <c r="A27" s="437" t="s">
        <v>416</v>
      </c>
    </row>
    <row r="28" spans="1:12" ht="30" customHeight="1">
      <c r="A28" s="686" t="s">
        <v>413</v>
      </c>
      <c r="B28" s="687"/>
      <c r="C28" s="655" t="s">
        <v>406</v>
      </c>
      <c r="D28" s="655"/>
      <c r="E28" s="655"/>
      <c r="F28" s="661" t="s">
        <v>414</v>
      </c>
      <c r="G28" s="701" t="s">
        <v>408</v>
      </c>
      <c r="H28" s="655" t="s">
        <v>434</v>
      </c>
      <c r="I28" s="655"/>
      <c r="J28" s="655"/>
      <c r="K28" s="655"/>
      <c r="L28" s="700"/>
    </row>
    <row r="29" spans="1:12" ht="18.75" thickBot="1">
      <c r="A29" s="434" t="s">
        <v>404</v>
      </c>
      <c r="B29" s="435" t="s">
        <v>405</v>
      </c>
      <c r="C29" s="435" t="s">
        <v>419</v>
      </c>
      <c r="D29" s="435" t="s">
        <v>275</v>
      </c>
      <c r="E29" s="435" t="s">
        <v>276</v>
      </c>
      <c r="F29" s="688"/>
      <c r="G29" s="702"/>
      <c r="H29" s="435" t="s">
        <v>410</v>
      </c>
      <c r="I29" s="435" t="s">
        <v>415</v>
      </c>
      <c r="J29" s="435" t="s">
        <v>417</v>
      </c>
      <c r="K29" s="435" t="s">
        <v>275</v>
      </c>
      <c r="L29" s="436" t="s">
        <v>276</v>
      </c>
    </row>
    <row r="30" spans="1:12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99"/>
    </row>
    <row r="31" spans="1:12">
      <c r="A31" s="28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397"/>
    </row>
    <row r="32" spans="1:12">
      <c r="A32" s="28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397"/>
    </row>
    <row r="33" spans="1:13">
      <c r="A33" s="28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397"/>
    </row>
    <row r="34" spans="1:13">
      <c r="A34" s="28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397"/>
    </row>
    <row r="35" spans="1:13">
      <c r="A35" s="28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397"/>
    </row>
    <row r="36" spans="1:13" ht="15.75" thickBot="1">
      <c r="A36" s="29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98"/>
    </row>
    <row r="38" spans="1:13" ht="15.75" thickBot="1"/>
    <row r="39" spans="1:13" ht="18.75" thickBot="1">
      <c r="A39" s="683" t="s">
        <v>428</v>
      </c>
      <c r="B39" s="684"/>
      <c r="C39" s="684"/>
      <c r="D39" s="684"/>
      <c r="E39" s="684"/>
      <c r="F39" s="684"/>
      <c r="G39" s="684"/>
      <c r="H39" s="685"/>
    </row>
    <row r="40" spans="1:13" ht="30">
      <c r="A40" s="449" t="s">
        <v>421</v>
      </c>
      <c r="B40" s="419"/>
      <c r="C40" s="419" t="s">
        <v>420</v>
      </c>
      <c r="D40" s="695" t="s">
        <v>425</v>
      </c>
      <c r="E40" s="695"/>
      <c r="F40" s="695"/>
      <c r="G40" s="419"/>
      <c r="H40" s="425" t="s">
        <v>422</v>
      </c>
    </row>
    <row r="41" spans="1:13" ht="31.5" customHeight="1">
      <c r="A41" s="446" t="s">
        <v>426</v>
      </c>
      <c r="B41" s="415"/>
      <c r="C41" s="415" t="s">
        <v>422</v>
      </c>
      <c r="D41" s="698" t="s">
        <v>423</v>
      </c>
      <c r="E41" s="698"/>
      <c r="F41" s="698"/>
      <c r="G41" s="415"/>
      <c r="H41" s="427" t="s">
        <v>422</v>
      </c>
    </row>
    <row r="42" spans="1:13" ht="30.75" thickBot="1">
      <c r="A42" s="450" t="s">
        <v>427</v>
      </c>
      <c r="B42" s="420"/>
      <c r="C42" s="420" t="s">
        <v>422</v>
      </c>
      <c r="D42" s="699" t="s">
        <v>424</v>
      </c>
      <c r="E42" s="699"/>
      <c r="F42" s="699"/>
      <c r="G42" s="420"/>
      <c r="H42" s="428" t="s">
        <v>422</v>
      </c>
    </row>
    <row r="44" spans="1:13" ht="19.5" thickBot="1">
      <c r="A44" s="703" t="s">
        <v>436</v>
      </c>
      <c r="B44" s="704"/>
      <c r="C44" s="704"/>
      <c r="D44" s="704"/>
      <c r="E44" s="704"/>
      <c r="F44" s="704"/>
      <c r="G44" s="704"/>
      <c r="H44" s="704"/>
      <c r="I44" s="704"/>
      <c r="J44" s="704"/>
      <c r="K44" s="704"/>
      <c r="L44" s="704"/>
      <c r="M44" s="704"/>
    </row>
    <row r="45" spans="1:13" ht="19.5" customHeight="1">
      <c r="A45" s="659" t="s">
        <v>429</v>
      </c>
      <c r="B45" s="661"/>
      <c r="C45" s="655" t="s">
        <v>405</v>
      </c>
      <c r="D45" s="710" t="s">
        <v>406</v>
      </c>
      <c r="E45" s="710"/>
      <c r="F45" s="710"/>
      <c r="G45" s="701" t="s">
        <v>414</v>
      </c>
      <c r="H45" s="701" t="s">
        <v>433</v>
      </c>
      <c r="I45" s="655" t="s">
        <v>434</v>
      </c>
      <c r="J45" s="655"/>
      <c r="K45" s="655"/>
      <c r="L45" s="655"/>
      <c r="M45" s="700"/>
    </row>
    <row r="46" spans="1:13" ht="26.25" customHeight="1" thickBot="1">
      <c r="A46" s="708"/>
      <c r="B46" s="688"/>
      <c r="C46" s="709"/>
      <c r="D46" s="435" t="s">
        <v>432</v>
      </c>
      <c r="E46" s="435" t="s">
        <v>275</v>
      </c>
      <c r="F46" s="435" t="s">
        <v>276</v>
      </c>
      <c r="G46" s="702"/>
      <c r="H46" s="702"/>
      <c r="I46" s="435" t="s">
        <v>410</v>
      </c>
      <c r="J46" s="435" t="s">
        <v>415</v>
      </c>
      <c r="K46" s="435" t="s">
        <v>417</v>
      </c>
      <c r="L46" s="435" t="s">
        <v>275</v>
      </c>
      <c r="M46" s="436" t="s">
        <v>276</v>
      </c>
    </row>
    <row r="47" spans="1:13">
      <c r="A47" s="740" t="s">
        <v>430</v>
      </c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99"/>
    </row>
    <row r="48" spans="1:13">
      <c r="A48" s="741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397"/>
    </row>
    <row r="49" spans="1:13">
      <c r="A49" s="741" t="s">
        <v>431</v>
      </c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397"/>
    </row>
    <row r="50" spans="1:13">
      <c r="A50" s="741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397"/>
    </row>
    <row r="51" spans="1:13" ht="15.75" thickBot="1">
      <c r="A51" s="742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98"/>
    </row>
    <row r="52" spans="1:13" ht="19.5" thickBot="1">
      <c r="A52" s="705" t="s">
        <v>435</v>
      </c>
      <c r="B52" s="705"/>
      <c r="C52" s="705"/>
      <c r="D52" s="705"/>
      <c r="E52" s="705"/>
      <c r="F52" s="705"/>
      <c r="G52" s="705"/>
      <c r="H52" s="705"/>
      <c r="I52" s="705"/>
      <c r="J52" s="705"/>
      <c r="K52" s="705"/>
      <c r="L52" s="705"/>
      <c r="M52" s="705"/>
    </row>
    <row r="53" spans="1:13" ht="22.5" customHeight="1">
      <c r="A53" s="659" t="s">
        <v>429</v>
      </c>
      <c r="B53" s="661"/>
      <c r="C53" s="655" t="s">
        <v>437</v>
      </c>
      <c r="D53" s="710" t="s">
        <v>438</v>
      </c>
      <c r="E53" s="710"/>
      <c r="F53" s="710"/>
      <c r="G53" s="712" t="s">
        <v>440</v>
      </c>
      <c r="H53" s="701" t="s">
        <v>433</v>
      </c>
      <c r="I53" s="655" t="s">
        <v>434</v>
      </c>
      <c r="J53" s="655"/>
      <c r="K53" s="655"/>
      <c r="L53" s="655"/>
      <c r="M53" s="700"/>
    </row>
    <row r="54" spans="1:13" ht="21.75" customHeight="1" thickBot="1">
      <c r="A54" s="708"/>
      <c r="B54" s="688"/>
      <c r="C54" s="709"/>
      <c r="D54" s="435" t="s">
        <v>439</v>
      </c>
      <c r="E54" s="435" t="s">
        <v>275</v>
      </c>
      <c r="F54" s="435" t="s">
        <v>276</v>
      </c>
      <c r="G54" s="713"/>
      <c r="H54" s="702"/>
      <c r="I54" s="435" t="s">
        <v>410</v>
      </c>
      <c r="J54" s="435" t="s">
        <v>441</v>
      </c>
      <c r="K54" s="435" t="s">
        <v>442</v>
      </c>
      <c r="L54" s="435" t="s">
        <v>275</v>
      </c>
      <c r="M54" s="436" t="s">
        <v>276</v>
      </c>
    </row>
    <row r="55" spans="1:13">
      <c r="A55" s="714"/>
      <c r="B55" s="715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99"/>
    </row>
    <row r="56" spans="1:13">
      <c r="A56" s="716"/>
      <c r="B56" s="717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397"/>
    </row>
    <row r="57" spans="1:13">
      <c r="A57" s="716"/>
      <c r="B57" s="717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397"/>
    </row>
    <row r="58" spans="1:13">
      <c r="A58" s="716"/>
      <c r="B58" s="717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397"/>
    </row>
    <row r="59" spans="1:13" ht="15.75" thickBot="1">
      <c r="A59" s="718"/>
      <c r="B59" s="719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98"/>
    </row>
    <row r="60" spans="1:13" ht="15.75" thickBot="1"/>
    <row r="61" spans="1:13" ht="15.75" thickBot="1">
      <c r="A61" s="683" t="s">
        <v>444</v>
      </c>
      <c r="B61" s="684"/>
      <c r="C61" s="684"/>
      <c r="D61" s="684"/>
      <c r="E61" s="684"/>
      <c r="F61" s="684"/>
      <c r="G61" s="684"/>
      <c r="H61" s="684"/>
      <c r="I61" s="684"/>
      <c r="J61" s="684"/>
      <c r="K61" s="684"/>
      <c r="L61" s="684"/>
      <c r="M61" s="685"/>
    </row>
    <row r="62" spans="1:13" ht="15" customHeight="1">
      <c r="A62" s="725" t="s">
        <v>449</v>
      </c>
      <c r="B62" s="725"/>
      <c r="C62" s="725"/>
      <c r="D62" s="443"/>
      <c r="E62" s="23"/>
      <c r="F62" s="23"/>
      <c r="G62" s="23"/>
      <c r="H62" s="23"/>
      <c r="I62" s="23"/>
      <c r="J62" s="23"/>
      <c r="K62" s="23"/>
      <c r="L62" s="23"/>
      <c r="M62" s="418"/>
    </row>
    <row r="63" spans="1:13">
      <c r="A63" s="721" t="s">
        <v>445</v>
      </c>
      <c r="B63" s="723" t="s">
        <v>446</v>
      </c>
      <c r="C63" s="723"/>
      <c r="D63" s="397" t="s">
        <v>448</v>
      </c>
      <c r="E63" s="23"/>
      <c r="F63" s="23"/>
      <c r="G63" s="23"/>
      <c r="H63" s="23"/>
      <c r="I63" s="23"/>
      <c r="J63" s="23"/>
      <c r="K63" s="23"/>
      <c r="L63" s="23"/>
      <c r="M63" s="418"/>
    </row>
    <row r="64" spans="1:13" ht="15.75" thickBot="1">
      <c r="A64" s="722"/>
      <c r="B64" s="724" t="s">
        <v>447</v>
      </c>
      <c r="C64" s="724"/>
      <c r="D64" s="442" t="s">
        <v>448</v>
      </c>
      <c r="E64" s="23"/>
      <c r="F64" s="23"/>
      <c r="G64" s="23"/>
      <c r="H64" s="23"/>
      <c r="I64" s="23"/>
      <c r="J64" s="23"/>
      <c r="K64" s="23"/>
      <c r="L64" s="23"/>
      <c r="M64" s="418"/>
    </row>
    <row r="65" spans="1:13" ht="20.25" customHeight="1">
      <c r="A65" s="731" t="s">
        <v>450</v>
      </c>
      <c r="B65" s="655"/>
      <c r="C65" s="710" t="s">
        <v>406</v>
      </c>
      <c r="D65" s="710"/>
      <c r="E65" s="710"/>
      <c r="F65" s="701" t="s">
        <v>414</v>
      </c>
      <c r="G65" s="661" t="s">
        <v>408</v>
      </c>
      <c r="H65" s="655" t="s">
        <v>451</v>
      </c>
      <c r="I65" s="655"/>
      <c r="J65" s="655"/>
      <c r="K65" s="655"/>
      <c r="L65" s="655"/>
      <c r="M65" s="662" t="s">
        <v>452</v>
      </c>
    </row>
    <row r="66" spans="1:13" ht="24.75" customHeight="1" thickBot="1">
      <c r="A66" s="434" t="s">
        <v>404</v>
      </c>
      <c r="B66" s="435" t="s">
        <v>405</v>
      </c>
      <c r="C66" s="435" t="s">
        <v>432</v>
      </c>
      <c r="D66" s="435" t="s">
        <v>275</v>
      </c>
      <c r="E66" s="435" t="s">
        <v>276</v>
      </c>
      <c r="F66" s="702"/>
      <c r="G66" s="688"/>
      <c r="H66" s="435" t="s">
        <v>410</v>
      </c>
      <c r="I66" s="435" t="s">
        <v>415</v>
      </c>
      <c r="J66" s="435" t="s">
        <v>417</v>
      </c>
      <c r="K66" s="435" t="s">
        <v>275</v>
      </c>
      <c r="L66" s="435" t="s">
        <v>276</v>
      </c>
      <c r="M66" s="720"/>
    </row>
    <row r="67" spans="1:13">
      <c r="A67" s="31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99"/>
    </row>
    <row r="68" spans="1:13">
      <c r="A68" s="28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397"/>
    </row>
    <row r="69" spans="1:13">
      <c r="A69" s="28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397"/>
    </row>
    <row r="70" spans="1:13" ht="15.75" thickBot="1">
      <c r="A70" s="29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98"/>
    </row>
    <row r="71" spans="1:13" ht="22.5" customHeight="1">
      <c r="A71" s="729" t="s">
        <v>450</v>
      </c>
      <c r="B71" s="710"/>
      <c r="C71" s="710" t="s">
        <v>438</v>
      </c>
      <c r="D71" s="710"/>
      <c r="E71" s="710"/>
      <c r="F71" s="712" t="s">
        <v>407</v>
      </c>
      <c r="G71" s="661" t="s">
        <v>408</v>
      </c>
      <c r="H71" s="655" t="s">
        <v>451</v>
      </c>
      <c r="I71" s="655"/>
      <c r="J71" s="655"/>
      <c r="K71" s="655"/>
      <c r="L71" s="655"/>
      <c r="M71" s="662" t="s">
        <v>453</v>
      </c>
    </row>
    <row r="72" spans="1:13" ht="23.25" customHeight="1" thickBot="1">
      <c r="A72" s="434" t="s">
        <v>404</v>
      </c>
      <c r="B72" s="435" t="s">
        <v>437</v>
      </c>
      <c r="C72" s="435" t="s">
        <v>38</v>
      </c>
      <c r="D72" s="435" t="s">
        <v>275</v>
      </c>
      <c r="E72" s="435" t="s">
        <v>276</v>
      </c>
      <c r="F72" s="713"/>
      <c r="G72" s="688"/>
      <c r="H72" s="435" t="s">
        <v>410</v>
      </c>
      <c r="I72" s="435" t="s">
        <v>411</v>
      </c>
      <c r="J72" s="435" t="s">
        <v>442</v>
      </c>
      <c r="K72" s="435" t="s">
        <v>275</v>
      </c>
      <c r="L72" s="435" t="s">
        <v>276</v>
      </c>
      <c r="M72" s="720"/>
    </row>
    <row r="73" spans="1:13">
      <c r="A73" s="31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99"/>
    </row>
    <row r="74" spans="1:13">
      <c r="A74" s="28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397"/>
    </row>
    <row r="75" spans="1:13">
      <c r="A75" s="28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397"/>
    </row>
    <row r="76" spans="1:13" ht="15.75" thickBot="1">
      <c r="A76" s="29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98"/>
    </row>
    <row r="77" spans="1:13" ht="15.75" thickBot="1"/>
    <row r="78" spans="1:13" ht="15.75" thickBot="1">
      <c r="A78" s="683" t="s">
        <v>454</v>
      </c>
      <c r="B78" s="684"/>
      <c r="C78" s="684"/>
      <c r="D78" s="684"/>
      <c r="E78" s="684"/>
      <c r="F78" s="684"/>
      <c r="G78" s="684"/>
      <c r="H78" s="684"/>
      <c r="I78" s="685"/>
    </row>
    <row r="79" spans="1:13">
      <c r="A79" s="745" t="s">
        <v>455</v>
      </c>
      <c r="B79" s="746"/>
      <c r="C79" s="412"/>
      <c r="D79" s="746" t="s">
        <v>462</v>
      </c>
      <c r="E79" s="746"/>
      <c r="F79" s="411"/>
      <c r="G79" s="746" t="s">
        <v>459</v>
      </c>
      <c r="H79" s="746"/>
      <c r="I79" s="412"/>
    </row>
    <row r="80" spans="1:13">
      <c r="A80" s="743" t="s">
        <v>456</v>
      </c>
      <c r="B80" s="744"/>
      <c r="C80" s="394"/>
      <c r="D80" s="744" t="s">
        <v>458</v>
      </c>
      <c r="E80" s="744"/>
      <c r="F80" s="413"/>
      <c r="G80" s="744" t="s">
        <v>460</v>
      </c>
      <c r="H80" s="744"/>
      <c r="I80" s="394"/>
    </row>
    <row r="81" spans="1:12">
      <c r="A81" s="743" t="s">
        <v>457</v>
      </c>
      <c r="B81" s="744"/>
      <c r="C81" s="394"/>
      <c r="D81" s="744" t="s">
        <v>461</v>
      </c>
      <c r="E81" s="744"/>
      <c r="F81" s="413"/>
      <c r="G81" s="457"/>
      <c r="H81" s="457"/>
      <c r="I81" s="394"/>
    </row>
    <row r="84" spans="1:12" ht="15.75" thickBot="1"/>
    <row r="85" spans="1:12" ht="19.5" thickBot="1">
      <c r="A85" s="735" t="s">
        <v>129</v>
      </c>
      <c r="B85" s="736"/>
      <c r="C85" s="736"/>
      <c r="D85" s="736"/>
      <c r="E85" s="736"/>
      <c r="F85" s="736"/>
      <c r="G85" s="736"/>
      <c r="H85" s="736"/>
      <c r="I85" s="736"/>
      <c r="J85" s="736"/>
      <c r="K85" s="736"/>
      <c r="L85" s="737"/>
    </row>
    <row r="86" spans="1:12" ht="15.75" thickBot="1"/>
    <row r="87" spans="1:12" ht="47.25" customHeight="1">
      <c r="A87" s="659" t="s">
        <v>702</v>
      </c>
      <c r="B87" s="657" t="s">
        <v>706</v>
      </c>
      <c r="C87" s="733"/>
      <c r="D87" s="734"/>
      <c r="E87" s="661" t="s">
        <v>703</v>
      </c>
      <c r="F87" s="657" t="s">
        <v>707</v>
      </c>
      <c r="G87" s="733"/>
      <c r="H87" s="734"/>
      <c r="I87" s="661" t="s">
        <v>705</v>
      </c>
      <c r="J87" s="657" t="s">
        <v>708</v>
      </c>
      <c r="K87" s="733"/>
      <c r="L87" s="739"/>
    </row>
    <row r="88" spans="1:12" ht="42.75" customHeight="1">
      <c r="A88" s="732"/>
      <c r="B88" s="552" t="s">
        <v>410</v>
      </c>
      <c r="C88" s="552" t="s">
        <v>275</v>
      </c>
      <c r="D88" s="552" t="s">
        <v>276</v>
      </c>
      <c r="E88" s="738"/>
      <c r="F88" s="552" t="s">
        <v>410</v>
      </c>
      <c r="G88" s="552" t="s">
        <v>275</v>
      </c>
      <c r="H88" s="552" t="s">
        <v>276</v>
      </c>
      <c r="I88" s="738"/>
      <c r="J88" s="552" t="s">
        <v>410</v>
      </c>
      <c r="K88" s="552" t="s">
        <v>275</v>
      </c>
      <c r="L88" s="553" t="s">
        <v>276</v>
      </c>
    </row>
    <row r="89" spans="1:12" ht="15.75" thickBot="1">
      <c r="A89" s="29"/>
      <c r="B89" s="30"/>
      <c r="C89" s="30"/>
      <c r="D89" s="30"/>
      <c r="E89" s="30"/>
      <c r="F89" s="30"/>
      <c r="G89" s="30"/>
      <c r="H89" s="30"/>
      <c r="I89" s="30">
        <f>E89+A89</f>
        <v>0</v>
      </c>
      <c r="J89" s="30">
        <f>F89+B89</f>
        <v>0</v>
      </c>
      <c r="K89" s="30">
        <f t="shared" ref="K89:L89" si="0">G89+C89</f>
        <v>0</v>
      </c>
      <c r="L89" s="30">
        <f t="shared" si="0"/>
        <v>0</v>
      </c>
    </row>
    <row r="91" spans="1:12" ht="15.75" thickBot="1"/>
    <row r="92" spans="1:12" ht="30" customHeight="1">
      <c r="A92" s="659" t="s">
        <v>704</v>
      </c>
      <c r="B92" s="657" t="s">
        <v>701</v>
      </c>
      <c r="C92" s="733"/>
      <c r="D92" s="739"/>
      <c r="F92" s="659" t="s">
        <v>710</v>
      </c>
      <c r="G92" s="657" t="s">
        <v>709</v>
      </c>
      <c r="H92" s="733"/>
      <c r="I92" s="739"/>
    </row>
    <row r="93" spans="1:12" ht="33.75" customHeight="1">
      <c r="A93" s="732"/>
      <c r="B93" s="552" t="s">
        <v>410</v>
      </c>
      <c r="C93" s="552" t="s">
        <v>275</v>
      </c>
      <c r="D93" s="553" t="s">
        <v>276</v>
      </c>
      <c r="F93" s="732"/>
      <c r="G93" s="552" t="s">
        <v>410</v>
      </c>
      <c r="H93" s="552" t="s">
        <v>275</v>
      </c>
      <c r="I93" s="553" t="s">
        <v>276</v>
      </c>
    </row>
    <row r="94" spans="1:12" ht="15.75" thickBot="1">
      <c r="A94" s="29"/>
      <c r="B94" s="30"/>
      <c r="C94" s="30"/>
      <c r="D94" s="398"/>
      <c r="F94" s="29">
        <f>A94-I89</f>
        <v>0</v>
      </c>
      <c r="G94" s="30">
        <f t="shared" ref="G94:I94" si="1">B94-J89</f>
        <v>0</v>
      </c>
      <c r="H94" s="30">
        <f t="shared" si="1"/>
        <v>0</v>
      </c>
      <c r="I94" s="398">
        <f t="shared" si="1"/>
        <v>0</v>
      </c>
    </row>
  </sheetData>
  <mergeCells count="77">
    <mergeCell ref="A92:A93"/>
    <mergeCell ref="B92:D92"/>
    <mergeCell ref="F92:F93"/>
    <mergeCell ref="G92:I92"/>
    <mergeCell ref="A85:L85"/>
    <mergeCell ref="A87:A88"/>
    <mergeCell ref="B87:D87"/>
    <mergeCell ref="E87:E88"/>
    <mergeCell ref="F87:H87"/>
    <mergeCell ref="I87:I88"/>
    <mergeCell ref="J87:L87"/>
    <mergeCell ref="A81:B81"/>
    <mergeCell ref="D81:E81"/>
    <mergeCell ref="A1:M1"/>
    <mergeCell ref="A78:I78"/>
    <mergeCell ref="A79:B79"/>
    <mergeCell ref="D79:E79"/>
    <mergeCell ref="G79:H79"/>
    <mergeCell ref="A80:B80"/>
    <mergeCell ref="D80:E80"/>
    <mergeCell ref="G80:H80"/>
    <mergeCell ref="F65:F66"/>
    <mergeCell ref="G65:G66"/>
    <mergeCell ref="H65:L65"/>
    <mergeCell ref="M65:M66"/>
    <mergeCell ref="A71:B71"/>
    <mergeCell ref="C71:E71"/>
    <mergeCell ref="F71:F72"/>
    <mergeCell ref="G71:G72"/>
    <mergeCell ref="H71:L71"/>
    <mergeCell ref="M71:M72"/>
    <mergeCell ref="A62:C62"/>
    <mergeCell ref="A63:A64"/>
    <mergeCell ref="B63:C63"/>
    <mergeCell ref="B64:C64"/>
    <mergeCell ref="A65:B65"/>
    <mergeCell ref="C65:E65"/>
    <mergeCell ref="A55:B55"/>
    <mergeCell ref="A56:B56"/>
    <mergeCell ref="A57:B57"/>
    <mergeCell ref="A58:B58"/>
    <mergeCell ref="A59:B59"/>
    <mergeCell ref="A61:M61"/>
    <mergeCell ref="I45:M45"/>
    <mergeCell ref="A47:A48"/>
    <mergeCell ref="A49:A51"/>
    <mergeCell ref="A52:M52"/>
    <mergeCell ref="A53:B54"/>
    <mergeCell ref="C53:C54"/>
    <mergeCell ref="D53:F53"/>
    <mergeCell ref="G53:G54"/>
    <mergeCell ref="H53:H54"/>
    <mergeCell ref="I53:M53"/>
    <mergeCell ref="A45:B46"/>
    <mergeCell ref="C45:C46"/>
    <mergeCell ref="D45:F45"/>
    <mergeCell ref="G45:G46"/>
    <mergeCell ref="H45:H46"/>
    <mergeCell ref="A39:H39"/>
    <mergeCell ref="D40:F40"/>
    <mergeCell ref="D41:F41"/>
    <mergeCell ref="D42:F42"/>
    <mergeCell ref="A44:M44"/>
    <mergeCell ref="H18:L18"/>
    <mergeCell ref="A28:B28"/>
    <mergeCell ref="C28:E28"/>
    <mergeCell ref="F28:F29"/>
    <mergeCell ref="G28:G29"/>
    <mergeCell ref="H28:L28"/>
    <mergeCell ref="G18:G19"/>
    <mergeCell ref="A3:E3"/>
    <mergeCell ref="D4:E4"/>
    <mergeCell ref="A11:F11"/>
    <mergeCell ref="D13:F13"/>
    <mergeCell ref="A18:B18"/>
    <mergeCell ref="C18:E18"/>
    <mergeCell ref="F18:F19"/>
  </mergeCells>
  <conditionalFormatting sqref="F94:I94">
    <cfRule type="cellIs" dxfId="17" priority="1" operator="equal">
      <formula>0</formula>
    </cfRule>
    <cfRule type="cellIs" dxfId="16" priority="2" operator="greaterThan">
      <formula>0</formula>
    </cfRule>
    <cfRule type="cellIs" dxfId="15" priority="3" operator="lessThan">
      <formula>0</formula>
    </cfRule>
  </conditionalFormatting>
  <dataValidations count="2">
    <dataValidation type="list" allowBlank="1" showInputMessage="1" showErrorMessage="1" sqref="B13">
      <formula1>Repousses</formula1>
    </dataValidation>
    <dataValidation type="list" allowBlank="1" showInputMessage="1" showErrorMessage="1" sqref="B12">
      <formula1>Résidus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:K55"/>
  <sheetViews>
    <sheetView showGridLines="0" topLeftCell="A31" workbookViewId="0">
      <selection activeCell="J29" sqref="J29"/>
    </sheetView>
  </sheetViews>
  <sheetFormatPr baseColWidth="10" defaultRowHeight="15"/>
  <cols>
    <col min="1" max="1" width="30" customWidth="1"/>
    <col min="2" max="2" width="16.140625" customWidth="1"/>
    <col min="3" max="3" width="15.42578125" customWidth="1"/>
    <col min="4" max="4" width="14.85546875" customWidth="1"/>
    <col min="9" max="9" width="14" customWidth="1"/>
    <col min="10" max="10" width="13" customWidth="1"/>
    <col min="11" max="11" width="15.85546875" customWidth="1"/>
  </cols>
  <sheetData>
    <row r="1" spans="1:11" ht="21.75" thickBot="1">
      <c r="C1" s="756" t="s">
        <v>271</v>
      </c>
      <c r="D1" s="757"/>
      <c r="E1" s="757"/>
      <c r="F1" s="757"/>
      <c r="G1" s="758"/>
    </row>
    <row r="3" spans="1:11" ht="15.75" thickBot="1"/>
    <row r="4" spans="1:11" ht="19.5" thickBot="1">
      <c r="A4" s="764" t="s">
        <v>150</v>
      </c>
      <c r="B4" s="765"/>
      <c r="C4" s="765"/>
      <c r="D4" s="765"/>
      <c r="E4" s="765"/>
      <c r="F4" s="765"/>
      <c r="G4" s="765"/>
      <c r="H4" s="765"/>
      <c r="I4" s="765"/>
      <c r="J4" s="765"/>
      <c r="K4" s="765"/>
    </row>
    <row r="5" spans="1:11" ht="15.75" thickBot="1"/>
    <row r="6" spans="1:11">
      <c r="A6" s="778" t="s">
        <v>31</v>
      </c>
      <c r="B6" s="169" t="s">
        <v>59</v>
      </c>
      <c r="C6" s="170" t="s">
        <v>38</v>
      </c>
      <c r="D6" s="171" t="s">
        <v>39</v>
      </c>
      <c r="E6" s="172" t="s">
        <v>40</v>
      </c>
      <c r="G6" s="18" t="s">
        <v>61</v>
      </c>
    </row>
    <row r="7" spans="1:11" ht="15.75" thickBot="1">
      <c r="A7" s="779"/>
      <c r="B7" s="173" t="s">
        <v>33</v>
      </c>
      <c r="C7" s="766" t="s">
        <v>42</v>
      </c>
      <c r="D7" s="767"/>
      <c r="E7" s="768"/>
    </row>
    <row r="8" spans="1:11">
      <c r="A8" s="121" t="s">
        <v>60</v>
      </c>
      <c r="B8" s="11">
        <v>2300</v>
      </c>
      <c r="C8" s="11">
        <v>5800</v>
      </c>
      <c r="D8" s="114">
        <v>4400</v>
      </c>
      <c r="E8" s="12">
        <v>3850</v>
      </c>
    </row>
    <row r="9" spans="1:11">
      <c r="A9" s="115"/>
      <c r="B9" s="120"/>
      <c r="C9" s="11"/>
      <c r="D9" s="114"/>
      <c r="E9" s="12"/>
    </row>
    <row r="10" spans="1:11" ht="15.75" thickBot="1">
      <c r="A10" s="115"/>
      <c r="B10" s="120"/>
      <c r="C10" s="11"/>
      <c r="D10" s="114"/>
      <c r="E10" s="12"/>
    </row>
    <row r="11" spans="1:11" ht="15.75" thickBot="1">
      <c r="A11" s="174" t="s">
        <v>36</v>
      </c>
      <c r="B11" s="122">
        <f>SUM(B8:B10)</f>
        <v>2300</v>
      </c>
      <c r="C11" s="109">
        <f>SUM(C8:C10)</f>
        <v>5800</v>
      </c>
      <c r="D11" s="109">
        <f>SUM(D8:D10)</f>
        <v>4400</v>
      </c>
      <c r="E11" s="109">
        <f>SUM(E8:E10)</f>
        <v>3850</v>
      </c>
    </row>
    <row r="13" spans="1:11" ht="15.75" thickBot="1"/>
    <row r="14" spans="1:11" ht="19.5" thickBot="1">
      <c r="A14" s="764" t="s">
        <v>151</v>
      </c>
      <c r="B14" s="765"/>
      <c r="C14" s="765"/>
      <c r="D14" s="765"/>
      <c r="E14" s="765"/>
      <c r="F14" s="765"/>
      <c r="G14" s="765"/>
      <c r="H14" s="765"/>
      <c r="I14" s="765"/>
      <c r="J14" s="765"/>
      <c r="K14" s="772"/>
    </row>
    <row r="15" spans="1:11" ht="15.75" thickBot="1"/>
    <row r="16" spans="1:11">
      <c r="A16" s="780" t="s">
        <v>31</v>
      </c>
      <c r="B16" s="175" t="s">
        <v>32</v>
      </c>
      <c r="C16" s="175" t="s">
        <v>34</v>
      </c>
      <c r="D16" s="176" t="s">
        <v>43</v>
      </c>
      <c r="E16" s="175" t="s">
        <v>37</v>
      </c>
      <c r="F16" s="177" t="s">
        <v>38</v>
      </c>
      <c r="G16" s="178" t="s">
        <v>39</v>
      </c>
      <c r="H16" s="179" t="s">
        <v>40</v>
      </c>
      <c r="I16" s="177" t="s">
        <v>38</v>
      </c>
      <c r="J16" s="178" t="s">
        <v>39</v>
      </c>
      <c r="K16" s="179" t="s">
        <v>40</v>
      </c>
    </row>
    <row r="17" spans="1:11" ht="15.75" thickBot="1">
      <c r="A17" s="781"/>
      <c r="B17" s="180" t="s">
        <v>33</v>
      </c>
      <c r="C17" s="180" t="s">
        <v>35</v>
      </c>
      <c r="D17" s="181" t="s">
        <v>44</v>
      </c>
      <c r="E17" s="180" t="s">
        <v>7</v>
      </c>
      <c r="F17" s="750" t="s">
        <v>41</v>
      </c>
      <c r="G17" s="751"/>
      <c r="H17" s="752"/>
      <c r="I17" s="750" t="s">
        <v>42</v>
      </c>
      <c r="J17" s="751"/>
      <c r="K17" s="752"/>
    </row>
    <row r="18" spans="1:11" ht="15.75" thickBot="1">
      <c r="A18" s="775" t="s">
        <v>57</v>
      </c>
      <c r="B18" s="776"/>
      <c r="C18" s="776"/>
      <c r="D18" s="776"/>
      <c r="E18" s="776"/>
      <c r="F18" s="776"/>
      <c r="G18" s="776"/>
      <c r="H18" s="776"/>
      <c r="I18" s="776"/>
      <c r="J18" s="776"/>
      <c r="K18" s="777"/>
    </row>
    <row r="19" spans="1:11">
      <c r="A19" s="117" t="s">
        <v>218</v>
      </c>
      <c r="B19" s="118">
        <v>1545</v>
      </c>
      <c r="C19" s="112"/>
      <c r="D19" s="112"/>
      <c r="E19" s="112"/>
      <c r="F19" s="243">
        <v>2.5889967637540452</v>
      </c>
      <c r="G19" s="244">
        <v>1.6181229773462784</v>
      </c>
      <c r="H19" s="245">
        <v>2.0297734627831714</v>
      </c>
      <c r="I19" s="297">
        <v>4000</v>
      </c>
      <c r="J19" s="297">
        <v>2500</v>
      </c>
      <c r="K19" s="298">
        <v>3136</v>
      </c>
    </row>
    <row r="20" spans="1:11">
      <c r="A20" s="242" t="s">
        <v>219</v>
      </c>
      <c r="B20" s="120">
        <v>4200</v>
      </c>
      <c r="C20" s="114"/>
      <c r="D20" s="114"/>
      <c r="E20" s="114"/>
      <c r="F20" s="246">
        <v>6.1071428571428568</v>
      </c>
      <c r="G20" s="247">
        <v>3.2797619047619047</v>
      </c>
      <c r="H20" s="247">
        <v>4.1173809523809526</v>
      </c>
      <c r="I20" s="299">
        <v>25650</v>
      </c>
      <c r="J20" s="300">
        <v>13775</v>
      </c>
      <c r="K20" s="298">
        <v>17293</v>
      </c>
    </row>
    <row r="21" spans="1:11">
      <c r="A21" s="242" t="s">
        <v>220</v>
      </c>
      <c r="B21" s="120">
        <v>645</v>
      </c>
      <c r="C21" s="114"/>
      <c r="D21" s="114"/>
      <c r="E21" s="114"/>
      <c r="F21" s="246">
        <v>3.33</v>
      </c>
      <c r="G21" s="247">
        <v>2.08</v>
      </c>
      <c r="H21" s="247">
        <v>3.83</v>
      </c>
      <c r="I21" s="299">
        <v>2147.85</v>
      </c>
      <c r="J21" s="300">
        <v>1341.6000000000001</v>
      </c>
      <c r="K21" s="298">
        <v>2470.35</v>
      </c>
    </row>
    <row r="22" spans="1:11" ht="15.75" thickBot="1">
      <c r="A22" s="242" t="s">
        <v>221</v>
      </c>
      <c r="B22" s="120">
        <v>850</v>
      </c>
      <c r="C22" s="114"/>
      <c r="D22" s="114"/>
      <c r="E22" s="114"/>
      <c r="F22" s="246">
        <v>3.7647058823529411</v>
      </c>
      <c r="G22" s="247">
        <v>2.3529411764705883</v>
      </c>
      <c r="H22" s="247"/>
      <c r="I22" s="299">
        <v>3200</v>
      </c>
      <c r="J22" s="300">
        <v>2000</v>
      </c>
      <c r="K22" s="298"/>
    </row>
    <row r="23" spans="1:11" ht="15.75" thickBot="1">
      <c r="A23" s="759" t="s">
        <v>252</v>
      </c>
      <c r="B23" s="760"/>
      <c r="C23" s="760"/>
      <c r="D23" s="760"/>
      <c r="E23" s="760"/>
      <c r="F23" s="760"/>
      <c r="G23" s="760"/>
      <c r="H23" s="761"/>
      <c r="I23" s="312">
        <f>SUM(I19:I22)</f>
        <v>34997.85</v>
      </c>
      <c r="J23" s="312">
        <f>SUM(J19:J22)</f>
        <v>19616.599999999999</v>
      </c>
      <c r="K23" s="312">
        <f>SUM(K19:K22)</f>
        <v>22899.35</v>
      </c>
    </row>
    <row r="24" spans="1:11" ht="15.75" thickBot="1">
      <c r="A24" s="775" t="s">
        <v>62</v>
      </c>
      <c r="B24" s="776"/>
      <c r="C24" s="776"/>
      <c r="D24" s="776"/>
      <c r="E24" s="776"/>
      <c r="F24" s="776"/>
      <c r="G24" s="776"/>
      <c r="H24" s="776"/>
      <c r="I24" s="776"/>
      <c r="J24" s="776"/>
      <c r="K24" s="777"/>
    </row>
    <row r="25" spans="1:11">
      <c r="A25" s="336" t="s">
        <v>222</v>
      </c>
      <c r="B25" s="337">
        <v>989</v>
      </c>
      <c r="C25" s="297"/>
      <c r="D25" s="297"/>
      <c r="E25" s="297"/>
      <c r="F25" s="243">
        <v>4.7</v>
      </c>
      <c r="G25" s="244">
        <v>1.1299999999999999</v>
      </c>
      <c r="H25" s="244">
        <v>1.56</v>
      </c>
      <c r="I25" s="301">
        <v>4648.3</v>
      </c>
      <c r="J25" s="297">
        <v>1117.57</v>
      </c>
      <c r="K25" s="302">
        <v>1542.8400000000001</v>
      </c>
    </row>
    <row r="26" spans="1:11">
      <c r="A26" s="338" t="s">
        <v>223</v>
      </c>
      <c r="B26" s="339">
        <v>387</v>
      </c>
      <c r="C26" s="300"/>
      <c r="D26" s="300"/>
      <c r="E26" s="300"/>
      <c r="F26" s="246">
        <v>8</v>
      </c>
      <c r="G26" s="247">
        <v>0.3</v>
      </c>
      <c r="H26" s="247">
        <v>1.38</v>
      </c>
      <c r="I26" s="299">
        <v>3096</v>
      </c>
      <c r="J26" s="300">
        <v>116.1</v>
      </c>
      <c r="K26" s="298">
        <v>534.05999999999995</v>
      </c>
    </row>
    <row r="27" spans="1:11">
      <c r="A27" s="338" t="s">
        <v>224</v>
      </c>
      <c r="B27" s="339">
        <v>125</v>
      </c>
      <c r="C27" s="300"/>
      <c r="D27" s="300"/>
      <c r="E27" s="300"/>
      <c r="F27" s="246">
        <v>5.5</v>
      </c>
      <c r="G27" s="247">
        <v>2.2000000000000002</v>
      </c>
      <c r="H27" s="247">
        <v>8.9</v>
      </c>
      <c r="I27" s="299">
        <v>687.5</v>
      </c>
      <c r="J27" s="300">
        <v>275</v>
      </c>
      <c r="K27" s="298">
        <v>1112.5</v>
      </c>
    </row>
    <row r="28" spans="1:11">
      <c r="A28" s="338" t="s">
        <v>225</v>
      </c>
      <c r="B28" s="339">
        <v>74</v>
      </c>
      <c r="C28" s="300"/>
      <c r="D28" s="300"/>
      <c r="E28" s="300"/>
      <c r="F28" s="246"/>
      <c r="G28" s="247"/>
      <c r="H28" s="247"/>
      <c r="I28" s="299"/>
      <c r="J28" s="300"/>
      <c r="K28" s="298"/>
    </row>
    <row r="29" spans="1:11">
      <c r="A29" s="338" t="s">
        <v>231</v>
      </c>
      <c r="B29" s="339">
        <v>62</v>
      </c>
      <c r="C29" s="300"/>
      <c r="D29" s="300"/>
      <c r="E29" s="300"/>
      <c r="F29" s="246"/>
      <c r="G29" s="247"/>
      <c r="H29" s="247"/>
      <c r="I29" s="299"/>
      <c r="J29" s="300"/>
      <c r="K29" s="298"/>
    </row>
    <row r="30" spans="1:11">
      <c r="A30" s="338" t="s">
        <v>226</v>
      </c>
      <c r="B30" s="339">
        <v>8</v>
      </c>
      <c r="C30" s="300"/>
      <c r="D30" s="300"/>
      <c r="E30" s="300"/>
      <c r="F30" s="246"/>
      <c r="G30" s="247"/>
      <c r="H30" s="247"/>
      <c r="I30" s="299"/>
      <c r="J30" s="300"/>
      <c r="K30" s="298"/>
    </row>
    <row r="31" spans="1:11">
      <c r="A31" s="338" t="s">
        <v>227</v>
      </c>
      <c r="B31" s="339">
        <v>0.7</v>
      </c>
      <c r="C31" s="300"/>
      <c r="D31" s="300"/>
      <c r="E31" s="300"/>
      <c r="F31" s="246"/>
      <c r="G31" s="247"/>
      <c r="H31" s="247"/>
      <c r="I31" s="299"/>
      <c r="J31" s="300"/>
      <c r="K31" s="298"/>
    </row>
    <row r="32" spans="1:11">
      <c r="A32" s="340" t="s">
        <v>228</v>
      </c>
      <c r="B32" s="339">
        <v>12</v>
      </c>
      <c r="C32" s="300"/>
      <c r="D32" s="300"/>
      <c r="E32" s="300"/>
      <c r="F32" s="246"/>
      <c r="G32" s="247"/>
      <c r="H32" s="247"/>
      <c r="I32" s="299"/>
      <c r="J32" s="300"/>
      <c r="K32" s="298"/>
    </row>
    <row r="33" spans="1:11">
      <c r="A33" s="340" t="s">
        <v>229</v>
      </c>
      <c r="B33" s="339">
        <v>20</v>
      </c>
      <c r="C33" s="300"/>
      <c r="D33" s="300"/>
      <c r="E33" s="300"/>
      <c r="F33" s="246">
        <v>7.5</v>
      </c>
      <c r="G33" s="247">
        <v>2.8</v>
      </c>
      <c r="H33" s="247">
        <v>0.5</v>
      </c>
      <c r="I33" s="299">
        <v>150</v>
      </c>
      <c r="J33" s="300">
        <v>56</v>
      </c>
      <c r="K33" s="298">
        <v>75</v>
      </c>
    </row>
    <row r="34" spans="1:11" ht="15.75" thickBot="1">
      <c r="A34" s="341" t="s">
        <v>230</v>
      </c>
      <c r="B34" s="342">
        <v>588</v>
      </c>
      <c r="C34" s="343"/>
      <c r="D34" s="343"/>
      <c r="E34" s="343"/>
      <c r="F34" s="248">
        <v>11</v>
      </c>
      <c r="G34" s="249">
        <v>5.6</v>
      </c>
      <c r="H34" s="249">
        <v>10.199999999999999</v>
      </c>
      <c r="I34" s="344">
        <v>6468</v>
      </c>
      <c r="J34" s="343">
        <v>3292.7999999999997</v>
      </c>
      <c r="K34" s="345">
        <v>5997.5999999999995</v>
      </c>
    </row>
    <row r="35" spans="1:11" ht="15.75" thickBot="1">
      <c r="A35" s="762" t="s">
        <v>253</v>
      </c>
      <c r="B35" s="763"/>
      <c r="C35" s="763"/>
      <c r="D35" s="763"/>
      <c r="E35" s="763"/>
      <c r="F35" s="763"/>
      <c r="G35" s="763"/>
      <c r="H35" s="763"/>
      <c r="I35" s="313">
        <f>SUM(I25:I34)</f>
        <v>15049.8</v>
      </c>
      <c r="J35" s="314">
        <f>SUM(J25:J34)</f>
        <v>4857.4699999999993</v>
      </c>
      <c r="K35" s="315">
        <f>SUM(K25:K34)</f>
        <v>9262</v>
      </c>
    </row>
    <row r="36" spans="1:11" ht="19.5" thickBot="1">
      <c r="A36" s="773" t="s">
        <v>154</v>
      </c>
      <c r="B36" s="774"/>
      <c r="C36" s="774"/>
      <c r="D36" s="774"/>
      <c r="E36" s="774"/>
      <c r="F36" s="774"/>
      <c r="G36" s="774"/>
      <c r="H36" s="774"/>
      <c r="I36" s="312">
        <f>SUM(I19:I22,I25:I34)</f>
        <v>50047.65</v>
      </c>
      <c r="J36" s="346">
        <f>SUM(J19:J22,J25:J34)</f>
        <v>24474.069999999996</v>
      </c>
      <c r="K36" s="347">
        <f>SUM(K19:K22,K25:K34)</f>
        <v>32161.35</v>
      </c>
    </row>
    <row r="37" spans="1:11" ht="15.75" thickBot="1">
      <c r="A37" s="782" t="s">
        <v>63</v>
      </c>
      <c r="B37" s="783"/>
      <c r="C37" s="783"/>
      <c r="D37" s="783"/>
      <c r="E37" s="783"/>
      <c r="F37" s="783"/>
      <c r="G37" s="783"/>
      <c r="H37" s="783"/>
      <c r="I37" s="784"/>
      <c r="J37" s="784"/>
      <c r="K37" s="785"/>
    </row>
    <row r="38" spans="1:11">
      <c r="A38" s="348" t="s">
        <v>232</v>
      </c>
      <c r="B38" s="337">
        <v>834</v>
      </c>
      <c r="C38" s="301"/>
      <c r="D38" s="301"/>
      <c r="E38" s="301"/>
      <c r="F38" s="243">
        <v>4.3499999999999996</v>
      </c>
      <c r="G38" s="243">
        <v>1.76</v>
      </c>
      <c r="H38" s="244">
        <v>5.41</v>
      </c>
      <c r="I38" s="301">
        <v>3627.8999999999996</v>
      </c>
      <c r="J38" s="297">
        <v>1467.84</v>
      </c>
      <c r="K38" s="302">
        <v>4511.9400000000005</v>
      </c>
    </row>
    <row r="39" spans="1:11">
      <c r="A39" s="340" t="s">
        <v>233</v>
      </c>
      <c r="B39" s="339">
        <v>272</v>
      </c>
      <c r="C39" s="299"/>
      <c r="D39" s="299"/>
      <c r="E39" s="299"/>
      <c r="F39" s="246">
        <v>5</v>
      </c>
      <c r="G39" s="246">
        <v>2</v>
      </c>
      <c r="H39" s="247">
        <v>5.8</v>
      </c>
      <c r="I39" s="299">
        <v>1360</v>
      </c>
      <c r="J39" s="300">
        <v>544</v>
      </c>
      <c r="K39" s="298">
        <v>1577.6</v>
      </c>
    </row>
    <row r="40" spans="1:11" ht="15.75" thickBot="1">
      <c r="A40" s="341" t="s">
        <v>234</v>
      </c>
      <c r="B40" s="342">
        <v>19</v>
      </c>
      <c r="C40" s="344"/>
      <c r="D40" s="344"/>
      <c r="E40" s="344"/>
      <c r="F40" s="248">
        <v>4.7</v>
      </c>
      <c r="G40" s="248">
        <v>2.1</v>
      </c>
      <c r="H40" s="249">
        <v>12.1</v>
      </c>
      <c r="I40" s="344">
        <v>89.3</v>
      </c>
      <c r="J40" s="343">
        <v>39.9</v>
      </c>
      <c r="K40" s="345">
        <v>229.9</v>
      </c>
    </row>
    <row r="41" spans="1:11" ht="19.5" thickBot="1">
      <c r="A41" s="773" t="s">
        <v>155</v>
      </c>
      <c r="B41" s="774"/>
      <c r="C41" s="774"/>
      <c r="D41" s="774"/>
      <c r="E41" s="774"/>
      <c r="F41" s="774"/>
      <c r="G41" s="774"/>
      <c r="H41" s="774"/>
      <c r="I41" s="312">
        <f>SUM(I38:I40)</f>
        <v>5077.2</v>
      </c>
      <c r="J41" s="312">
        <f>SUM(J38:J40)</f>
        <v>2051.7399999999998</v>
      </c>
      <c r="K41" s="349">
        <f>SUM(K38:K40)</f>
        <v>6319.4400000000005</v>
      </c>
    </row>
    <row r="42" spans="1:11" ht="15.75" thickBot="1">
      <c r="A42" s="350" t="s">
        <v>64</v>
      </c>
      <c r="B42" s="351">
        <f>SUM(B19:B22,B25:B34,B38:B40)</f>
        <v>10630.7</v>
      </c>
      <c r="C42" s="351">
        <f>SUM(C19:C22,C25:C34,C38:C40)</f>
        <v>0</v>
      </c>
      <c r="D42" s="351">
        <f>SUM(D19:D22,D25:D34,D38:D40)</f>
        <v>0</v>
      </c>
      <c r="E42" s="352"/>
      <c r="F42" s="352"/>
      <c r="G42" s="352"/>
      <c r="H42" s="352"/>
      <c r="I42" s="353">
        <f>SUM(I36+I41)</f>
        <v>55124.85</v>
      </c>
      <c r="J42" s="353">
        <f>SUM(J36+J41)</f>
        <v>26525.809999999998</v>
      </c>
      <c r="K42" s="354">
        <f>SUM(K36+K41)</f>
        <v>38480.79</v>
      </c>
    </row>
    <row r="43" spans="1:1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15.75" thickBot="1"/>
    <row r="45" spans="1:11" ht="19.5" thickBot="1">
      <c r="A45" s="769" t="s">
        <v>156</v>
      </c>
      <c r="B45" s="770"/>
      <c r="C45" s="770"/>
      <c r="D45" s="770"/>
      <c r="E45" s="770"/>
      <c r="F45" s="770"/>
      <c r="G45" s="770"/>
      <c r="H45" s="770"/>
      <c r="I45" s="770"/>
      <c r="J45" s="770"/>
      <c r="K45" s="771"/>
    </row>
    <row r="46" spans="1:11" ht="15.75" thickBot="1">
      <c r="J46" s="24"/>
      <c r="K46" s="24"/>
    </row>
    <row r="47" spans="1:11">
      <c r="A47" s="309" t="s">
        <v>38</v>
      </c>
      <c r="B47" s="310" t="s">
        <v>39</v>
      </c>
      <c r="C47" s="311" t="s">
        <v>40</v>
      </c>
      <c r="J47" s="24"/>
      <c r="K47" s="24"/>
    </row>
    <row r="48" spans="1:11" ht="15.75" thickBot="1">
      <c r="A48" s="753" t="s">
        <v>42</v>
      </c>
      <c r="B48" s="754"/>
      <c r="C48" s="755"/>
      <c r="J48" s="24"/>
      <c r="K48" s="24"/>
    </row>
    <row r="49" spans="1:11" ht="15.75" thickBot="1">
      <c r="A49" s="291">
        <f>I36+C11</f>
        <v>55847.65</v>
      </c>
      <c r="B49" s="292">
        <f>J36+D11</f>
        <v>28874.069999999996</v>
      </c>
      <c r="C49" s="293">
        <f>K36+E11</f>
        <v>36011.35</v>
      </c>
      <c r="J49" s="24"/>
      <c r="K49" s="24"/>
    </row>
    <row r="50" spans="1:11" ht="15.75" thickBot="1">
      <c r="J50" s="24"/>
      <c r="K50" s="24"/>
    </row>
    <row r="51" spans="1:11" ht="19.5" thickBot="1">
      <c r="A51" s="764" t="s">
        <v>254</v>
      </c>
      <c r="B51" s="765"/>
      <c r="C51" s="765"/>
      <c r="D51" s="765"/>
      <c r="E51" s="765"/>
      <c r="F51" s="765"/>
      <c r="G51" s="765"/>
      <c r="H51" s="765"/>
      <c r="I51" s="765"/>
      <c r="J51" s="765"/>
      <c r="K51" s="772"/>
    </row>
    <row r="52" spans="1:11" ht="19.5" thickBot="1">
      <c r="A52" s="257"/>
      <c r="B52" s="257"/>
      <c r="C52" s="257"/>
      <c r="D52" s="257"/>
      <c r="E52" s="257"/>
      <c r="F52" s="257"/>
      <c r="G52" s="257"/>
      <c r="H52" s="257"/>
      <c r="I52" s="257"/>
      <c r="J52" s="257"/>
      <c r="K52" s="257"/>
    </row>
    <row r="53" spans="1:11" ht="18.75">
      <c r="A53" s="747" t="s">
        <v>247</v>
      </c>
      <c r="B53" s="175" t="s">
        <v>32</v>
      </c>
      <c r="C53" s="175" t="s">
        <v>37</v>
      </c>
      <c r="D53" s="177" t="s">
        <v>38</v>
      </c>
      <c r="E53" s="178" t="s">
        <v>39</v>
      </c>
      <c r="F53" s="179" t="s">
        <v>40</v>
      </c>
      <c r="G53" s="177" t="s">
        <v>38</v>
      </c>
      <c r="H53" s="178" t="s">
        <v>39</v>
      </c>
      <c r="I53" s="179" t="s">
        <v>40</v>
      </c>
      <c r="J53" s="257"/>
      <c r="K53" s="257"/>
    </row>
    <row r="54" spans="1:11" ht="19.5" thickBot="1">
      <c r="A54" s="748"/>
      <c r="B54" s="180" t="s">
        <v>33</v>
      </c>
      <c r="C54" s="180" t="s">
        <v>7</v>
      </c>
      <c r="D54" s="750" t="s">
        <v>41</v>
      </c>
      <c r="E54" s="751"/>
      <c r="F54" s="752"/>
      <c r="G54" s="750" t="s">
        <v>42</v>
      </c>
      <c r="H54" s="751"/>
      <c r="I54" s="752"/>
      <c r="J54" s="257"/>
      <c r="K54" s="257"/>
    </row>
    <row r="55" spans="1:11" ht="19.5" thickBot="1">
      <c r="A55" s="749"/>
      <c r="B55" s="371">
        <v>9533</v>
      </c>
      <c r="C55" s="372">
        <v>8.5000000000000006E-2</v>
      </c>
      <c r="D55" s="373">
        <f>G55/$B$55</f>
        <v>5.9</v>
      </c>
      <c r="E55" s="373">
        <f>H55/$B$55</f>
        <v>2.8</v>
      </c>
      <c r="F55" s="374"/>
      <c r="G55" s="375">
        <v>56244.700000000004</v>
      </c>
      <c r="H55" s="375">
        <v>26692.399999999998</v>
      </c>
      <c r="I55" s="376"/>
      <c r="J55" s="257"/>
      <c r="K55" s="257"/>
    </row>
  </sheetData>
  <mergeCells count="21">
    <mergeCell ref="A16:A17"/>
    <mergeCell ref="F17:H17"/>
    <mergeCell ref="I17:K17"/>
    <mergeCell ref="A37:K37"/>
    <mergeCell ref="A36:H36"/>
    <mergeCell ref="A53:A55"/>
    <mergeCell ref="D54:F54"/>
    <mergeCell ref="G54:I54"/>
    <mergeCell ref="A48:C48"/>
    <mergeCell ref="C1:G1"/>
    <mergeCell ref="A23:H23"/>
    <mergeCell ref="A35:H35"/>
    <mergeCell ref="A4:K4"/>
    <mergeCell ref="C7:E7"/>
    <mergeCell ref="A45:K45"/>
    <mergeCell ref="A51:K51"/>
    <mergeCell ref="A41:H41"/>
    <mergeCell ref="A14:K14"/>
    <mergeCell ref="A18:K18"/>
    <mergeCell ref="A24:K24"/>
    <mergeCell ref="A6:A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5"/>
  <dimension ref="A1:X183"/>
  <sheetViews>
    <sheetView showGridLines="0" topLeftCell="A59" zoomScale="80" zoomScaleNormal="80" zoomScalePageLayoutView="60" workbookViewId="0">
      <selection activeCell="E88" sqref="E88"/>
    </sheetView>
  </sheetViews>
  <sheetFormatPr baseColWidth="10" defaultRowHeight="15"/>
  <cols>
    <col min="1" max="1" width="26" customWidth="1"/>
    <col min="2" max="2" width="23" customWidth="1"/>
    <col min="3" max="3" width="23.7109375" customWidth="1"/>
    <col min="4" max="4" width="26.7109375" customWidth="1"/>
    <col min="5" max="5" width="29" customWidth="1"/>
    <col min="6" max="7" width="24" customWidth="1"/>
    <col min="8" max="8" width="17.28515625" customWidth="1"/>
    <col min="9" max="9" width="15.7109375" customWidth="1"/>
    <col min="10" max="10" width="11.42578125" customWidth="1"/>
    <col min="11" max="11" width="9.5703125" customWidth="1"/>
    <col min="12" max="12" width="7.42578125" customWidth="1"/>
    <col min="13" max="13" width="14.42578125" customWidth="1"/>
    <col min="14" max="14" width="12" customWidth="1"/>
    <col min="15" max="16" width="8.7109375" customWidth="1"/>
    <col min="17" max="17" width="8.5703125" customWidth="1"/>
    <col min="18" max="18" width="20" customWidth="1"/>
    <col min="19" max="19" width="20.85546875" customWidth="1"/>
    <col min="20" max="20" width="17.5703125" customWidth="1"/>
    <col min="21" max="21" width="15.85546875" customWidth="1"/>
    <col min="22" max="22" width="22.28515625" customWidth="1"/>
    <col min="23" max="23" width="20.7109375" customWidth="1"/>
    <col min="24" max="24" width="22" customWidth="1"/>
    <col min="25" max="26" width="23" customWidth="1"/>
    <col min="27" max="27" width="23.5703125" customWidth="1"/>
  </cols>
  <sheetData>
    <row r="1" spans="2:16" ht="21.75" thickBot="1">
      <c r="B1" s="756" t="s">
        <v>501</v>
      </c>
      <c r="C1" s="757"/>
      <c r="D1" s="757"/>
      <c r="E1" s="757"/>
      <c r="F1" s="757"/>
      <c r="G1" s="758"/>
      <c r="L1" s="143"/>
      <c r="O1" s="24"/>
      <c r="P1" s="24"/>
    </row>
    <row r="2" spans="2:16">
      <c r="N2" s="24"/>
      <c r="O2" s="24"/>
    </row>
    <row r="3" spans="2:16">
      <c r="N3" s="24"/>
      <c r="O3" s="24"/>
    </row>
    <row r="4" spans="2:16">
      <c r="N4" s="24"/>
      <c r="O4" s="24"/>
    </row>
    <row r="5" spans="2:16" ht="15.75" thickBot="1">
      <c r="N5" s="24"/>
      <c r="O5" s="24"/>
    </row>
    <row r="6" spans="2:16" ht="30.75" thickBot="1">
      <c r="C6" s="958" t="s">
        <v>278</v>
      </c>
      <c r="D6" s="959" t="s">
        <v>30</v>
      </c>
      <c r="E6" s="385" t="s">
        <v>46</v>
      </c>
      <c r="N6" s="24"/>
      <c r="O6" s="24"/>
    </row>
    <row r="7" spans="2:16" ht="15.75" thickBot="1">
      <c r="C7" s="786" t="s">
        <v>245</v>
      </c>
      <c r="D7" s="787"/>
      <c r="E7" s="788"/>
      <c r="N7" s="24"/>
      <c r="O7" s="24"/>
    </row>
    <row r="8" spans="2:16" ht="30.75" thickBot="1">
      <c r="C8" s="382" t="s">
        <v>246</v>
      </c>
      <c r="D8" s="255"/>
      <c r="E8" s="256" t="s">
        <v>56</v>
      </c>
      <c r="N8" s="24"/>
      <c r="O8" s="24"/>
    </row>
    <row r="9" spans="2:16" ht="15.75" thickBot="1">
      <c r="C9" s="786" t="s">
        <v>237</v>
      </c>
      <c r="D9" s="787"/>
      <c r="E9" s="788"/>
      <c r="N9" s="24"/>
      <c r="O9" s="24"/>
    </row>
    <row r="10" spans="2:16" ht="30">
      <c r="C10" s="383" t="s">
        <v>90</v>
      </c>
      <c r="D10" s="33"/>
      <c r="E10" s="48" t="s">
        <v>91</v>
      </c>
      <c r="N10" s="24"/>
      <c r="O10" s="24"/>
    </row>
    <row r="11" spans="2:16">
      <c r="C11" s="380" t="s">
        <v>92</v>
      </c>
      <c r="D11" s="15"/>
      <c r="E11" s="40" t="s">
        <v>7</v>
      </c>
      <c r="N11" s="24"/>
      <c r="O11" s="24"/>
    </row>
    <row r="12" spans="2:16" ht="30">
      <c r="C12" s="380" t="s">
        <v>93</v>
      </c>
      <c r="D12" s="15"/>
      <c r="E12" s="40" t="s">
        <v>91</v>
      </c>
      <c r="N12" s="24"/>
      <c r="O12" s="24"/>
    </row>
    <row r="13" spans="2:16" ht="30.75" thickBot="1">
      <c r="C13" s="384" t="s">
        <v>235</v>
      </c>
      <c r="D13" s="35"/>
      <c r="E13" s="44" t="s">
        <v>56</v>
      </c>
      <c r="N13" s="24"/>
      <c r="O13" s="24"/>
    </row>
    <row r="14" spans="2:16" ht="15.75" thickBot="1">
      <c r="C14" s="786" t="s">
        <v>238</v>
      </c>
      <c r="D14" s="787"/>
      <c r="E14" s="788"/>
      <c r="N14" s="24"/>
      <c r="O14" s="24"/>
    </row>
    <row r="15" spans="2:16">
      <c r="C15" s="383" t="s">
        <v>236</v>
      </c>
      <c r="D15" s="964">
        <f>'Descriptif technique'!C17*'Descriptif technique'!C18/1000</f>
        <v>6608.695652173913</v>
      </c>
      <c r="E15" s="48" t="s">
        <v>91</v>
      </c>
      <c r="N15" s="24"/>
      <c r="O15" s="24"/>
    </row>
    <row r="16" spans="2:16">
      <c r="C16" s="380" t="s">
        <v>95</v>
      </c>
      <c r="D16" s="965">
        <f>D15*'Descriptif technique'!C19</f>
        <v>1520</v>
      </c>
      <c r="E16" s="40" t="s">
        <v>91</v>
      </c>
      <c r="N16" s="24"/>
      <c r="O16" s="24"/>
    </row>
    <row r="17" spans="3:15" ht="30">
      <c r="C17" s="380" t="s">
        <v>241</v>
      </c>
      <c r="D17" s="965">
        <f>D15*'Descriptif technique'!C20</f>
        <v>4097.391304347826</v>
      </c>
      <c r="E17" s="40" t="s">
        <v>242</v>
      </c>
      <c r="N17" s="24"/>
      <c r="O17" s="24"/>
    </row>
    <row r="18" spans="3:15" ht="30">
      <c r="C18" s="380" t="s">
        <v>240</v>
      </c>
      <c r="D18" s="966">
        <f>D17*0.85</f>
        <v>3482.782608695652</v>
      </c>
      <c r="E18" s="40" t="s">
        <v>91</v>
      </c>
      <c r="N18" s="24"/>
      <c r="O18" s="24"/>
    </row>
    <row r="19" spans="3:15">
      <c r="C19" s="384" t="s">
        <v>244</v>
      </c>
      <c r="D19" s="967"/>
      <c r="E19" s="40" t="s">
        <v>91</v>
      </c>
      <c r="N19" s="24"/>
      <c r="O19" s="24"/>
    </row>
    <row r="20" spans="3:15">
      <c r="C20" s="384" t="s">
        <v>243</v>
      </c>
      <c r="D20" s="967"/>
      <c r="E20" s="40" t="s">
        <v>91</v>
      </c>
      <c r="N20" s="24"/>
      <c r="O20" s="24"/>
    </row>
    <row r="21" spans="3:15" ht="30.75" thickBot="1">
      <c r="C21" s="381" t="s">
        <v>96</v>
      </c>
      <c r="D21" s="968">
        <f>0.15*D15</f>
        <v>991.30434782608688</v>
      </c>
      <c r="E21" s="41" t="s">
        <v>91</v>
      </c>
      <c r="N21" s="24"/>
      <c r="O21" s="24"/>
    </row>
    <row r="22" spans="3:15" ht="15.75" thickBot="1">
      <c r="C22" s="786" t="s">
        <v>239</v>
      </c>
      <c r="D22" s="787"/>
      <c r="E22" s="788"/>
      <c r="N22" s="24"/>
      <c r="O22" s="24"/>
    </row>
    <row r="23" spans="3:15" ht="30">
      <c r="C23" s="389" t="s">
        <v>169</v>
      </c>
      <c r="D23" s="546"/>
      <c r="E23" s="39" t="s">
        <v>7</v>
      </c>
      <c r="N23" s="24"/>
      <c r="O23" s="24"/>
    </row>
    <row r="24" spans="3:15" ht="30.75" thickBot="1">
      <c r="C24" s="381" t="s">
        <v>94</v>
      </c>
      <c r="D24" s="956"/>
      <c r="E24" s="41" t="s">
        <v>91</v>
      </c>
      <c r="N24" s="24"/>
      <c r="O24" s="24"/>
    </row>
    <row r="25" spans="3:15">
      <c r="C25" s="390"/>
      <c r="D25" s="23"/>
      <c r="E25" s="42"/>
      <c r="N25" s="24"/>
      <c r="O25" s="24"/>
    </row>
    <row r="26" spans="3:15" ht="15.75" thickBot="1">
      <c r="N26" s="24"/>
      <c r="O26" s="24"/>
    </row>
    <row r="27" spans="3:15" ht="15.75" thickBot="1">
      <c r="C27" s="386" t="s">
        <v>277</v>
      </c>
      <c r="D27" s="387" t="s">
        <v>30</v>
      </c>
      <c r="E27" s="388" t="s">
        <v>11</v>
      </c>
      <c r="N27" s="24"/>
      <c r="O27" s="24"/>
    </row>
    <row r="28" spans="3:15" ht="30">
      <c r="C28" s="379" t="s">
        <v>99</v>
      </c>
      <c r="D28" s="83">
        <v>0</v>
      </c>
      <c r="E28" s="39" t="s">
        <v>14</v>
      </c>
      <c r="N28" s="24"/>
      <c r="O28" s="24"/>
    </row>
    <row r="29" spans="3:15">
      <c r="C29" s="379" t="s">
        <v>139</v>
      </c>
      <c r="D29" s="83">
        <v>102</v>
      </c>
      <c r="E29" s="39" t="s">
        <v>14</v>
      </c>
      <c r="N29" s="24"/>
      <c r="O29" s="24"/>
    </row>
    <row r="30" spans="3:15" ht="30">
      <c r="C30" s="380" t="s">
        <v>100</v>
      </c>
      <c r="D30" s="333">
        <v>0</v>
      </c>
      <c r="E30" s="39" t="s">
        <v>14</v>
      </c>
      <c r="N30" s="24"/>
      <c r="O30" s="24"/>
    </row>
    <row r="31" spans="3:15">
      <c r="C31" s="380" t="s">
        <v>101</v>
      </c>
      <c r="D31" s="333">
        <v>0</v>
      </c>
      <c r="E31" s="39" t="s">
        <v>14</v>
      </c>
      <c r="N31" s="24"/>
      <c r="O31" s="24"/>
    </row>
    <row r="32" spans="3:15">
      <c r="C32" s="380" t="s">
        <v>102</v>
      </c>
      <c r="D32" s="333">
        <v>0</v>
      </c>
      <c r="E32" s="39" t="s">
        <v>14</v>
      </c>
      <c r="N32" s="24"/>
      <c r="O32" s="24"/>
    </row>
    <row r="33" spans="1:15" ht="30">
      <c r="C33" s="380" t="s">
        <v>103</v>
      </c>
      <c r="D33" s="333">
        <v>0</v>
      </c>
      <c r="E33" s="39" t="s">
        <v>14</v>
      </c>
      <c r="N33" s="24"/>
      <c r="O33" s="24"/>
    </row>
    <row r="34" spans="1:15">
      <c r="C34" s="380" t="s">
        <v>104</v>
      </c>
      <c r="D34" s="333">
        <v>0</v>
      </c>
      <c r="E34" s="39" t="s">
        <v>14</v>
      </c>
      <c r="N34" s="24"/>
      <c r="O34" s="24"/>
    </row>
    <row r="35" spans="1:15" ht="30">
      <c r="C35" s="380" t="s">
        <v>105</v>
      </c>
      <c r="D35" s="605">
        <f>D18-SUM(D28:D34,D37:D38,D36)</f>
        <v>3380.782608695652</v>
      </c>
      <c r="E35" s="39" t="s">
        <v>14</v>
      </c>
      <c r="N35" s="24"/>
      <c r="O35" s="24"/>
    </row>
    <row r="36" spans="1:15">
      <c r="C36" s="380" t="s">
        <v>106</v>
      </c>
      <c r="D36" s="333">
        <v>0</v>
      </c>
      <c r="E36" s="39" t="s">
        <v>14</v>
      </c>
      <c r="N36" s="24"/>
      <c r="O36" s="24"/>
    </row>
    <row r="37" spans="1:15">
      <c r="C37" s="380" t="s">
        <v>107</v>
      </c>
      <c r="D37" s="333">
        <v>0</v>
      </c>
      <c r="E37" s="39" t="s">
        <v>14</v>
      </c>
      <c r="N37" s="24"/>
      <c r="O37" s="24"/>
    </row>
    <row r="38" spans="1:15" ht="30.75" thickBot="1">
      <c r="C38" s="381" t="s">
        <v>108</v>
      </c>
      <c r="D38" s="63">
        <v>0</v>
      </c>
      <c r="E38" s="139" t="s">
        <v>14</v>
      </c>
      <c r="N38" s="24"/>
      <c r="O38" s="24"/>
    </row>
    <row r="39" spans="1:15">
      <c r="C39" s="390"/>
      <c r="D39" s="23"/>
      <c r="E39" s="42"/>
      <c r="N39" s="24"/>
      <c r="O39" s="24"/>
    </row>
    <row r="40" spans="1:15">
      <c r="C40" s="390"/>
      <c r="D40" s="23"/>
      <c r="E40" s="42"/>
      <c r="N40" s="24"/>
      <c r="O40" s="24"/>
    </row>
    <row r="41" spans="1:15" ht="12" customHeight="1">
      <c r="N41" s="24"/>
      <c r="O41" s="24"/>
    </row>
    <row r="42" spans="1:15" ht="18.75" customHeight="1" thickBot="1"/>
    <row r="43" spans="1:15" ht="19.5" thickBot="1">
      <c r="A43" s="796" t="s">
        <v>279</v>
      </c>
      <c r="B43" s="797"/>
      <c r="C43" s="797"/>
      <c r="D43" s="797"/>
      <c r="E43" s="797"/>
      <c r="F43" s="797"/>
      <c r="G43" s="797"/>
      <c r="H43" s="798"/>
      <c r="I43" s="123"/>
      <c r="J43" s="123"/>
      <c r="K43" s="123"/>
    </row>
    <row r="44" spans="1:15">
      <c r="C44" s="3"/>
    </row>
    <row r="46" spans="1:15">
      <c r="A46" s="235" t="s">
        <v>272</v>
      </c>
      <c r="B46" s="377"/>
      <c r="C46" s="377"/>
      <c r="D46" s="377"/>
      <c r="E46" s="377"/>
      <c r="F46" s="377"/>
    </row>
    <row r="47" spans="1:15" ht="15.75" thickBot="1"/>
    <row r="48" spans="1:15" ht="15.75" thickBot="1">
      <c r="A48" s="789" t="s">
        <v>143</v>
      </c>
      <c r="B48" s="790"/>
      <c r="C48" s="791" t="s">
        <v>258</v>
      </c>
      <c r="D48" s="792"/>
      <c r="E48" s="789" t="s">
        <v>259</v>
      </c>
      <c r="F48" s="790"/>
    </row>
    <row r="49" spans="1:10" ht="30" customHeight="1">
      <c r="A49" s="319" t="s">
        <v>122</v>
      </c>
      <c r="B49" s="320">
        <f>'Schéma récapitulatif du process'!F29</f>
        <v>500</v>
      </c>
      <c r="C49" s="319" t="s">
        <v>261</v>
      </c>
      <c r="D49" s="321">
        <f>'Schéma récapitulatif du process'!J35</f>
        <v>1083.96</v>
      </c>
      <c r="E49" s="325" t="s">
        <v>260</v>
      </c>
      <c r="F49" s="328">
        <f>D49+B49</f>
        <v>1583.96</v>
      </c>
    </row>
    <row r="50" spans="1:10">
      <c r="A50" s="188" t="s">
        <v>123</v>
      </c>
      <c r="B50" s="264">
        <v>8.5000000000000006E-2</v>
      </c>
      <c r="C50" s="188" t="s">
        <v>123</v>
      </c>
      <c r="D50" s="322">
        <v>0.2</v>
      </c>
      <c r="E50" s="326" t="s">
        <v>123</v>
      </c>
      <c r="F50" s="330">
        <f>F52/F49</f>
        <v>0.16369857824692544</v>
      </c>
    </row>
    <row r="51" spans="1:10">
      <c r="A51" s="188" t="s">
        <v>124</v>
      </c>
      <c r="B51" s="52">
        <v>0.91500000000000004</v>
      </c>
      <c r="C51" s="188" t="s">
        <v>124</v>
      </c>
      <c r="D51" s="322">
        <v>0.8</v>
      </c>
      <c r="E51" s="326" t="s">
        <v>124</v>
      </c>
      <c r="F51" s="330">
        <f>F53/F49</f>
        <v>0.83630142175307465</v>
      </c>
    </row>
    <row r="52" spans="1:10" ht="16.5" customHeight="1">
      <c r="A52" s="189" t="s">
        <v>125</v>
      </c>
      <c r="B52" s="53">
        <f>B50*B49</f>
        <v>42.5</v>
      </c>
      <c r="C52" s="189" t="s">
        <v>125</v>
      </c>
      <c r="D52" s="323">
        <f>D50*D49</f>
        <v>216.79200000000003</v>
      </c>
      <c r="E52" s="326" t="s">
        <v>125</v>
      </c>
      <c r="F52" s="329">
        <f>D52+B52</f>
        <v>259.29200000000003</v>
      </c>
    </row>
    <row r="53" spans="1:10" ht="15.75" thickBot="1">
      <c r="A53" s="190" t="s">
        <v>126</v>
      </c>
      <c r="B53" s="54">
        <f>B51*B49</f>
        <v>457.5</v>
      </c>
      <c r="C53" s="190" t="s">
        <v>126</v>
      </c>
      <c r="D53" s="324">
        <f>D51*D49</f>
        <v>867.16800000000012</v>
      </c>
      <c r="E53" s="327" t="s">
        <v>126</v>
      </c>
      <c r="F53" s="62">
        <f>D53+B53</f>
        <v>1324.6680000000001</v>
      </c>
    </row>
    <row r="55" spans="1:10" ht="14.25" customHeight="1">
      <c r="A55" s="378" t="s">
        <v>273</v>
      </c>
    </row>
    <row r="56" spans="1:10" ht="14.25" customHeight="1" thickBot="1"/>
    <row r="57" spans="1:10" ht="14.25" customHeight="1" thickBot="1">
      <c r="A57" s="793" t="s">
        <v>121</v>
      </c>
      <c r="B57" s="794"/>
      <c r="D57" s="793" t="s">
        <v>262</v>
      </c>
      <c r="E57" s="799"/>
      <c r="F57" s="794"/>
    </row>
    <row r="58" spans="1:10" ht="14.25" customHeight="1" thickBot="1">
      <c r="A58" s="45"/>
      <c r="B58" s="45"/>
      <c r="D58" s="45"/>
      <c r="E58" s="45"/>
      <c r="F58" s="45"/>
    </row>
    <row r="59" spans="1:10" ht="34.5" customHeight="1">
      <c r="A59" s="187" t="s">
        <v>122</v>
      </c>
      <c r="B59" s="127">
        <f>F49</f>
        <v>1583.96</v>
      </c>
      <c r="D59" s="182" t="s">
        <v>130</v>
      </c>
      <c r="E59" s="183" t="s">
        <v>131</v>
      </c>
      <c r="F59" s="184" t="s">
        <v>132</v>
      </c>
      <c r="J59" s="50"/>
    </row>
    <row r="60" spans="1:10" ht="14.25" customHeight="1" thickBot="1">
      <c r="A60" s="188" t="s">
        <v>123</v>
      </c>
      <c r="B60" s="52">
        <f>F50</f>
        <v>0.16369857824692544</v>
      </c>
      <c r="D60" s="58">
        <f>B63-B70+V217</f>
        <v>1213.5428571428572</v>
      </c>
      <c r="E60" s="59">
        <v>1.3</v>
      </c>
      <c r="F60" s="358">
        <f>D60*E60</f>
        <v>1577.6057142857144</v>
      </c>
      <c r="J60" s="50"/>
    </row>
    <row r="61" spans="1:10" ht="14.25" customHeight="1" thickBot="1">
      <c r="A61" s="188" t="s">
        <v>124</v>
      </c>
      <c r="B61" s="52">
        <f>F51</f>
        <v>0.83630142175307465</v>
      </c>
      <c r="D61" s="45"/>
      <c r="E61" s="61">
        <v>1.2</v>
      </c>
      <c r="F61" s="62">
        <f>E61*D60</f>
        <v>1456.2514285714285</v>
      </c>
    </row>
    <row r="62" spans="1:10" ht="14.25" customHeight="1">
      <c r="A62" s="189" t="s">
        <v>125</v>
      </c>
      <c r="B62" s="53">
        <f>F52</f>
        <v>259.29200000000003</v>
      </c>
    </row>
    <row r="63" spans="1:10" ht="14.25" customHeight="1" thickBot="1">
      <c r="A63" s="190" t="s">
        <v>126</v>
      </c>
      <c r="B63" s="54">
        <f>F53</f>
        <v>1324.6680000000001</v>
      </c>
    </row>
    <row r="64" spans="1:10" ht="49.5" customHeight="1" thickBot="1">
      <c r="A64" s="55"/>
      <c r="B64" s="55"/>
      <c r="D64" s="185" t="s">
        <v>145</v>
      </c>
      <c r="E64" s="969">
        <f>D35</f>
        <v>3380.782608695652</v>
      </c>
    </row>
    <row r="65" spans="1:11" ht="21.75" customHeight="1" thickBot="1">
      <c r="A65" s="793" t="s">
        <v>127</v>
      </c>
      <c r="B65" s="794"/>
    </row>
    <row r="66" spans="1:11" ht="14.25" customHeight="1" thickBot="1">
      <c r="A66" s="45"/>
      <c r="B66" s="45"/>
    </row>
    <row r="67" spans="1:11" ht="47.25" customHeight="1">
      <c r="A67" s="191" t="s">
        <v>123</v>
      </c>
      <c r="B67" s="56">
        <v>0.7</v>
      </c>
      <c r="D67" s="182" t="s">
        <v>264</v>
      </c>
      <c r="E67" s="186" t="s">
        <v>267</v>
      </c>
      <c r="F67" s="186" t="s">
        <v>263</v>
      </c>
      <c r="G67" s="184" t="s">
        <v>265</v>
      </c>
    </row>
    <row r="68" spans="1:11" ht="18.75" customHeight="1" thickBot="1">
      <c r="A68" s="189" t="s">
        <v>124</v>
      </c>
      <c r="B68" s="57">
        <v>0.3</v>
      </c>
      <c r="D68" s="58">
        <f>E64-F60</f>
        <v>1803.1768944099376</v>
      </c>
      <c r="E68" s="356">
        <f>IF(D68&lt;0,1-ABS(D68/F60),1)</f>
        <v>1</v>
      </c>
      <c r="F68" s="66">
        <f>E68*B59</f>
        <v>1583.96</v>
      </c>
      <c r="G68" s="66">
        <f>IF(B59&gt;F68,B59-F68,0)</f>
        <v>0</v>
      </c>
    </row>
    <row r="69" spans="1:11" ht="14.25" customHeight="1">
      <c r="A69" s="189" t="s">
        <v>125</v>
      </c>
      <c r="B69" s="53">
        <f>B62</f>
        <v>259.29200000000003</v>
      </c>
    </row>
    <row r="70" spans="1:11">
      <c r="A70" s="189" t="s">
        <v>126</v>
      </c>
      <c r="B70" s="53">
        <f>B68*B69/B67</f>
        <v>111.12514285714288</v>
      </c>
    </row>
    <row r="71" spans="1:11" ht="15.75" thickBot="1">
      <c r="A71" s="192" t="s">
        <v>128</v>
      </c>
      <c r="B71" s="54">
        <f>B69+B70</f>
        <v>370.41714285714289</v>
      </c>
      <c r="G71" s="105"/>
    </row>
    <row r="72" spans="1:11">
      <c r="E72" s="357"/>
    </row>
    <row r="73" spans="1:11" ht="15.75" thickBot="1"/>
    <row r="74" spans="1:11" ht="22.5" customHeight="1" thickBot="1">
      <c r="A74" s="764" t="s">
        <v>274</v>
      </c>
      <c r="B74" s="765"/>
      <c r="C74" s="765"/>
      <c r="D74" s="765"/>
      <c r="E74" s="765"/>
      <c r="F74" s="765"/>
      <c r="G74" s="765"/>
      <c r="H74" s="772"/>
      <c r="I74" s="126"/>
      <c r="J74" s="126"/>
      <c r="K74" s="126"/>
    </row>
    <row r="75" spans="1:11" ht="15" customHeight="1">
      <c r="C75" s="3"/>
    </row>
    <row r="76" spans="1:11" ht="15" customHeight="1" thickBot="1"/>
    <row r="77" spans="1:11" ht="60.75" customHeight="1">
      <c r="A77" s="369" t="s">
        <v>145</v>
      </c>
      <c r="B77" s="970">
        <v>1251</v>
      </c>
    </row>
    <row r="78" spans="1:11" ht="49.5" customHeight="1" thickBot="1">
      <c r="A78" s="370" t="s">
        <v>269</v>
      </c>
      <c r="B78" s="41">
        <v>1000</v>
      </c>
      <c r="C78" t="s">
        <v>502</v>
      </c>
    </row>
    <row r="79" spans="1:11" ht="15" customHeight="1">
      <c r="B79" s="357"/>
    </row>
    <row r="80" spans="1:11" ht="15" customHeight="1" thickBot="1">
      <c r="A80" s="795" t="s">
        <v>266</v>
      </c>
      <c r="B80" s="795"/>
    </row>
    <row r="81" spans="1:16" ht="46.5" customHeight="1">
      <c r="A81" s="360" t="s">
        <v>122</v>
      </c>
      <c r="B81" s="361">
        <f>B78</f>
        <v>1000</v>
      </c>
      <c r="D81" s="182" t="s">
        <v>130</v>
      </c>
      <c r="E81" s="186" t="s">
        <v>145</v>
      </c>
      <c r="F81" s="184" t="s">
        <v>268</v>
      </c>
    </row>
    <row r="82" spans="1:16" ht="15" customHeight="1" thickBot="1">
      <c r="A82" s="362" t="s">
        <v>123</v>
      </c>
      <c r="B82" s="330">
        <f>B60</f>
        <v>0.16369857824692544</v>
      </c>
      <c r="D82" s="58">
        <f>B85-B90</f>
        <v>766.14488821867803</v>
      </c>
      <c r="E82" s="70">
        <f>E64</f>
        <v>3380.782608695652</v>
      </c>
      <c r="F82" s="359">
        <f>E82/D82</f>
        <v>4.4127196574477274</v>
      </c>
    </row>
    <row r="83" spans="1:16" ht="15" customHeight="1">
      <c r="A83" s="362" t="s">
        <v>124</v>
      </c>
      <c r="B83" s="330">
        <f>B61</f>
        <v>0.83630142175307465</v>
      </c>
      <c r="D83" s="45"/>
      <c r="E83" s="42"/>
      <c r="F83" s="335"/>
    </row>
    <row r="84" spans="1:16" ht="15" customHeight="1">
      <c r="A84" s="363" t="s">
        <v>125</v>
      </c>
      <c r="B84" s="329">
        <f>B82*B81</f>
        <v>163.69857824692542</v>
      </c>
    </row>
    <row r="85" spans="1:16" ht="15" customHeight="1" thickBot="1">
      <c r="A85" s="364" t="s">
        <v>126</v>
      </c>
      <c r="B85" s="62">
        <f>B83*B81</f>
        <v>836.30142175307469</v>
      </c>
    </row>
    <row r="86" spans="1:16" ht="18" customHeight="1" thickBot="1">
      <c r="A86" s="795" t="s">
        <v>127</v>
      </c>
      <c r="B86" s="795"/>
      <c r="D86" s="334"/>
      <c r="E86" s="81"/>
    </row>
    <row r="87" spans="1:16" ht="18" customHeight="1">
      <c r="A87" s="365" t="s">
        <v>123</v>
      </c>
      <c r="B87" s="366">
        <v>0.7</v>
      </c>
    </row>
    <row r="88" spans="1:16" ht="18" customHeight="1">
      <c r="A88" s="363" t="s">
        <v>124</v>
      </c>
      <c r="B88" s="367">
        <v>0.3</v>
      </c>
    </row>
    <row r="89" spans="1:16" ht="18" customHeight="1">
      <c r="A89" s="363" t="s">
        <v>125</v>
      </c>
      <c r="B89" s="329">
        <f>B84</f>
        <v>163.69857824692542</v>
      </c>
    </row>
    <row r="90" spans="1:16" ht="18" customHeight="1">
      <c r="A90" s="363" t="s">
        <v>126</v>
      </c>
      <c r="B90" s="329">
        <f>B88*B89/B87</f>
        <v>70.156533534396615</v>
      </c>
    </row>
    <row r="91" spans="1:16" ht="36.75" customHeight="1" thickBot="1">
      <c r="A91" s="368" t="s">
        <v>128</v>
      </c>
      <c r="B91" s="62">
        <f>B89+B90</f>
        <v>233.85511178132202</v>
      </c>
    </row>
    <row r="92" spans="1:16" ht="18" customHeight="1"/>
    <row r="93" spans="1:16" ht="19.5" customHeight="1"/>
    <row r="94" spans="1:16" ht="18.75">
      <c r="O94" s="126"/>
      <c r="P94" s="126"/>
    </row>
    <row r="99" ht="18.75" customHeight="1"/>
    <row r="100" ht="18" customHeight="1"/>
    <row r="101" ht="18.75" customHeight="1"/>
    <row r="103" ht="22.5" customHeight="1"/>
    <row r="109" ht="15.75" customHeight="1"/>
    <row r="110" ht="15.75" customHeight="1"/>
    <row r="113" spans="17:23" ht="14.25" customHeight="1"/>
    <row r="115" spans="17:23">
      <c r="Q115" s="98"/>
      <c r="R115" s="98"/>
      <c r="W115" s="99"/>
    </row>
    <row r="116" spans="17:23">
      <c r="Q116" s="24"/>
      <c r="W116" s="24"/>
    </row>
    <row r="117" spans="17:23">
      <c r="Q117" s="194"/>
      <c r="R117" s="45"/>
    </row>
    <row r="118" spans="17:23" ht="30" customHeight="1">
      <c r="Q118" s="87"/>
      <c r="R118" s="45"/>
    </row>
    <row r="119" spans="17:23">
      <c r="Q119" s="93"/>
      <c r="R119" s="45"/>
    </row>
    <row r="120" spans="17:23" ht="15" customHeight="1">
      <c r="Q120" s="45"/>
    </row>
    <row r="121" spans="17:23">
      <c r="Q121" s="45"/>
    </row>
    <row r="122" spans="17:23">
      <c r="Q122" s="45"/>
    </row>
    <row r="123" spans="17:23">
      <c r="Q123" s="45"/>
    </row>
    <row r="124" spans="17:23" ht="33.75" customHeight="1">
      <c r="Q124" s="55"/>
      <c r="R124" s="45"/>
    </row>
    <row r="125" spans="17:23" ht="18" customHeight="1">
      <c r="Q125" s="317"/>
      <c r="R125" s="45"/>
    </row>
    <row r="126" spans="17:23" ht="14.25" customHeight="1">
      <c r="Q126" s="96"/>
      <c r="R126" s="45"/>
      <c r="S126" s="45"/>
      <c r="T126" s="45"/>
      <c r="U126" s="45"/>
      <c r="V126" s="45"/>
      <c r="W126" s="45"/>
    </row>
    <row r="127" spans="17:23">
      <c r="Q127" s="96"/>
      <c r="R127" s="45"/>
    </row>
    <row r="128" spans="17:23">
      <c r="Q128" s="55"/>
      <c r="R128" s="45"/>
      <c r="S128" s="46"/>
      <c r="T128" s="46"/>
      <c r="U128" s="46"/>
      <c r="V128" s="46"/>
      <c r="W128" s="46"/>
    </row>
    <row r="129" spans="17:23">
      <c r="Q129" s="55"/>
      <c r="R129" s="45"/>
      <c r="S129" s="46"/>
      <c r="T129" s="46"/>
      <c r="U129" s="46"/>
      <c r="V129" s="46"/>
      <c r="W129" s="46"/>
    </row>
    <row r="130" spans="17:23">
      <c r="Q130" s="55"/>
      <c r="R130" s="45"/>
      <c r="S130" s="45"/>
      <c r="T130" s="45"/>
      <c r="U130" s="45"/>
      <c r="V130" s="45"/>
      <c r="W130" s="45"/>
    </row>
    <row r="131" spans="17:23">
      <c r="S131" s="45"/>
      <c r="T131" s="45"/>
      <c r="U131" s="45"/>
      <c r="V131" s="65"/>
      <c r="W131" s="65"/>
    </row>
    <row r="134" spans="17:23" ht="19.5" customHeight="1"/>
    <row r="136" spans="17:23" ht="18.75" customHeight="1"/>
    <row r="139" spans="17:23" ht="35.25" customHeight="1"/>
    <row r="141" spans="17:23" ht="18" customHeight="1"/>
    <row r="144" spans="17:23" ht="34.5" customHeight="1"/>
    <row r="147" spans="22:22" ht="16.5" customHeight="1"/>
    <row r="148" spans="22:22" ht="14.25" customHeight="1"/>
    <row r="149" spans="22:22" ht="15" customHeight="1"/>
    <row r="150" spans="22:22" ht="15" customHeight="1"/>
    <row r="151" spans="22:22">
      <c r="V151" s="91"/>
    </row>
    <row r="152" spans="22:22" ht="18" customHeight="1">
      <c r="V152" s="45"/>
    </row>
    <row r="153" spans="22:22" ht="18" customHeight="1">
      <c r="V153" s="45"/>
    </row>
    <row r="154" spans="22:22" ht="18" customHeight="1">
      <c r="V154" s="45"/>
    </row>
    <row r="155" spans="22:22" ht="18" customHeight="1">
      <c r="V155" s="45"/>
    </row>
    <row r="156" spans="22:22" ht="18" customHeight="1">
      <c r="V156" s="45"/>
    </row>
    <row r="157" spans="22:22" ht="18" customHeight="1">
      <c r="V157" s="45"/>
    </row>
    <row r="158" spans="22:22" ht="18" customHeight="1">
      <c r="V158" s="45"/>
    </row>
    <row r="159" spans="22:22" ht="18" customHeight="1">
      <c r="V159" s="45"/>
    </row>
    <row r="160" spans="22:22">
      <c r="V160" s="45"/>
    </row>
    <row r="161" spans="1:24">
      <c r="V161" s="45"/>
    </row>
    <row r="162" spans="1:24">
      <c r="V162" s="45"/>
    </row>
    <row r="163" spans="1:24">
      <c r="J163" s="23"/>
    </row>
    <row r="165" spans="1:24">
      <c r="V165" s="91"/>
      <c r="W165" s="92"/>
    </row>
    <row r="166" spans="1:24" ht="15.75" customHeight="1">
      <c r="V166" s="45"/>
      <c r="W166" s="45"/>
    </row>
    <row r="167" spans="1:24" ht="13.5" customHeight="1">
      <c r="V167" s="45"/>
      <c r="W167" s="45"/>
    </row>
    <row r="168" spans="1:24">
      <c r="V168" s="45"/>
      <c r="W168" s="45"/>
    </row>
    <row r="169" spans="1:24">
      <c r="A169" s="144"/>
      <c r="B169" s="144"/>
      <c r="C169" s="144"/>
      <c r="D169" s="144"/>
      <c r="V169" s="45"/>
      <c r="W169" s="45"/>
    </row>
    <row r="170" spans="1:24">
      <c r="A170" s="144"/>
      <c r="B170" s="144"/>
      <c r="C170" s="144"/>
      <c r="D170" s="144"/>
      <c r="V170" s="45"/>
      <c r="W170" s="45"/>
    </row>
    <row r="171" spans="1:24">
      <c r="A171" s="144"/>
      <c r="B171" s="144"/>
      <c r="C171" s="144"/>
      <c r="D171" s="144"/>
      <c r="V171" s="81"/>
      <c r="W171" s="81"/>
      <c r="X171" s="24"/>
    </row>
    <row r="172" spans="1:24">
      <c r="A172" s="144"/>
      <c r="B172" s="144"/>
      <c r="C172" s="144"/>
      <c r="D172" s="144"/>
      <c r="V172" s="87"/>
      <c r="W172" s="87"/>
      <c r="X172" s="24"/>
    </row>
    <row r="173" spans="1:24">
      <c r="A173" s="144"/>
      <c r="B173" s="144"/>
      <c r="C173" s="144"/>
      <c r="D173" s="144"/>
      <c r="V173" s="88"/>
      <c r="W173" s="88"/>
      <c r="X173" s="88"/>
    </row>
    <row r="174" spans="1:24">
      <c r="A174" s="145"/>
      <c r="B174" s="144"/>
      <c r="C174" s="144"/>
      <c r="D174" s="144"/>
      <c r="V174" s="89"/>
      <c r="W174" s="89"/>
      <c r="X174" s="90"/>
    </row>
    <row r="175" spans="1:24">
      <c r="A175" s="145"/>
      <c r="B175" s="144"/>
      <c r="C175" s="144"/>
      <c r="D175" s="144"/>
      <c r="V175" s="45"/>
      <c r="W175" s="85"/>
    </row>
    <row r="176" spans="1:24">
      <c r="A176" s="144"/>
      <c r="B176" s="144"/>
      <c r="C176" s="144"/>
      <c r="D176" s="144"/>
    </row>
    <row r="177" spans="1:23">
      <c r="A177" s="144"/>
      <c r="B177" s="144"/>
      <c r="C177" s="144"/>
      <c r="D177" s="144"/>
      <c r="V177" s="46"/>
      <c r="W177" s="46"/>
    </row>
    <row r="178" spans="1:23">
      <c r="A178" s="144"/>
      <c r="B178" s="144"/>
      <c r="C178" s="144"/>
      <c r="D178" s="144"/>
      <c r="V178" s="46"/>
      <c r="W178" s="46"/>
    </row>
    <row r="179" spans="1:23">
      <c r="A179" s="144"/>
      <c r="B179" s="144"/>
      <c r="C179" s="144"/>
      <c r="D179" s="144"/>
      <c r="V179" s="45"/>
      <c r="W179" s="45"/>
    </row>
    <row r="180" spans="1:23">
      <c r="A180" s="144"/>
      <c r="B180" s="144"/>
      <c r="C180" s="144"/>
      <c r="D180" s="144"/>
    </row>
    <row r="181" spans="1:23">
      <c r="A181" s="144"/>
      <c r="B181" s="144"/>
      <c r="C181" s="144"/>
      <c r="D181" s="144"/>
    </row>
    <row r="182" spans="1:23">
      <c r="A182" s="144"/>
      <c r="B182" s="144"/>
      <c r="C182" s="144"/>
      <c r="D182" s="144"/>
    </row>
    <row r="183" spans="1:23">
      <c r="A183" s="144"/>
      <c r="B183" s="144"/>
      <c r="C183" s="144"/>
      <c r="D183" s="144"/>
    </row>
  </sheetData>
  <mergeCells count="15">
    <mergeCell ref="A57:B57"/>
    <mergeCell ref="A65:B65"/>
    <mergeCell ref="A80:B80"/>
    <mergeCell ref="C22:E22"/>
    <mergeCell ref="A86:B86"/>
    <mergeCell ref="A74:H74"/>
    <mergeCell ref="A43:H43"/>
    <mergeCell ref="D57:F57"/>
    <mergeCell ref="B1:G1"/>
    <mergeCell ref="C7:E7"/>
    <mergeCell ref="C9:E9"/>
    <mergeCell ref="C14:E14"/>
    <mergeCell ref="A48:B48"/>
    <mergeCell ref="C48:D48"/>
    <mergeCell ref="E48:F48"/>
  </mergeCells>
  <conditionalFormatting sqref="G68">
    <cfRule type="cellIs" dxfId="5" priority="2" operator="equal">
      <formula>0</formula>
    </cfRule>
    <cfRule type="cellIs" dxfId="4" priority="4" operator="greaterThan">
      <formula>0</formula>
    </cfRule>
  </conditionalFormatting>
  <conditionalFormatting sqref="F82">
    <cfRule type="cellIs" dxfId="3" priority="3" operator="greaterThan">
      <formula>$E$60</formula>
    </cfRule>
  </conditionalFormatting>
  <conditionalFormatting sqref="F60">
    <cfRule type="cellIs" dxfId="2" priority="6" operator="lessThan">
      <formula>$E$64</formula>
    </cfRule>
    <cfRule type="cellIs" dxfId="1" priority="7" operator="greaterThan">
      <formula>$E$64</formula>
    </cfRule>
  </conditionalFormatting>
  <pageMargins left="0.70866141732283472" right="0.70866141732283472" top="0.19685039370078741" bottom="0" header="0.31496062992125984" footer="0"/>
  <pageSetup paperSize="9" scale="45" fitToHeight="4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R72"/>
  <sheetViews>
    <sheetView showGridLines="0" topLeftCell="A20" workbookViewId="0">
      <selection activeCell="I48" sqref="I48:J48"/>
    </sheetView>
  </sheetViews>
  <sheetFormatPr baseColWidth="10" defaultRowHeight="15"/>
  <cols>
    <col min="2" max="2" width="13.140625" customWidth="1"/>
    <col min="5" max="5" width="13.140625" customWidth="1"/>
    <col min="6" max="6" width="16.5703125" customWidth="1"/>
    <col min="7" max="7" width="13.5703125" customWidth="1"/>
    <col min="9" max="10" width="13.5703125" customWidth="1"/>
    <col min="13" max="14" width="13.140625" customWidth="1"/>
  </cols>
  <sheetData>
    <row r="1" spans="1:18" ht="19.5" thickBot="1">
      <c r="A1" s="824" t="s">
        <v>270</v>
      </c>
      <c r="B1" s="825"/>
      <c r="C1" s="825"/>
      <c r="D1" s="825"/>
      <c r="E1" s="825"/>
      <c r="F1" s="825"/>
      <c r="G1" s="825"/>
      <c r="H1" s="825"/>
      <c r="I1" s="825"/>
      <c r="J1" s="825"/>
      <c r="K1" s="825"/>
      <c r="L1" s="825"/>
      <c r="M1" s="825"/>
      <c r="N1" s="825"/>
      <c r="O1" s="825"/>
      <c r="P1" s="825"/>
      <c r="Q1" s="825"/>
      <c r="R1" s="826"/>
    </row>
    <row r="2" spans="1:18" ht="18.75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</row>
    <row r="3" spans="1:18">
      <c r="A3" s="17"/>
    </row>
    <row r="4" spans="1:18">
      <c r="E4" s="24"/>
      <c r="F4" s="24"/>
    </row>
    <row r="5" spans="1:18">
      <c r="A5" s="830" t="s">
        <v>141</v>
      </c>
      <c r="B5" s="831" t="s">
        <v>116</v>
      </c>
      <c r="C5" s="831"/>
      <c r="D5" s="831"/>
      <c r="F5" s="831" t="s">
        <v>117</v>
      </c>
      <c r="G5" s="831"/>
      <c r="H5" s="831"/>
      <c r="I5" s="38"/>
      <c r="J5" s="813" t="s">
        <v>118</v>
      </c>
      <c r="K5" s="814"/>
      <c r="L5" s="815"/>
      <c r="N5" s="813" t="s">
        <v>119</v>
      </c>
      <c r="O5" s="814"/>
      <c r="P5" s="815"/>
    </row>
    <row r="6" spans="1:18" ht="18">
      <c r="A6" s="830"/>
      <c r="B6" s="74" t="s">
        <v>38</v>
      </c>
      <c r="C6" s="74" t="s">
        <v>275</v>
      </c>
      <c r="D6" s="74" t="s">
        <v>276</v>
      </c>
      <c r="F6" s="74" t="s">
        <v>38</v>
      </c>
      <c r="G6" s="74" t="s">
        <v>275</v>
      </c>
      <c r="H6" s="74" t="s">
        <v>276</v>
      </c>
      <c r="J6" s="73" t="s">
        <v>38</v>
      </c>
      <c r="K6" s="74" t="s">
        <v>275</v>
      </c>
      <c r="L6" s="74" t="s">
        <v>276</v>
      </c>
      <c r="N6" s="74" t="s">
        <v>38</v>
      </c>
      <c r="O6" s="74" t="s">
        <v>275</v>
      </c>
      <c r="P6" s="74" t="s">
        <v>276</v>
      </c>
    </row>
    <row r="7" spans="1:18" ht="15.75">
      <c r="A7" s="830"/>
      <c r="B7" s="20">
        <f>'Flux éléments'!C11</f>
        <v>5800</v>
      </c>
      <c r="C7" s="20">
        <f>'Flux éléments'!D11</f>
        <v>4400</v>
      </c>
      <c r="D7" s="15"/>
      <c r="F7" s="20">
        <f>'Flux éléments'!I23</f>
        <v>34997.85</v>
      </c>
      <c r="G7" s="20">
        <f>'Flux éléments'!J23</f>
        <v>19616.599999999999</v>
      </c>
      <c r="H7" s="15"/>
      <c r="J7" s="71">
        <f>'Flux éléments'!I35</f>
        <v>15049.8</v>
      </c>
      <c r="K7" s="72">
        <f>'Flux éléments'!J35</f>
        <v>4857.4699999999993</v>
      </c>
      <c r="L7" s="15"/>
      <c r="N7" s="20">
        <v>5077.2</v>
      </c>
      <c r="O7" s="20">
        <v>2051.7399999999998</v>
      </c>
      <c r="P7" s="15"/>
    </row>
    <row r="8" spans="1:18">
      <c r="A8" s="830"/>
      <c r="B8" s="20" t="s">
        <v>66</v>
      </c>
      <c r="C8" s="800">
        <f>'Flux éléments'!B11</f>
        <v>2300</v>
      </c>
      <c r="D8" s="801"/>
      <c r="F8" s="20" t="s">
        <v>66</v>
      </c>
      <c r="G8" s="800">
        <f>SUM('Flux éléments'!B19:B22)</f>
        <v>7240</v>
      </c>
      <c r="H8" s="801"/>
      <c r="J8" s="20" t="s">
        <v>66</v>
      </c>
      <c r="K8" s="800">
        <f>SUM('Flux éléments'!B25:B34)</f>
        <v>2265.6999999999998</v>
      </c>
      <c r="L8" s="801"/>
      <c r="N8" s="20" t="s">
        <v>66</v>
      </c>
      <c r="O8" s="800">
        <v>1125</v>
      </c>
      <c r="P8" s="801"/>
    </row>
    <row r="9" spans="1:18">
      <c r="B9" s="21"/>
      <c r="C9" s="21"/>
      <c r="F9" s="22"/>
      <c r="G9" s="22"/>
      <c r="H9" s="21"/>
      <c r="J9" s="22"/>
      <c r="K9" s="22"/>
      <c r="O9" s="95"/>
      <c r="P9" s="55"/>
    </row>
    <row r="10" spans="1:18">
      <c r="N10" s="50"/>
      <c r="O10" s="94"/>
      <c r="P10" s="55"/>
    </row>
    <row r="11" spans="1:18">
      <c r="A11" s="809" t="s">
        <v>67</v>
      </c>
      <c r="P11" s="55"/>
    </row>
    <row r="12" spans="1:18">
      <c r="A12" s="809"/>
      <c r="G12" s="822" t="s">
        <v>67</v>
      </c>
      <c r="H12" s="822"/>
      <c r="I12" s="822"/>
      <c r="P12" s="317"/>
    </row>
    <row r="13" spans="1:18" ht="18">
      <c r="A13" s="809"/>
      <c r="G13" s="73" t="s">
        <v>38</v>
      </c>
      <c r="H13" s="74" t="s">
        <v>275</v>
      </c>
      <c r="I13" s="74" t="s">
        <v>276</v>
      </c>
      <c r="N13" s="50"/>
      <c r="O13" s="50"/>
      <c r="P13" s="95"/>
    </row>
    <row r="14" spans="1:18">
      <c r="A14" s="809"/>
      <c r="G14" s="20">
        <f>5.9*H15</f>
        <v>56244.700000000004</v>
      </c>
      <c r="H14" s="20">
        <f>2.8*H15</f>
        <v>26692.399999999998</v>
      </c>
      <c r="I14" s="15"/>
      <c r="P14" s="95"/>
    </row>
    <row r="15" spans="1:18">
      <c r="A15" s="809"/>
      <c r="G15" s="20" t="s">
        <v>66</v>
      </c>
      <c r="H15" s="800">
        <v>9533</v>
      </c>
      <c r="I15" s="801"/>
      <c r="L15" s="50"/>
      <c r="P15" s="95"/>
    </row>
    <row r="16" spans="1:18">
      <c r="A16" s="809"/>
      <c r="P16" s="95"/>
    </row>
    <row r="17" spans="1:18">
      <c r="P17" s="97"/>
    </row>
    <row r="18" spans="1:18">
      <c r="A18" s="809" t="s">
        <v>143</v>
      </c>
      <c r="G18" s="803" t="s">
        <v>114</v>
      </c>
      <c r="H18" s="803"/>
      <c r="I18" s="803"/>
      <c r="J18" s="272"/>
      <c r="K18" s="272"/>
    </row>
    <row r="19" spans="1:18" ht="18">
      <c r="A19" s="809"/>
      <c r="G19" s="74" t="s">
        <v>38</v>
      </c>
      <c r="H19" s="74" t="s">
        <v>275</v>
      </c>
      <c r="I19" s="74" t="s">
        <v>276</v>
      </c>
      <c r="J19" s="10"/>
      <c r="K19" s="10"/>
    </row>
    <row r="20" spans="1:18">
      <c r="A20" s="809"/>
      <c r="G20" s="20">
        <f>G14</f>
        <v>56244.700000000004</v>
      </c>
      <c r="H20" s="20">
        <f>H14</f>
        <v>26692.399999999998</v>
      </c>
      <c r="I20" s="15"/>
      <c r="J20" s="22"/>
      <c r="K20" s="23"/>
    </row>
    <row r="21" spans="1:18">
      <c r="A21" s="809"/>
      <c r="G21" s="64" t="s">
        <v>66</v>
      </c>
      <c r="H21" s="823">
        <f>H15</f>
        <v>9533</v>
      </c>
      <c r="I21" s="823"/>
      <c r="J21" s="802"/>
      <c r="K21" s="802"/>
    </row>
    <row r="22" spans="1:18">
      <c r="A22" s="809"/>
    </row>
    <row r="23" spans="1:18">
      <c r="A23" s="82"/>
    </row>
    <row r="24" spans="1:18" ht="15" customHeight="1">
      <c r="A24" s="809" t="s">
        <v>142</v>
      </c>
    </row>
    <row r="25" spans="1:18" ht="15.75" thickBot="1">
      <c r="A25" s="809"/>
      <c r="E25" s="24"/>
      <c r="F25" s="24"/>
      <c r="G25" s="75"/>
      <c r="H25" s="75"/>
    </row>
    <row r="26" spans="1:18">
      <c r="A26" s="809"/>
      <c r="E26" s="813" t="s">
        <v>113</v>
      </c>
      <c r="F26" s="814"/>
      <c r="G26" s="815"/>
      <c r="H26" s="75"/>
      <c r="I26" s="827" t="s">
        <v>135</v>
      </c>
      <c r="J26" s="828"/>
      <c r="K26" s="829"/>
      <c r="M26" s="832" t="s">
        <v>138</v>
      </c>
      <c r="N26" s="833"/>
    </row>
    <row r="27" spans="1:18" ht="18">
      <c r="A27" s="809"/>
      <c r="E27" s="74" t="s">
        <v>38</v>
      </c>
      <c r="F27" s="74" t="s">
        <v>275</v>
      </c>
      <c r="G27" s="74" t="s">
        <v>276</v>
      </c>
      <c r="H27" s="21"/>
      <c r="I27" s="74" t="s">
        <v>38</v>
      </c>
      <c r="J27" s="74" t="s">
        <v>275</v>
      </c>
      <c r="K27" s="74" t="s">
        <v>276</v>
      </c>
      <c r="M27" s="102" t="s">
        <v>38</v>
      </c>
      <c r="N27" s="103">
        <v>0.2</v>
      </c>
    </row>
    <row r="28" spans="1:18" ht="18">
      <c r="A28" s="809"/>
      <c r="C28" s="77"/>
      <c r="D28" s="78"/>
      <c r="E28" s="76">
        <f>G20*F29/H21</f>
        <v>2950.0000000000005</v>
      </c>
      <c r="F28" s="76">
        <f>H20*F29/H21</f>
        <v>1399.9999999999998</v>
      </c>
      <c r="G28" s="15"/>
      <c r="H28" s="21"/>
      <c r="I28" s="20">
        <f>G20*J29/H21</f>
        <v>53294.700000000004</v>
      </c>
      <c r="J28" s="20">
        <f>H20*J29/H21</f>
        <v>25292.399999999998</v>
      </c>
      <c r="K28" s="15"/>
      <c r="M28" s="74" t="s">
        <v>275</v>
      </c>
      <c r="N28" s="103">
        <v>0.7</v>
      </c>
    </row>
    <row r="29" spans="1:18" ht="18.75" thickBot="1">
      <c r="A29" s="809"/>
      <c r="B29" s="77"/>
      <c r="C29" s="77"/>
      <c r="D29" s="78"/>
      <c r="E29" s="20" t="s">
        <v>66</v>
      </c>
      <c r="F29" s="800">
        <v>500</v>
      </c>
      <c r="G29" s="801"/>
      <c r="H29" s="24"/>
      <c r="I29" s="20" t="s">
        <v>66</v>
      </c>
      <c r="J29" s="800">
        <f>H21-F29</f>
        <v>9033</v>
      </c>
      <c r="K29" s="801"/>
      <c r="L29" s="38"/>
      <c r="M29" s="74" t="s">
        <v>276</v>
      </c>
      <c r="N29" s="316">
        <v>0.1</v>
      </c>
    </row>
    <row r="30" spans="1:18">
      <c r="A30" s="809"/>
      <c r="E30" s="24"/>
      <c r="F30" s="24"/>
      <c r="G30" s="24"/>
      <c r="H30" s="24"/>
    </row>
    <row r="31" spans="1:18">
      <c r="A31" s="809"/>
      <c r="E31" s="75"/>
      <c r="F31" s="812"/>
      <c r="G31" s="812"/>
      <c r="H31" s="24"/>
    </row>
    <row r="32" spans="1:18">
      <c r="A32" s="809"/>
      <c r="E32" s="75"/>
      <c r="F32" s="75"/>
      <c r="G32" s="24"/>
      <c r="H32" s="24"/>
      <c r="I32" s="804" t="s">
        <v>136</v>
      </c>
      <c r="J32" s="805"/>
      <c r="K32" s="806"/>
      <c r="M32" s="804" t="s">
        <v>137</v>
      </c>
      <c r="N32" s="805"/>
      <c r="O32" s="806"/>
      <c r="P32" s="804" t="s">
        <v>257</v>
      </c>
      <c r="Q32" s="805"/>
      <c r="R32" s="806"/>
    </row>
    <row r="33" spans="1:18" ht="18">
      <c r="A33" s="809"/>
      <c r="E33" s="21"/>
      <c r="F33" s="21"/>
      <c r="G33" s="24"/>
      <c r="H33" s="24"/>
      <c r="I33" s="26" t="s">
        <v>38</v>
      </c>
      <c r="J33" s="74" t="s">
        <v>275</v>
      </c>
      <c r="K33" s="74" t="s">
        <v>276</v>
      </c>
      <c r="M33" s="74" t="s">
        <v>38</v>
      </c>
      <c r="N33" s="74" t="s">
        <v>275</v>
      </c>
      <c r="O33" s="74" t="s">
        <v>276</v>
      </c>
      <c r="P33" s="74" t="s">
        <v>38</v>
      </c>
      <c r="Q33" s="74" t="s">
        <v>275</v>
      </c>
      <c r="R33" s="74" t="s">
        <v>276</v>
      </c>
    </row>
    <row r="34" spans="1:18">
      <c r="A34" s="809"/>
      <c r="E34" s="21"/>
      <c r="F34" s="21"/>
      <c r="G34" s="24"/>
      <c r="H34" s="24"/>
      <c r="I34" s="64">
        <f>N27*I28</f>
        <v>10658.940000000002</v>
      </c>
      <c r="J34" s="64">
        <f>N28*J28</f>
        <v>17704.679999999997</v>
      </c>
      <c r="K34" s="100"/>
      <c r="M34" s="20">
        <f>I28-I34</f>
        <v>42635.76</v>
      </c>
      <c r="N34" s="20">
        <f>J28-J34</f>
        <v>7587.7200000000012</v>
      </c>
      <c r="O34" s="15"/>
      <c r="P34" s="332">
        <f>M34-(M34/G20)*N7</f>
        <v>38787.036819469213</v>
      </c>
      <c r="Q34" s="76">
        <f>N34-(N34/H20)*O7</f>
        <v>7004.481751180112</v>
      </c>
      <c r="R34" s="355"/>
    </row>
    <row r="35" spans="1:18">
      <c r="A35" s="809"/>
      <c r="E35" s="24"/>
      <c r="F35" s="24"/>
      <c r="G35" s="24"/>
      <c r="H35" s="24"/>
      <c r="I35" s="64" t="s">
        <v>66</v>
      </c>
      <c r="J35" s="810">
        <f>J29*0.12</f>
        <v>1083.96</v>
      </c>
      <c r="K35" s="811"/>
      <c r="M35" s="20" t="s">
        <v>66</v>
      </c>
      <c r="N35" s="800">
        <f>J29-J35</f>
        <v>7949.04</v>
      </c>
      <c r="O35" s="801"/>
      <c r="P35" s="332" t="s">
        <v>66</v>
      </c>
      <c r="Q35" s="807">
        <f>N35-(N35/H21)*O8</f>
        <v>7010.964892478758</v>
      </c>
      <c r="R35" s="808"/>
    </row>
    <row r="36" spans="1:18">
      <c r="A36" s="809"/>
      <c r="I36" s="24"/>
      <c r="J36" s="24"/>
      <c r="K36" s="24"/>
    </row>
    <row r="37" spans="1:18">
      <c r="A37" s="809"/>
      <c r="I37" s="24"/>
      <c r="J37" s="24"/>
      <c r="K37" s="24"/>
    </row>
    <row r="38" spans="1:18">
      <c r="A38" s="809"/>
      <c r="I38" s="24"/>
      <c r="J38" s="24"/>
      <c r="K38" s="24"/>
    </row>
    <row r="39" spans="1:18">
      <c r="A39" s="809"/>
      <c r="E39" s="819" t="s">
        <v>256</v>
      </c>
      <c r="F39" s="820"/>
      <c r="G39" s="821"/>
      <c r="H39" s="82"/>
      <c r="I39" s="24"/>
      <c r="J39" s="24"/>
      <c r="K39" s="24"/>
    </row>
    <row r="40" spans="1:18" ht="18">
      <c r="A40" s="809"/>
      <c r="E40" s="26" t="s">
        <v>38</v>
      </c>
      <c r="F40" s="396" t="s">
        <v>275</v>
      </c>
      <c r="G40" s="74" t="s">
        <v>276</v>
      </c>
      <c r="H40" s="82"/>
      <c r="I40" s="24"/>
      <c r="J40" s="24"/>
      <c r="K40" s="24"/>
    </row>
    <row r="41" spans="1:18">
      <c r="A41" s="809"/>
      <c r="E41" s="64">
        <f>E28+I34</f>
        <v>13608.940000000002</v>
      </c>
      <c r="F41" s="64">
        <f>F28+J34</f>
        <v>19104.679999999997</v>
      </c>
      <c r="G41" s="26"/>
      <c r="H41" s="82"/>
      <c r="I41" s="24"/>
      <c r="J41" s="24"/>
      <c r="K41" s="24"/>
    </row>
    <row r="42" spans="1:18">
      <c r="A42" s="809"/>
      <c r="E42" s="64" t="s">
        <v>66</v>
      </c>
      <c r="F42" s="823">
        <f>F29+J35</f>
        <v>1583.96</v>
      </c>
      <c r="G42" s="717"/>
      <c r="H42" s="82"/>
      <c r="I42" s="24"/>
      <c r="J42" s="24"/>
      <c r="K42" s="24"/>
    </row>
    <row r="43" spans="1:18">
      <c r="A43" s="809"/>
      <c r="H43" s="82"/>
      <c r="I43" s="24"/>
      <c r="J43" s="24"/>
      <c r="K43" s="24"/>
    </row>
    <row r="44" spans="1:18">
      <c r="A44" s="809"/>
      <c r="E44" s="86"/>
      <c r="F44" s="86"/>
      <c r="G44" s="86"/>
      <c r="H44" s="82"/>
      <c r="I44" s="24"/>
      <c r="J44" s="24"/>
      <c r="K44" s="24"/>
    </row>
    <row r="45" spans="1:18">
      <c r="A45" s="809"/>
      <c r="E45" s="813" t="s">
        <v>120</v>
      </c>
      <c r="F45" s="814"/>
      <c r="G45" s="815"/>
      <c r="H45" s="804" t="s">
        <v>257</v>
      </c>
      <c r="I45" s="805"/>
      <c r="J45" s="806"/>
      <c r="K45" s="24"/>
    </row>
    <row r="46" spans="1:18" ht="18">
      <c r="A46" s="809"/>
      <c r="E46" s="74" t="s">
        <v>38</v>
      </c>
      <c r="F46" s="74" t="s">
        <v>275</v>
      </c>
      <c r="G46" s="74" t="s">
        <v>276</v>
      </c>
      <c r="H46" s="74" t="s">
        <v>38</v>
      </c>
      <c r="I46" s="74" t="s">
        <v>275</v>
      </c>
      <c r="J46" s="74" t="s">
        <v>276</v>
      </c>
      <c r="K46" s="24"/>
    </row>
    <row r="47" spans="1:18">
      <c r="A47" s="809"/>
      <c r="E47" s="20">
        <f>E41</f>
        <v>13608.940000000002</v>
      </c>
      <c r="F47" s="20">
        <f>F41</f>
        <v>19104.679999999997</v>
      </c>
      <c r="G47" s="15"/>
      <c r="H47" s="318">
        <f>E47-(E41/G20)*N7</f>
        <v>12380.463180530791</v>
      </c>
      <c r="I47" s="76">
        <f>F47-(F41/H20)*O7</f>
        <v>17636.178248819884</v>
      </c>
      <c r="J47" s="355"/>
      <c r="K47" s="24"/>
    </row>
    <row r="48" spans="1:18">
      <c r="A48" s="809"/>
      <c r="E48" s="64" t="s">
        <v>66</v>
      </c>
      <c r="F48" s="810">
        <f>F42</f>
        <v>1583.96</v>
      </c>
      <c r="G48" s="811"/>
      <c r="H48" s="318" t="s">
        <v>66</v>
      </c>
      <c r="I48" s="807">
        <f>F48-(F42/H21)*O8</f>
        <v>1397.035107521242</v>
      </c>
      <c r="J48" s="808"/>
      <c r="K48" s="24"/>
    </row>
    <row r="49" spans="1:11">
      <c r="A49" s="809"/>
      <c r="E49" s="80"/>
      <c r="F49" s="80"/>
      <c r="G49" s="80"/>
      <c r="H49" s="80"/>
      <c r="I49" s="79"/>
      <c r="J49" s="75"/>
      <c r="K49" s="75"/>
    </row>
    <row r="50" spans="1:11">
      <c r="E50" s="80"/>
      <c r="F50" s="80"/>
      <c r="G50" s="80"/>
      <c r="H50" s="80"/>
      <c r="I50" s="79"/>
      <c r="J50" s="75"/>
    </row>
    <row r="51" spans="1:11" ht="15" customHeight="1">
      <c r="E51" s="79"/>
      <c r="F51" s="79"/>
      <c r="G51" s="79"/>
      <c r="H51" s="79"/>
      <c r="I51" s="79"/>
      <c r="J51" s="21"/>
    </row>
    <row r="52" spans="1:11">
      <c r="A52" s="809" t="s">
        <v>144</v>
      </c>
      <c r="I52" s="24"/>
      <c r="J52" s="21"/>
      <c r="K52" s="21"/>
    </row>
    <row r="53" spans="1:11" ht="15" customHeight="1">
      <c r="A53" s="809"/>
      <c r="E53" s="804" t="s">
        <v>111</v>
      </c>
      <c r="F53" s="805"/>
      <c r="G53" s="806"/>
      <c r="I53" s="24"/>
      <c r="J53" s="24"/>
      <c r="K53" s="24"/>
    </row>
    <row r="54" spans="1:11" ht="18">
      <c r="A54" s="809"/>
      <c r="E54" s="74" t="s">
        <v>38</v>
      </c>
      <c r="F54" s="74" t="s">
        <v>275</v>
      </c>
      <c r="G54" s="74" t="s">
        <v>276</v>
      </c>
      <c r="I54" s="24"/>
      <c r="J54" s="24"/>
      <c r="K54" s="24"/>
    </row>
    <row r="55" spans="1:11">
      <c r="A55" s="809"/>
      <c r="E55" s="20">
        <f>B7+P34</f>
        <v>44587.036819469213</v>
      </c>
      <c r="F55" s="20">
        <f>C7+Q34</f>
        <v>11404.481751180112</v>
      </c>
      <c r="G55" s="15"/>
    </row>
    <row r="56" spans="1:11">
      <c r="A56" s="809"/>
      <c r="E56" s="20" t="s">
        <v>66</v>
      </c>
      <c r="F56" s="800">
        <f>C8+Q35</f>
        <v>9310.964892478758</v>
      </c>
      <c r="G56" s="801"/>
    </row>
    <row r="57" spans="1:11">
      <c r="A57" s="809"/>
    </row>
    <row r="58" spans="1:11">
      <c r="A58" s="809"/>
    </row>
    <row r="59" spans="1:11">
      <c r="A59" s="809"/>
      <c r="E59" s="813" t="s">
        <v>110</v>
      </c>
      <c r="F59" s="814"/>
      <c r="G59" s="815"/>
    </row>
    <row r="60" spans="1:11" ht="18">
      <c r="A60" s="809"/>
      <c r="E60" s="74" t="s">
        <v>38</v>
      </c>
      <c r="F60" s="74" t="s">
        <v>275</v>
      </c>
      <c r="G60" s="74" t="s">
        <v>276</v>
      </c>
    </row>
    <row r="61" spans="1:11">
      <c r="A61" s="809"/>
      <c r="E61" s="20">
        <f>'Plan épandage'!C21</f>
        <v>49174</v>
      </c>
      <c r="F61" s="20">
        <f>'Plan épandage'!D21</f>
        <v>17816</v>
      </c>
      <c r="G61" s="15"/>
    </row>
    <row r="62" spans="1:11">
      <c r="A62" s="809"/>
      <c r="E62" s="22"/>
      <c r="F62" s="22"/>
      <c r="G62" s="104"/>
      <c r="H62" s="23"/>
    </row>
    <row r="63" spans="1:11">
      <c r="A63" s="809"/>
      <c r="E63" s="22"/>
      <c r="F63" s="22"/>
    </row>
    <row r="64" spans="1:11" ht="15.75" thickBot="1">
      <c r="A64" s="809"/>
    </row>
    <row r="65" spans="1:11" ht="25.5" customHeight="1">
      <c r="A65" s="809"/>
      <c r="E65" s="816" t="s">
        <v>112</v>
      </c>
      <c r="F65" s="817"/>
      <c r="G65" s="818"/>
    </row>
    <row r="66" spans="1:11" ht="26.25">
      <c r="A66" s="809"/>
      <c r="E66" s="131" t="s">
        <v>38</v>
      </c>
      <c r="F66" s="130" t="s">
        <v>65</v>
      </c>
      <c r="G66" s="132" t="s">
        <v>140</v>
      </c>
    </row>
    <row r="67" spans="1:11" ht="27" thickBot="1">
      <c r="A67" s="809"/>
      <c r="E67" s="133">
        <f>E55-E61</f>
        <v>-4586.9631805307872</v>
      </c>
      <c r="F67" s="134">
        <f>F55-F61</f>
        <v>-6411.518248819888</v>
      </c>
      <c r="G67" s="135"/>
      <c r="J67" s="23"/>
    </row>
    <row r="68" spans="1:11">
      <c r="A68" s="809"/>
      <c r="J68" s="23"/>
      <c r="K68" s="23"/>
    </row>
    <row r="72" spans="1:11">
      <c r="H72" s="50"/>
      <c r="I72" s="50"/>
    </row>
  </sheetData>
  <mergeCells count="41">
    <mergeCell ref="A1:R1"/>
    <mergeCell ref="J35:K35"/>
    <mergeCell ref="I26:K26"/>
    <mergeCell ref="H21:I21"/>
    <mergeCell ref="A5:A8"/>
    <mergeCell ref="A11:A16"/>
    <mergeCell ref="A18:A22"/>
    <mergeCell ref="H15:I15"/>
    <mergeCell ref="G8:H8"/>
    <mergeCell ref="B5:D5"/>
    <mergeCell ref="E26:G26"/>
    <mergeCell ref="N5:P5"/>
    <mergeCell ref="J5:L5"/>
    <mergeCell ref="F5:H5"/>
    <mergeCell ref="O8:P8"/>
    <mergeCell ref="M26:N26"/>
    <mergeCell ref="A52:A68"/>
    <mergeCell ref="A24:A49"/>
    <mergeCell ref="F48:G48"/>
    <mergeCell ref="C8:D8"/>
    <mergeCell ref="F29:G29"/>
    <mergeCell ref="F31:G31"/>
    <mergeCell ref="E59:G59"/>
    <mergeCell ref="E65:G65"/>
    <mergeCell ref="E39:G39"/>
    <mergeCell ref="G12:I12"/>
    <mergeCell ref="H45:J45"/>
    <mergeCell ref="I48:J48"/>
    <mergeCell ref="F42:G42"/>
    <mergeCell ref="E45:G45"/>
    <mergeCell ref="F56:G56"/>
    <mergeCell ref="E53:G53"/>
    <mergeCell ref="K8:L8"/>
    <mergeCell ref="J21:K21"/>
    <mergeCell ref="G18:I18"/>
    <mergeCell ref="N35:O35"/>
    <mergeCell ref="P32:R32"/>
    <mergeCell ref="Q35:R35"/>
    <mergeCell ref="M32:O32"/>
    <mergeCell ref="I32:K32"/>
    <mergeCell ref="J29:K29"/>
  </mergeCells>
  <conditionalFormatting sqref="E67:G67">
    <cfRule type="cellIs" dxfId="14" priority="11" operator="lessThan">
      <formula>0</formula>
    </cfRule>
    <cfRule type="cellIs" dxfId="13" priority="12" operator="greaterThan">
      <formula>0</formula>
    </cfRule>
  </conditionalFormatting>
  <conditionalFormatting sqref="J47">
    <cfRule type="cellIs" dxfId="12" priority="8" operator="greaterThan">
      <formula>$G$175+(2*$G$175)</formula>
    </cfRule>
    <cfRule type="cellIs" dxfId="11" priority="9" operator="greaterThan">
      <formula>$G$175+(2*$F$175)</formula>
    </cfRule>
    <cfRule type="cellIs" dxfId="10" priority="10" operator="greaterThan">
      <formula>$G$175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S139"/>
  <sheetViews>
    <sheetView showGridLines="0" topLeftCell="A56" zoomScale="80" zoomScaleNormal="80" workbookViewId="0">
      <selection activeCell="I73" sqref="I73"/>
    </sheetView>
  </sheetViews>
  <sheetFormatPr baseColWidth="10" defaultRowHeight="15"/>
  <cols>
    <col min="1" max="1" width="24.140625" customWidth="1"/>
    <col min="2" max="2" width="16.140625" customWidth="1"/>
    <col min="3" max="3" width="18.28515625" customWidth="1"/>
    <col min="4" max="4" width="16.85546875" customWidth="1"/>
    <col min="5" max="5" width="25.28515625" customWidth="1"/>
    <col min="6" max="6" width="19.5703125" customWidth="1"/>
    <col min="7" max="7" width="19.42578125" customWidth="1"/>
    <col min="8" max="8" width="16.85546875" customWidth="1"/>
    <col min="9" max="9" width="20.140625" customWidth="1"/>
    <col min="10" max="10" width="18.7109375" customWidth="1"/>
    <col min="11" max="11" width="14.140625" customWidth="1"/>
    <col min="12" max="12" width="14.28515625" customWidth="1"/>
    <col min="13" max="13" width="14" customWidth="1"/>
    <col min="14" max="14" width="13.7109375" customWidth="1"/>
    <col min="15" max="15" width="11.42578125" customWidth="1"/>
    <col min="16" max="16" width="15.5703125" customWidth="1"/>
    <col min="17" max="17" width="12.85546875" customWidth="1"/>
    <col min="18" max="18" width="13" customWidth="1"/>
    <col min="19" max="19" width="10" customWidth="1"/>
    <col min="20" max="20" width="15.85546875" customWidth="1"/>
    <col min="21" max="21" width="20.85546875" customWidth="1"/>
    <col min="22" max="22" width="17.5703125" customWidth="1"/>
    <col min="23" max="23" width="15.85546875" customWidth="1"/>
  </cols>
  <sheetData>
    <row r="1" spans="1:18" ht="21.75" thickBot="1">
      <c r="A1" s="834" t="s">
        <v>58</v>
      </c>
      <c r="B1" s="835"/>
      <c r="C1" s="835"/>
      <c r="D1" s="835"/>
      <c r="E1" s="835"/>
      <c r="F1" s="835"/>
      <c r="G1" s="835"/>
      <c r="H1" s="835"/>
      <c r="I1" s="835"/>
      <c r="J1" s="835"/>
      <c r="K1" s="836"/>
      <c r="N1" s="24"/>
      <c r="O1" s="24"/>
    </row>
    <row r="2" spans="1:18" ht="15.75" thickBot="1">
      <c r="N2" s="24"/>
      <c r="O2" s="24"/>
    </row>
    <row r="3" spans="1:18" ht="19.5" thickBot="1">
      <c r="A3" s="839" t="s">
        <v>150</v>
      </c>
      <c r="B3" s="840"/>
      <c r="C3" s="840"/>
      <c r="D3" s="840"/>
      <c r="E3" s="840"/>
      <c r="F3" s="840"/>
      <c r="G3" s="840"/>
      <c r="H3" s="840"/>
      <c r="I3" s="840"/>
      <c r="J3" s="840"/>
      <c r="K3" s="841"/>
      <c r="L3" s="126"/>
      <c r="M3" s="126"/>
      <c r="N3" s="126"/>
      <c r="O3" s="126"/>
      <c r="P3" s="126"/>
      <c r="Q3" s="126"/>
      <c r="R3" s="126"/>
    </row>
    <row r="4" spans="1:18" ht="15.75" thickBot="1">
      <c r="N4" s="24"/>
      <c r="O4" s="24"/>
    </row>
    <row r="5" spans="1:18">
      <c r="A5" s="837" t="s">
        <v>31</v>
      </c>
      <c r="B5" s="146" t="s">
        <v>59</v>
      </c>
      <c r="C5" s="147" t="s">
        <v>38</v>
      </c>
      <c r="D5" s="148" t="s">
        <v>39</v>
      </c>
      <c r="E5" s="149" t="s">
        <v>40</v>
      </c>
      <c r="G5" s="18" t="s">
        <v>61</v>
      </c>
      <c r="N5" s="24"/>
      <c r="O5" s="24"/>
    </row>
    <row r="6" spans="1:18" ht="15.75" thickBot="1">
      <c r="A6" s="838"/>
      <c r="B6" s="150" t="s">
        <v>33</v>
      </c>
      <c r="C6" s="871" t="s">
        <v>42</v>
      </c>
      <c r="D6" s="872"/>
      <c r="E6" s="873"/>
      <c r="N6" s="24"/>
      <c r="O6" s="24"/>
    </row>
    <row r="7" spans="1:18">
      <c r="A7" s="121" t="s">
        <v>60</v>
      </c>
      <c r="B7" s="11">
        <v>2300</v>
      </c>
      <c r="C7" s="11">
        <v>5800</v>
      </c>
      <c r="D7" s="114">
        <v>4400</v>
      </c>
      <c r="E7" s="12">
        <v>3850</v>
      </c>
      <c r="N7" s="24"/>
      <c r="O7" s="24"/>
    </row>
    <row r="8" spans="1:18">
      <c r="A8" s="115"/>
      <c r="C8" s="114"/>
      <c r="D8" s="114"/>
      <c r="E8" s="12"/>
      <c r="N8" s="124"/>
      <c r="O8" s="124"/>
    </row>
    <row r="9" spans="1:18" ht="15.75" thickBot="1">
      <c r="A9" s="116"/>
      <c r="B9" s="11"/>
      <c r="C9" s="11"/>
      <c r="D9" s="114"/>
      <c r="E9" s="12"/>
      <c r="N9" s="80"/>
      <c r="O9" s="80"/>
    </row>
    <row r="10" spans="1:18" ht="15.75" thickBot="1">
      <c r="A10" s="16" t="s">
        <v>36</v>
      </c>
      <c r="B10" s="122">
        <f>SUM(B7:B9)</f>
        <v>2300</v>
      </c>
      <c r="C10" s="109">
        <f>SUM(C7:C9)</f>
        <v>5800</v>
      </c>
      <c r="D10" s="109">
        <f t="shared" ref="D10:E10" si="0">SUM(D7:D9)</f>
        <v>4400</v>
      </c>
      <c r="E10" s="109">
        <f t="shared" si="0"/>
        <v>3850</v>
      </c>
      <c r="N10" s="24"/>
      <c r="O10" s="24"/>
    </row>
    <row r="11" spans="1:18">
      <c r="N11" s="24"/>
      <c r="O11" s="24"/>
    </row>
    <row r="12" spans="1:18" ht="15.75" thickBot="1">
      <c r="N12" s="24"/>
      <c r="O12" s="24"/>
    </row>
    <row r="13" spans="1:18" ht="19.5" thickBot="1">
      <c r="A13" s="839" t="s">
        <v>151</v>
      </c>
      <c r="B13" s="840"/>
      <c r="C13" s="840"/>
      <c r="D13" s="840"/>
      <c r="E13" s="840"/>
      <c r="F13" s="840"/>
      <c r="G13" s="840"/>
      <c r="H13" s="840"/>
      <c r="I13" s="840"/>
      <c r="J13" s="840"/>
      <c r="K13" s="841"/>
      <c r="L13" s="126"/>
      <c r="M13" s="126"/>
      <c r="N13" s="126"/>
      <c r="O13" s="126"/>
      <c r="P13" s="126"/>
      <c r="Q13" s="126"/>
      <c r="R13" s="126"/>
    </row>
    <row r="14" spans="1:18" ht="15.75" thickBot="1">
      <c r="N14" s="24"/>
      <c r="O14" s="24"/>
    </row>
    <row r="15" spans="1:18">
      <c r="A15" s="842" t="s">
        <v>31</v>
      </c>
      <c r="B15" s="151" t="s">
        <v>32</v>
      </c>
      <c r="C15" s="151" t="s">
        <v>34</v>
      </c>
      <c r="D15" s="152" t="s">
        <v>43</v>
      </c>
      <c r="E15" s="151" t="s">
        <v>37</v>
      </c>
      <c r="F15" s="153" t="s">
        <v>38</v>
      </c>
      <c r="G15" s="154" t="s">
        <v>39</v>
      </c>
      <c r="H15" s="155" t="s">
        <v>40</v>
      </c>
      <c r="I15" s="153" t="s">
        <v>38</v>
      </c>
      <c r="J15" s="154" t="s">
        <v>39</v>
      </c>
      <c r="K15" s="155" t="s">
        <v>40</v>
      </c>
      <c r="L15" s="1"/>
      <c r="M15" s="1"/>
      <c r="N15" s="75"/>
      <c r="O15" s="24"/>
    </row>
    <row r="16" spans="1:18" ht="15.75" thickBot="1">
      <c r="A16" s="843"/>
      <c r="B16" s="156" t="s">
        <v>33</v>
      </c>
      <c r="C16" s="156" t="s">
        <v>35</v>
      </c>
      <c r="D16" s="157" t="s">
        <v>44</v>
      </c>
      <c r="E16" s="156" t="s">
        <v>7</v>
      </c>
      <c r="F16" s="860" t="s">
        <v>41</v>
      </c>
      <c r="G16" s="861"/>
      <c r="H16" s="862"/>
      <c r="I16" s="860" t="s">
        <v>42</v>
      </c>
      <c r="J16" s="861"/>
      <c r="K16" s="862"/>
      <c r="L16" s="1"/>
      <c r="M16" s="1"/>
      <c r="N16" s="75"/>
      <c r="O16" s="24"/>
    </row>
    <row r="17" spans="1:15" ht="15.75" thickBot="1">
      <c r="A17" s="675" t="s">
        <v>57</v>
      </c>
      <c r="B17" s="676"/>
      <c r="C17" s="676"/>
      <c r="D17" s="676"/>
      <c r="E17" s="676"/>
      <c r="F17" s="676"/>
      <c r="G17" s="676"/>
      <c r="H17" s="676"/>
      <c r="I17" s="676"/>
      <c r="J17" s="676"/>
      <c r="K17" s="677"/>
      <c r="L17" s="1"/>
      <c r="M17" s="1"/>
      <c r="N17" s="75"/>
      <c r="O17" s="24"/>
    </row>
    <row r="18" spans="1:15">
      <c r="A18" s="117" t="s">
        <v>218</v>
      </c>
      <c r="B18" s="118">
        <v>1545</v>
      </c>
      <c r="C18" s="112"/>
      <c r="D18" s="112"/>
      <c r="E18" s="112"/>
      <c r="F18" s="243">
        <v>2.5889967637540452</v>
      </c>
      <c r="G18" s="244">
        <v>1.6181229773462784</v>
      </c>
      <c r="H18" s="245">
        <v>2.0297734627831714</v>
      </c>
      <c r="I18" s="297">
        <v>4000</v>
      </c>
      <c r="J18" s="297">
        <v>2500</v>
      </c>
      <c r="K18" s="298">
        <v>3136</v>
      </c>
      <c r="L18" s="1"/>
      <c r="M18" s="1"/>
      <c r="N18" s="75"/>
      <c r="O18" s="24"/>
    </row>
    <row r="19" spans="1:15">
      <c r="A19" s="242" t="s">
        <v>219</v>
      </c>
      <c r="B19" s="120">
        <v>4200</v>
      </c>
      <c r="C19" s="114"/>
      <c r="D19" s="114"/>
      <c r="E19" s="114"/>
      <c r="F19" s="246">
        <v>6.1071428571428568</v>
      </c>
      <c r="G19" s="247">
        <v>3.2797619047619047</v>
      </c>
      <c r="H19" s="247">
        <v>4.1173809523809526</v>
      </c>
      <c r="I19" s="299">
        <v>25650</v>
      </c>
      <c r="J19" s="300">
        <v>13775</v>
      </c>
      <c r="K19" s="298">
        <v>17293</v>
      </c>
      <c r="L19" s="1"/>
      <c r="M19" s="1"/>
      <c r="N19" s="84"/>
      <c r="O19" s="24"/>
    </row>
    <row r="20" spans="1:15">
      <c r="A20" s="242" t="s">
        <v>220</v>
      </c>
      <c r="B20" s="120">
        <v>645</v>
      </c>
      <c r="C20" s="114"/>
      <c r="D20" s="114"/>
      <c r="E20" s="114"/>
      <c r="F20" s="246">
        <v>3.33</v>
      </c>
      <c r="G20" s="247">
        <v>2.08</v>
      </c>
      <c r="H20" s="247">
        <v>3.83</v>
      </c>
      <c r="I20" s="299">
        <v>2147.85</v>
      </c>
      <c r="J20" s="300">
        <v>1341.6000000000001</v>
      </c>
      <c r="K20" s="298">
        <v>2470.35</v>
      </c>
      <c r="L20" s="1"/>
      <c r="M20" s="1"/>
      <c r="N20" s="84"/>
      <c r="O20" s="24"/>
    </row>
    <row r="21" spans="1:15" ht="15.75" thickBot="1">
      <c r="A21" s="13" t="s">
        <v>221</v>
      </c>
      <c r="B21" s="119">
        <v>850</v>
      </c>
      <c r="C21" s="113"/>
      <c r="D21" s="113"/>
      <c r="E21" s="113"/>
      <c r="F21" s="248">
        <v>3.7647058823529411</v>
      </c>
      <c r="G21" s="249">
        <v>2.3529411764705883</v>
      </c>
      <c r="H21" s="249"/>
      <c r="I21" s="299">
        <v>3200</v>
      </c>
      <c r="J21" s="300">
        <v>2000</v>
      </c>
      <c r="K21" s="298"/>
      <c r="L21" s="1"/>
      <c r="M21" s="1"/>
      <c r="N21" s="75"/>
      <c r="O21" s="24"/>
    </row>
    <row r="22" spans="1:15" ht="15.75" thickBot="1">
      <c r="A22" s="759" t="s">
        <v>252</v>
      </c>
      <c r="B22" s="760"/>
      <c r="C22" s="760"/>
      <c r="D22" s="760"/>
      <c r="E22" s="760"/>
      <c r="F22" s="760"/>
      <c r="G22" s="760"/>
      <c r="H22" s="761"/>
      <c r="I22" s="273">
        <f>SUM(I18:I21)</f>
        <v>34997.85</v>
      </c>
      <c r="J22" s="273">
        <f t="shared" ref="J22:K22" si="1">SUM(J18:J21)</f>
        <v>19616.599999999999</v>
      </c>
      <c r="K22" s="273">
        <f t="shared" si="1"/>
        <v>22899.35</v>
      </c>
      <c r="L22" s="1"/>
      <c r="M22" s="1"/>
      <c r="N22" s="271"/>
      <c r="O22" s="24"/>
    </row>
    <row r="23" spans="1:15" ht="15.75" thickBot="1">
      <c r="A23" s="675" t="s">
        <v>62</v>
      </c>
      <c r="B23" s="676"/>
      <c r="C23" s="676"/>
      <c r="D23" s="676"/>
      <c r="E23" s="676"/>
      <c r="F23" s="676"/>
      <c r="G23" s="676"/>
      <c r="H23" s="676"/>
      <c r="I23" s="874"/>
      <c r="J23" s="874"/>
      <c r="K23" s="875"/>
      <c r="L23" s="1"/>
      <c r="M23" s="1"/>
      <c r="N23" s="75"/>
      <c r="O23" s="24"/>
    </row>
    <row r="24" spans="1:15">
      <c r="A24" s="250" t="s">
        <v>222</v>
      </c>
      <c r="B24" s="118">
        <v>989</v>
      </c>
      <c r="C24" s="112"/>
      <c r="D24" s="112"/>
      <c r="E24" s="112"/>
      <c r="F24" s="110">
        <v>4.7</v>
      </c>
      <c r="G24" s="112">
        <v>1.1299999999999999</v>
      </c>
      <c r="H24" s="112">
        <v>1.56</v>
      </c>
      <c r="I24" s="301">
        <v>4648.3</v>
      </c>
      <c r="J24" s="297">
        <v>1117.57</v>
      </c>
      <c r="K24" s="302">
        <v>1542.8400000000001</v>
      </c>
      <c r="L24" s="1"/>
      <c r="M24" s="1"/>
      <c r="N24" s="75"/>
      <c r="O24" s="24"/>
    </row>
    <row r="25" spans="1:15">
      <c r="A25" s="251" t="s">
        <v>223</v>
      </c>
      <c r="B25" s="120">
        <v>387</v>
      </c>
      <c r="C25" s="114"/>
      <c r="D25" s="114"/>
      <c r="E25" s="114"/>
      <c r="F25" s="11">
        <v>8</v>
      </c>
      <c r="G25" s="114">
        <v>0.3</v>
      </c>
      <c r="H25" s="114">
        <v>1.38</v>
      </c>
      <c r="I25" s="299">
        <v>3096</v>
      </c>
      <c r="J25" s="300">
        <v>116.1</v>
      </c>
      <c r="K25" s="298">
        <v>534.05999999999995</v>
      </c>
      <c r="L25" s="1"/>
      <c r="M25" s="1"/>
      <c r="N25" s="84"/>
      <c r="O25" s="24"/>
    </row>
    <row r="26" spans="1:15">
      <c r="A26" s="251" t="s">
        <v>224</v>
      </c>
      <c r="B26" s="120">
        <v>125</v>
      </c>
      <c r="C26" s="114"/>
      <c r="D26" s="114"/>
      <c r="E26" s="114"/>
      <c r="F26" s="11">
        <v>5.5</v>
      </c>
      <c r="G26" s="114">
        <v>2.2000000000000002</v>
      </c>
      <c r="H26" s="114">
        <v>8.9</v>
      </c>
      <c r="I26" s="299">
        <v>687.5</v>
      </c>
      <c r="J26" s="300">
        <v>275</v>
      </c>
      <c r="K26" s="298">
        <v>1112.5</v>
      </c>
      <c r="L26" s="1"/>
      <c r="M26" s="1"/>
      <c r="N26" s="84"/>
      <c r="O26" s="24"/>
    </row>
    <row r="27" spans="1:15">
      <c r="A27" s="251" t="s">
        <v>225</v>
      </c>
      <c r="B27" s="120">
        <v>74</v>
      </c>
      <c r="C27" s="114"/>
      <c r="D27" s="114"/>
      <c r="E27" s="114"/>
      <c r="F27" s="11"/>
      <c r="G27" s="114"/>
      <c r="H27" s="114"/>
      <c r="I27" s="299"/>
      <c r="J27" s="300"/>
      <c r="K27" s="298"/>
      <c r="L27" s="1"/>
      <c r="M27" s="1"/>
      <c r="N27" s="84"/>
      <c r="O27" s="24"/>
    </row>
    <row r="28" spans="1:15">
      <c r="A28" s="115" t="s">
        <v>231</v>
      </c>
      <c r="B28" s="120">
        <v>62</v>
      </c>
      <c r="C28" s="114"/>
      <c r="D28" s="114"/>
      <c r="E28" s="114"/>
      <c r="F28" s="11"/>
      <c r="G28" s="114"/>
      <c r="H28" s="114"/>
      <c r="I28" s="299"/>
      <c r="J28" s="300"/>
      <c r="K28" s="298"/>
      <c r="L28" s="1"/>
      <c r="M28" s="1"/>
      <c r="N28" s="84"/>
      <c r="O28" s="24"/>
    </row>
    <row r="29" spans="1:15">
      <c r="A29" s="251" t="s">
        <v>226</v>
      </c>
      <c r="B29" s="120">
        <v>8</v>
      </c>
      <c r="C29" s="114"/>
      <c r="D29" s="114"/>
      <c r="E29" s="114"/>
      <c r="F29" s="11"/>
      <c r="G29" s="114"/>
      <c r="H29" s="114"/>
      <c r="I29" s="299"/>
      <c r="J29" s="300"/>
      <c r="K29" s="298"/>
      <c r="L29" s="1"/>
      <c r="M29" s="1"/>
      <c r="N29" s="84"/>
      <c r="O29" s="24"/>
    </row>
    <row r="30" spans="1:15">
      <c r="A30" s="251" t="s">
        <v>227</v>
      </c>
      <c r="B30" s="120">
        <v>0.7</v>
      </c>
      <c r="C30" s="114"/>
      <c r="D30" s="114"/>
      <c r="E30" s="114"/>
      <c r="F30" s="11"/>
      <c r="G30" s="114"/>
      <c r="H30" s="114"/>
      <c r="I30" s="299"/>
      <c r="J30" s="300"/>
      <c r="K30" s="298"/>
      <c r="L30" s="1"/>
      <c r="M30" s="1"/>
      <c r="N30" s="84"/>
      <c r="O30" s="24"/>
    </row>
    <row r="31" spans="1:15">
      <c r="A31" s="251" t="s">
        <v>228</v>
      </c>
      <c r="B31" s="120">
        <v>12</v>
      </c>
      <c r="C31" s="114"/>
      <c r="D31" s="114"/>
      <c r="E31" s="114"/>
      <c r="F31" s="11"/>
      <c r="G31" s="114"/>
      <c r="H31" s="114"/>
      <c r="I31" s="299"/>
      <c r="J31" s="300"/>
      <c r="K31" s="298"/>
      <c r="L31" s="1"/>
      <c r="M31" s="1"/>
      <c r="N31" s="75"/>
      <c r="O31" s="24"/>
    </row>
    <row r="32" spans="1:15">
      <c r="A32" s="251" t="s">
        <v>229</v>
      </c>
      <c r="B32" s="120">
        <v>20</v>
      </c>
      <c r="C32" s="114"/>
      <c r="D32" s="114"/>
      <c r="E32" s="114"/>
      <c r="F32" s="11">
        <v>7.5</v>
      </c>
      <c r="G32" s="114">
        <v>2.8</v>
      </c>
      <c r="H32" s="114">
        <v>0.5</v>
      </c>
      <c r="I32" s="299">
        <v>150</v>
      </c>
      <c r="J32" s="300">
        <v>56</v>
      </c>
      <c r="K32" s="298">
        <v>75</v>
      </c>
      <c r="L32" s="1"/>
      <c r="M32" s="1"/>
      <c r="N32" s="75"/>
      <c r="O32" s="24"/>
    </row>
    <row r="33" spans="1:18" ht="15.75" thickBot="1">
      <c r="A33" s="252" t="s">
        <v>230</v>
      </c>
      <c r="B33" s="119">
        <v>588</v>
      </c>
      <c r="C33" s="113"/>
      <c r="D33" s="113"/>
      <c r="E33" s="113"/>
      <c r="F33" s="14">
        <v>11</v>
      </c>
      <c r="G33" s="113">
        <v>5.6</v>
      </c>
      <c r="H33" s="113">
        <v>10.199999999999999</v>
      </c>
      <c r="I33" s="299">
        <v>6468</v>
      </c>
      <c r="J33" s="300">
        <v>3292.7999999999997</v>
      </c>
      <c r="K33" s="298">
        <v>5997.5999999999995</v>
      </c>
      <c r="M33" s="1"/>
      <c r="N33" s="75"/>
      <c r="O33" s="24"/>
    </row>
    <row r="34" spans="1:18" ht="15.75" thickBot="1">
      <c r="A34" s="888" t="s">
        <v>253</v>
      </c>
      <c r="B34" s="889"/>
      <c r="C34" s="889"/>
      <c r="D34" s="889"/>
      <c r="E34" s="889"/>
      <c r="F34" s="889"/>
      <c r="G34" s="889"/>
      <c r="H34" s="889"/>
      <c r="I34" s="274">
        <f>SUM(I24:I33)</f>
        <v>15049.8</v>
      </c>
      <c r="J34" s="289">
        <f t="shared" ref="J34:K34" si="2">SUM(J24:J33)</f>
        <v>4857.4699999999993</v>
      </c>
      <c r="K34" s="290">
        <f t="shared" si="2"/>
        <v>9262</v>
      </c>
      <c r="M34" s="1"/>
      <c r="N34" s="271"/>
      <c r="O34" s="24"/>
    </row>
    <row r="35" spans="1:18" ht="19.5" thickBot="1">
      <c r="A35" s="876" t="s">
        <v>154</v>
      </c>
      <c r="B35" s="877"/>
      <c r="C35" s="877"/>
      <c r="D35" s="877"/>
      <c r="E35" s="877"/>
      <c r="F35" s="877"/>
      <c r="G35" s="877"/>
      <c r="H35" s="877"/>
      <c r="I35" s="294">
        <f>SUM(I18:I21,I24:I33)</f>
        <v>50047.65</v>
      </c>
      <c r="J35" s="295">
        <f>SUM(J18:J21,J24:J33)</f>
        <v>24474.069999999996</v>
      </c>
      <c r="K35" s="296">
        <f>SUM(K18:K21,K24:K33)</f>
        <v>32161.35</v>
      </c>
      <c r="L35" s="19"/>
      <c r="M35" s="1"/>
      <c r="N35" s="75"/>
      <c r="O35" s="24"/>
    </row>
    <row r="36" spans="1:18" ht="15.75" thickBot="1">
      <c r="A36" s="878" t="s">
        <v>63</v>
      </c>
      <c r="B36" s="879"/>
      <c r="C36" s="879"/>
      <c r="D36" s="879"/>
      <c r="E36" s="879"/>
      <c r="F36" s="879"/>
      <c r="G36" s="879"/>
      <c r="H36" s="879"/>
      <c r="I36" s="880"/>
      <c r="J36" s="880"/>
      <c r="K36" s="881"/>
      <c r="L36" s="1"/>
      <c r="M36" s="1"/>
      <c r="N36" s="75"/>
      <c r="O36" s="24"/>
    </row>
    <row r="37" spans="1:18">
      <c r="A37" s="275" t="s">
        <v>232</v>
      </c>
      <c r="B37" s="276">
        <v>834</v>
      </c>
      <c r="C37" s="277"/>
      <c r="D37" s="277"/>
      <c r="E37" s="277"/>
      <c r="F37" s="277">
        <v>4.3499999999999996</v>
      </c>
      <c r="G37" s="277">
        <v>1.76</v>
      </c>
      <c r="H37" s="278">
        <v>5.41</v>
      </c>
      <c r="I37" s="303">
        <v>3627.8999999999996</v>
      </c>
      <c r="J37" s="304">
        <v>1467.84</v>
      </c>
      <c r="K37" s="305">
        <v>4511.9400000000005</v>
      </c>
      <c r="L37" s="1"/>
      <c r="M37" s="1"/>
      <c r="N37" s="75"/>
      <c r="O37" s="24"/>
    </row>
    <row r="38" spans="1:18">
      <c r="A38" s="279" t="s">
        <v>233</v>
      </c>
      <c r="B38" s="280">
        <v>272</v>
      </c>
      <c r="C38" s="281"/>
      <c r="D38" s="281"/>
      <c r="E38" s="281"/>
      <c r="F38" s="281">
        <v>5</v>
      </c>
      <c r="G38" s="281">
        <v>2</v>
      </c>
      <c r="H38" s="282">
        <v>5.8</v>
      </c>
      <c r="I38" s="306">
        <v>1360</v>
      </c>
      <c r="J38" s="307">
        <v>544</v>
      </c>
      <c r="K38" s="308">
        <v>1577.6</v>
      </c>
      <c r="L38" s="1"/>
      <c r="M38" s="1"/>
      <c r="N38" s="84"/>
      <c r="O38" s="24"/>
    </row>
    <row r="39" spans="1:18" ht="15.75" thickBot="1">
      <c r="A39" s="283" t="s">
        <v>234</v>
      </c>
      <c r="B39" s="284">
        <v>19</v>
      </c>
      <c r="C39" s="285"/>
      <c r="D39" s="285"/>
      <c r="E39" s="285"/>
      <c r="F39" s="285">
        <v>4.7</v>
      </c>
      <c r="G39" s="285">
        <v>2.1</v>
      </c>
      <c r="H39" s="286">
        <v>12.1</v>
      </c>
      <c r="I39" s="306">
        <v>89.3</v>
      </c>
      <c r="J39" s="307">
        <v>39.9</v>
      </c>
      <c r="K39" s="308">
        <v>229.9</v>
      </c>
      <c r="L39" s="19"/>
      <c r="M39" s="1"/>
      <c r="N39" s="75"/>
      <c r="O39" s="24"/>
    </row>
    <row r="40" spans="1:18" ht="19.5" thickBot="1">
      <c r="A40" s="876" t="s">
        <v>155</v>
      </c>
      <c r="B40" s="877"/>
      <c r="C40" s="877"/>
      <c r="D40" s="877"/>
      <c r="E40" s="877"/>
      <c r="F40" s="877"/>
      <c r="G40" s="877"/>
      <c r="H40" s="877"/>
      <c r="I40" s="274">
        <f>SUM(I37:I39)</f>
        <v>5077.2</v>
      </c>
      <c r="J40" s="289">
        <f t="shared" ref="J40:K40" si="3">SUM(J37:J39)</f>
        <v>2051.7399999999998</v>
      </c>
      <c r="K40" s="290">
        <f t="shared" si="3"/>
        <v>6319.4400000000005</v>
      </c>
      <c r="L40" s="1"/>
      <c r="M40" s="1"/>
      <c r="N40" s="75"/>
      <c r="O40" s="24"/>
    </row>
    <row r="41" spans="1:18" ht="15.75" thickBot="1">
      <c r="A41" s="287" t="s">
        <v>64</v>
      </c>
      <c r="B41" s="288">
        <f>SUM(B18:B21,B24:B33,B37:B39)</f>
        <v>10630.7</v>
      </c>
      <c r="C41" s="288">
        <f>SUM(C18:C21,C24:C33,C37:C39)</f>
        <v>0</v>
      </c>
      <c r="D41" s="288">
        <f>SUM(D18:D21,D24:D33,D37:D39)</f>
        <v>0</v>
      </c>
      <c r="E41" s="38"/>
      <c r="F41" s="38"/>
      <c r="G41" s="38"/>
      <c r="H41" s="38"/>
      <c r="I41" s="291">
        <f>SUM(I35+I40)</f>
        <v>55124.85</v>
      </c>
      <c r="J41" s="292">
        <f t="shared" ref="J41:K41" si="4">SUM(J35+J40)</f>
        <v>26525.809999999998</v>
      </c>
      <c r="K41" s="293">
        <f t="shared" si="4"/>
        <v>38480.79</v>
      </c>
      <c r="L41" s="1"/>
      <c r="M41" s="1"/>
      <c r="N41" s="75"/>
      <c r="O41" s="24"/>
    </row>
    <row r="42" spans="1:18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75"/>
      <c r="O42" s="24"/>
    </row>
    <row r="43" spans="1:18" ht="15.75" thickBot="1">
      <c r="N43" s="24"/>
      <c r="O43" s="24"/>
    </row>
    <row r="44" spans="1:18" ht="19.5" customHeight="1" thickBot="1">
      <c r="A44" s="857" t="s">
        <v>156</v>
      </c>
      <c r="B44" s="858"/>
      <c r="C44" s="858"/>
      <c r="D44" s="858"/>
      <c r="E44" s="858"/>
      <c r="F44" s="858"/>
      <c r="G44" s="858"/>
      <c r="H44" s="858"/>
      <c r="I44" s="858"/>
      <c r="J44" s="858"/>
      <c r="K44" s="859"/>
      <c r="M44" s="142"/>
      <c r="N44" s="142"/>
      <c r="O44" s="142"/>
      <c r="P44" s="142"/>
      <c r="Q44" s="142"/>
      <c r="R44" s="142"/>
    </row>
    <row r="45" spans="1:18" ht="15.75" thickBot="1">
      <c r="J45" s="24"/>
      <c r="K45" s="24"/>
      <c r="L45" s="24"/>
      <c r="M45" s="24"/>
      <c r="N45" s="24"/>
      <c r="O45" s="24"/>
    </row>
    <row r="46" spans="1:18">
      <c r="A46" s="153" t="s">
        <v>38</v>
      </c>
      <c r="B46" s="154" t="s">
        <v>39</v>
      </c>
      <c r="C46" s="155" t="s">
        <v>40</v>
      </c>
      <c r="J46" s="24"/>
      <c r="K46" s="24"/>
      <c r="L46" s="24"/>
      <c r="M46" s="24"/>
      <c r="N46" s="24"/>
      <c r="O46" s="24"/>
    </row>
    <row r="47" spans="1:18" ht="15.75" thickBot="1">
      <c r="A47" s="854" t="s">
        <v>42</v>
      </c>
      <c r="B47" s="855"/>
      <c r="C47" s="856"/>
      <c r="J47" s="24"/>
      <c r="K47" s="24"/>
      <c r="L47" s="24"/>
      <c r="M47" s="24"/>
      <c r="N47" s="24"/>
      <c r="O47" s="24"/>
    </row>
    <row r="48" spans="1:18" ht="15.75" thickBot="1">
      <c r="A48" s="111">
        <f>I35+C10</f>
        <v>55847.65</v>
      </c>
      <c r="B48" s="140">
        <f>J35+D10</f>
        <v>28874.069999999996</v>
      </c>
      <c r="C48" s="141">
        <f>K35+E10</f>
        <v>36011.35</v>
      </c>
      <c r="J48" s="24"/>
      <c r="K48" s="24"/>
      <c r="L48" s="24"/>
      <c r="M48" s="24"/>
      <c r="N48" s="24"/>
      <c r="O48" s="24"/>
    </row>
    <row r="49" spans="1:15" ht="15.75" thickBot="1">
      <c r="J49" s="24"/>
      <c r="K49" s="24"/>
      <c r="L49" s="24"/>
      <c r="M49" s="24"/>
      <c r="N49" s="24"/>
      <c r="O49" s="24"/>
    </row>
    <row r="50" spans="1:15" ht="19.5" thickBot="1">
      <c r="A50" s="839" t="s">
        <v>255</v>
      </c>
      <c r="B50" s="840"/>
      <c r="C50" s="840"/>
      <c r="D50" s="840"/>
      <c r="E50" s="840"/>
      <c r="F50" s="840"/>
      <c r="G50" s="840"/>
      <c r="H50" s="840"/>
      <c r="I50" s="840"/>
      <c r="J50" s="840"/>
      <c r="K50" s="841"/>
    </row>
    <row r="51" spans="1:15" s="258" customFormat="1" ht="19.5" thickBot="1">
      <c r="A51" s="257"/>
      <c r="B51" s="257"/>
      <c r="C51" s="257"/>
      <c r="D51" s="257"/>
      <c r="E51" s="257"/>
      <c r="F51" s="257"/>
      <c r="G51" s="257"/>
      <c r="H51" s="257"/>
      <c r="I51" s="257"/>
      <c r="J51" s="257"/>
      <c r="K51" s="257"/>
    </row>
    <row r="52" spans="1:15" s="258" customFormat="1" ht="18.75">
      <c r="A52" s="885" t="s">
        <v>247</v>
      </c>
      <c r="B52" s="151" t="s">
        <v>32</v>
      </c>
      <c r="C52" s="151" t="s">
        <v>37</v>
      </c>
      <c r="D52" s="153" t="s">
        <v>38</v>
      </c>
      <c r="E52" s="154" t="s">
        <v>39</v>
      </c>
      <c r="F52" s="155" t="s">
        <v>40</v>
      </c>
      <c r="G52" s="153" t="s">
        <v>38</v>
      </c>
      <c r="H52" s="154" t="s">
        <v>39</v>
      </c>
      <c r="I52" s="155" t="s">
        <v>40</v>
      </c>
      <c r="J52" s="257"/>
      <c r="K52" s="257"/>
    </row>
    <row r="53" spans="1:15" s="258" customFormat="1" ht="19.5" thickBot="1">
      <c r="A53" s="886"/>
      <c r="B53" s="156" t="s">
        <v>33</v>
      </c>
      <c r="C53" s="156" t="s">
        <v>7</v>
      </c>
      <c r="D53" s="860" t="s">
        <v>41</v>
      </c>
      <c r="E53" s="861"/>
      <c r="F53" s="862"/>
      <c r="G53" s="860" t="s">
        <v>42</v>
      </c>
      <c r="H53" s="861"/>
      <c r="I53" s="862"/>
      <c r="J53" s="257"/>
      <c r="K53" s="257"/>
    </row>
    <row r="54" spans="1:15" s="258" customFormat="1" ht="19.5" thickBot="1">
      <c r="A54" s="887"/>
      <c r="B54" s="262">
        <v>9533</v>
      </c>
      <c r="C54" s="265">
        <v>8.5000000000000006E-2</v>
      </c>
      <c r="D54" s="263">
        <f>G54/$B$54</f>
        <v>5.9</v>
      </c>
      <c r="E54" s="263">
        <f>H54/$B$54</f>
        <v>2.8</v>
      </c>
      <c r="F54" s="259"/>
      <c r="G54" s="261">
        <v>56244.700000000004</v>
      </c>
      <c r="H54" s="261">
        <v>26692.399999999998</v>
      </c>
      <c r="I54" s="260"/>
      <c r="J54" s="257"/>
      <c r="K54" s="257"/>
    </row>
    <row r="55" spans="1:15" s="258" customFormat="1" ht="22.5" customHeight="1">
      <c r="A55" s="257"/>
      <c r="B55" s="257"/>
      <c r="C55" s="257"/>
      <c r="D55" s="257"/>
      <c r="E55" s="257"/>
      <c r="F55" s="257"/>
      <c r="G55" s="257"/>
      <c r="H55" s="257"/>
      <c r="I55" s="257"/>
      <c r="J55" s="257"/>
      <c r="K55" s="257"/>
    </row>
    <row r="56" spans="1:15" s="258" customFormat="1" ht="18.75">
      <c r="A56" s="257"/>
      <c r="B56" s="257"/>
      <c r="C56" s="257"/>
      <c r="D56" s="257"/>
      <c r="E56" s="257"/>
      <c r="F56" s="257"/>
      <c r="G56" s="257"/>
      <c r="H56" s="257"/>
      <c r="I56" s="257"/>
      <c r="J56" s="257"/>
      <c r="K56" s="257"/>
    </row>
    <row r="57" spans="1:15" ht="15.75" customHeight="1" thickBot="1">
      <c r="I57" s="24"/>
      <c r="J57" s="24"/>
      <c r="K57" s="24"/>
      <c r="L57" s="24"/>
      <c r="M57" s="24"/>
    </row>
    <row r="58" spans="1:15" ht="19.5" thickBot="1">
      <c r="A58" s="839" t="s">
        <v>248</v>
      </c>
      <c r="B58" s="840"/>
      <c r="C58" s="840"/>
      <c r="D58" s="840"/>
      <c r="E58" s="840"/>
      <c r="F58" s="840"/>
      <c r="G58" s="840"/>
      <c r="H58" s="840"/>
      <c r="I58" s="840"/>
      <c r="J58" s="840"/>
      <c r="K58" s="841"/>
      <c r="L58" s="24"/>
      <c r="M58" s="24"/>
    </row>
    <row r="59" spans="1:15" ht="15.75" thickBot="1">
      <c r="A59" s="24"/>
      <c r="B59" s="24"/>
    </row>
    <row r="60" spans="1:15" ht="15.75" thickBot="1">
      <c r="A60" s="848" t="s">
        <v>121</v>
      </c>
      <c r="B60" s="850"/>
      <c r="C60" s="45"/>
      <c r="D60" s="848" t="s">
        <v>129</v>
      </c>
      <c r="E60" s="849"/>
      <c r="F60" s="849"/>
      <c r="G60" s="850"/>
      <c r="H60" s="101"/>
      <c r="I60" s="101"/>
    </row>
    <row r="61" spans="1:15" ht="15.75" thickBot="1">
      <c r="A61" s="45"/>
      <c r="B61" s="45"/>
      <c r="C61" s="45"/>
      <c r="D61" s="45"/>
      <c r="E61" s="45"/>
      <c r="F61" s="45"/>
      <c r="G61" s="45"/>
    </row>
    <row r="62" spans="1:15" ht="48" customHeight="1">
      <c r="A62" s="158" t="s">
        <v>122</v>
      </c>
      <c r="B62" s="51">
        <f>J98</f>
        <v>8408</v>
      </c>
      <c r="C62" s="45"/>
      <c r="D62" s="162" t="s">
        <v>130</v>
      </c>
      <c r="E62" s="163" t="s">
        <v>131</v>
      </c>
      <c r="F62" s="164" t="s">
        <v>132</v>
      </c>
      <c r="G62" s="45"/>
    </row>
    <row r="63" spans="1:15" ht="15.75" thickBot="1">
      <c r="A63" s="159" t="s">
        <v>123</v>
      </c>
      <c r="B63" s="264">
        <f>C54</f>
        <v>8.5000000000000006E-2</v>
      </c>
      <c r="C63" s="45"/>
      <c r="D63" s="58">
        <f>B66-B73</f>
        <v>7387.0285714285719</v>
      </c>
      <c r="E63" s="59">
        <v>1.3</v>
      </c>
      <c r="F63" s="60">
        <f>D63*E63</f>
        <v>9603.1371428571438</v>
      </c>
      <c r="G63" s="45"/>
    </row>
    <row r="64" spans="1:15" ht="15.75" thickBot="1">
      <c r="A64" s="159" t="s">
        <v>124</v>
      </c>
      <c r="B64" s="52">
        <f>100%-B63</f>
        <v>0.91500000000000004</v>
      </c>
      <c r="C64" s="45"/>
      <c r="D64" s="45"/>
      <c r="E64" s="61">
        <v>1.2</v>
      </c>
      <c r="F64" s="62">
        <f>E64*D63</f>
        <v>8864.4342857142856</v>
      </c>
      <c r="G64" s="45"/>
    </row>
    <row r="65" spans="1:16" ht="15.75" thickBot="1">
      <c r="A65" s="160" t="s">
        <v>125</v>
      </c>
      <c r="B65" s="53">
        <f>B63*B62</f>
        <v>714.68000000000006</v>
      </c>
      <c r="C65" s="45"/>
      <c r="D65" s="45"/>
      <c r="E65" s="68"/>
      <c r="F65" s="69"/>
      <c r="G65" s="45"/>
    </row>
    <row r="66" spans="1:16" ht="41.25" customHeight="1" thickBot="1">
      <c r="A66" s="161" t="s">
        <v>126</v>
      </c>
      <c r="B66" s="54">
        <f>B64*B62</f>
        <v>7693.3200000000006</v>
      </c>
      <c r="C66" s="45"/>
      <c r="D66" s="882" t="s">
        <v>134</v>
      </c>
      <c r="E66" s="883"/>
      <c r="F66" s="884"/>
      <c r="G66" s="67">
        <v>1251</v>
      </c>
    </row>
    <row r="67" spans="1:16" ht="15.75" thickBot="1">
      <c r="A67" s="55"/>
      <c r="B67" s="55"/>
      <c r="C67" s="45"/>
      <c r="D67" s="45"/>
      <c r="E67" s="45"/>
      <c r="F67" s="45"/>
      <c r="G67" s="45"/>
    </row>
    <row r="68" spans="1:16" ht="48.75" customHeight="1" thickBot="1">
      <c r="A68" s="848" t="s">
        <v>127</v>
      </c>
      <c r="B68" s="850"/>
      <c r="C68" s="45"/>
      <c r="D68" s="165" t="s">
        <v>133</v>
      </c>
      <c r="E68" s="165" t="s">
        <v>146</v>
      </c>
      <c r="F68" s="165" t="s">
        <v>147</v>
      </c>
      <c r="G68" s="166" t="s">
        <v>148</v>
      </c>
    </row>
    <row r="69" spans="1:16" ht="15.75" thickBot="1">
      <c r="A69" s="45"/>
      <c r="B69" s="45"/>
      <c r="C69" s="45"/>
      <c r="D69" s="70">
        <f>G66-F63</f>
        <v>-8352.1371428571438</v>
      </c>
      <c r="E69" s="66">
        <f>D69/F63*100</f>
        <v>-86.973007035200993</v>
      </c>
      <c r="F69" s="108">
        <f>E69/100*B62</f>
        <v>-7312.6904315196989</v>
      </c>
      <c r="G69" s="107">
        <f>B62+F69</f>
        <v>1095.3095684803011</v>
      </c>
    </row>
    <row r="70" spans="1:16">
      <c r="A70" s="167" t="s">
        <v>123</v>
      </c>
      <c r="B70" s="56">
        <v>0.7</v>
      </c>
      <c r="C70" s="45"/>
      <c r="D70" s="45"/>
      <c r="E70" s="45"/>
      <c r="F70" s="45"/>
      <c r="G70" s="45"/>
    </row>
    <row r="71" spans="1:16">
      <c r="A71" s="160" t="s">
        <v>124</v>
      </c>
      <c r="B71" s="57">
        <v>0.3</v>
      </c>
      <c r="C71" s="45"/>
    </row>
    <row r="72" spans="1:16">
      <c r="A72" s="160" t="s">
        <v>125</v>
      </c>
      <c r="B72" s="53">
        <f>B65</f>
        <v>714.68000000000006</v>
      </c>
      <c r="C72" s="45"/>
      <c r="D72" s="46"/>
      <c r="E72" s="46"/>
      <c r="F72" s="46"/>
      <c r="G72" s="46"/>
    </row>
    <row r="73" spans="1:16">
      <c r="A73" s="160" t="s">
        <v>126</v>
      </c>
      <c r="B73" s="53">
        <f>B71*B72/B70</f>
        <v>306.29142857142864</v>
      </c>
      <c r="C73" s="45"/>
      <c r="D73" s="46"/>
      <c r="E73" s="46"/>
      <c r="F73" s="46"/>
      <c r="G73" s="46"/>
    </row>
    <row r="74" spans="1:16" ht="32.25" customHeight="1" thickBot="1">
      <c r="A74" s="168" t="s">
        <v>128</v>
      </c>
      <c r="B74" s="54">
        <f>B72+B73</f>
        <v>1020.9714285714288</v>
      </c>
      <c r="C74" s="45"/>
      <c r="D74" s="45"/>
      <c r="E74" s="45"/>
      <c r="F74" s="45"/>
      <c r="G74" s="45"/>
    </row>
    <row r="77" spans="1:16" ht="15.75" thickBot="1"/>
    <row r="78" spans="1:16" ht="19.5" customHeight="1" thickBot="1">
      <c r="A78" s="851" t="s">
        <v>251</v>
      </c>
      <c r="B78" s="852"/>
      <c r="C78" s="852"/>
      <c r="D78" s="852"/>
      <c r="E78" s="852"/>
      <c r="F78" s="852"/>
      <c r="G78" s="852"/>
      <c r="H78" s="852"/>
      <c r="I78" s="852"/>
      <c r="J78" s="852"/>
      <c r="K78" s="852"/>
      <c r="L78" s="852"/>
      <c r="M78" s="852"/>
      <c r="N78" s="852"/>
      <c r="O78" s="852"/>
      <c r="P78" s="853"/>
    </row>
    <row r="79" spans="1:16" ht="15" customHeight="1">
      <c r="A79" s="125"/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</row>
    <row r="80" spans="1:16">
      <c r="E80" s="24"/>
      <c r="F80" s="24"/>
    </row>
    <row r="81" spans="1:16" ht="51.75" customHeight="1">
      <c r="A81" s="830" t="s">
        <v>141</v>
      </c>
      <c r="B81" s="870" t="s">
        <v>116</v>
      </c>
      <c r="C81" s="870"/>
      <c r="D81" s="870"/>
      <c r="F81" s="870" t="s">
        <v>117</v>
      </c>
      <c r="G81" s="870"/>
      <c r="H81" s="870"/>
      <c r="I81" s="38"/>
      <c r="J81" s="870" t="s">
        <v>118</v>
      </c>
      <c r="K81" s="870"/>
      <c r="L81" s="870"/>
      <c r="N81" s="870" t="s">
        <v>119</v>
      </c>
      <c r="O81" s="870"/>
      <c r="P81" s="870"/>
    </row>
    <row r="82" spans="1:16">
      <c r="A82" s="830"/>
      <c r="B82" s="106" t="s">
        <v>38</v>
      </c>
      <c r="C82" s="106" t="s">
        <v>65</v>
      </c>
      <c r="D82" s="83" t="s">
        <v>140</v>
      </c>
      <c r="F82" s="106" t="s">
        <v>38</v>
      </c>
      <c r="G82" s="106" t="s">
        <v>65</v>
      </c>
      <c r="H82" s="83" t="s">
        <v>140</v>
      </c>
      <c r="J82" s="106" t="s">
        <v>38</v>
      </c>
      <c r="K82" s="106" t="s">
        <v>65</v>
      </c>
      <c r="L82" s="83" t="s">
        <v>140</v>
      </c>
      <c r="N82" s="74" t="s">
        <v>38</v>
      </c>
      <c r="O82" s="106" t="s">
        <v>65</v>
      </c>
      <c r="P82" s="83" t="s">
        <v>140</v>
      </c>
    </row>
    <row r="83" spans="1:16" ht="15.75">
      <c r="A83" s="830"/>
      <c r="B83" s="20">
        <f>C10</f>
        <v>5800</v>
      </c>
      <c r="C83" s="20">
        <f>D10</f>
        <v>4400</v>
      </c>
      <c r="D83" s="15"/>
      <c r="F83" s="20">
        <f>I22</f>
        <v>34997.85</v>
      </c>
      <c r="G83" s="20">
        <f>J22</f>
        <v>19616.599999999999</v>
      </c>
      <c r="H83" s="15"/>
      <c r="J83" s="71">
        <f>I34</f>
        <v>15049.8</v>
      </c>
      <c r="K83" s="72">
        <f>J34</f>
        <v>4857.4699999999993</v>
      </c>
      <c r="L83" s="15"/>
      <c r="N83" s="20">
        <f>I40</f>
        <v>5077.2</v>
      </c>
      <c r="O83" s="20">
        <f>J40</f>
        <v>2051.7399999999998</v>
      </c>
      <c r="P83" s="15"/>
    </row>
    <row r="84" spans="1:16">
      <c r="A84" s="830"/>
      <c r="B84" s="20" t="s">
        <v>66</v>
      </c>
      <c r="C84" s="800">
        <f>B10</f>
        <v>2300</v>
      </c>
      <c r="D84" s="801"/>
      <c r="F84" s="20" t="s">
        <v>66</v>
      </c>
      <c r="G84" s="800">
        <f>SUM(B18:B21)</f>
        <v>7240</v>
      </c>
      <c r="H84" s="801"/>
      <c r="J84" s="20" t="s">
        <v>66</v>
      </c>
      <c r="K84" s="800">
        <f>SUM(B24:B33)</f>
        <v>2265.6999999999998</v>
      </c>
      <c r="L84" s="801"/>
      <c r="N84" s="20" t="s">
        <v>66</v>
      </c>
      <c r="O84" s="800">
        <f>SUM(B37:B39)</f>
        <v>1125</v>
      </c>
      <c r="P84" s="801"/>
    </row>
    <row r="85" spans="1:16">
      <c r="B85" s="21"/>
      <c r="C85" s="21"/>
      <c r="F85" s="22"/>
      <c r="G85" s="22"/>
      <c r="H85" s="21"/>
      <c r="J85" s="22"/>
      <c r="K85" s="22"/>
      <c r="M85" s="22"/>
      <c r="N85" s="22"/>
    </row>
    <row r="87" spans="1:16">
      <c r="A87" s="809" t="s">
        <v>67</v>
      </c>
    </row>
    <row r="88" spans="1:16">
      <c r="A88" s="809"/>
      <c r="G88" s="890" t="s">
        <v>149</v>
      </c>
      <c r="H88" s="890"/>
      <c r="I88" s="890"/>
    </row>
    <row r="89" spans="1:16">
      <c r="A89" s="809"/>
      <c r="G89" s="106" t="s">
        <v>38</v>
      </c>
      <c r="H89" s="106" t="s">
        <v>65</v>
      </c>
      <c r="I89" s="83" t="s">
        <v>140</v>
      </c>
    </row>
    <row r="90" spans="1:16">
      <c r="A90" s="809"/>
      <c r="G90" s="20">
        <f>5.9*H91</f>
        <v>56244.700000000004</v>
      </c>
      <c r="H90" s="20">
        <f>2.8*H91</f>
        <v>26692.399999999998</v>
      </c>
      <c r="I90" s="15"/>
    </row>
    <row r="91" spans="1:16">
      <c r="A91" s="809"/>
      <c r="G91" s="20" t="s">
        <v>66</v>
      </c>
      <c r="H91" s="800">
        <v>9533</v>
      </c>
      <c r="I91" s="801"/>
      <c r="O91" s="50"/>
      <c r="P91" s="50"/>
    </row>
    <row r="92" spans="1:16">
      <c r="A92" s="809"/>
    </row>
    <row r="94" spans="1:16">
      <c r="A94" s="809" t="s">
        <v>143</v>
      </c>
    </row>
    <row r="95" spans="1:16" ht="45.75" customHeight="1">
      <c r="A95" s="809"/>
      <c r="F95" s="869" t="s">
        <v>114</v>
      </c>
      <c r="G95" s="869"/>
      <c r="H95" s="869"/>
      <c r="I95" s="870" t="s">
        <v>115</v>
      </c>
      <c r="J95" s="870"/>
      <c r="K95" s="870"/>
    </row>
    <row r="96" spans="1:16">
      <c r="A96" s="809"/>
      <c r="F96" s="106" t="s">
        <v>38</v>
      </c>
      <c r="G96" s="106" t="s">
        <v>65</v>
      </c>
      <c r="H96" s="83" t="s">
        <v>140</v>
      </c>
      <c r="I96" s="106" t="s">
        <v>38</v>
      </c>
      <c r="J96" s="106" t="s">
        <v>65</v>
      </c>
      <c r="K96" s="83" t="s">
        <v>140</v>
      </c>
    </row>
    <row r="97" spans="1:16">
      <c r="A97" s="809"/>
      <c r="F97" s="20">
        <f>G90</f>
        <v>56244.700000000004</v>
      </c>
      <c r="G97" s="20">
        <f>H90</f>
        <v>26692.399999999998</v>
      </c>
      <c r="H97" s="15"/>
      <c r="I97" s="20">
        <f>F97-N83</f>
        <v>51167.500000000007</v>
      </c>
      <c r="J97" s="20">
        <f>G97-O83</f>
        <v>24640.659999999996</v>
      </c>
      <c r="K97" s="15"/>
    </row>
    <row r="98" spans="1:16">
      <c r="A98" s="809"/>
      <c r="F98" s="20" t="s">
        <v>66</v>
      </c>
      <c r="G98" s="800">
        <f>H91</f>
        <v>9533</v>
      </c>
      <c r="H98" s="801"/>
      <c r="I98" s="20" t="s">
        <v>66</v>
      </c>
      <c r="J98" s="800">
        <f>H91-O84</f>
        <v>8408</v>
      </c>
      <c r="K98" s="801"/>
    </row>
    <row r="99" spans="1:16">
      <c r="A99" s="82"/>
    </row>
    <row r="100" spans="1:16">
      <c r="A100" s="809" t="s">
        <v>142</v>
      </c>
    </row>
    <row r="101" spans="1:16">
      <c r="A101" s="809"/>
    </row>
    <row r="102" spans="1:16">
      <c r="A102" s="809"/>
      <c r="H102" s="24"/>
      <c r="I102" s="24"/>
      <c r="J102" s="847"/>
      <c r="K102" s="847"/>
    </row>
    <row r="103" spans="1:16" ht="32.25" customHeight="1">
      <c r="A103" s="809"/>
      <c r="G103" s="844" t="s">
        <v>113</v>
      </c>
      <c r="H103" s="845"/>
      <c r="I103" s="846"/>
      <c r="K103" s="27"/>
      <c r="P103" s="50"/>
    </row>
    <row r="104" spans="1:16">
      <c r="A104" s="809"/>
      <c r="G104" s="106" t="s">
        <v>38</v>
      </c>
      <c r="H104" s="106" t="s">
        <v>65</v>
      </c>
      <c r="I104" s="83" t="s">
        <v>140</v>
      </c>
      <c r="K104" s="21"/>
    </row>
    <row r="105" spans="1:16" ht="32.25" customHeight="1">
      <c r="A105" s="809"/>
      <c r="G105" s="76">
        <f>I97</f>
        <v>51167.500000000007</v>
      </c>
      <c r="H105" s="64">
        <f>G105/(F97/G97)</f>
        <v>24282.881355932201</v>
      </c>
      <c r="I105" s="15"/>
      <c r="K105" s="21"/>
    </row>
    <row r="106" spans="1:16">
      <c r="A106" s="809"/>
      <c r="G106" s="20" t="s">
        <v>66</v>
      </c>
      <c r="H106" s="800">
        <f>J98</f>
        <v>8408</v>
      </c>
      <c r="I106" s="801"/>
      <c r="K106" s="24"/>
    </row>
    <row r="107" spans="1:16">
      <c r="A107" s="809"/>
      <c r="G107" s="24"/>
      <c r="H107" s="24"/>
      <c r="I107" s="24"/>
      <c r="K107" s="24"/>
    </row>
    <row r="108" spans="1:16">
      <c r="A108" s="809"/>
      <c r="G108" s="75"/>
      <c r="H108" s="75"/>
      <c r="I108" s="24"/>
      <c r="K108" s="24"/>
    </row>
    <row r="109" spans="1:16">
      <c r="A109" s="809"/>
      <c r="G109" s="21"/>
      <c r="H109" s="21"/>
      <c r="I109" s="24"/>
      <c r="K109" s="24"/>
    </row>
    <row r="110" spans="1:16" ht="18" customHeight="1">
      <c r="A110" s="809"/>
      <c r="G110" s="24"/>
      <c r="H110" s="24"/>
      <c r="I110" s="24"/>
      <c r="K110" s="24"/>
    </row>
    <row r="111" spans="1:16">
      <c r="A111" s="809"/>
      <c r="G111" s="844" t="s">
        <v>120</v>
      </c>
      <c r="H111" s="845"/>
      <c r="I111" s="846"/>
      <c r="K111" s="24"/>
    </row>
    <row r="112" spans="1:16">
      <c r="A112" s="809"/>
      <c r="G112" s="83" t="s">
        <v>38</v>
      </c>
      <c r="H112" s="83" t="s">
        <v>65</v>
      </c>
      <c r="I112" s="83" t="s">
        <v>140</v>
      </c>
      <c r="K112" s="24"/>
    </row>
    <row r="113" spans="1:19" ht="34.5" customHeight="1">
      <c r="A113" s="809"/>
      <c r="G113" s="64">
        <f>G105</f>
        <v>51167.500000000007</v>
      </c>
      <c r="H113" s="64">
        <f>H105</f>
        <v>24282.881355932201</v>
      </c>
      <c r="I113" s="100"/>
    </row>
    <row r="114" spans="1:19">
      <c r="A114" s="809"/>
      <c r="G114" s="20" t="s">
        <v>66</v>
      </c>
      <c r="H114" s="800">
        <f>H106+H109</f>
        <v>8408</v>
      </c>
      <c r="I114" s="801"/>
    </row>
    <row r="115" spans="1:19">
      <c r="A115" s="809"/>
    </row>
    <row r="116" spans="1:19">
      <c r="A116" s="809"/>
    </row>
    <row r="117" spans="1:19" ht="30" customHeight="1"/>
    <row r="118" spans="1:19">
      <c r="P118" s="45"/>
      <c r="Q118" s="45"/>
      <c r="R118" s="45"/>
      <c r="S118" s="65"/>
    </row>
    <row r="119" spans="1:19">
      <c r="A119" s="809" t="s">
        <v>144</v>
      </c>
      <c r="G119" s="866" t="s">
        <v>111</v>
      </c>
      <c r="H119" s="867"/>
      <c r="I119" s="868"/>
    </row>
    <row r="120" spans="1:19">
      <c r="A120" s="809"/>
      <c r="G120" s="106" t="s">
        <v>38</v>
      </c>
      <c r="H120" s="106" t="s">
        <v>65</v>
      </c>
      <c r="I120" s="83" t="s">
        <v>140</v>
      </c>
    </row>
    <row r="121" spans="1:19">
      <c r="A121" s="809"/>
      <c r="G121" s="20">
        <f>B83</f>
        <v>5800</v>
      </c>
      <c r="H121" s="20">
        <f>C83</f>
        <v>4400</v>
      </c>
      <c r="I121" s="15"/>
    </row>
    <row r="122" spans="1:19">
      <c r="A122" s="809"/>
      <c r="G122" s="20" t="s">
        <v>66</v>
      </c>
      <c r="H122" s="800">
        <f>C84+B68</f>
        <v>2300</v>
      </c>
      <c r="I122" s="801"/>
    </row>
    <row r="123" spans="1:19">
      <c r="A123" s="809"/>
    </row>
    <row r="124" spans="1:19">
      <c r="A124" s="809"/>
    </row>
    <row r="125" spans="1:19">
      <c r="A125" s="809"/>
      <c r="G125" s="844" t="s">
        <v>110</v>
      </c>
      <c r="H125" s="845"/>
      <c r="I125" s="846"/>
    </row>
    <row r="126" spans="1:19">
      <c r="A126" s="809"/>
      <c r="G126" s="106" t="s">
        <v>38</v>
      </c>
      <c r="H126" s="106" t="s">
        <v>65</v>
      </c>
      <c r="I126" s="83" t="s">
        <v>140</v>
      </c>
    </row>
    <row r="127" spans="1:19">
      <c r="A127" s="809"/>
      <c r="G127" s="20">
        <f>'Plan épandage'!C21</f>
        <v>49174</v>
      </c>
      <c r="H127" s="20">
        <f>'Plan épandage'!D21</f>
        <v>17816</v>
      </c>
      <c r="I127" s="15"/>
    </row>
    <row r="128" spans="1:19" ht="15.75" customHeight="1">
      <c r="A128" s="809"/>
      <c r="G128" s="22"/>
      <c r="H128" s="22"/>
      <c r="I128" s="104"/>
    </row>
    <row r="129" spans="1:11" ht="30.75" customHeight="1">
      <c r="A129" s="809"/>
      <c r="G129" s="22"/>
      <c r="H129" s="22"/>
      <c r="I129" s="23"/>
    </row>
    <row r="130" spans="1:11" ht="15.75" thickBot="1">
      <c r="A130" s="809"/>
    </row>
    <row r="131" spans="1:11" ht="26.25">
      <c r="A131" s="809"/>
      <c r="G131" s="863" t="s">
        <v>112</v>
      </c>
      <c r="H131" s="864"/>
      <c r="I131" s="865"/>
    </row>
    <row r="132" spans="1:11" ht="26.25">
      <c r="A132" s="809"/>
      <c r="G132" s="137" t="s">
        <v>38</v>
      </c>
      <c r="H132" s="136" t="s">
        <v>65</v>
      </c>
      <c r="I132" s="138" t="s">
        <v>140</v>
      </c>
      <c r="K132" s="23"/>
    </row>
    <row r="133" spans="1:11" ht="27" thickBot="1">
      <c r="A133" s="809"/>
      <c r="G133" s="133">
        <f>G121-G127</f>
        <v>-43374</v>
      </c>
      <c r="H133" s="134">
        <f>H121-H127</f>
        <v>-13416</v>
      </c>
      <c r="I133" s="135"/>
    </row>
    <row r="134" spans="1:11">
      <c r="A134" s="809"/>
    </row>
    <row r="138" spans="1:11">
      <c r="J138" s="23"/>
      <c r="K138" s="23"/>
    </row>
    <row r="139" spans="1:11">
      <c r="J139" s="23"/>
    </row>
  </sheetData>
  <mergeCells count="55">
    <mergeCell ref="A22:H22"/>
    <mergeCell ref="A34:H34"/>
    <mergeCell ref="N81:P81"/>
    <mergeCell ref="G88:I88"/>
    <mergeCell ref="G98:H98"/>
    <mergeCell ref="O84:P84"/>
    <mergeCell ref="H91:I91"/>
    <mergeCell ref="F16:H16"/>
    <mergeCell ref="I16:K16"/>
    <mergeCell ref="C6:E6"/>
    <mergeCell ref="B81:D81"/>
    <mergeCell ref="J81:L81"/>
    <mergeCell ref="F81:H81"/>
    <mergeCell ref="A17:K17"/>
    <mergeCell ref="A23:K23"/>
    <mergeCell ref="A35:H35"/>
    <mergeCell ref="A36:K36"/>
    <mergeCell ref="A40:H40"/>
    <mergeCell ref="D66:F66"/>
    <mergeCell ref="A68:B68"/>
    <mergeCell ref="A60:B60"/>
    <mergeCell ref="G53:I53"/>
    <mergeCell ref="A52:A54"/>
    <mergeCell ref="G131:I131"/>
    <mergeCell ref="A81:A84"/>
    <mergeCell ref="A87:A92"/>
    <mergeCell ref="A94:A98"/>
    <mergeCell ref="A100:A116"/>
    <mergeCell ref="A119:A134"/>
    <mergeCell ref="G103:I103"/>
    <mergeCell ref="H106:I106"/>
    <mergeCell ref="G111:I111"/>
    <mergeCell ref="H114:I114"/>
    <mergeCell ref="G119:I119"/>
    <mergeCell ref="H122:I122"/>
    <mergeCell ref="C84:D84"/>
    <mergeCell ref="G84:H84"/>
    <mergeCell ref="F95:H95"/>
    <mergeCell ref="I95:K95"/>
    <mergeCell ref="A1:K1"/>
    <mergeCell ref="A5:A6"/>
    <mergeCell ref="A13:K13"/>
    <mergeCell ref="A15:A16"/>
    <mergeCell ref="G125:I125"/>
    <mergeCell ref="K84:L84"/>
    <mergeCell ref="J102:K102"/>
    <mergeCell ref="J98:K98"/>
    <mergeCell ref="D60:G60"/>
    <mergeCell ref="A78:P78"/>
    <mergeCell ref="A47:C47"/>
    <mergeCell ref="A3:K3"/>
    <mergeCell ref="A44:K44"/>
    <mergeCell ref="A58:K58"/>
    <mergeCell ref="A50:K50"/>
    <mergeCell ref="D53:F53"/>
  </mergeCells>
  <conditionalFormatting sqref="G133:I133">
    <cfRule type="cellIs" dxfId="9" priority="3" operator="lessThan">
      <formula>0</formula>
    </cfRule>
    <cfRule type="cellIs" dxfId="8" priority="4" operator="greaterThan">
      <formula>0</formula>
    </cfRule>
  </conditionalFormatting>
  <conditionalFormatting sqref="E69:F69">
    <cfRule type="cellIs" dxfId="7" priority="1" operator="greaterThan">
      <formula>0</formula>
    </cfRule>
    <cfRule type="cellIs" dxfId="6" priority="2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31" fitToHeight="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8"/>
  <dimension ref="A1:P376"/>
  <sheetViews>
    <sheetView tabSelected="1" topLeftCell="A124" zoomScale="110" zoomScaleNormal="110" workbookViewId="0">
      <selection activeCell="K143" sqref="K143:N144"/>
    </sheetView>
  </sheetViews>
  <sheetFormatPr baseColWidth="10" defaultRowHeight="15"/>
  <cols>
    <col min="1" max="1" width="28.42578125" customWidth="1"/>
    <col min="2" max="2" width="33.7109375" style="79" customWidth="1"/>
    <col min="3" max="3" width="24.140625" customWidth="1"/>
    <col min="4" max="4" width="17.85546875" customWidth="1"/>
    <col min="5" max="5" width="13.140625" customWidth="1"/>
    <col min="6" max="6" width="29" customWidth="1"/>
    <col min="7" max="7" width="11.140625" customWidth="1"/>
    <col min="11" max="11" width="13.85546875" customWidth="1"/>
    <col min="12" max="12" width="14" customWidth="1"/>
  </cols>
  <sheetData>
    <row r="1" spans="1:11" ht="19.5" thickBot="1">
      <c r="A1" s="939" t="s">
        <v>299</v>
      </c>
      <c r="B1" s="940"/>
      <c r="C1" s="940"/>
      <c r="D1" s="940"/>
      <c r="E1" s="940"/>
      <c r="F1" s="940"/>
      <c r="G1" s="940"/>
      <c r="H1" s="940"/>
      <c r="I1" s="940"/>
      <c r="J1" s="940"/>
      <c r="K1" s="941"/>
    </row>
    <row r="3" spans="1:11" ht="18.75">
      <c r="A3" s="536" t="s">
        <v>647</v>
      </c>
    </row>
    <row r="4" spans="1:11" ht="15.75" thickBot="1"/>
    <row r="5" spans="1:11">
      <c r="A5" s="902" t="s">
        <v>249</v>
      </c>
      <c r="B5" s="900" t="s">
        <v>320</v>
      </c>
      <c r="C5" s="901"/>
    </row>
    <row r="6" spans="1:11" ht="15.75" thickBot="1">
      <c r="A6" s="903"/>
      <c r="B6" s="463" t="s">
        <v>39</v>
      </c>
      <c r="C6" s="41" t="s">
        <v>40</v>
      </c>
      <c r="E6" s="908" t="s">
        <v>474</v>
      </c>
      <c r="F6" s="908"/>
    </row>
    <row r="7" spans="1:11">
      <c r="A7" s="400" t="s">
        <v>301</v>
      </c>
      <c r="B7" s="464" t="s">
        <v>318</v>
      </c>
      <c r="C7" s="399" t="s">
        <v>318</v>
      </c>
      <c r="E7" s="405">
        <v>1</v>
      </c>
      <c r="F7" s="405" t="s">
        <v>379</v>
      </c>
    </row>
    <row r="8" spans="1:11">
      <c r="A8" s="401" t="s">
        <v>302</v>
      </c>
      <c r="B8" s="465" t="s">
        <v>318</v>
      </c>
      <c r="C8" s="397" t="s">
        <v>319</v>
      </c>
      <c r="E8" s="405">
        <v>2</v>
      </c>
      <c r="F8" s="405" t="s">
        <v>380</v>
      </c>
    </row>
    <row r="9" spans="1:11">
      <c r="A9" s="401" t="s">
        <v>303</v>
      </c>
      <c r="B9" s="465" t="s">
        <v>318</v>
      </c>
      <c r="C9" s="397" t="s">
        <v>319</v>
      </c>
      <c r="E9" s="908" t="s">
        <v>475</v>
      </c>
      <c r="F9" s="908"/>
    </row>
    <row r="10" spans="1:11">
      <c r="A10" s="401" t="s">
        <v>304</v>
      </c>
      <c r="B10" s="465" t="s">
        <v>318</v>
      </c>
      <c r="C10" s="397" t="s">
        <v>318</v>
      </c>
      <c r="E10" s="405">
        <v>1</v>
      </c>
      <c r="F10" s="405" t="s">
        <v>381</v>
      </c>
    </row>
    <row r="11" spans="1:11">
      <c r="A11" s="401" t="s">
        <v>305</v>
      </c>
      <c r="B11" s="465" t="s">
        <v>319</v>
      </c>
      <c r="C11" s="397"/>
      <c r="E11" s="405">
        <v>2</v>
      </c>
      <c r="F11" s="405" t="s">
        <v>382</v>
      </c>
    </row>
    <row r="12" spans="1:11">
      <c r="A12" s="401" t="s">
        <v>306</v>
      </c>
      <c r="B12" s="465" t="s">
        <v>319</v>
      </c>
      <c r="C12" s="397" t="s">
        <v>300</v>
      </c>
    </row>
    <row r="13" spans="1:11">
      <c r="A13" s="401" t="s">
        <v>307</v>
      </c>
      <c r="B13" s="465" t="s">
        <v>319</v>
      </c>
      <c r="C13" s="397"/>
      <c r="E13" s="909" t="s">
        <v>476</v>
      </c>
      <c r="F13" s="909"/>
    </row>
    <row r="14" spans="1:11">
      <c r="A14" s="401" t="s">
        <v>308</v>
      </c>
      <c r="B14" s="465" t="s">
        <v>319</v>
      </c>
      <c r="C14" s="397" t="s">
        <v>300</v>
      </c>
      <c r="E14" s="410">
        <v>1</v>
      </c>
      <c r="F14" s="467" t="s">
        <v>657</v>
      </c>
    </row>
    <row r="15" spans="1:11">
      <c r="A15" s="401" t="s">
        <v>309</v>
      </c>
      <c r="B15" s="465" t="s">
        <v>319</v>
      </c>
      <c r="C15" s="397" t="s">
        <v>319</v>
      </c>
      <c r="E15" s="410">
        <v>2</v>
      </c>
      <c r="F15" s="15" t="s">
        <v>694</v>
      </c>
    </row>
    <row r="16" spans="1:11">
      <c r="A16" s="401" t="s">
        <v>310</v>
      </c>
      <c r="B16" s="465" t="s">
        <v>319</v>
      </c>
      <c r="C16" s="397" t="s">
        <v>319</v>
      </c>
      <c r="E16" s="410">
        <v>3</v>
      </c>
      <c r="F16" s="467" t="s">
        <v>334</v>
      </c>
    </row>
    <row r="17" spans="1:15">
      <c r="A17" s="401" t="s">
        <v>311</v>
      </c>
      <c r="B17" s="465" t="s">
        <v>319</v>
      </c>
      <c r="C17" s="397" t="s">
        <v>300</v>
      </c>
      <c r="E17" s="410">
        <v>4</v>
      </c>
      <c r="F17" s="467" t="s">
        <v>337</v>
      </c>
    </row>
    <row r="18" spans="1:15">
      <c r="A18" s="401" t="s">
        <v>312</v>
      </c>
      <c r="B18" s="465" t="s">
        <v>300</v>
      </c>
      <c r="C18" s="397" t="s">
        <v>300</v>
      </c>
      <c r="E18" s="410">
        <v>5</v>
      </c>
      <c r="F18" s="467" t="s">
        <v>343</v>
      </c>
    </row>
    <row r="19" spans="1:15">
      <c r="A19" s="401" t="s">
        <v>313</v>
      </c>
      <c r="B19" s="465" t="s">
        <v>300</v>
      </c>
      <c r="C19" s="397" t="s">
        <v>300</v>
      </c>
      <c r="E19" s="410">
        <v>6</v>
      </c>
      <c r="F19" s="467" t="s">
        <v>658</v>
      </c>
    </row>
    <row r="20" spans="1:15">
      <c r="A20" s="401" t="s">
        <v>314</v>
      </c>
      <c r="B20" s="465" t="s">
        <v>300</v>
      </c>
      <c r="C20" s="397"/>
      <c r="E20" s="410">
        <v>7</v>
      </c>
      <c r="F20" s="467" t="s">
        <v>697</v>
      </c>
    </row>
    <row r="21" spans="1:15">
      <c r="A21" s="401" t="s">
        <v>315</v>
      </c>
      <c r="B21" s="465" t="s">
        <v>300</v>
      </c>
      <c r="C21" s="397" t="s">
        <v>300</v>
      </c>
      <c r="E21" s="410">
        <v>8</v>
      </c>
      <c r="F21" s="606" t="s">
        <v>348</v>
      </c>
    </row>
    <row r="22" spans="1:15">
      <c r="A22" s="401" t="s">
        <v>316</v>
      </c>
      <c r="B22" s="465" t="s">
        <v>300</v>
      </c>
      <c r="C22" s="397" t="s">
        <v>319</v>
      </c>
      <c r="E22" s="410">
        <v>9</v>
      </c>
      <c r="F22" s="467" t="s">
        <v>464</v>
      </c>
    </row>
    <row r="23" spans="1:15">
      <c r="A23" s="401" t="s">
        <v>317</v>
      </c>
      <c r="B23" s="465" t="s">
        <v>300</v>
      </c>
      <c r="C23" s="397" t="s">
        <v>319</v>
      </c>
      <c r="E23" s="410">
        <v>10</v>
      </c>
      <c r="F23" s="467" t="s">
        <v>693</v>
      </c>
    </row>
    <row r="24" spans="1:15" ht="15.75" thickBot="1">
      <c r="A24" s="29" t="s">
        <v>325</v>
      </c>
      <c r="B24" s="466"/>
      <c r="C24" s="398" t="s">
        <v>319</v>
      </c>
      <c r="E24" s="410">
        <v>11</v>
      </c>
      <c r="F24" s="467" t="s">
        <v>698</v>
      </c>
    </row>
    <row r="25" spans="1:15">
      <c r="A25" s="23"/>
      <c r="B25" s="390"/>
      <c r="E25" s="410">
        <v>12</v>
      </c>
      <c r="F25" s="467" t="s">
        <v>699</v>
      </c>
    </row>
    <row r="26" spans="1:15">
      <c r="B26" s="390"/>
      <c r="E26" s="410">
        <v>13</v>
      </c>
      <c r="F26" s="467" t="s">
        <v>360</v>
      </c>
    </row>
    <row r="27" spans="1:15">
      <c r="B27" s="390"/>
      <c r="E27" s="410">
        <v>14</v>
      </c>
      <c r="F27" s="467" t="s">
        <v>696</v>
      </c>
    </row>
    <row r="28" spans="1:15">
      <c r="B28" s="390"/>
      <c r="E28" s="410">
        <v>15</v>
      </c>
      <c r="F28" s="467" t="s">
        <v>695</v>
      </c>
    </row>
    <row r="29" spans="1:15">
      <c r="E29" s="410">
        <v>16</v>
      </c>
      <c r="F29" s="549" t="s">
        <v>700</v>
      </c>
    </row>
    <row r="30" spans="1:15">
      <c r="A30" s="23"/>
      <c r="B30" s="390"/>
      <c r="O30" s="23"/>
    </row>
    <row r="31" spans="1:15">
      <c r="B31" s="390"/>
    </row>
    <row r="32" spans="1:15">
      <c r="B32" s="390"/>
    </row>
    <row r="33" spans="1:15" ht="15.75">
      <c r="A33" s="650" t="s">
        <v>648</v>
      </c>
      <c r="B33" s="650"/>
      <c r="C33" s="650"/>
      <c r="D33" s="650"/>
      <c r="E33" s="650"/>
      <c r="F33" s="650"/>
      <c r="G33" s="650"/>
      <c r="H33" s="650"/>
      <c r="I33" s="650"/>
      <c r="J33" s="650"/>
      <c r="K33" s="650"/>
      <c r="L33" s="650"/>
      <c r="M33" s="650"/>
      <c r="N33" s="650"/>
      <c r="O33" s="23"/>
    </row>
    <row r="34" spans="1:15" ht="15.75" thickBot="1">
      <c r="A34" s="42" t="s">
        <v>326</v>
      </c>
      <c r="B34" s="390"/>
      <c r="C34" s="23"/>
      <c r="D34" s="23"/>
      <c r="E34" s="23"/>
      <c r="F34" s="23"/>
      <c r="G34" s="23"/>
      <c r="H34" s="23"/>
      <c r="I34" s="537"/>
      <c r="J34" s="23"/>
      <c r="K34" s="23"/>
      <c r="L34" s="23"/>
      <c r="M34" s="23"/>
      <c r="N34" s="23"/>
    </row>
    <row r="35" spans="1:15" s="414" customFormat="1" ht="18.75" thickBot="1">
      <c r="A35" s="42" t="s">
        <v>327</v>
      </c>
      <c r="C35" s="910" t="s">
        <v>468</v>
      </c>
      <c r="D35" s="911"/>
      <c r="E35" s="911"/>
      <c r="F35" s="911"/>
      <c r="G35" s="911"/>
      <c r="H35" s="912"/>
      <c r="I35" s="915" t="s">
        <v>473</v>
      </c>
      <c r="J35" s="916"/>
      <c r="K35" s="916"/>
      <c r="L35" s="916"/>
      <c r="M35" s="916"/>
      <c r="N35" s="917"/>
    </row>
    <row r="36" spans="1:15" s="414" customFormat="1">
      <c r="A36" s="913" t="s">
        <v>469</v>
      </c>
      <c r="B36" s="473" t="s">
        <v>478</v>
      </c>
      <c r="C36" s="904" t="s">
        <v>318</v>
      </c>
      <c r="D36" s="905"/>
      <c r="E36" s="906" t="s">
        <v>319</v>
      </c>
      <c r="F36" s="906"/>
      <c r="G36" s="906" t="s">
        <v>300</v>
      </c>
      <c r="H36" s="907"/>
      <c r="I36" s="918" t="s">
        <v>318</v>
      </c>
      <c r="J36" s="919"/>
      <c r="K36" s="920" t="s">
        <v>319</v>
      </c>
      <c r="L36" s="920"/>
      <c r="M36" s="920" t="s">
        <v>300</v>
      </c>
      <c r="N36" s="921"/>
    </row>
    <row r="37" spans="1:15" s="414" customFormat="1" ht="15.75" thickBot="1">
      <c r="A37" s="914"/>
      <c r="B37" s="504" t="s">
        <v>322</v>
      </c>
      <c r="C37" s="475" t="s">
        <v>466</v>
      </c>
      <c r="D37" s="476" t="s">
        <v>467</v>
      </c>
      <c r="E37" s="476" t="s">
        <v>466</v>
      </c>
      <c r="F37" s="476" t="s">
        <v>467</v>
      </c>
      <c r="G37" s="476" t="s">
        <v>466</v>
      </c>
      <c r="H37" s="477" t="s">
        <v>467</v>
      </c>
      <c r="I37" s="478" t="s">
        <v>466</v>
      </c>
      <c r="J37" s="478" t="s">
        <v>467</v>
      </c>
      <c r="K37" s="478" t="s">
        <v>466</v>
      </c>
      <c r="L37" s="478" t="s">
        <v>467</v>
      </c>
      <c r="M37" s="478" t="s">
        <v>466</v>
      </c>
      <c r="N37" s="479" t="s">
        <v>467</v>
      </c>
    </row>
    <row r="38" spans="1:15" s="414" customFormat="1">
      <c r="A38" s="439" t="s">
        <v>657</v>
      </c>
      <c r="B38" s="481" t="s">
        <v>328</v>
      </c>
      <c r="C38" s="407">
        <v>100</v>
      </c>
      <c r="D38" s="403">
        <v>160</v>
      </c>
      <c r="E38" s="403">
        <v>100</v>
      </c>
      <c r="F38" s="403">
        <v>160</v>
      </c>
      <c r="G38" s="474">
        <v>70</v>
      </c>
      <c r="H38" s="39">
        <v>150</v>
      </c>
      <c r="I38" s="403">
        <v>170</v>
      </c>
      <c r="J38" s="403">
        <v>300</v>
      </c>
      <c r="K38" s="403">
        <v>120</v>
      </c>
      <c r="L38" s="403">
        <v>180</v>
      </c>
      <c r="M38" s="403">
        <v>80</v>
      </c>
      <c r="N38" s="39">
        <v>150</v>
      </c>
    </row>
    <row r="39" spans="1:15" s="414" customFormat="1">
      <c r="A39" s="545" t="s">
        <v>657</v>
      </c>
      <c r="B39" s="423" t="s">
        <v>659</v>
      </c>
      <c r="C39" s="408">
        <v>100</v>
      </c>
      <c r="D39" s="405">
        <v>160</v>
      </c>
      <c r="E39" s="405">
        <v>100</v>
      </c>
      <c r="F39" s="405">
        <v>160</v>
      </c>
      <c r="G39" s="405">
        <v>70</v>
      </c>
      <c r="H39" s="40">
        <v>150</v>
      </c>
      <c r="I39" s="405">
        <v>200</v>
      </c>
      <c r="J39" s="405">
        <v>400</v>
      </c>
      <c r="K39" s="405">
        <v>150</v>
      </c>
      <c r="L39" s="405">
        <v>220</v>
      </c>
      <c r="M39" s="405">
        <v>100</v>
      </c>
      <c r="N39" s="40">
        <v>150</v>
      </c>
    </row>
    <row r="40" spans="1:15" s="414" customFormat="1">
      <c r="A40" s="545" t="s">
        <v>657</v>
      </c>
      <c r="B40" s="423" t="s">
        <v>329</v>
      </c>
      <c r="C40" s="408">
        <v>100</v>
      </c>
      <c r="D40" s="405">
        <v>160</v>
      </c>
      <c r="E40" s="405">
        <v>100</v>
      </c>
      <c r="F40" s="405">
        <v>160</v>
      </c>
      <c r="G40" s="405">
        <v>70</v>
      </c>
      <c r="H40" s="40">
        <v>15</v>
      </c>
      <c r="I40" s="405">
        <v>250</v>
      </c>
      <c r="J40" s="405">
        <v>450</v>
      </c>
      <c r="K40" s="405">
        <v>200</v>
      </c>
      <c r="L40" s="405">
        <v>170</v>
      </c>
      <c r="M40" s="405">
        <v>150</v>
      </c>
      <c r="N40" s="40">
        <v>200</v>
      </c>
    </row>
    <row r="41" spans="1:15" s="414" customFormat="1">
      <c r="A41" s="545" t="s">
        <v>657</v>
      </c>
      <c r="B41" s="423" t="s">
        <v>660</v>
      </c>
      <c r="C41" s="408">
        <v>280</v>
      </c>
      <c r="D41" s="405">
        <v>400</v>
      </c>
      <c r="E41" s="405">
        <v>250</v>
      </c>
      <c r="F41" s="405">
        <v>300</v>
      </c>
      <c r="G41" s="405">
        <v>200</v>
      </c>
      <c r="H41" s="40">
        <v>260</v>
      </c>
      <c r="I41" s="405">
        <v>200</v>
      </c>
      <c r="J41" s="405">
        <v>400</v>
      </c>
      <c r="K41" s="405">
        <v>80</v>
      </c>
      <c r="L41" s="405">
        <v>250</v>
      </c>
      <c r="M41" s="405">
        <v>50</v>
      </c>
      <c r="N41" s="40">
        <v>100</v>
      </c>
    </row>
    <row r="42" spans="1:15" s="414" customFormat="1">
      <c r="A42" s="439" t="s">
        <v>694</v>
      </c>
      <c r="B42" s="423" t="s">
        <v>330</v>
      </c>
      <c r="C42" s="408">
        <v>280</v>
      </c>
      <c r="D42" s="405">
        <v>400</v>
      </c>
      <c r="E42" s="405">
        <v>250</v>
      </c>
      <c r="F42" s="405">
        <v>300</v>
      </c>
      <c r="G42" s="405">
        <v>200</v>
      </c>
      <c r="H42" s="40">
        <v>260</v>
      </c>
      <c r="I42" s="405">
        <v>200</v>
      </c>
      <c r="J42" s="405">
        <v>400</v>
      </c>
      <c r="K42" s="405">
        <v>80</v>
      </c>
      <c r="L42" s="405">
        <v>250</v>
      </c>
      <c r="M42" s="405">
        <v>50</v>
      </c>
      <c r="N42" s="40">
        <v>100</v>
      </c>
    </row>
    <row r="43" spans="1:15" s="414" customFormat="1">
      <c r="A43" s="545" t="s">
        <v>694</v>
      </c>
      <c r="B43" s="423" t="s">
        <v>331</v>
      </c>
      <c r="C43" s="408">
        <v>100</v>
      </c>
      <c r="D43" s="405">
        <v>160</v>
      </c>
      <c r="E43" s="405">
        <v>100</v>
      </c>
      <c r="F43" s="405">
        <v>160</v>
      </c>
      <c r="G43" s="405">
        <v>70</v>
      </c>
      <c r="H43" s="40">
        <v>150</v>
      </c>
      <c r="I43" s="405">
        <v>170</v>
      </c>
      <c r="J43" s="405">
        <v>300</v>
      </c>
      <c r="K43" s="405">
        <v>120</v>
      </c>
      <c r="L43" s="405">
        <v>180</v>
      </c>
      <c r="M43" s="405">
        <v>80</v>
      </c>
      <c r="N43" s="40">
        <v>150</v>
      </c>
    </row>
    <row r="44" spans="1:15" s="414" customFormat="1">
      <c r="A44" s="545" t="s">
        <v>694</v>
      </c>
      <c r="B44" s="423" t="s">
        <v>332</v>
      </c>
      <c r="C44" s="408">
        <v>100</v>
      </c>
      <c r="D44" s="405">
        <v>160</v>
      </c>
      <c r="E44" s="405">
        <v>100</v>
      </c>
      <c r="F44" s="405">
        <v>160</v>
      </c>
      <c r="G44" s="405">
        <v>70</v>
      </c>
      <c r="H44" s="40">
        <v>150</v>
      </c>
      <c r="I44" s="405">
        <v>200</v>
      </c>
      <c r="J44" s="405">
        <v>400</v>
      </c>
      <c r="K44" s="405">
        <v>150</v>
      </c>
      <c r="L44" s="405">
        <v>220</v>
      </c>
      <c r="M44" s="405">
        <v>100</v>
      </c>
      <c r="N44" s="40">
        <v>150</v>
      </c>
    </row>
    <row r="45" spans="1:15" s="414" customFormat="1">
      <c r="A45" s="545" t="s">
        <v>694</v>
      </c>
      <c r="B45" s="423" t="s">
        <v>661</v>
      </c>
      <c r="C45" s="408">
        <v>140</v>
      </c>
      <c r="D45" s="405">
        <v>200</v>
      </c>
      <c r="E45" s="405">
        <v>80</v>
      </c>
      <c r="F45" s="405">
        <v>180</v>
      </c>
      <c r="G45" s="405">
        <v>70</v>
      </c>
      <c r="H45" s="40">
        <v>150</v>
      </c>
      <c r="I45" s="405">
        <v>300</v>
      </c>
      <c r="J45" s="405">
        <v>450</v>
      </c>
      <c r="K45" s="405">
        <v>300</v>
      </c>
      <c r="L45" s="405">
        <v>400</v>
      </c>
      <c r="M45" s="405">
        <v>150</v>
      </c>
      <c r="N45" s="40">
        <v>300</v>
      </c>
    </row>
    <row r="46" spans="1:15" s="414" customFormat="1">
      <c r="A46" s="545" t="s">
        <v>694</v>
      </c>
      <c r="B46" s="423" t="s">
        <v>333</v>
      </c>
      <c r="C46" s="408">
        <v>120</v>
      </c>
      <c r="D46" s="405">
        <v>180</v>
      </c>
      <c r="E46" s="405">
        <v>80</v>
      </c>
      <c r="F46" s="405">
        <v>120</v>
      </c>
      <c r="G46" s="405">
        <v>50</v>
      </c>
      <c r="H46" s="40">
        <v>120</v>
      </c>
      <c r="I46" s="405">
        <v>250</v>
      </c>
      <c r="J46" s="405">
        <v>300</v>
      </c>
      <c r="K46" s="405">
        <v>200</v>
      </c>
      <c r="L46" s="405">
        <v>300</v>
      </c>
      <c r="M46" s="405">
        <v>100</v>
      </c>
      <c r="N46" s="40">
        <v>180</v>
      </c>
    </row>
    <row r="47" spans="1:15" s="414" customFormat="1">
      <c r="A47" s="545" t="s">
        <v>694</v>
      </c>
      <c r="B47" s="423" t="s">
        <v>465</v>
      </c>
      <c r="C47" s="408">
        <v>60</v>
      </c>
      <c r="D47" s="405">
        <v>160</v>
      </c>
      <c r="E47" s="405">
        <v>60</v>
      </c>
      <c r="F47" s="405">
        <v>160</v>
      </c>
      <c r="G47" s="405">
        <v>40</v>
      </c>
      <c r="H47" s="40">
        <v>130</v>
      </c>
      <c r="I47" s="405">
        <v>100</v>
      </c>
      <c r="J47" s="405">
        <v>100</v>
      </c>
      <c r="K47" s="405">
        <v>70</v>
      </c>
      <c r="L47" s="405">
        <v>100</v>
      </c>
      <c r="M47" s="405">
        <v>60</v>
      </c>
      <c r="N47" s="40">
        <v>100</v>
      </c>
    </row>
    <row r="48" spans="1:15" s="414" customFormat="1" ht="45">
      <c r="A48" s="439" t="s">
        <v>334</v>
      </c>
      <c r="B48" s="423" t="s">
        <v>662</v>
      </c>
      <c r="C48" s="408">
        <v>120</v>
      </c>
      <c r="D48" s="405">
        <v>180</v>
      </c>
      <c r="E48" s="405">
        <v>80</v>
      </c>
      <c r="F48" s="405">
        <v>120</v>
      </c>
      <c r="G48" s="405">
        <v>50</v>
      </c>
      <c r="H48" s="40">
        <v>120</v>
      </c>
      <c r="I48" s="405">
        <v>250</v>
      </c>
      <c r="J48" s="405">
        <v>300</v>
      </c>
      <c r="K48" s="405">
        <v>200</v>
      </c>
      <c r="L48" s="405">
        <v>300</v>
      </c>
      <c r="M48" s="405">
        <v>100</v>
      </c>
      <c r="N48" s="40">
        <v>180</v>
      </c>
    </row>
    <row r="49" spans="1:14" s="414" customFormat="1" ht="30">
      <c r="A49" s="545" t="s">
        <v>334</v>
      </c>
      <c r="B49" s="423" t="s">
        <v>335</v>
      </c>
      <c r="C49" s="408">
        <v>140</v>
      </c>
      <c r="D49" s="405">
        <v>200</v>
      </c>
      <c r="E49" s="405">
        <v>80</v>
      </c>
      <c r="F49" s="405">
        <v>180</v>
      </c>
      <c r="G49" s="405">
        <v>70</v>
      </c>
      <c r="H49" s="40">
        <v>150</v>
      </c>
      <c r="I49" s="405">
        <v>300</v>
      </c>
      <c r="J49" s="405">
        <v>450</v>
      </c>
      <c r="K49" s="405">
        <v>300</v>
      </c>
      <c r="L49" s="405">
        <v>400</v>
      </c>
      <c r="M49" s="405">
        <v>150</v>
      </c>
      <c r="N49" s="40">
        <v>300</v>
      </c>
    </row>
    <row r="50" spans="1:14" s="414" customFormat="1">
      <c r="A50" s="545" t="s">
        <v>334</v>
      </c>
      <c r="B50" s="423" t="s">
        <v>349</v>
      </c>
      <c r="C50" s="408">
        <v>100</v>
      </c>
      <c r="D50" s="405">
        <v>160</v>
      </c>
      <c r="E50" s="405">
        <v>100</v>
      </c>
      <c r="F50" s="405">
        <v>160</v>
      </c>
      <c r="G50" s="405">
        <v>70</v>
      </c>
      <c r="H50" s="40">
        <v>150</v>
      </c>
      <c r="I50" s="405">
        <v>170</v>
      </c>
      <c r="J50" s="405">
        <v>300</v>
      </c>
      <c r="K50" s="405">
        <v>120</v>
      </c>
      <c r="L50" s="405">
        <v>180</v>
      </c>
      <c r="M50" s="405">
        <v>80</v>
      </c>
      <c r="N50" s="40">
        <v>150</v>
      </c>
    </row>
    <row r="51" spans="1:14" s="414" customFormat="1">
      <c r="A51" s="545" t="s">
        <v>334</v>
      </c>
      <c r="B51" s="423" t="s">
        <v>373</v>
      </c>
      <c r="C51" s="408">
        <v>100</v>
      </c>
      <c r="D51" s="405">
        <v>160</v>
      </c>
      <c r="E51" s="405">
        <v>100</v>
      </c>
      <c r="F51" s="405">
        <v>160</v>
      </c>
      <c r="G51" s="405">
        <v>70</v>
      </c>
      <c r="H51" s="40">
        <v>150</v>
      </c>
      <c r="I51" s="405">
        <v>200</v>
      </c>
      <c r="J51" s="405">
        <v>400</v>
      </c>
      <c r="K51" s="405">
        <v>150</v>
      </c>
      <c r="L51" s="405">
        <v>220</v>
      </c>
      <c r="M51" s="405">
        <v>100</v>
      </c>
      <c r="N51" s="40">
        <v>150</v>
      </c>
    </row>
    <row r="52" spans="1:14" s="414" customFormat="1">
      <c r="A52" s="545" t="s">
        <v>334</v>
      </c>
      <c r="B52" s="423" t="s">
        <v>336</v>
      </c>
      <c r="C52" s="408">
        <v>100</v>
      </c>
      <c r="D52" s="405">
        <v>160</v>
      </c>
      <c r="E52" s="405">
        <v>100</v>
      </c>
      <c r="F52" s="405">
        <v>160</v>
      </c>
      <c r="G52" s="405">
        <v>70</v>
      </c>
      <c r="H52" s="40">
        <v>150</v>
      </c>
      <c r="I52" s="405">
        <v>300</v>
      </c>
      <c r="J52" s="405">
        <v>450</v>
      </c>
      <c r="K52" s="405">
        <v>300</v>
      </c>
      <c r="L52" s="405">
        <v>400</v>
      </c>
      <c r="M52" s="405">
        <v>150</v>
      </c>
      <c r="N52" s="40">
        <v>300</v>
      </c>
    </row>
    <row r="53" spans="1:14" s="414" customFormat="1">
      <c r="A53" s="439" t="s">
        <v>337</v>
      </c>
      <c r="B53" s="423" t="s">
        <v>663</v>
      </c>
      <c r="C53" s="408">
        <v>100</v>
      </c>
      <c r="D53" s="405">
        <v>160</v>
      </c>
      <c r="E53" s="405">
        <v>100</v>
      </c>
      <c r="F53" s="405">
        <v>160</v>
      </c>
      <c r="G53" s="405">
        <v>70</v>
      </c>
      <c r="H53" s="40">
        <v>150</v>
      </c>
      <c r="I53" s="405">
        <v>200</v>
      </c>
      <c r="J53" s="405">
        <v>400</v>
      </c>
      <c r="K53" s="405">
        <v>150</v>
      </c>
      <c r="L53" s="405">
        <v>220</v>
      </c>
      <c r="M53" s="405">
        <v>100</v>
      </c>
      <c r="N53" s="40">
        <v>150</v>
      </c>
    </row>
    <row r="54" spans="1:14" s="414" customFormat="1">
      <c r="A54" s="545" t="s">
        <v>337</v>
      </c>
      <c r="B54" s="423" t="s">
        <v>338</v>
      </c>
      <c r="C54" s="408">
        <v>100</v>
      </c>
      <c r="D54" s="405">
        <v>160</v>
      </c>
      <c r="E54" s="405">
        <v>100</v>
      </c>
      <c r="F54" s="405">
        <v>160</v>
      </c>
      <c r="G54" s="405">
        <v>70</v>
      </c>
      <c r="H54" s="40">
        <v>150</v>
      </c>
      <c r="I54" s="405">
        <v>200</v>
      </c>
      <c r="J54" s="405">
        <v>400</v>
      </c>
      <c r="K54" s="405">
        <v>150</v>
      </c>
      <c r="L54" s="405">
        <v>220</v>
      </c>
      <c r="M54" s="405">
        <v>100</v>
      </c>
      <c r="N54" s="40">
        <v>150</v>
      </c>
    </row>
    <row r="55" spans="1:14" s="414" customFormat="1">
      <c r="A55" s="545" t="s">
        <v>337</v>
      </c>
      <c r="B55" s="423" t="s">
        <v>664</v>
      </c>
      <c r="C55" s="408">
        <v>120</v>
      </c>
      <c r="D55" s="405">
        <v>160</v>
      </c>
      <c r="E55" s="405">
        <v>120</v>
      </c>
      <c r="F55" s="405">
        <v>180</v>
      </c>
      <c r="G55" s="405">
        <v>70</v>
      </c>
      <c r="H55" s="40">
        <v>170</v>
      </c>
      <c r="I55" s="405">
        <v>180</v>
      </c>
      <c r="J55" s="405">
        <v>300</v>
      </c>
      <c r="K55" s="405">
        <v>130</v>
      </c>
      <c r="L55" s="405">
        <v>190</v>
      </c>
      <c r="M55" s="405">
        <v>80</v>
      </c>
      <c r="N55" s="40">
        <v>160</v>
      </c>
    </row>
    <row r="56" spans="1:14" s="414" customFormat="1" ht="30">
      <c r="A56" s="545" t="s">
        <v>337</v>
      </c>
      <c r="B56" s="423" t="s">
        <v>339</v>
      </c>
      <c r="C56" s="408">
        <v>140</v>
      </c>
      <c r="D56" s="405">
        <v>200</v>
      </c>
      <c r="E56" s="405">
        <v>80</v>
      </c>
      <c r="F56" s="405">
        <v>180</v>
      </c>
      <c r="G56" s="405">
        <v>70</v>
      </c>
      <c r="H56" s="40">
        <v>150</v>
      </c>
      <c r="I56" s="405">
        <v>300</v>
      </c>
      <c r="J56" s="405">
        <v>400</v>
      </c>
      <c r="K56" s="405">
        <v>300</v>
      </c>
      <c r="L56" s="405">
        <v>400</v>
      </c>
      <c r="M56" s="405">
        <v>150</v>
      </c>
      <c r="N56" s="40">
        <v>300</v>
      </c>
    </row>
    <row r="57" spans="1:14" s="414" customFormat="1" ht="30">
      <c r="A57" s="545" t="s">
        <v>337</v>
      </c>
      <c r="B57" s="423" t="s">
        <v>665</v>
      </c>
      <c r="C57" s="408">
        <v>120</v>
      </c>
      <c r="D57" s="405">
        <v>180</v>
      </c>
      <c r="E57" s="405">
        <v>80</v>
      </c>
      <c r="F57" s="405">
        <v>120</v>
      </c>
      <c r="G57" s="405">
        <v>50</v>
      </c>
      <c r="H57" s="40">
        <v>120</v>
      </c>
      <c r="I57" s="405">
        <v>250</v>
      </c>
      <c r="J57" s="405">
        <v>300</v>
      </c>
      <c r="K57" s="405">
        <v>200</v>
      </c>
      <c r="L57" s="405">
        <v>300</v>
      </c>
      <c r="M57" s="405">
        <v>100</v>
      </c>
      <c r="N57" s="40">
        <v>180</v>
      </c>
    </row>
    <row r="58" spans="1:14" s="414" customFormat="1" ht="45">
      <c r="A58" s="545" t="s">
        <v>337</v>
      </c>
      <c r="B58" s="423" t="s">
        <v>666</v>
      </c>
      <c r="C58" s="408">
        <v>120</v>
      </c>
      <c r="D58" s="405">
        <v>180</v>
      </c>
      <c r="E58" s="405">
        <v>80</v>
      </c>
      <c r="F58" s="405">
        <v>120</v>
      </c>
      <c r="G58" s="405">
        <v>50</v>
      </c>
      <c r="H58" s="40">
        <v>120</v>
      </c>
      <c r="I58" s="405">
        <v>250</v>
      </c>
      <c r="J58" s="405">
        <v>300</v>
      </c>
      <c r="K58" s="405">
        <v>200</v>
      </c>
      <c r="L58" s="405">
        <v>300</v>
      </c>
      <c r="M58" s="405">
        <v>100</v>
      </c>
      <c r="N58" s="40">
        <v>180</v>
      </c>
    </row>
    <row r="59" spans="1:14" s="414" customFormat="1" ht="45">
      <c r="A59" s="545" t="s">
        <v>337</v>
      </c>
      <c r="B59" s="423" t="s">
        <v>340</v>
      </c>
      <c r="C59" s="408">
        <v>140</v>
      </c>
      <c r="D59" s="405">
        <v>200</v>
      </c>
      <c r="E59" s="405">
        <v>80</v>
      </c>
      <c r="F59" s="405">
        <v>180</v>
      </c>
      <c r="G59" s="405">
        <v>70</v>
      </c>
      <c r="H59" s="40">
        <v>150</v>
      </c>
      <c r="I59" s="405">
        <v>300</v>
      </c>
      <c r="J59" s="405">
        <v>400</v>
      </c>
      <c r="K59" s="405">
        <v>300</v>
      </c>
      <c r="L59" s="405">
        <v>400</v>
      </c>
      <c r="M59" s="405">
        <v>150</v>
      </c>
      <c r="N59" s="40">
        <v>300</v>
      </c>
    </row>
    <row r="60" spans="1:14" s="414" customFormat="1">
      <c r="A60" s="439" t="s">
        <v>343</v>
      </c>
      <c r="B60" s="423" t="s">
        <v>341</v>
      </c>
      <c r="C60" s="408">
        <v>100</v>
      </c>
      <c r="D60" s="405">
        <v>160</v>
      </c>
      <c r="E60" s="405">
        <v>100</v>
      </c>
      <c r="F60" s="405">
        <v>160</v>
      </c>
      <c r="G60" s="405">
        <v>70</v>
      </c>
      <c r="H60" s="40">
        <v>150</v>
      </c>
      <c r="I60" s="405">
        <v>170</v>
      </c>
      <c r="J60" s="405">
        <v>300</v>
      </c>
      <c r="K60" s="405">
        <v>120</v>
      </c>
      <c r="L60" s="405">
        <v>180</v>
      </c>
      <c r="M60" s="405">
        <v>80</v>
      </c>
      <c r="N60" s="40">
        <v>150</v>
      </c>
    </row>
    <row r="61" spans="1:14" s="414" customFormat="1">
      <c r="A61" s="545" t="s">
        <v>343</v>
      </c>
      <c r="B61" s="423" t="s">
        <v>373</v>
      </c>
      <c r="C61" s="408">
        <v>100</v>
      </c>
      <c r="D61" s="405">
        <v>160</v>
      </c>
      <c r="E61" s="405">
        <v>100</v>
      </c>
      <c r="F61" s="405">
        <v>160</v>
      </c>
      <c r="G61" s="405">
        <v>70</v>
      </c>
      <c r="H61" s="40">
        <v>150</v>
      </c>
      <c r="I61" s="405">
        <v>200</v>
      </c>
      <c r="J61" s="405">
        <v>400</v>
      </c>
      <c r="K61" s="405">
        <v>150</v>
      </c>
      <c r="L61" s="405">
        <v>220</v>
      </c>
      <c r="M61" s="405">
        <v>100</v>
      </c>
      <c r="N61" s="40">
        <v>150</v>
      </c>
    </row>
    <row r="62" spans="1:14" s="414" customFormat="1">
      <c r="A62" s="545" t="s">
        <v>343</v>
      </c>
      <c r="B62" s="423" t="s">
        <v>342</v>
      </c>
      <c r="C62" s="408">
        <v>110</v>
      </c>
      <c r="D62" s="405">
        <v>160</v>
      </c>
      <c r="E62" s="405">
        <v>110</v>
      </c>
      <c r="F62" s="405">
        <v>170</v>
      </c>
      <c r="G62" s="405">
        <v>70</v>
      </c>
      <c r="H62" s="40">
        <v>160</v>
      </c>
      <c r="I62" s="405">
        <v>220</v>
      </c>
      <c r="J62" s="405">
        <v>400</v>
      </c>
      <c r="K62" s="405">
        <v>170</v>
      </c>
      <c r="L62" s="405">
        <v>240</v>
      </c>
      <c r="M62" s="405">
        <v>100</v>
      </c>
      <c r="N62" s="40">
        <v>170</v>
      </c>
    </row>
    <row r="63" spans="1:14" s="414" customFormat="1">
      <c r="A63" s="545" t="s">
        <v>343</v>
      </c>
      <c r="B63" s="423" t="s">
        <v>667</v>
      </c>
      <c r="C63" s="408">
        <v>100</v>
      </c>
      <c r="D63" s="405">
        <v>160</v>
      </c>
      <c r="E63" s="405">
        <v>100</v>
      </c>
      <c r="F63" s="405">
        <v>160</v>
      </c>
      <c r="G63" s="405">
        <v>70</v>
      </c>
      <c r="H63" s="40">
        <v>150</v>
      </c>
      <c r="I63" s="405">
        <v>250</v>
      </c>
      <c r="J63" s="405">
        <v>450</v>
      </c>
      <c r="K63" s="405">
        <v>20</v>
      </c>
      <c r="L63" s="405">
        <v>270</v>
      </c>
      <c r="M63" s="405">
        <v>150</v>
      </c>
      <c r="N63" s="40">
        <v>200</v>
      </c>
    </row>
    <row r="64" spans="1:14" s="414" customFormat="1">
      <c r="A64" s="545" t="s">
        <v>343</v>
      </c>
      <c r="B64" s="423" t="s">
        <v>668</v>
      </c>
      <c r="C64" s="408">
        <v>120</v>
      </c>
      <c r="D64" s="405">
        <v>180</v>
      </c>
      <c r="E64" s="405">
        <v>80</v>
      </c>
      <c r="F64" s="405">
        <v>120</v>
      </c>
      <c r="G64" s="405">
        <v>50</v>
      </c>
      <c r="H64" s="40">
        <v>120</v>
      </c>
      <c r="I64" s="405">
        <v>250</v>
      </c>
      <c r="J64" s="405">
        <v>300</v>
      </c>
      <c r="K64" s="405">
        <v>200</v>
      </c>
      <c r="L64" s="405">
        <v>300</v>
      </c>
      <c r="M64" s="405">
        <v>100</v>
      </c>
      <c r="N64" s="40">
        <v>180</v>
      </c>
    </row>
    <row r="65" spans="1:14" s="414" customFormat="1">
      <c r="A65" s="545" t="s">
        <v>343</v>
      </c>
      <c r="B65" s="423" t="s">
        <v>374</v>
      </c>
      <c r="C65" s="408">
        <v>120</v>
      </c>
      <c r="D65" s="405">
        <v>160</v>
      </c>
      <c r="E65" s="405">
        <v>120</v>
      </c>
      <c r="F65" s="405">
        <v>180</v>
      </c>
      <c r="G65" s="405">
        <v>70</v>
      </c>
      <c r="H65" s="40">
        <v>170</v>
      </c>
      <c r="I65" s="405">
        <v>180</v>
      </c>
      <c r="J65" s="405">
        <v>300</v>
      </c>
      <c r="K65" s="405">
        <v>130</v>
      </c>
      <c r="L65" s="405">
        <v>190</v>
      </c>
      <c r="M65" s="405">
        <v>80</v>
      </c>
      <c r="N65" s="40">
        <v>160</v>
      </c>
    </row>
    <row r="66" spans="1:14" s="414" customFormat="1">
      <c r="A66" s="545" t="s">
        <v>343</v>
      </c>
      <c r="B66" s="423" t="s">
        <v>669</v>
      </c>
      <c r="C66" s="408">
        <v>120</v>
      </c>
      <c r="D66" s="405">
        <v>160</v>
      </c>
      <c r="E66" s="405">
        <v>120</v>
      </c>
      <c r="F66" s="405">
        <v>180</v>
      </c>
      <c r="G66" s="405">
        <v>70</v>
      </c>
      <c r="H66" s="40">
        <v>170</v>
      </c>
      <c r="I66" s="405">
        <v>260</v>
      </c>
      <c r="J66" s="405">
        <v>450</v>
      </c>
      <c r="K66" s="405">
        <v>210</v>
      </c>
      <c r="L66" s="405">
        <v>280</v>
      </c>
      <c r="M66" s="405">
        <v>150</v>
      </c>
      <c r="N66" s="40">
        <v>210</v>
      </c>
    </row>
    <row r="67" spans="1:14" s="414" customFormat="1">
      <c r="A67" s="439" t="s">
        <v>658</v>
      </c>
      <c r="B67" s="423" t="s">
        <v>344</v>
      </c>
      <c r="C67" s="408">
        <v>140</v>
      </c>
      <c r="D67" s="405">
        <v>200</v>
      </c>
      <c r="E67" s="405">
        <v>80</v>
      </c>
      <c r="F67" s="405">
        <v>180</v>
      </c>
      <c r="G67" s="405">
        <v>70</v>
      </c>
      <c r="H67" s="40">
        <v>150</v>
      </c>
      <c r="I67" s="405">
        <v>300</v>
      </c>
      <c r="J67" s="405">
        <v>450</v>
      </c>
      <c r="K67" s="405">
        <v>300</v>
      </c>
      <c r="L67" s="405">
        <v>400</v>
      </c>
      <c r="M67" s="405">
        <v>150</v>
      </c>
      <c r="N67" s="40">
        <v>300</v>
      </c>
    </row>
    <row r="68" spans="1:14" s="414" customFormat="1">
      <c r="A68" s="545" t="s">
        <v>658</v>
      </c>
      <c r="B68" s="423" t="s">
        <v>345</v>
      </c>
      <c r="C68" s="408">
        <v>120</v>
      </c>
      <c r="D68" s="405">
        <v>180</v>
      </c>
      <c r="E68" s="405">
        <v>80</v>
      </c>
      <c r="F68" s="405">
        <v>120</v>
      </c>
      <c r="G68" s="405">
        <v>50</v>
      </c>
      <c r="H68" s="40">
        <v>120</v>
      </c>
      <c r="I68" s="405">
        <v>250</v>
      </c>
      <c r="J68" s="405">
        <v>300</v>
      </c>
      <c r="K68" s="405">
        <v>200</v>
      </c>
      <c r="L68" s="405">
        <v>300</v>
      </c>
      <c r="M68" s="405">
        <v>100</v>
      </c>
      <c r="N68" s="40">
        <v>180</v>
      </c>
    </row>
    <row r="69" spans="1:14" s="414" customFormat="1">
      <c r="A69" s="545" t="s">
        <v>658</v>
      </c>
      <c r="B69" s="423" t="s">
        <v>670</v>
      </c>
      <c r="C69" s="408">
        <v>80</v>
      </c>
      <c r="D69" s="405">
        <v>160</v>
      </c>
      <c r="E69" s="405">
        <v>80</v>
      </c>
      <c r="F69" s="405">
        <v>130</v>
      </c>
      <c r="G69" s="405">
        <v>70</v>
      </c>
      <c r="H69" s="40">
        <v>120</v>
      </c>
      <c r="I69" s="405">
        <v>200</v>
      </c>
      <c r="J69" s="405">
        <v>300</v>
      </c>
      <c r="K69" s="405">
        <v>150</v>
      </c>
      <c r="L69" s="405">
        <v>220</v>
      </c>
      <c r="M69" s="405">
        <v>80</v>
      </c>
      <c r="N69" s="40">
        <v>150</v>
      </c>
    </row>
    <row r="70" spans="1:14" s="414" customFormat="1">
      <c r="A70" s="545" t="s">
        <v>658</v>
      </c>
      <c r="B70" s="423" t="s">
        <v>328</v>
      </c>
      <c r="C70" s="408">
        <v>100</v>
      </c>
      <c r="D70" s="405">
        <v>160</v>
      </c>
      <c r="E70" s="405">
        <v>100</v>
      </c>
      <c r="F70" s="405">
        <v>160</v>
      </c>
      <c r="G70" s="405">
        <v>70</v>
      </c>
      <c r="H70" s="40">
        <v>150</v>
      </c>
      <c r="I70" s="405">
        <v>170</v>
      </c>
      <c r="J70" s="405">
        <v>300</v>
      </c>
      <c r="K70" s="405">
        <v>120</v>
      </c>
      <c r="L70" s="405">
        <v>180</v>
      </c>
      <c r="M70" s="405">
        <v>80</v>
      </c>
      <c r="N70" s="40">
        <v>150</v>
      </c>
    </row>
    <row r="71" spans="1:14" s="414" customFormat="1">
      <c r="A71" s="545" t="s">
        <v>658</v>
      </c>
      <c r="B71" s="423" t="s">
        <v>671</v>
      </c>
      <c r="C71" s="408">
        <v>60</v>
      </c>
      <c r="D71" s="405">
        <v>160</v>
      </c>
      <c r="E71" s="405">
        <v>60</v>
      </c>
      <c r="F71" s="405">
        <v>160</v>
      </c>
      <c r="G71" s="405">
        <v>40</v>
      </c>
      <c r="H71" s="40">
        <v>130</v>
      </c>
      <c r="I71" s="405">
        <v>150</v>
      </c>
      <c r="J71" s="405">
        <v>200</v>
      </c>
      <c r="K71" s="405">
        <v>70</v>
      </c>
      <c r="L71" s="405">
        <v>120</v>
      </c>
      <c r="M71" s="405">
        <v>60</v>
      </c>
      <c r="N71" s="40">
        <v>100</v>
      </c>
    </row>
    <row r="72" spans="1:14" s="414" customFormat="1">
      <c r="A72" s="545" t="s">
        <v>658</v>
      </c>
      <c r="B72" s="423" t="s">
        <v>672</v>
      </c>
      <c r="C72" s="408">
        <v>100</v>
      </c>
      <c r="D72" s="405">
        <v>160</v>
      </c>
      <c r="E72" s="405">
        <v>100</v>
      </c>
      <c r="F72" s="405">
        <v>160</v>
      </c>
      <c r="G72" s="405">
        <v>70</v>
      </c>
      <c r="H72" s="40">
        <v>150</v>
      </c>
      <c r="I72" s="405">
        <v>250</v>
      </c>
      <c r="J72" s="405">
        <v>450</v>
      </c>
      <c r="K72" s="405">
        <v>200</v>
      </c>
      <c r="L72" s="405">
        <v>290</v>
      </c>
      <c r="M72" s="405">
        <v>150</v>
      </c>
      <c r="N72" s="40">
        <v>200</v>
      </c>
    </row>
    <row r="73" spans="1:14" s="414" customFormat="1" ht="30">
      <c r="A73" s="439" t="s">
        <v>697</v>
      </c>
      <c r="B73" s="423" t="s">
        <v>346</v>
      </c>
      <c r="C73" s="408">
        <v>140</v>
      </c>
      <c r="D73" s="405">
        <v>200</v>
      </c>
      <c r="E73" s="405">
        <v>80</v>
      </c>
      <c r="F73" s="405">
        <v>180</v>
      </c>
      <c r="G73" s="405">
        <v>70</v>
      </c>
      <c r="H73" s="40">
        <v>150</v>
      </c>
      <c r="I73" s="405">
        <v>300</v>
      </c>
      <c r="J73" s="405">
        <v>400</v>
      </c>
      <c r="K73" s="405">
        <v>300</v>
      </c>
      <c r="L73" s="405">
        <v>400</v>
      </c>
      <c r="M73" s="405">
        <v>150</v>
      </c>
      <c r="N73" s="40">
        <v>300</v>
      </c>
    </row>
    <row r="74" spans="1:14" s="414" customFormat="1" ht="30">
      <c r="A74" s="545" t="s">
        <v>697</v>
      </c>
      <c r="B74" s="423" t="s">
        <v>347</v>
      </c>
      <c r="C74" s="408">
        <v>120</v>
      </c>
      <c r="D74" s="405">
        <v>180</v>
      </c>
      <c r="E74" s="405">
        <v>80</v>
      </c>
      <c r="F74" s="405">
        <v>120</v>
      </c>
      <c r="G74" s="405">
        <v>50</v>
      </c>
      <c r="H74" s="40">
        <v>120</v>
      </c>
      <c r="I74" s="405">
        <v>200</v>
      </c>
      <c r="J74" s="405">
        <v>300</v>
      </c>
      <c r="K74" s="405">
        <v>200</v>
      </c>
      <c r="L74" s="405">
        <v>300</v>
      </c>
      <c r="M74" s="405">
        <v>100</v>
      </c>
      <c r="N74" s="40">
        <v>180</v>
      </c>
    </row>
    <row r="75" spans="1:14" s="414" customFormat="1">
      <c r="A75" s="545" t="s">
        <v>697</v>
      </c>
      <c r="B75" s="423" t="s">
        <v>692</v>
      </c>
      <c r="C75" s="408">
        <v>80</v>
      </c>
      <c r="D75" s="405">
        <v>160</v>
      </c>
      <c r="E75" s="405">
        <v>80</v>
      </c>
      <c r="F75" s="405">
        <v>130</v>
      </c>
      <c r="G75" s="405">
        <v>70</v>
      </c>
      <c r="H75" s="40">
        <v>120</v>
      </c>
      <c r="I75" s="405">
        <v>200</v>
      </c>
      <c r="J75" s="405">
        <v>400</v>
      </c>
      <c r="K75" s="405">
        <v>150</v>
      </c>
      <c r="L75" s="405">
        <v>220</v>
      </c>
      <c r="M75" s="405">
        <v>100</v>
      </c>
      <c r="N75" s="40">
        <v>150</v>
      </c>
    </row>
    <row r="76" spans="1:14" s="414" customFormat="1">
      <c r="A76" s="545" t="s">
        <v>697</v>
      </c>
      <c r="B76" s="423" t="s">
        <v>691</v>
      </c>
      <c r="C76" s="408">
        <v>100</v>
      </c>
      <c r="D76" s="405">
        <v>160</v>
      </c>
      <c r="E76" s="405">
        <v>100</v>
      </c>
      <c r="F76" s="405">
        <v>160</v>
      </c>
      <c r="G76" s="405">
        <v>70</v>
      </c>
      <c r="H76" s="40">
        <v>150</v>
      </c>
      <c r="I76" s="405">
        <v>170</v>
      </c>
      <c r="J76" s="405">
        <v>300</v>
      </c>
      <c r="K76" s="405">
        <v>120</v>
      </c>
      <c r="L76" s="405">
        <v>180</v>
      </c>
      <c r="M76" s="405">
        <v>80</v>
      </c>
      <c r="N76" s="40">
        <v>150</v>
      </c>
    </row>
    <row r="77" spans="1:14" s="414" customFormat="1">
      <c r="A77" s="545" t="s">
        <v>697</v>
      </c>
      <c r="B77" s="423" t="s">
        <v>351</v>
      </c>
      <c r="C77" s="408">
        <v>60</v>
      </c>
      <c r="D77" s="405">
        <v>160</v>
      </c>
      <c r="E77" s="405">
        <v>60</v>
      </c>
      <c r="F77" s="405">
        <v>160</v>
      </c>
      <c r="G77" s="405">
        <v>40</v>
      </c>
      <c r="H77" s="40">
        <v>130</v>
      </c>
      <c r="I77" s="405">
        <v>150</v>
      </c>
      <c r="J77" s="405">
        <v>200</v>
      </c>
      <c r="K77" s="405">
        <v>70</v>
      </c>
      <c r="L77" s="405">
        <v>120</v>
      </c>
      <c r="M77" s="405">
        <v>40</v>
      </c>
      <c r="N77" s="40">
        <v>100</v>
      </c>
    </row>
    <row r="78" spans="1:14" s="414" customFormat="1">
      <c r="A78" s="545" t="s">
        <v>697</v>
      </c>
      <c r="B78" s="423" t="s">
        <v>690</v>
      </c>
      <c r="C78" s="408">
        <v>60</v>
      </c>
      <c r="D78" s="405">
        <v>160</v>
      </c>
      <c r="E78" s="405">
        <v>60</v>
      </c>
      <c r="F78" s="405">
        <v>160</v>
      </c>
      <c r="G78" s="405">
        <v>70</v>
      </c>
      <c r="H78" s="40">
        <v>130</v>
      </c>
      <c r="I78" s="405">
        <v>170</v>
      </c>
      <c r="J78" s="405">
        <v>300</v>
      </c>
      <c r="K78" s="405">
        <v>120</v>
      </c>
      <c r="L78" s="405">
        <v>180</v>
      </c>
      <c r="M78" s="405">
        <v>80</v>
      </c>
      <c r="N78" s="40">
        <v>150</v>
      </c>
    </row>
    <row r="79" spans="1:14" s="414" customFormat="1">
      <c r="A79" s="545" t="s">
        <v>697</v>
      </c>
      <c r="B79" s="423" t="s">
        <v>689</v>
      </c>
      <c r="C79" s="408">
        <v>90</v>
      </c>
      <c r="D79" s="405">
        <v>210</v>
      </c>
      <c r="E79" s="405">
        <v>90</v>
      </c>
      <c r="F79" s="405">
        <v>140</v>
      </c>
      <c r="G79" s="405">
        <v>50</v>
      </c>
      <c r="H79" s="40">
        <v>130</v>
      </c>
      <c r="I79" s="405">
        <v>180</v>
      </c>
      <c r="J79" s="405">
        <v>310</v>
      </c>
      <c r="K79" s="405">
        <v>130</v>
      </c>
      <c r="L79" s="405">
        <v>190</v>
      </c>
      <c r="M79" s="405">
        <v>90</v>
      </c>
      <c r="N79" s="40">
        <v>160</v>
      </c>
    </row>
    <row r="80" spans="1:14" s="414" customFormat="1">
      <c r="A80" s="545" t="s">
        <v>697</v>
      </c>
      <c r="B80" s="423" t="s">
        <v>688</v>
      </c>
      <c r="C80" s="408">
        <v>100</v>
      </c>
      <c r="D80" s="405">
        <v>160</v>
      </c>
      <c r="E80" s="405">
        <v>100</v>
      </c>
      <c r="F80" s="405">
        <v>160</v>
      </c>
      <c r="G80" s="405">
        <v>70</v>
      </c>
      <c r="H80" s="40">
        <v>150</v>
      </c>
      <c r="I80" s="405">
        <v>250</v>
      </c>
      <c r="J80" s="405">
        <v>450</v>
      </c>
      <c r="K80" s="405">
        <v>200</v>
      </c>
      <c r="L80" s="405">
        <v>180</v>
      </c>
      <c r="M80" s="405">
        <v>150</v>
      </c>
      <c r="N80" s="40">
        <v>200</v>
      </c>
    </row>
    <row r="81" spans="1:14" s="414" customFormat="1">
      <c r="A81" s="439" t="s">
        <v>348</v>
      </c>
      <c r="B81" s="423" t="s">
        <v>328</v>
      </c>
      <c r="C81" s="408">
        <v>100</v>
      </c>
      <c r="D81" s="405">
        <v>160</v>
      </c>
      <c r="E81" s="405">
        <v>100</v>
      </c>
      <c r="F81" s="405">
        <v>160</v>
      </c>
      <c r="G81" s="405">
        <v>70</v>
      </c>
      <c r="H81" s="40">
        <v>150</v>
      </c>
      <c r="I81" s="405">
        <v>170</v>
      </c>
      <c r="J81" s="405">
        <v>300</v>
      </c>
      <c r="K81" s="405">
        <v>120</v>
      </c>
      <c r="L81" s="405">
        <v>180</v>
      </c>
      <c r="M81" s="405">
        <v>80</v>
      </c>
      <c r="N81" s="40">
        <v>150</v>
      </c>
    </row>
    <row r="82" spans="1:14" s="414" customFormat="1">
      <c r="A82" s="545" t="s">
        <v>348</v>
      </c>
      <c r="B82" s="423" t="s">
        <v>687</v>
      </c>
      <c r="C82" s="408">
        <v>100</v>
      </c>
      <c r="D82" s="405">
        <v>160</v>
      </c>
      <c r="E82" s="405">
        <v>100</v>
      </c>
      <c r="F82" s="405">
        <v>160</v>
      </c>
      <c r="G82" s="405">
        <v>70</v>
      </c>
      <c r="H82" s="40">
        <v>150</v>
      </c>
      <c r="I82" s="405">
        <v>200</v>
      </c>
      <c r="J82" s="405">
        <v>400</v>
      </c>
      <c r="K82" s="405">
        <v>150</v>
      </c>
      <c r="L82" s="405">
        <v>220</v>
      </c>
      <c r="M82" s="405">
        <v>100</v>
      </c>
      <c r="N82" s="40">
        <v>150</v>
      </c>
    </row>
    <row r="83" spans="1:14" s="414" customFormat="1">
      <c r="A83" s="545" t="s">
        <v>348</v>
      </c>
      <c r="B83" s="423" t="s">
        <v>686</v>
      </c>
      <c r="C83" s="408">
        <v>60</v>
      </c>
      <c r="D83" s="405">
        <v>160</v>
      </c>
      <c r="E83" s="405">
        <v>60</v>
      </c>
      <c r="F83" s="405">
        <v>160</v>
      </c>
      <c r="G83" s="405">
        <v>40</v>
      </c>
      <c r="H83" s="40">
        <v>130</v>
      </c>
      <c r="I83" s="405">
        <v>150</v>
      </c>
      <c r="J83" s="405">
        <v>200</v>
      </c>
      <c r="K83" s="405">
        <v>70</v>
      </c>
      <c r="L83" s="405">
        <v>120</v>
      </c>
      <c r="M83" s="405">
        <v>40</v>
      </c>
      <c r="N83" s="40">
        <v>100</v>
      </c>
    </row>
    <row r="84" spans="1:14" s="414" customFormat="1">
      <c r="A84" s="545" t="s">
        <v>348</v>
      </c>
      <c r="B84" s="423" t="s">
        <v>685</v>
      </c>
      <c r="C84" s="408">
        <v>60</v>
      </c>
      <c r="D84" s="405">
        <v>160</v>
      </c>
      <c r="E84" s="405">
        <v>60</v>
      </c>
      <c r="F84" s="405">
        <v>160</v>
      </c>
      <c r="G84" s="405">
        <v>40</v>
      </c>
      <c r="H84" s="40">
        <v>130</v>
      </c>
      <c r="I84" s="405">
        <v>170</v>
      </c>
      <c r="J84" s="405">
        <v>250</v>
      </c>
      <c r="K84" s="405">
        <v>120</v>
      </c>
      <c r="L84" s="405">
        <v>180</v>
      </c>
      <c r="M84" s="405">
        <v>80</v>
      </c>
      <c r="N84" s="40">
        <v>150</v>
      </c>
    </row>
    <row r="85" spans="1:14" s="414" customFormat="1" ht="30">
      <c r="A85" s="545" t="s">
        <v>348</v>
      </c>
      <c r="B85" s="423" t="s">
        <v>346</v>
      </c>
      <c r="C85" s="408">
        <v>140</v>
      </c>
      <c r="D85" s="405">
        <v>200</v>
      </c>
      <c r="E85" s="405">
        <v>80</v>
      </c>
      <c r="F85" s="405">
        <v>180</v>
      </c>
      <c r="G85" s="405">
        <v>70</v>
      </c>
      <c r="H85" s="40">
        <v>150</v>
      </c>
      <c r="I85" s="405">
        <v>300</v>
      </c>
      <c r="J85" s="405">
        <v>400</v>
      </c>
      <c r="K85" s="405">
        <v>30</v>
      </c>
      <c r="L85" s="405">
        <v>400</v>
      </c>
      <c r="M85" s="405">
        <v>150</v>
      </c>
      <c r="N85" s="40">
        <v>300</v>
      </c>
    </row>
    <row r="86" spans="1:14" s="414" customFormat="1" ht="30">
      <c r="A86" s="545" t="s">
        <v>348</v>
      </c>
      <c r="B86" s="423" t="s">
        <v>347</v>
      </c>
      <c r="C86" s="408">
        <v>120</v>
      </c>
      <c r="D86" s="405">
        <v>180</v>
      </c>
      <c r="E86" s="405">
        <v>80</v>
      </c>
      <c r="F86" s="405">
        <v>120</v>
      </c>
      <c r="G86" s="405">
        <v>50</v>
      </c>
      <c r="H86" s="40">
        <v>120</v>
      </c>
      <c r="I86" s="405">
        <v>200</v>
      </c>
      <c r="J86" s="405">
        <v>300</v>
      </c>
      <c r="K86" s="405">
        <v>200</v>
      </c>
      <c r="L86" s="405">
        <v>300</v>
      </c>
      <c r="M86" s="405">
        <v>100</v>
      </c>
      <c r="N86" s="40">
        <v>180</v>
      </c>
    </row>
    <row r="87" spans="1:14" s="414" customFormat="1">
      <c r="A87" s="545" t="s">
        <v>348</v>
      </c>
      <c r="B87" s="423" t="s">
        <v>684</v>
      </c>
      <c r="C87" s="408">
        <v>120</v>
      </c>
      <c r="D87" s="405">
        <v>180</v>
      </c>
      <c r="E87" s="405">
        <v>80</v>
      </c>
      <c r="F87" s="405">
        <v>120</v>
      </c>
      <c r="G87" s="405">
        <v>50</v>
      </c>
      <c r="H87" s="40">
        <v>120</v>
      </c>
      <c r="I87" s="405">
        <v>170</v>
      </c>
      <c r="J87" s="405">
        <v>300</v>
      </c>
      <c r="K87" s="405">
        <v>170</v>
      </c>
      <c r="L87" s="405">
        <v>250</v>
      </c>
      <c r="M87" s="405">
        <v>100</v>
      </c>
      <c r="N87" s="40">
        <v>200</v>
      </c>
    </row>
    <row r="88" spans="1:14" s="414" customFormat="1">
      <c r="A88" s="439" t="s">
        <v>464</v>
      </c>
      <c r="B88" s="423" t="s">
        <v>683</v>
      </c>
      <c r="C88" s="408">
        <v>100</v>
      </c>
      <c r="D88" s="405">
        <v>160</v>
      </c>
      <c r="E88" s="405">
        <v>100</v>
      </c>
      <c r="F88" s="405">
        <v>160</v>
      </c>
      <c r="G88" s="405">
        <v>70</v>
      </c>
      <c r="H88" s="40">
        <v>150</v>
      </c>
      <c r="I88" s="405">
        <v>170</v>
      </c>
      <c r="J88" s="405">
        <v>300</v>
      </c>
      <c r="K88" s="405">
        <v>120</v>
      </c>
      <c r="L88" s="405">
        <v>180</v>
      </c>
      <c r="M88" s="405">
        <v>80</v>
      </c>
      <c r="N88" s="40">
        <v>150</v>
      </c>
    </row>
    <row r="89" spans="1:14" s="414" customFormat="1">
      <c r="A89" s="545" t="s">
        <v>464</v>
      </c>
      <c r="B89" s="423" t="s">
        <v>682</v>
      </c>
      <c r="C89" s="408">
        <v>120</v>
      </c>
      <c r="D89" s="405">
        <v>180</v>
      </c>
      <c r="E89" s="405">
        <v>120</v>
      </c>
      <c r="F89" s="405">
        <v>180</v>
      </c>
      <c r="G89" s="405">
        <v>90</v>
      </c>
      <c r="H89" s="40">
        <v>170</v>
      </c>
      <c r="I89" s="405">
        <v>180</v>
      </c>
      <c r="J89" s="405">
        <v>310</v>
      </c>
      <c r="K89" s="405">
        <v>130</v>
      </c>
      <c r="L89" s="405">
        <v>180</v>
      </c>
      <c r="M89" s="405">
        <v>90</v>
      </c>
      <c r="N89" s="40">
        <v>160</v>
      </c>
    </row>
    <row r="90" spans="1:14" s="414" customFormat="1">
      <c r="A90" s="545" t="s">
        <v>464</v>
      </c>
      <c r="B90" s="423" t="s">
        <v>681</v>
      </c>
      <c r="C90" s="408">
        <v>140</v>
      </c>
      <c r="D90" s="405">
        <v>200</v>
      </c>
      <c r="E90" s="405">
        <v>80</v>
      </c>
      <c r="F90" s="405">
        <v>180</v>
      </c>
      <c r="G90" s="405">
        <v>70</v>
      </c>
      <c r="H90" s="40">
        <v>150</v>
      </c>
      <c r="I90" s="405">
        <v>350</v>
      </c>
      <c r="J90" s="405">
        <v>450</v>
      </c>
      <c r="K90" s="405">
        <v>300</v>
      </c>
      <c r="L90" s="405">
        <v>400</v>
      </c>
      <c r="M90" s="405">
        <v>150</v>
      </c>
      <c r="N90" s="40">
        <v>300</v>
      </c>
    </row>
    <row r="91" spans="1:14" s="414" customFormat="1">
      <c r="A91" s="546" t="s">
        <v>464</v>
      </c>
      <c r="B91" s="423" t="s">
        <v>680</v>
      </c>
      <c r="C91" s="408">
        <v>80</v>
      </c>
      <c r="D91" s="405">
        <v>200</v>
      </c>
      <c r="E91" s="405">
        <v>80</v>
      </c>
      <c r="F91" s="405">
        <v>180</v>
      </c>
      <c r="G91" s="405">
        <v>40</v>
      </c>
      <c r="H91" s="40">
        <v>150</v>
      </c>
      <c r="I91" s="405">
        <v>160</v>
      </c>
      <c r="J91" s="405">
        <v>200</v>
      </c>
      <c r="K91" s="405">
        <v>80</v>
      </c>
      <c r="L91" s="405">
        <v>160</v>
      </c>
      <c r="M91" s="405">
        <v>40</v>
      </c>
      <c r="N91" s="40">
        <v>110</v>
      </c>
    </row>
    <row r="92" spans="1:14" s="414" customFormat="1">
      <c r="A92" s="545" t="s">
        <v>693</v>
      </c>
      <c r="B92" s="423" t="s">
        <v>349</v>
      </c>
      <c r="C92" s="408">
        <v>100</v>
      </c>
      <c r="D92" s="405">
        <v>160</v>
      </c>
      <c r="E92" s="405">
        <v>100</v>
      </c>
      <c r="F92" s="405">
        <v>160</v>
      </c>
      <c r="G92" s="405">
        <v>70</v>
      </c>
      <c r="H92" s="40">
        <v>150</v>
      </c>
      <c r="I92" s="405">
        <v>170</v>
      </c>
      <c r="J92" s="405">
        <v>300</v>
      </c>
      <c r="K92" s="405">
        <v>120</v>
      </c>
      <c r="L92" s="405">
        <v>180</v>
      </c>
      <c r="M92" s="405">
        <v>80</v>
      </c>
      <c r="N92" s="40">
        <v>150</v>
      </c>
    </row>
    <row r="93" spans="1:14" s="414" customFormat="1">
      <c r="A93" s="545" t="s">
        <v>693</v>
      </c>
      <c r="B93" s="423" t="s">
        <v>350</v>
      </c>
      <c r="C93" s="408">
        <v>140</v>
      </c>
      <c r="D93" s="405">
        <v>200</v>
      </c>
      <c r="E93" s="405">
        <v>80</v>
      </c>
      <c r="F93" s="405">
        <v>180</v>
      </c>
      <c r="G93" s="405">
        <v>70</v>
      </c>
      <c r="H93" s="40">
        <v>150</v>
      </c>
      <c r="I93" s="405">
        <v>250</v>
      </c>
      <c r="J93" s="405">
        <v>300</v>
      </c>
      <c r="K93" s="405">
        <v>200</v>
      </c>
      <c r="L93" s="405">
        <v>300</v>
      </c>
      <c r="M93" s="405">
        <v>100</v>
      </c>
      <c r="N93" s="40">
        <v>180</v>
      </c>
    </row>
    <row r="94" spans="1:14" s="414" customFormat="1">
      <c r="A94" s="545" t="s">
        <v>693</v>
      </c>
      <c r="B94" s="423" t="s">
        <v>351</v>
      </c>
      <c r="C94" s="408">
        <v>60</v>
      </c>
      <c r="D94" s="405">
        <v>160</v>
      </c>
      <c r="E94" s="405">
        <v>60</v>
      </c>
      <c r="F94" s="405">
        <v>160</v>
      </c>
      <c r="G94" s="405">
        <v>40</v>
      </c>
      <c r="H94" s="40">
        <v>130</v>
      </c>
      <c r="I94" s="405">
        <v>160</v>
      </c>
      <c r="J94" s="405">
        <v>200</v>
      </c>
      <c r="K94" s="405">
        <v>90</v>
      </c>
      <c r="L94" s="405">
        <v>160</v>
      </c>
      <c r="M94" s="405">
        <v>50</v>
      </c>
      <c r="N94" s="40">
        <v>110</v>
      </c>
    </row>
    <row r="95" spans="1:14" s="414" customFormat="1">
      <c r="A95" s="545" t="s">
        <v>693</v>
      </c>
      <c r="B95" s="423" t="s">
        <v>352</v>
      </c>
      <c r="C95" s="408">
        <v>140</v>
      </c>
      <c r="D95" s="405">
        <v>160</v>
      </c>
      <c r="E95" s="405">
        <v>80</v>
      </c>
      <c r="F95" s="405">
        <v>180</v>
      </c>
      <c r="G95" s="405">
        <v>70</v>
      </c>
      <c r="H95" s="40">
        <v>150</v>
      </c>
      <c r="I95" s="405">
        <v>250</v>
      </c>
      <c r="J95" s="405">
        <v>450</v>
      </c>
      <c r="K95" s="405">
        <v>200</v>
      </c>
      <c r="L95" s="405">
        <v>270</v>
      </c>
      <c r="M95" s="405">
        <v>150</v>
      </c>
      <c r="N95" s="40">
        <v>200</v>
      </c>
    </row>
    <row r="96" spans="1:14" s="414" customFormat="1">
      <c r="A96" s="439" t="s">
        <v>698</v>
      </c>
      <c r="B96" s="423" t="s">
        <v>353</v>
      </c>
      <c r="C96" s="408">
        <v>100</v>
      </c>
      <c r="D96" s="405">
        <v>160</v>
      </c>
      <c r="E96" s="405">
        <v>100</v>
      </c>
      <c r="F96" s="405">
        <v>160</v>
      </c>
      <c r="G96" s="405">
        <v>70</v>
      </c>
      <c r="H96" s="40">
        <v>150</v>
      </c>
      <c r="I96" s="405">
        <v>170</v>
      </c>
      <c r="J96" s="405">
        <v>300</v>
      </c>
      <c r="K96" s="405">
        <v>120</v>
      </c>
      <c r="L96" s="405">
        <v>180</v>
      </c>
      <c r="M96" s="405">
        <v>80</v>
      </c>
      <c r="N96" s="40">
        <v>150</v>
      </c>
    </row>
    <row r="97" spans="1:14" s="414" customFormat="1">
      <c r="A97" s="545" t="s">
        <v>698</v>
      </c>
      <c r="B97" s="423" t="s">
        <v>354</v>
      </c>
      <c r="C97" s="408">
        <v>120</v>
      </c>
      <c r="D97" s="405">
        <v>180</v>
      </c>
      <c r="E97" s="405">
        <v>120</v>
      </c>
      <c r="F97" s="405">
        <v>180</v>
      </c>
      <c r="G97" s="405">
        <v>90</v>
      </c>
      <c r="H97" s="40">
        <v>170</v>
      </c>
      <c r="I97" s="405">
        <v>190</v>
      </c>
      <c r="J97" s="405">
        <v>320</v>
      </c>
      <c r="K97" s="405">
        <v>140</v>
      </c>
      <c r="L97" s="405">
        <v>200</v>
      </c>
      <c r="M97" s="405">
        <v>100</v>
      </c>
      <c r="N97" s="40">
        <v>170</v>
      </c>
    </row>
    <row r="98" spans="1:14" s="414" customFormat="1">
      <c r="A98" s="545" t="s">
        <v>698</v>
      </c>
      <c r="B98" s="423" t="s">
        <v>351</v>
      </c>
      <c r="C98" s="408">
        <v>60</v>
      </c>
      <c r="D98" s="405">
        <v>160</v>
      </c>
      <c r="E98" s="405">
        <v>60</v>
      </c>
      <c r="F98" s="405">
        <v>160</v>
      </c>
      <c r="G98" s="405">
        <v>40</v>
      </c>
      <c r="H98" s="40">
        <v>130</v>
      </c>
      <c r="I98" s="405">
        <v>100</v>
      </c>
      <c r="J98" s="405">
        <v>150</v>
      </c>
      <c r="K98" s="405">
        <v>70</v>
      </c>
      <c r="L98" s="405">
        <v>100</v>
      </c>
      <c r="M98" s="405">
        <v>50</v>
      </c>
      <c r="N98" s="40">
        <v>100</v>
      </c>
    </row>
    <row r="99" spans="1:14" s="414" customFormat="1">
      <c r="A99" s="545" t="s">
        <v>698</v>
      </c>
      <c r="B99" s="423" t="s">
        <v>679</v>
      </c>
      <c r="C99" s="408">
        <v>120</v>
      </c>
      <c r="D99" s="405">
        <v>180</v>
      </c>
      <c r="E99" s="405">
        <v>80</v>
      </c>
      <c r="F99" s="405">
        <v>120</v>
      </c>
      <c r="G99" s="405">
        <v>50</v>
      </c>
      <c r="H99" s="40">
        <v>120</v>
      </c>
      <c r="I99" s="405">
        <v>250</v>
      </c>
      <c r="J99" s="405">
        <v>300</v>
      </c>
      <c r="K99" s="405">
        <v>200</v>
      </c>
      <c r="L99" s="405">
        <v>300</v>
      </c>
      <c r="M99" s="405">
        <v>100</v>
      </c>
      <c r="N99" s="40">
        <v>180</v>
      </c>
    </row>
    <row r="100" spans="1:14" s="414" customFormat="1">
      <c r="A100" s="545" t="s">
        <v>698</v>
      </c>
      <c r="B100" s="423" t="s">
        <v>344</v>
      </c>
      <c r="C100" s="408">
        <v>140</v>
      </c>
      <c r="D100" s="405">
        <v>200</v>
      </c>
      <c r="E100" s="405">
        <v>80</v>
      </c>
      <c r="F100" s="405">
        <v>180</v>
      </c>
      <c r="G100" s="405">
        <v>70</v>
      </c>
      <c r="H100" s="40">
        <v>150</v>
      </c>
      <c r="I100" s="405">
        <v>400</v>
      </c>
      <c r="J100" s="405">
        <v>450</v>
      </c>
      <c r="K100" s="405">
        <v>300</v>
      </c>
      <c r="L100" s="405">
        <v>400</v>
      </c>
      <c r="M100" s="405">
        <v>150</v>
      </c>
      <c r="N100" s="40">
        <v>300</v>
      </c>
    </row>
    <row r="101" spans="1:14" s="414" customFormat="1">
      <c r="A101" s="439" t="s">
        <v>699</v>
      </c>
      <c r="B101" s="423" t="s">
        <v>355</v>
      </c>
      <c r="C101" s="408">
        <v>140</v>
      </c>
      <c r="D101" s="405">
        <v>200</v>
      </c>
      <c r="E101" s="405">
        <v>80</v>
      </c>
      <c r="F101" s="405">
        <v>150</v>
      </c>
      <c r="G101" s="405">
        <v>60</v>
      </c>
      <c r="H101" s="40">
        <v>130</v>
      </c>
      <c r="I101" s="405">
        <v>450</v>
      </c>
      <c r="J101" s="405">
        <v>500</v>
      </c>
      <c r="K101" s="405">
        <v>250</v>
      </c>
      <c r="L101" s="405">
        <v>450</v>
      </c>
      <c r="M101" s="405">
        <v>150</v>
      </c>
      <c r="N101" s="40">
        <v>300</v>
      </c>
    </row>
    <row r="102" spans="1:14" s="414" customFormat="1" ht="30">
      <c r="A102" s="545" t="s">
        <v>699</v>
      </c>
      <c r="B102" s="423" t="s">
        <v>356</v>
      </c>
      <c r="C102" s="408">
        <v>120</v>
      </c>
      <c r="D102" s="405">
        <v>180</v>
      </c>
      <c r="E102" s="405">
        <v>80</v>
      </c>
      <c r="F102" s="405">
        <v>120</v>
      </c>
      <c r="G102" s="405">
        <v>50</v>
      </c>
      <c r="H102" s="40">
        <v>120</v>
      </c>
      <c r="I102" s="405">
        <v>300</v>
      </c>
      <c r="J102" s="405">
        <v>350</v>
      </c>
      <c r="K102" s="405">
        <v>200</v>
      </c>
      <c r="L102" s="405">
        <v>300</v>
      </c>
      <c r="M102" s="405">
        <v>100</v>
      </c>
      <c r="N102" s="40">
        <v>180</v>
      </c>
    </row>
    <row r="103" spans="1:14" s="414" customFormat="1" ht="30">
      <c r="A103" s="545" t="s">
        <v>699</v>
      </c>
      <c r="B103" s="423" t="s">
        <v>357</v>
      </c>
      <c r="C103" s="408">
        <v>280</v>
      </c>
      <c r="D103" s="405">
        <v>300</v>
      </c>
      <c r="E103" s="405">
        <v>200</v>
      </c>
      <c r="F103" s="405">
        <v>250</v>
      </c>
      <c r="G103" s="405">
        <v>100</v>
      </c>
      <c r="H103" s="40">
        <v>220</v>
      </c>
      <c r="I103" s="405">
        <v>200</v>
      </c>
      <c r="J103" s="405">
        <v>400</v>
      </c>
      <c r="K103" s="405">
        <v>80</v>
      </c>
      <c r="L103" s="405">
        <v>250</v>
      </c>
      <c r="M103" s="405">
        <v>50</v>
      </c>
      <c r="N103" s="40">
        <v>100</v>
      </c>
    </row>
    <row r="104" spans="1:14" s="414" customFormat="1" ht="30">
      <c r="A104" s="545" t="s">
        <v>699</v>
      </c>
      <c r="B104" s="423" t="s">
        <v>358</v>
      </c>
      <c r="C104" s="408">
        <v>280</v>
      </c>
      <c r="D104" s="405">
        <v>400</v>
      </c>
      <c r="E104" s="405">
        <v>250</v>
      </c>
      <c r="F104" s="405">
        <v>300</v>
      </c>
      <c r="G104" s="405">
        <v>200</v>
      </c>
      <c r="H104" s="40">
        <v>260</v>
      </c>
      <c r="I104" s="405">
        <v>200</v>
      </c>
      <c r="J104" s="405">
        <v>400</v>
      </c>
      <c r="K104" s="405">
        <v>80</v>
      </c>
      <c r="L104" s="405">
        <v>250</v>
      </c>
      <c r="M104" s="405">
        <v>50</v>
      </c>
      <c r="N104" s="40">
        <v>100</v>
      </c>
    </row>
    <row r="105" spans="1:14" s="414" customFormat="1" ht="30">
      <c r="A105" s="545" t="s">
        <v>699</v>
      </c>
      <c r="B105" s="423" t="s">
        <v>678</v>
      </c>
      <c r="C105" s="408">
        <v>100</v>
      </c>
      <c r="D105" s="405">
        <v>160</v>
      </c>
      <c r="E105" s="405">
        <v>100</v>
      </c>
      <c r="F105" s="405">
        <v>160</v>
      </c>
      <c r="G105" s="405">
        <v>70</v>
      </c>
      <c r="H105" s="40">
        <v>150</v>
      </c>
      <c r="I105" s="405">
        <v>170</v>
      </c>
      <c r="J105" s="405">
        <v>300</v>
      </c>
      <c r="K105" s="405">
        <v>120</v>
      </c>
      <c r="L105" s="405">
        <v>180</v>
      </c>
      <c r="M105" s="405">
        <v>80</v>
      </c>
      <c r="N105" s="40">
        <v>150</v>
      </c>
    </row>
    <row r="106" spans="1:14" s="414" customFormat="1">
      <c r="A106" s="545" t="s">
        <v>699</v>
      </c>
      <c r="B106" s="423" t="s">
        <v>359</v>
      </c>
      <c r="C106" s="408">
        <v>60</v>
      </c>
      <c r="D106" s="405">
        <v>160</v>
      </c>
      <c r="E106" s="405">
        <v>60</v>
      </c>
      <c r="F106" s="405">
        <v>160</v>
      </c>
      <c r="G106" s="405">
        <v>40</v>
      </c>
      <c r="H106" s="40">
        <v>130</v>
      </c>
      <c r="I106" s="405">
        <v>160</v>
      </c>
      <c r="J106" s="405">
        <v>200</v>
      </c>
      <c r="K106" s="405">
        <v>90</v>
      </c>
      <c r="L106" s="405">
        <v>130</v>
      </c>
      <c r="M106" s="405">
        <v>50</v>
      </c>
      <c r="N106" s="40">
        <v>130</v>
      </c>
    </row>
    <row r="107" spans="1:14" s="414" customFormat="1">
      <c r="A107" s="439" t="s">
        <v>360</v>
      </c>
      <c r="B107" s="423" t="s">
        <v>677</v>
      </c>
      <c r="C107" s="408">
        <v>100</v>
      </c>
      <c r="D107" s="405">
        <v>160</v>
      </c>
      <c r="E107" s="405">
        <v>100</v>
      </c>
      <c r="F107" s="405">
        <v>160</v>
      </c>
      <c r="G107" s="405">
        <v>70</v>
      </c>
      <c r="H107" s="40">
        <v>150</v>
      </c>
      <c r="I107" s="405">
        <v>170</v>
      </c>
      <c r="J107" s="405">
        <v>300</v>
      </c>
      <c r="K107" s="405">
        <v>120</v>
      </c>
      <c r="L107" s="405">
        <v>180</v>
      </c>
      <c r="M107" s="405">
        <v>80</v>
      </c>
      <c r="N107" s="40">
        <v>150</v>
      </c>
    </row>
    <row r="108" spans="1:14" s="414" customFormat="1" ht="45">
      <c r="A108" s="545" t="s">
        <v>360</v>
      </c>
      <c r="B108" s="423" t="s">
        <v>361</v>
      </c>
      <c r="C108" s="408">
        <v>120</v>
      </c>
      <c r="D108" s="405">
        <v>180</v>
      </c>
      <c r="E108" s="405">
        <v>80</v>
      </c>
      <c r="F108" s="405">
        <v>150</v>
      </c>
      <c r="G108" s="405">
        <v>50</v>
      </c>
      <c r="H108" s="40">
        <v>130</v>
      </c>
      <c r="I108" s="405">
        <v>250</v>
      </c>
      <c r="J108" s="405">
        <v>300</v>
      </c>
      <c r="K108" s="405">
        <v>200</v>
      </c>
      <c r="L108" s="405">
        <v>300</v>
      </c>
      <c r="M108" s="405">
        <v>100</v>
      </c>
      <c r="N108" s="40">
        <v>180</v>
      </c>
    </row>
    <row r="109" spans="1:14" s="414" customFormat="1" ht="45">
      <c r="A109" s="545" t="s">
        <v>360</v>
      </c>
      <c r="B109" s="423" t="s">
        <v>362</v>
      </c>
      <c r="C109" s="408">
        <v>120</v>
      </c>
      <c r="D109" s="405">
        <v>200</v>
      </c>
      <c r="E109" s="405">
        <v>80</v>
      </c>
      <c r="F109" s="405">
        <v>150</v>
      </c>
      <c r="G109" s="405">
        <v>50</v>
      </c>
      <c r="H109" s="40">
        <v>130</v>
      </c>
      <c r="I109" s="405">
        <v>350</v>
      </c>
      <c r="J109" s="405">
        <v>450</v>
      </c>
      <c r="K109" s="405">
        <v>300</v>
      </c>
      <c r="L109" s="405">
        <v>400</v>
      </c>
      <c r="M109" s="405">
        <v>100</v>
      </c>
      <c r="N109" s="40">
        <v>300</v>
      </c>
    </row>
    <row r="110" spans="1:14" s="414" customFormat="1">
      <c r="A110" s="439" t="s">
        <v>696</v>
      </c>
      <c r="B110" s="423" t="s">
        <v>363</v>
      </c>
      <c r="C110" s="408">
        <v>120</v>
      </c>
      <c r="D110" s="405">
        <v>180</v>
      </c>
      <c r="E110" s="405">
        <v>80</v>
      </c>
      <c r="F110" s="405">
        <v>150</v>
      </c>
      <c r="G110" s="405">
        <v>50</v>
      </c>
      <c r="H110" s="40">
        <v>130</v>
      </c>
      <c r="I110" s="405">
        <v>250</v>
      </c>
      <c r="J110" s="405">
        <v>300</v>
      </c>
      <c r="K110" s="405">
        <v>200</v>
      </c>
      <c r="L110" s="405">
        <v>300</v>
      </c>
      <c r="M110" s="405">
        <v>100</v>
      </c>
      <c r="N110" s="40">
        <v>180</v>
      </c>
    </row>
    <row r="111" spans="1:14" s="414" customFormat="1">
      <c r="A111" s="545" t="s">
        <v>696</v>
      </c>
      <c r="B111" s="423" t="s">
        <v>676</v>
      </c>
      <c r="C111" s="408">
        <v>120</v>
      </c>
      <c r="D111" s="405">
        <v>180</v>
      </c>
      <c r="E111" s="405">
        <v>80</v>
      </c>
      <c r="F111" s="405">
        <v>120</v>
      </c>
      <c r="G111" s="405">
        <v>50</v>
      </c>
      <c r="H111" s="40">
        <v>120</v>
      </c>
      <c r="I111" s="405">
        <v>250</v>
      </c>
      <c r="J111" s="405">
        <v>300</v>
      </c>
      <c r="K111" s="405">
        <v>200</v>
      </c>
      <c r="L111" s="405">
        <v>300</v>
      </c>
      <c r="M111" s="405">
        <v>100</v>
      </c>
      <c r="N111" s="40">
        <v>180</v>
      </c>
    </row>
    <row r="112" spans="1:14" s="414" customFormat="1">
      <c r="A112" s="545" t="s">
        <v>696</v>
      </c>
      <c r="B112" s="423" t="s">
        <v>364</v>
      </c>
      <c r="C112" s="408">
        <v>120</v>
      </c>
      <c r="D112" s="405">
        <v>180</v>
      </c>
      <c r="E112" s="405">
        <v>120</v>
      </c>
      <c r="F112" s="405">
        <v>180</v>
      </c>
      <c r="G112" s="405">
        <v>70</v>
      </c>
      <c r="H112" s="40">
        <v>170</v>
      </c>
      <c r="I112" s="405">
        <v>170</v>
      </c>
      <c r="J112" s="405">
        <v>300</v>
      </c>
      <c r="K112" s="405">
        <v>120</v>
      </c>
      <c r="L112" s="405">
        <v>160</v>
      </c>
      <c r="M112" s="405">
        <v>80</v>
      </c>
      <c r="N112" s="40">
        <v>150</v>
      </c>
    </row>
    <row r="113" spans="1:14" s="414" customFormat="1">
      <c r="A113" s="545" t="s">
        <v>696</v>
      </c>
      <c r="B113" s="423" t="s">
        <v>365</v>
      </c>
      <c r="C113" s="408">
        <v>100</v>
      </c>
      <c r="D113" s="405">
        <v>160</v>
      </c>
      <c r="E113" s="405">
        <v>100</v>
      </c>
      <c r="F113" s="405">
        <v>160</v>
      </c>
      <c r="G113" s="405">
        <v>70</v>
      </c>
      <c r="H113" s="40">
        <v>150</v>
      </c>
      <c r="I113" s="405">
        <v>200</v>
      </c>
      <c r="J113" s="405">
        <v>300</v>
      </c>
      <c r="K113" s="405">
        <v>120</v>
      </c>
      <c r="L113" s="405">
        <v>220</v>
      </c>
      <c r="M113" s="405">
        <v>80</v>
      </c>
      <c r="N113" s="40">
        <v>150</v>
      </c>
    </row>
    <row r="114" spans="1:14" s="414" customFormat="1">
      <c r="A114" s="545" t="s">
        <v>696</v>
      </c>
      <c r="B114" s="423" t="s">
        <v>366</v>
      </c>
      <c r="C114" s="408">
        <v>60</v>
      </c>
      <c r="D114" s="405">
        <v>160</v>
      </c>
      <c r="E114" s="405">
        <v>60</v>
      </c>
      <c r="F114" s="405">
        <v>160</v>
      </c>
      <c r="G114" s="405">
        <v>40</v>
      </c>
      <c r="H114" s="40">
        <v>130</v>
      </c>
      <c r="I114" s="405">
        <v>100</v>
      </c>
      <c r="J114" s="405">
        <v>150</v>
      </c>
      <c r="K114" s="405">
        <v>70</v>
      </c>
      <c r="L114" s="405">
        <v>100</v>
      </c>
      <c r="M114" s="405">
        <v>60</v>
      </c>
      <c r="N114" s="40">
        <v>100</v>
      </c>
    </row>
    <row r="115" spans="1:14" s="414" customFormat="1">
      <c r="A115" s="439" t="s">
        <v>695</v>
      </c>
      <c r="B115" s="423" t="s">
        <v>675</v>
      </c>
      <c r="C115" s="408">
        <v>90</v>
      </c>
      <c r="D115" s="405">
        <v>190</v>
      </c>
      <c r="E115" s="405">
        <v>90</v>
      </c>
      <c r="F115" s="405">
        <v>190</v>
      </c>
      <c r="G115" s="405">
        <v>70</v>
      </c>
      <c r="H115" s="40">
        <v>160</v>
      </c>
      <c r="I115" s="405">
        <v>130</v>
      </c>
      <c r="J115" s="405">
        <v>230</v>
      </c>
      <c r="K115" s="405">
        <v>100</v>
      </c>
      <c r="L115" s="405">
        <v>170</v>
      </c>
      <c r="M115" s="405">
        <v>80</v>
      </c>
      <c r="N115" s="40">
        <v>130</v>
      </c>
    </row>
    <row r="116" spans="1:14" s="414" customFormat="1">
      <c r="A116" s="545" t="s">
        <v>695</v>
      </c>
      <c r="B116" s="423" t="s">
        <v>367</v>
      </c>
      <c r="C116" s="408">
        <v>110</v>
      </c>
      <c r="D116" s="405">
        <v>170</v>
      </c>
      <c r="E116" s="405">
        <v>110</v>
      </c>
      <c r="F116" s="405">
        <v>170</v>
      </c>
      <c r="G116" s="405">
        <v>80</v>
      </c>
      <c r="H116" s="40">
        <v>160</v>
      </c>
      <c r="I116" s="405">
        <v>110</v>
      </c>
      <c r="J116" s="405">
        <v>210</v>
      </c>
      <c r="K116" s="405">
        <v>80</v>
      </c>
      <c r="L116" s="405">
        <v>150</v>
      </c>
      <c r="M116" s="405">
        <v>60</v>
      </c>
      <c r="N116" s="40">
        <v>110</v>
      </c>
    </row>
    <row r="117" spans="1:14" s="414" customFormat="1">
      <c r="A117" s="545" t="s">
        <v>695</v>
      </c>
      <c r="B117" s="423" t="s">
        <v>470</v>
      </c>
      <c r="C117" s="408">
        <v>100</v>
      </c>
      <c r="D117" s="405">
        <v>160</v>
      </c>
      <c r="E117" s="405">
        <v>100</v>
      </c>
      <c r="F117" s="405">
        <v>160</v>
      </c>
      <c r="G117" s="405">
        <v>70</v>
      </c>
      <c r="H117" s="40">
        <v>150</v>
      </c>
      <c r="I117" s="405">
        <v>170</v>
      </c>
      <c r="J117" s="405">
        <v>300</v>
      </c>
      <c r="K117" s="405">
        <v>120</v>
      </c>
      <c r="L117" s="405">
        <v>180</v>
      </c>
      <c r="M117" s="405">
        <v>80</v>
      </c>
      <c r="N117" s="40">
        <v>150</v>
      </c>
    </row>
    <row r="118" spans="1:14" s="414" customFormat="1">
      <c r="A118" s="545" t="s">
        <v>695</v>
      </c>
      <c r="B118" s="423" t="s">
        <v>674</v>
      </c>
      <c r="C118" s="408">
        <v>120</v>
      </c>
      <c r="D118" s="405">
        <v>180</v>
      </c>
      <c r="E118" s="405">
        <v>120</v>
      </c>
      <c r="F118" s="405">
        <v>180</v>
      </c>
      <c r="G118" s="405">
        <v>90</v>
      </c>
      <c r="H118" s="40">
        <v>170</v>
      </c>
      <c r="I118" s="405">
        <v>180</v>
      </c>
      <c r="J118" s="405">
        <v>310</v>
      </c>
      <c r="K118" s="405">
        <v>130</v>
      </c>
      <c r="L118" s="405">
        <v>190</v>
      </c>
      <c r="M118" s="405">
        <v>90</v>
      </c>
      <c r="N118" s="40">
        <v>160</v>
      </c>
    </row>
    <row r="119" spans="1:14" s="414" customFormat="1">
      <c r="A119" s="545" t="s">
        <v>695</v>
      </c>
      <c r="B119" s="423" t="s">
        <v>368</v>
      </c>
      <c r="C119" s="408">
        <v>100</v>
      </c>
      <c r="D119" s="405">
        <v>160</v>
      </c>
      <c r="E119" s="405">
        <v>100</v>
      </c>
      <c r="F119" s="405">
        <v>160</v>
      </c>
      <c r="G119" s="405">
        <v>70</v>
      </c>
      <c r="H119" s="40">
        <v>150</v>
      </c>
      <c r="I119" s="405">
        <v>200</v>
      </c>
      <c r="J119" s="405">
        <v>400</v>
      </c>
      <c r="K119" s="405">
        <v>150</v>
      </c>
      <c r="L119" s="405">
        <v>220</v>
      </c>
      <c r="M119" s="405">
        <v>100</v>
      </c>
      <c r="N119" s="40">
        <v>150</v>
      </c>
    </row>
    <row r="120" spans="1:14" s="414" customFormat="1">
      <c r="A120" s="545" t="s">
        <v>695</v>
      </c>
      <c r="B120" s="423" t="s">
        <v>673</v>
      </c>
      <c r="C120" s="408">
        <v>120</v>
      </c>
      <c r="D120" s="405">
        <v>180</v>
      </c>
      <c r="E120" s="405">
        <v>120</v>
      </c>
      <c r="F120" s="405">
        <v>180</v>
      </c>
      <c r="G120" s="405">
        <v>90</v>
      </c>
      <c r="H120" s="40">
        <v>170</v>
      </c>
      <c r="I120" s="405">
        <v>210</v>
      </c>
      <c r="J120" s="405">
        <v>410</v>
      </c>
      <c r="K120" s="405">
        <v>160</v>
      </c>
      <c r="L120" s="405">
        <v>230</v>
      </c>
      <c r="M120" s="405">
        <v>110</v>
      </c>
      <c r="N120" s="40">
        <v>160</v>
      </c>
    </row>
    <row r="121" spans="1:14" s="414" customFormat="1">
      <c r="A121" s="545" t="s">
        <v>695</v>
      </c>
      <c r="B121" s="423" t="s">
        <v>369</v>
      </c>
      <c r="C121" s="408">
        <v>120</v>
      </c>
      <c r="D121" s="405">
        <v>180</v>
      </c>
      <c r="E121" s="405">
        <v>80</v>
      </c>
      <c r="F121" s="405">
        <v>120</v>
      </c>
      <c r="G121" s="405">
        <v>50</v>
      </c>
      <c r="H121" s="40">
        <v>120</v>
      </c>
      <c r="I121" s="405">
        <v>250</v>
      </c>
      <c r="J121" s="405">
        <v>300</v>
      </c>
      <c r="K121" s="405">
        <v>200</v>
      </c>
      <c r="L121" s="405">
        <v>300</v>
      </c>
      <c r="M121" s="405">
        <v>100</v>
      </c>
      <c r="N121" s="40">
        <v>180</v>
      </c>
    </row>
    <row r="122" spans="1:14" s="414" customFormat="1">
      <c r="A122" s="545" t="s">
        <v>695</v>
      </c>
      <c r="B122" s="547" t="s">
        <v>370</v>
      </c>
      <c r="C122" s="59">
        <v>140</v>
      </c>
      <c r="D122" s="405">
        <v>200</v>
      </c>
      <c r="E122" s="405">
        <v>80</v>
      </c>
      <c r="F122" s="405">
        <v>180</v>
      </c>
      <c r="G122" s="405">
        <v>70</v>
      </c>
      <c r="H122" s="40">
        <v>150</v>
      </c>
      <c r="I122" s="405">
        <v>350</v>
      </c>
      <c r="J122" s="405">
        <v>450</v>
      </c>
      <c r="K122" s="405">
        <v>300</v>
      </c>
      <c r="L122" s="405">
        <v>450</v>
      </c>
      <c r="M122" s="405">
        <v>150</v>
      </c>
      <c r="N122" s="40">
        <v>300</v>
      </c>
    </row>
    <row r="123" spans="1:14" s="414" customFormat="1" ht="30">
      <c r="A123" s="550" t="s">
        <v>700</v>
      </c>
      <c r="B123" s="547" t="s">
        <v>371</v>
      </c>
      <c r="C123" s="59">
        <v>60</v>
      </c>
      <c r="D123" s="405">
        <v>120</v>
      </c>
      <c r="E123" s="405">
        <v>60</v>
      </c>
      <c r="F123" s="405">
        <v>100</v>
      </c>
      <c r="G123" s="405">
        <v>40</v>
      </c>
      <c r="H123" s="40">
        <v>120</v>
      </c>
      <c r="I123" s="405">
        <v>150</v>
      </c>
      <c r="J123" s="405">
        <v>200</v>
      </c>
      <c r="K123" s="405">
        <v>80</v>
      </c>
      <c r="L123" s="405">
        <v>120</v>
      </c>
      <c r="M123" s="405">
        <v>40</v>
      </c>
      <c r="N123" s="40">
        <v>120</v>
      </c>
    </row>
    <row r="124" spans="1:14" s="414" customFormat="1" ht="30.75" thickBot="1">
      <c r="A124" s="548" t="s">
        <v>700</v>
      </c>
      <c r="B124" s="547" t="s">
        <v>372</v>
      </c>
      <c r="C124" s="482">
        <v>60</v>
      </c>
      <c r="D124" s="406">
        <v>120</v>
      </c>
      <c r="E124" s="406">
        <v>60</v>
      </c>
      <c r="F124" s="406">
        <v>100</v>
      </c>
      <c r="G124" s="406">
        <v>40</v>
      </c>
      <c r="H124" s="41">
        <v>100</v>
      </c>
      <c r="I124" s="406">
        <v>150</v>
      </c>
      <c r="J124" s="406">
        <v>200</v>
      </c>
      <c r="K124" s="406">
        <v>80</v>
      </c>
      <c r="L124" s="406">
        <v>120</v>
      </c>
      <c r="M124" s="406">
        <v>40</v>
      </c>
      <c r="N124" s="41">
        <v>120</v>
      </c>
    </row>
    <row r="125" spans="1:14" s="414" customFormat="1">
      <c r="B125" s="470"/>
      <c r="C125" s="38"/>
      <c r="D125" s="38"/>
      <c r="E125" s="38"/>
      <c r="F125" s="38"/>
      <c r="G125" s="38"/>
      <c r="H125" s="38"/>
    </row>
    <row r="126" spans="1:14" s="414" customFormat="1">
      <c r="B126" s="470"/>
      <c r="C126" s="38"/>
      <c r="D126" s="38"/>
      <c r="E126" s="38"/>
      <c r="F126" s="38"/>
      <c r="G126" s="38"/>
      <c r="H126" s="38"/>
    </row>
    <row r="127" spans="1:14" s="414" customFormat="1" ht="15.75">
      <c r="A127" s="538" t="s">
        <v>712</v>
      </c>
      <c r="B127" s="470"/>
      <c r="C127" s="38"/>
      <c r="D127" s="38"/>
      <c r="E127" s="38"/>
      <c r="F127" s="38"/>
      <c r="G127" s="38"/>
      <c r="H127" s="38"/>
    </row>
    <row r="128" spans="1:14" s="414" customFormat="1" ht="15.75" thickBot="1">
      <c r="B128" s="470"/>
      <c r="C128" s="38"/>
      <c r="D128" s="38"/>
      <c r="E128" s="38"/>
      <c r="F128" s="38"/>
      <c r="G128" s="38"/>
      <c r="H128" s="38"/>
    </row>
    <row r="129" spans="1:16" s="414" customFormat="1" ht="30.75" thickBot="1">
      <c r="A129" s="502" t="s">
        <v>493</v>
      </c>
      <c r="B129" s="503" t="s">
        <v>491</v>
      </c>
      <c r="C129" s="934" t="s">
        <v>492</v>
      </c>
      <c r="D129" s="934"/>
      <c r="E129" s="934"/>
      <c r="F129" s="934"/>
      <c r="G129" s="934"/>
      <c r="H129" s="934"/>
      <c r="I129" s="935"/>
    </row>
    <row r="130" spans="1:16" s="414" customFormat="1">
      <c r="A130" s="975" t="s">
        <v>318</v>
      </c>
      <c r="B130" s="566">
        <v>0</v>
      </c>
      <c r="C130" s="570">
        <v>2.2000000000000002</v>
      </c>
      <c r="D130" s="571">
        <v>1.5</v>
      </c>
      <c r="E130" s="571">
        <v>1.2</v>
      </c>
      <c r="F130" s="571">
        <v>1</v>
      </c>
      <c r="G130" s="571">
        <v>0.8</v>
      </c>
      <c r="H130" s="571">
        <v>0</v>
      </c>
      <c r="I130" s="48">
        <v>0</v>
      </c>
      <c r="J130" s="422"/>
      <c r="K130" s="422"/>
      <c r="L130" s="422"/>
      <c r="M130" s="422"/>
      <c r="N130" s="422"/>
      <c r="O130" s="422"/>
      <c r="P130" s="422"/>
    </row>
    <row r="131" spans="1:16" s="414" customFormat="1">
      <c r="A131" s="976" t="s">
        <v>318</v>
      </c>
      <c r="B131" s="567">
        <v>1</v>
      </c>
      <c r="C131" s="59">
        <v>3.3</v>
      </c>
      <c r="D131" s="555">
        <v>2</v>
      </c>
      <c r="E131" s="555">
        <v>1.5</v>
      </c>
      <c r="F131" s="555">
        <v>1.2</v>
      </c>
      <c r="G131" s="555">
        <v>1</v>
      </c>
      <c r="H131" s="555">
        <v>0</v>
      </c>
      <c r="I131" s="40">
        <v>0</v>
      </c>
      <c r="J131" s="422"/>
      <c r="K131" s="422"/>
      <c r="L131" s="422"/>
      <c r="M131" s="422"/>
      <c r="N131" s="422"/>
      <c r="O131" s="422"/>
      <c r="P131" s="422"/>
    </row>
    <row r="132" spans="1:16" s="414" customFormat="1" ht="15.75" thickBot="1">
      <c r="A132" s="976" t="s">
        <v>318</v>
      </c>
      <c r="B132" s="568" t="s">
        <v>490</v>
      </c>
      <c r="C132" s="482">
        <v>3.7</v>
      </c>
      <c r="D132" s="556">
        <v>2.7</v>
      </c>
      <c r="E132" s="556">
        <v>2</v>
      </c>
      <c r="F132" s="556">
        <v>1.5</v>
      </c>
      <c r="G132" s="556">
        <v>1.2</v>
      </c>
      <c r="H132" s="556">
        <v>0.8</v>
      </c>
      <c r="I132" s="41">
        <v>0</v>
      </c>
      <c r="J132" s="422"/>
      <c r="K132" s="422"/>
      <c r="L132" s="422"/>
      <c r="M132" s="422"/>
      <c r="N132" s="422"/>
      <c r="O132" s="422"/>
      <c r="P132" s="422"/>
    </row>
    <row r="133" spans="1:16" s="414" customFormat="1">
      <c r="A133" s="975" t="s">
        <v>319</v>
      </c>
      <c r="B133" s="566">
        <v>0</v>
      </c>
      <c r="C133" s="570">
        <v>1.6</v>
      </c>
      <c r="D133" s="571">
        <v>1</v>
      </c>
      <c r="E133" s="571">
        <v>1</v>
      </c>
      <c r="F133" s="571">
        <v>0</v>
      </c>
      <c r="G133" s="571">
        <v>0</v>
      </c>
      <c r="H133" s="571">
        <v>0</v>
      </c>
      <c r="I133" s="48">
        <v>0</v>
      </c>
      <c r="J133" s="422"/>
      <c r="K133" s="422"/>
      <c r="L133" s="422"/>
      <c r="M133" s="422"/>
      <c r="N133" s="422"/>
      <c r="O133" s="422"/>
      <c r="P133" s="422"/>
    </row>
    <row r="134" spans="1:16" s="414" customFormat="1">
      <c r="A134" s="976" t="s">
        <v>319</v>
      </c>
      <c r="B134" s="567">
        <v>1</v>
      </c>
      <c r="C134" s="59">
        <v>1.8</v>
      </c>
      <c r="D134" s="555">
        <v>1.2</v>
      </c>
      <c r="E134" s="555">
        <v>1</v>
      </c>
      <c r="F134" s="555">
        <v>1</v>
      </c>
      <c r="G134" s="555">
        <v>0.8</v>
      </c>
      <c r="H134" s="555">
        <v>0</v>
      </c>
      <c r="I134" s="40">
        <v>0</v>
      </c>
      <c r="J134" s="422"/>
      <c r="K134" s="422"/>
      <c r="L134" s="422"/>
      <c r="M134" s="422"/>
      <c r="N134" s="422"/>
      <c r="O134" s="422"/>
      <c r="P134" s="422"/>
    </row>
    <row r="135" spans="1:16" s="414" customFormat="1" ht="15.75" thickBot="1">
      <c r="A135" s="976" t="s">
        <v>319</v>
      </c>
      <c r="B135" s="568" t="s">
        <v>490</v>
      </c>
      <c r="C135" s="482">
        <v>2</v>
      </c>
      <c r="D135" s="556">
        <v>1.7</v>
      </c>
      <c r="E135" s="556">
        <v>1.5</v>
      </c>
      <c r="F135" s="556">
        <v>1.2</v>
      </c>
      <c r="G135" s="556">
        <v>1</v>
      </c>
      <c r="H135" s="556">
        <v>0.6</v>
      </c>
      <c r="I135" s="41">
        <v>0</v>
      </c>
      <c r="J135" s="422"/>
      <c r="K135" s="422"/>
      <c r="L135" s="422"/>
      <c r="M135" s="422"/>
      <c r="N135" s="422"/>
      <c r="O135" s="422"/>
      <c r="P135" s="422"/>
    </row>
    <row r="136" spans="1:16" s="414" customFormat="1">
      <c r="A136" s="975" t="s">
        <v>300</v>
      </c>
      <c r="B136" s="569">
        <v>0</v>
      </c>
      <c r="C136" s="572">
        <v>1.3</v>
      </c>
      <c r="D136" s="554">
        <v>1</v>
      </c>
      <c r="E136" s="554">
        <v>0.8</v>
      </c>
      <c r="F136" s="554">
        <v>0</v>
      </c>
      <c r="G136" s="554">
        <v>0</v>
      </c>
      <c r="H136" s="554">
        <v>0</v>
      </c>
      <c r="I136" s="39">
        <v>0</v>
      </c>
      <c r="J136" s="422"/>
      <c r="K136" s="422"/>
      <c r="L136" s="422"/>
      <c r="M136" s="422"/>
      <c r="N136" s="422"/>
      <c r="O136" s="422"/>
      <c r="P136" s="422"/>
    </row>
    <row r="137" spans="1:16" s="414" customFormat="1">
      <c r="A137" s="976" t="s">
        <v>300</v>
      </c>
      <c r="B137" s="567">
        <v>1</v>
      </c>
      <c r="C137" s="59">
        <v>1.6</v>
      </c>
      <c r="D137" s="555">
        <v>1</v>
      </c>
      <c r="E137" s="555">
        <v>1</v>
      </c>
      <c r="F137" s="555">
        <v>0</v>
      </c>
      <c r="G137" s="555">
        <v>0</v>
      </c>
      <c r="H137" s="555">
        <v>0</v>
      </c>
      <c r="I137" s="40">
        <v>0</v>
      </c>
      <c r="J137" s="422"/>
      <c r="K137" s="422"/>
      <c r="L137" s="422"/>
      <c r="M137" s="422"/>
      <c r="N137" s="422"/>
      <c r="O137" s="422"/>
      <c r="P137" s="422"/>
    </row>
    <row r="138" spans="1:16" s="414" customFormat="1" ht="15.75" thickBot="1">
      <c r="A138" s="977" t="s">
        <v>300</v>
      </c>
      <c r="B138" s="568" t="s">
        <v>490</v>
      </c>
      <c r="C138" s="482">
        <v>1.6</v>
      </c>
      <c r="D138" s="556">
        <v>1.2</v>
      </c>
      <c r="E138" s="556">
        <v>1</v>
      </c>
      <c r="F138" s="556">
        <v>1</v>
      </c>
      <c r="G138" s="556">
        <v>0.8</v>
      </c>
      <c r="H138" s="556">
        <v>0</v>
      </c>
      <c r="I138" s="41">
        <v>0</v>
      </c>
      <c r="J138" s="422"/>
      <c r="K138" s="422"/>
      <c r="L138" s="422"/>
      <c r="M138" s="422"/>
      <c r="N138" s="422"/>
      <c r="O138" s="422"/>
      <c r="P138" s="422"/>
    </row>
    <row r="139" spans="1:16" s="414" customFormat="1">
      <c r="A139" s="422"/>
      <c r="B139" s="492"/>
      <c r="C139" s="422"/>
      <c r="D139" s="422"/>
      <c r="E139" s="422"/>
      <c r="F139" s="422"/>
      <c r="G139" s="422"/>
      <c r="H139" s="422"/>
      <c r="I139" s="422"/>
      <c r="J139" s="422"/>
      <c r="K139" s="422"/>
      <c r="L139" s="422"/>
      <c r="M139" s="422"/>
      <c r="N139" s="422"/>
      <c r="O139" s="422"/>
      <c r="P139" s="422"/>
    </row>
    <row r="140" spans="1:16" s="414" customFormat="1" ht="15.75">
      <c r="A140" s="538" t="s">
        <v>713</v>
      </c>
      <c r="B140" s="492"/>
      <c r="C140" s="422"/>
      <c r="D140" s="422"/>
      <c r="E140" s="422"/>
      <c r="F140" s="422"/>
      <c r="G140" s="422"/>
      <c r="H140" s="422"/>
      <c r="I140" s="422"/>
      <c r="J140" s="422"/>
      <c r="K140" s="422"/>
      <c r="L140" s="422"/>
      <c r="M140" s="422"/>
      <c r="N140" s="422"/>
      <c r="O140" s="422"/>
      <c r="P140" s="422"/>
    </row>
    <row r="141" spans="1:16" s="414" customFormat="1" ht="15.75">
      <c r="A141" s="538"/>
      <c r="B141" s="492"/>
      <c r="C141" s="422"/>
      <c r="D141" s="422"/>
      <c r="E141" s="422"/>
      <c r="F141" s="422"/>
      <c r="G141" s="422"/>
      <c r="H141" s="422"/>
      <c r="I141" s="422"/>
      <c r="J141" s="422"/>
      <c r="K141" s="422"/>
      <c r="L141" s="422"/>
      <c r="M141" s="422"/>
      <c r="N141" s="422"/>
      <c r="O141" s="422"/>
      <c r="P141" s="422"/>
    </row>
    <row r="142" spans="1:16" s="414" customFormat="1" ht="15.75" thickBot="1">
      <c r="A142" s="422"/>
      <c r="B142" s="492"/>
      <c r="C142" s="422"/>
      <c r="D142" s="422"/>
      <c r="E142" s="422"/>
      <c r="F142" s="422"/>
      <c r="G142" s="422"/>
      <c r="H142" s="422"/>
      <c r="I142" s="422"/>
      <c r="J142" s="422"/>
      <c r="K142" s="422"/>
      <c r="L142" s="422"/>
      <c r="M142" s="422"/>
      <c r="N142" s="422"/>
      <c r="O142" s="422"/>
      <c r="P142" s="422"/>
    </row>
    <row r="143" spans="1:16" s="414" customFormat="1" ht="30.75" thickBot="1">
      <c r="A143" s="575" t="s">
        <v>493</v>
      </c>
      <c r="B143" s="508" t="s">
        <v>491</v>
      </c>
      <c r="C143" s="937" t="s">
        <v>492</v>
      </c>
      <c r="D143" s="937"/>
      <c r="E143" s="937"/>
      <c r="F143" s="937"/>
      <c r="G143" s="937"/>
      <c r="H143" s="937"/>
      <c r="I143" s="938"/>
      <c r="J143" s="422"/>
      <c r="K143" s="891" t="s">
        <v>715</v>
      </c>
      <c r="L143" s="892"/>
      <c r="M143" s="892"/>
      <c r="N143" s="893"/>
      <c r="O143" s="422"/>
      <c r="P143" s="422"/>
    </row>
    <row r="144" spans="1:16" s="414" customFormat="1" ht="15.75" thickBot="1">
      <c r="A144" s="930" t="s">
        <v>318</v>
      </c>
      <c r="B144" s="573">
        <v>0</v>
      </c>
      <c r="C144" s="480">
        <v>1.7</v>
      </c>
      <c r="D144" s="571">
        <v>1.2</v>
      </c>
      <c r="E144" s="571">
        <v>1</v>
      </c>
      <c r="F144" s="571">
        <v>0.8</v>
      </c>
      <c r="G144" s="571">
        <v>0.6</v>
      </c>
      <c r="H144" s="571">
        <v>0</v>
      </c>
      <c r="I144" s="48">
        <v>0</v>
      </c>
      <c r="J144" s="422"/>
      <c r="K144" s="894"/>
      <c r="L144" s="895"/>
      <c r="M144" s="895"/>
      <c r="N144" s="896"/>
      <c r="O144" s="422"/>
      <c r="P144" s="422"/>
    </row>
    <row r="145" spans="1:16" s="414" customFormat="1" ht="15.75" thickBot="1">
      <c r="A145" s="931"/>
      <c r="B145" s="445">
        <v>1</v>
      </c>
      <c r="C145" s="559">
        <v>2</v>
      </c>
      <c r="D145" s="560">
        <v>1.4</v>
      </c>
      <c r="E145" s="560">
        <v>1.2</v>
      </c>
      <c r="F145" s="560">
        <v>1</v>
      </c>
      <c r="G145" s="560">
        <v>0.8</v>
      </c>
      <c r="H145" s="560">
        <v>0</v>
      </c>
      <c r="I145" s="40">
        <v>0</v>
      </c>
      <c r="J145" s="422"/>
      <c r="K145" s="422"/>
      <c r="L145" s="422"/>
      <c r="M145" s="422"/>
      <c r="N145" s="422"/>
      <c r="O145" s="422"/>
      <c r="P145" s="422"/>
    </row>
    <row r="146" spans="1:16" s="414" customFormat="1" ht="15.75" thickBot="1">
      <c r="A146" s="932"/>
      <c r="B146" s="574" t="s">
        <v>490</v>
      </c>
      <c r="C146" s="561">
        <v>2.2999999999999998</v>
      </c>
      <c r="D146" s="562">
        <v>1.5</v>
      </c>
      <c r="E146" s="562">
        <v>1.4</v>
      </c>
      <c r="F146" s="562">
        <v>1.2</v>
      </c>
      <c r="G146" s="562">
        <v>1</v>
      </c>
      <c r="H146" s="562">
        <v>0.8</v>
      </c>
      <c r="I146" s="41">
        <v>0</v>
      </c>
      <c r="J146" s="422"/>
      <c r="K146" s="891" t="s">
        <v>716</v>
      </c>
      <c r="L146" s="892"/>
      <c r="M146" s="892"/>
      <c r="N146" s="893"/>
      <c r="O146" s="422"/>
      <c r="P146" s="422"/>
    </row>
    <row r="147" spans="1:16" s="414" customFormat="1">
      <c r="A147" s="930" t="s">
        <v>319</v>
      </c>
      <c r="B147" s="573">
        <v>0</v>
      </c>
      <c r="C147" s="480">
        <v>1.6</v>
      </c>
      <c r="D147" s="571">
        <v>1.2</v>
      </c>
      <c r="E147" s="571">
        <v>1</v>
      </c>
      <c r="F147" s="571">
        <v>0</v>
      </c>
      <c r="G147" s="571">
        <v>0</v>
      </c>
      <c r="H147" s="571">
        <v>0</v>
      </c>
      <c r="I147" s="48">
        <v>0</v>
      </c>
      <c r="J147" s="422"/>
      <c r="K147" s="897"/>
      <c r="L147" s="898"/>
      <c r="M147" s="898"/>
      <c r="N147" s="899"/>
      <c r="O147" s="422"/>
      <c r="P147" s="422"/>
    </row>
    <row r="148" spans="1:16" s="414" customFormat="1" ht="15.75" thickBot="1">
      <c r="A148" s="931"/>
      <c r="B148" s="445">
        <v>1</v>
      </c>
      <c r="C148" s="559">
        <v>2.2000000000000002</v>
      </c>
      <c r="D148" s="560">
        <v>1.4</v>
      </c>
      <c r="E148" s="560">
        <v>1.2</v>
      </c>
      <c r="F148" s="560">
        <v>1</v>
      </c>
      <c r="G148" s="560">
        <v>0.5</v>
      </c>
      <c r="H148" s="560">
        <v>0</v>
      </c>
      <c r="I148" s="40">
        <v>0</v>
      </c>
      <c r="J148" s="422"/>
      <c r="K148" s="894"/>
      <c r="L148" s="895"/>
      <c r="M148" s="895"/>
      <c r="N148" s="896"/>
      <c r="O148" s="422"/>
      <c r="P148" s="422"/>
    </row>
    <row r="149" spans="1:16" s="414" customFormat="1" ht="15.75" thickBot="1">
      <c r="A149" s="932"/>
      <c r="B149" s="574" t="s">
        <v>490</v>
      </c>
      <c r="C149" s="561">
        <v>2.2000000000000002</v>
      </c>
      <c r="D149" s="562">
        <v>1.6</v>
      </c>
      <c r="E149" s="562">
        <v>1.4</v>
      </c>
      <c r="F149" s="562">
        <v>1.2</v>
      </c>
      <c r="G149" s="562">
        <v>1</v>
      </c>
      <c r="H149" s="562">
        <v>0.8</v>
      </c>
      <c r="I149" s="41">
        <v>0</v>
      </c>
      <c r="J149" s="422"/>
      <c r="K149" s="422"/>
      <c r="L149" s="422"/>
      <c r="M149" s="422"/>
      <c r="N149" s="422"/>
      <c r="O149" s="422"/>
      <c r="P149" s="422"/>
    </row>
    <row r="150" spans="1:16" s="414" customFormat="1">
      <c r="A150" s="933" t="s">
        <v>300</v>
      </c>
      <c r="B150" s="449">
        <v>0</v>
      </c>
      <c r="C150" s="557">
        <v>1.2</v>
      </c>
      <c r="D150" s="558">
        <v>1</v>
      </c>
      <c r="E150" s="558">
        <v>1</v>
      </c>
      <c r="F150" s="558">
        <v>0</v>
      </c>
      <c r="G150" s="558">
        <v>0</v>
      </c>
      <c r="H150" s="558">
        <v>0</v>
      </c>
      <c r="I150" s="39">
        <v>0</v>
      </c>
      <c r="J150" s="422"/>
      <c r="K150" s="422"/>
      <c r="L150" s="422"/>
      <c r="M150" s="422"/>
      <c r="N150" s="422"/>
      <c r="O150" s="422"/>
      <c r="P150" s="422"/>
    </row>
    <row r="151" spans="1:16" s="414" customFormat="1">
      <c r="A151" s="931"/>
      <c r="B151" s="445">
        <v>1</v>
      </c>
      <c r="C151" s="559">
        <v>1.2</v>
      </c>
      <c r="D151" s="560">
        <v>1.1000000000000001</v>
      </c>
      <c r="E151" s="560">
        <v>1</v>
      </c>
      <c r="F151" s="560">
        <v>0</v>
      </c>
      <c r="G151" s="560">
        <v>0</v>
      </c>
      <c r="H151" s="560">
        <v>0</v>
      </c>
      <c r="I151" s="40">
        <v>0</v>
      </c>
      <c r="J151" s="422"/>
      <c r="K151" s="422"/>
      <c r="L151" s="422"/>
      <c r="M151" s="422"/>
      <c r="N151" s="422"/>
      <c r="O151" s="422"/>
      <c r="P151" s="422"/>
    </row>
    <row r="152" spans="1:16" s="414" customFormat="1" ht="15.75" thickBot="1">
      <c r="A152" s="932"/>
      <c r="B152" s="574" t="s">
        <v>490</v>
      </c>
      <c r="C152" s="561">
        <v>1.2</v>
      </c>
      <c r="D152" s="562">
        <v>1.2</v>
      </c>
      <c r="E152" s="562">
        <v>1</v>
      </c>
      <c r="F152" s="562">
        <v>1</v>
      </c>
      <c r="G152" s="562">
        <v>1</v>
      </c>
      <c r="H152" s="562">
        <v>0</v>
      </c>
      <c r="I152" s="41">
        <v>0</v>
      </c>
      <c r="J152" s="422"/>
      <c r="K152" s="422"/>
      <c r="L152" s="422"/>
      <c r="M152" s="422"/>
      <c r="N152" s="422"/>
      <c r="O152" s="422"/>
      <c r="P152" s="422"/>
    </row>
    <row r="153" spans="1:16" s="414" customFormat="1">
      <c r="A153" s="422"/>
      <c r="B153" s="492"/>
      <c r="C153" s="422"/>
      <c r="D153" s="422"/>
      <c r="E153" s="422"/>
      <c r="F153" s="422"/>
      <c r="G153" s="422"/>
      <c r="H153" s="422"/>
      <c r="I153" s="422"/>
      <c r="J153" s="422"/>
      <c r="K153" s="422"/>
      <c r="L153" s="422"/>
      <c r="M153" s="422"/>
      <c r="N153" s="422"/>
      <c r="O153" s="422"/>
      <c r="P153" s="422"/>
    </row>
    <row r="154" spans="1:16" s="414" customFormat="1">
      <c r="A154" s="422"/>
      <c r="B154" s="492"/>
      <c r="C154" s="422"/>
      <c r="D154" s="422"/>
      <c r="E154" s="422"/>
      <c r="F154" s="422"/>
      <c r="G154" s="422"/>
      <c r="H154" s="422"/>
      <c r="I154" s="422"/>
      <c r="J154" s="422"/>
      <c r="K154" s="422"/>
      <c r="L154" s="422"/>
      <c r="M154" s="422"/>
      <c r="N154" s="422"/>
      <c r="O154" s="422"/>
      <c r="P154" s="422"/>
    </row>
    <row r="155" spans="1:16" s="414" customFormat="1" ht="15.75">
      <c r="A155" s="538" t="s">
        <v>714</v>
      </c>
      <c r="B155" s="492"/>
      <c r="C155" s="422"/>
      <c r="D155" s="422"/>
      <c r="E155" s="422"/>
      <c r="F155" s="422"/>
      <c r="G155" s="422"/>
      <c r="H155" s="422"/>
      <c r="I155" s="422"/>
      <c r="J155" s="422"/>
      <c r="K155" s="422"/>
      <c r="L155" s="422"/>
      <c r="M155" s="422"/>
      <c r="N155" s="422"/>
      <c r="O155" s="422"/>
      <c r="P155" s="422"/>
    </row>
    <row r="156" spans="1:16" s="414" customFormat="1" ht="15.75" thickBot="1">
      <c r="A156" s="422"/>
      <c r="B156" s="492"/>
      <c r="C156" s="422"/>
      <c r="D156" s="422"/>
      <c r="E156" s="422"/>
      <c r="F156" s="422"/>
      <c r="G156" s="422"/>
      <c r="H156" s="422"/>
      <c r="I156" s="422"/>
      <c r="J156" s="422"/>
      <c r="K156" s="422"/>
      <c r="L156" s="422"/>
      <c r="M156" s="422"/>
      <c r="N156" s="422"/>
      <c r="O156" s="422"/>
      <c r="P156" s="422"/>
    </row>
    <row r="157" spans="1:16" s="414" customFormat="1" ht="30.75" thickBot="1">
      <c r="A157" s="575" t="s">
        <v>493</v>
      </c>
      <c r="B157" s="508" t="s">
        <v>491</v>
      </c>
      <c r="C157" s="937" t="s">
        <v>492</v>
      </c>
      <c r="D157" s="937"/>
      <c r="E157" s="937"/>
      <c r="F157" s="937"/>
      <c r="G157" s="937"/>
      <c r="H157" s="937"/>
      <c r="I157" s="938"/>
      <c r="J157" s="422"/>
      <c r="K157" s="422"/>
      <c r="L157" s="422"/>
      <c r="M157" s="422"/>
      <c r="N157" s="422"/>
      <c r="O157" s="422"/>
      <c r="P157" s="422"/>
    </row>
    <row r="158" spans="1:16" s="414" customFormat="1">
      <c r="A158" s="930" t="s">
        <v>319</v>
      </c>
      <c r="B158" s="573">
        <v>0</v>
      </c>
      <c r="C158" s="532">
        <v>1</v>
      </c>
      <c r="D158" s="576">
        <v>1</v>
      </c>
      <c r="E158" s="576">
        <v>0.8</v>
      </c>
      <c r="F158" s="576">
        <v>0.6</v>
      </c>
      <c r="G158" s="576">
        <v>0</v>
      </c>
      <c r="H158" s="576">
        <v>0</v>
      </c>
      <c r="I158" s="577">
        <v>0</v>
      </c>
      <c r="J158" s="422"/>
      <c r="K158" s="422"/>
      <c r="L158" s="422"/>
      <c r="M158" s="422"/>
      <c r="N158" s="422"/>
      <c r="O158" s="422"/>
      <c r="P158" s="422"/>
    </row>
    <row r="159" spans="1:16" s="414" customFormat="1">
      <c r="A159" s="931"/>
      <c r="B159" s="445">
        <v>1</v>
      </c>
      <c r="C159" s="563">
        <v>1.5</v>
      </c>
      <c r="D159" s="565">
        <v>1.2</v>
      </c>
      <c r="E159" s="565">
        <v>1</v>
      </c>
      <c r="F159" s="565">
        <v>0.8</v>
      </c>
      <c r="G159" s="565">
        <v>0.6</v>
      </c>
      <c r="H159" s="565">
        <v>0</v>
      </c>
      <c r="I159" s="578">
        <v>0</v>
      </c>
      <c r="J159" s="422"/>
      <c r="K159" s="422"/>
      <c r="L159" s="422"/>
      <c r="M159" s="422"/>
      <c r="N159" s="422"/>
      <c r="O159" s="422"/>
      <c r="P159" s="422"/>
    </row>
    <row r="160" spans="1:16" s="414" customFormat="1" ht="15.75" thickBot="1">
      <c r="A160" s="932"/>
      <c r="B160" s="574" t="s">
        <v>490</v>
      </c>
      <c r="C160" s="564">
        <v>1.5</v>
      </c>
      <c r="D160" s="579">
        <v>1.2</v>
      </c>
      <c r="E160" s="579">
        <v>1</v>
      </c>
      <c r="F160" s="579">
        <v>1</v>
      </c>
      <c r="G160" s="579">
        <v>0.8</v>
      </c>
      <c r="H160" s="579">
        <v>0.4</v>
      </c>
      <c r="I160" s="580">
        <v>0</v>
      </c>
      <c r="J160" s="422"/>
      <c r="K160" s="422"/>
      <c r="L160" s="422"/>
      <c r="M160" s="422"/>
      <c r="N160" s="422"/>
      <c r="O160" s="422"/>
      <c r="P160" s="422"/>
    </row>
    <row r="161" spans="1:16" s="414" customFormat="1">
      <c r="A161" s="422"/>
      <c r="B161" s="492"/>
      <c r="C161" s="422"/>
      <c r="D161" s="422"/>
      <c r="E161" s="422"/>
      <c r="F161" s="422"/>
      <c r="G161" s="422"/>
      <c r="H161" s="422"/>
      <c r="I161" s="422"/>
      <c r="J161" s="422"/>
      <c r="K161" s="422"/>
      <c r="L161" s="422"/>
      <c r="M161" s="422"/>
      <c r="N161" s="422"/>
      <c r="O161" s="422"/>
      <c r="P161" s="422"/>
    </row>
    <row r="162" spans="1:16" s="414" customFormat="1" ht="30" customHeight="1">
      <c r="A162" s="943" t="s">
        <v>649</v>
      </c>
      <c r="B162" s="943"/>
      <c r="C162" s="943"/>
      <c r="D162" s="943"/>
      <c r="E162" s="943"/>
      <c r="F162" s="943"/>
      <c r="G162" s="943"/>
      <c r="H162" s="422"/>
      <c r="I162" s="422"/>
      <c r="J162" s="422"/>
      <c r="K162" s="422"/>
      <c r="L162" s="422"/>
      <c r="M162" s="422"/>
      <c r="N162" s="422"/>
      <c r="O162" s="422"/>
      <c r="P162" s="422"/>
    </row>
    <row r="163" spans="1:16" s="414" customFormat="1" ht="15.75" thickBot="1">
      <c r="A163" s="499"/>
      <c r="B163" s="492"/>
      <c r="C163" s="422"/>
      <c r="D163" s="422"/>
      <c r="E163" s="422"/>
      <c r="F163" s="422"/>
      <c r="G163" s="422"/>
      <c r="H163" s="422"/>
      <c r="I163" s="422"/>
      <c r="J163" s="422"/>
      <c r="K163" s="422"/>
      <c r="L163" s="422"/>
      <c r="M163" s="422"/>
      <c r="N163" s="422"/>
      <c r="O163" s="422"/>
      <c r="P163" s="422"/>
    </row>
    <row r="164" spans="1:16" s="414" customFormat="1" ht="15.75" thickBot="1">
      <c r="A164" s="516" t="s">
        <v>508</v>
      </c>
      <c r="B164" s="508" t="s">
        <v>507</v>
      </c>
      <c r="C164" s="517" t="s">
        <v>512</v>
      </c>
      <c r="D164" s="517" t="s">
        <v>509</v>
      </c>
      <c r="E164" s="517" t="s">
        <v>39</v>
      </c>
      <c r="F164" s="517" t="s">
        <v>510</v>
      </c>
      <c r="G164" s="518" t="s">
        <v>511</v>
      </c>
      <c r="H164" s="422"/>
      <c r="I164" s="422"/>
      <c r="J164" s="422"/>
      <c r="K164" s="422"/>
      <c r="L164" s="422"/>
      <c r="M164" s="422"/>
      <c r="N164" s="422"/>
      <c r="O164" s="422"/>
      <c r="P164" s="422"/>
    </row>
    <row r="165" spans="1:16" s="519" customFormat="1" ht="16.5" thickBot="1">
      <c r="A165" s="944" t="s">
        <v>554</v>
      </c>
      <c r="B165" s="945"/>
      <c r="C165" s="945"/>
      <c r="D165" s="945"/>
      <c r="E165" s="945"/>
      <c r="F165" s="945"/>
      <c r="G165" s="946"/>
      <c r="H165" s="498"/>
      <c r="I165" s="498"/>
      <c r="J165" s="498"/>
      <c r="K165" s="498"/>
      <c r="L165" s="498"/>
      <c r="M165" s="498"/>
      <c r="N165" s="498"/>
      <c r="O165" s="498"/>
      <c r="P165" s="498"/>
    </row>
    <row r="166" spans="1:16" s="414" customFormat="1">
      <c r="A166" s="936" t="s">
        <v>312</v>
      </c>
      <c r="B166" s="515" t="s">
        <v>513</v>
      </c>
      <c r="C166" s="500">
        <v>85</v>
      </c>
      <c r="D166" s="500" t="s">
        <v>514</v>
      </c>
      <c r="E166" s="500">
        <v>0.75</v>
      </c>
      <c r="F166" s="500">
        <v>0.45</v>
      </c>
      <c r="G166" s="501">
        <v>0.12</v>
      </c>
      <c r="H166" s="422"/>
      <c r="I166" s="422"/>
      <c r="J166" s="422"/>
      <c r="K166" s="422"/>
      <c r="L166" s="422"/>
      <c r="M166" s="422"/>
      <c r="N166" s="422"/>
      <c r="O166" s="422"/>
      <c r="P166" s="422"/>
    </row>
    <row r="167" spans="1:16" s="414" customFormat="1">
      <c r="A167" s="929"/>
      <c r="B167" s="512" t="s">
        <v>515</v>
      </c>
      <c r="C167" s="494">
        <v>86</v>
      </c>
      <c r="D167" s="494" t="s">
        <v>516</v>
      </c>
      <c r="E167" s="494">
        <v>3</v>
      </c>
      <c r="F167" s="494">
        <v>12</v>
      </c>
      <c r="G167" s="495" t="s">
        <v>525</v>
      </c>
      <c r="H167" s="422"/>
      <c r="I167" s="422"/>
      <c r="J167" s="422"/>
      <c r="K167" s="422"/>
      <c r="L167" s="422"/>
      <c r="M167" s="422"/>
      <c r="N167" s="422"/>
      <c r="O167" s="422"/>
      <c r="P167" s="422"/>
    </row>
    <row r="168" spans="1:16" s="414" customFormat="1">
      <c r="A168" s="514" t="s">
        <v>517</v>
      </c>
      <c r="B168" s="493" t="s">
        <v>518</v>
      </c>
      <c r="C168" s="494" t="s">
        <v>519</v>
      </c>
      <c r="D168" s="494"/>
      <c r="E168" s="494">
        <v>0.5</v>
      </c>
      <c r="F168" s="494">
        <v>1.8</v>
      </c>
      <c r="G168" s="495">
        <v>0.35</v>
      </c>
      <c r="H168" s="422"/>
      <c r="I168" s="422"/>
      <c r="J168" s="422"/>
      <c r="K168" s="422"/>
      <c r="L168" s="422"/>
      <c r="M168" s="422"/>
      <c r="N168" s="422"/>
      <c r="O168" s="422"/>
      <c r="P168" s="422"/>
    </row>
    <row r="169" spans="1:16" s="414" customFormat="1">
      <c r="A169" s="514" t="s">
        <v>522</v>
      </c>
      <c r="B169" s="494" t="s">
        <v>523</v>
      </c>
      <c r="C169" s="493">
        <v>85</v>
      </c>
      <c r="D169" s="494" t="s">
        <v>521</v>
      </c>
      <c r="E169" s="494">
        <v>0.85</v>
      </c>
      <c r="F169" s="494">
        <v>0.45</v>
      </c>
      <c r="G169" s="495">
        <v>0.19</v>
      </c>
      <c r="H169" s="42"/>
      <c r="I169" s="422"/>
      <c r="J169" s="422"/>
      <c r="K169" s="422"/>
      <c r="L169" s="422"/>
      <c r="M169" s="422"/>
      <c r="N169" s="422"/>
      <c r="O169" s="422"/>
      <c r="P169" s="422"/>
    </row>
    <row r="170" spans="1:16" s="414" customFormat="1">
      <c r="A170" s="514" t="s">
        <v>524</v>
      </c>
      <c r="B170" s="493" t="s">
        <v>513</v>
      </c>
      <c r="C170" s="494">
        <v>85</v>
      </c>
      <c r="D170" s="494" t="s">
        <v>521</v>
      </c>
      <c r="E170" s="494">
        <v>0.65</v>
      </c>
      <c r="F170" s="494">
        <v>0.5</v>
      </c>
      <c r="G170" s="495">
        <v>0.12</v>
      </c>
      <c r="H170" s="42"/>
      <c r="I170" s="422"/>
      <c r="J170" s="422"/>
      <c r="K170" s="422"/>
      <c r="L170" s="422"/>
      <c r="M170" s="422"/>
      <c r="N170" s="422"/>
      <c r="O170" s="422"/>
      <c r="P170" s="422"/>
    </row>
    <row r="171" spans="1:16" s="414" customFormat="1">
      <c r="A171" s="514" t="s">
        <v>526</v>
      </c>
      <c r="B171" s="493" t="s">
        <v>527</v>
      </c>
      <c r="C171" s="494">
        <v>88</v>
      </c>
      <c r="D171" s="494" t="s">
        <v>528</v>
      </c>
      <c r="E171" s="494">
        <v>1.7</v>
      </c>
      <c r="F171" s="494">
        <v>12.3</v>
      </c>
      <c r="G171" s="495">
        <v>0.85</v>
      </c>
      <c r="H171" s="42"/>
      <c r="I171" s="422"/>
      <c r="J171" s="422"/>
      <c r="K171" s="422"/>
      <c r="L171" s="422"/>
      <c r="M171" s="422"/>
      <c r="N171" s="422"/>
      <c r="O171" s="422"/>
      <c r="P171" s="422"/>
    </row>
    <row r="172" spans="1:16" s="414" customFormat="1">
      <c r="A172" s="514" t="s">
        <v>529</v>
      </c>
      <c r="B172" s="493" t="s">
        <v>518</v>
      </c>
      <c r="C172" s="494">
        <v>20</v>
      </c>
      <c r="D172" s="494" t="s">
        <v>520</v>
      </c>
      <c r="E172" s="494">
        <v>0.8</v>
      </c>
      <c r="F172" s="494">
        <v>4.5</v>
      </c>
      <c r="G172" s="495">
        <v>0.3</v>
      </c>
      <c r="H172" s="42"/>
      <c r="I172" s="422"/>
      <c r="J172" s="422"/>
      <c r="K172" s="422"/>
      <c r="L172" s="422"/>
      <c r="M172" s="422"/>
      <c r="N172" s="422"/>
      <c r="O172" s="422"/>
      <c r="P172" s="422"/>
    </row>
    <row r="173" spans="1:16" s="414" customFormat="1">
      <c r="A173" s="929" t="s">
        <v>302</v>
      </c>
      <c r="B173" s="512" t="s">
        <v>513</v>
      </c>
      <c r="C173" s="494">
        <v>91</v>
      </c>
      <c r="D173" s="494" t="s">
        <v>521</v>
      </c>
      <c r="E173" s="494">
        <v>1.25</v>
      </c>
      <c r="F173" s="494">
        <v>0.85</v>
      </c>
      <c r="G173" s="495">
        <v>0.35</v>
      </c>
      <c r="H173" s="42"/>
      <c r="I173" s="422"/>
      <c r="J173" s="422"/>
      <c r="K173" s="422"/>
      <c r="L173" s="422"/>
      <c r="M173" s="422"/>
      <c r="N173" s="422"/>
      <c r="O173" s="422"/>
      <c r="P173" s="422"/>
    </row>
    <row r="174" spans="1:16" s="414" customFormat="1">
      <c r="A174" s="929"/>
      <c r="B174" s="513" t="s">
        <v>530</v>
      </c>
      <c r="C174" s="494">
        <v>88</v>
      </c>
      <c r="D174" s="494" t="s">
        <v>516</v>
      </c>
      <c r="E174" s="494">
        <v>1.7</v>
      </c>
      <c r="F174" s="494">
        <v>14.5</v>
      </c>
      <c r="G174" s="495">
        <v>0.75</v>
      </c>
      <c r="H174" s="42"/>
      <c r="I174" s="422"/>
      <c r="J174" s="422"/>
      <c r="K174" s="422"/>
      <c r="L174" s="422"/>
      <c r="M174" s="422"/>
      <c r="N174" s="422"/>
      <c r="O174" s="422"/>
      <c r="P174" s="422"/>
    </row>
    <row r="175" spans="1:16" s="414" customFormat="1">
      <c r="A175" s="468" t="s">
        <v>531</v>
      </c>
      <c r="B175" s="493" t="s">
        <v>523</v>
      </c>
      <c r="C175" s="494">
        <v>86</v>
      </c>
      <c r="D175" s="494" t="s">
        <v>521</v>
      </c>
      <c r="E175" s="494">
        <v>1.2</v>
      </c>
      <c r="F175" s="494">
        <v>1.3</v>
      </c>
      <c r="G175" s="495">
        <v>0.23</v>
      </c>
      <c r="H175" s="42"/>
      <c r="I175" s="422"/>
      <c r="J175" s="422"/>
      <c r="K175" s="422"/>
      <c r="L175" s="422"/>
      <c r="M175" s="422"/>
      <c r="N175" s="422"/>
      <c r="O175" s="422"/>
      <c r="P175" s="422"/>
    </row>
    <row r="176" spans="1:16" s="414" customFormat="1">
      <c r="A176" s="468" t="s">
        <v>532</v>
      </c>
      <c r="B176" s="493" t="s">
        <v>513</v>
      </c>
      <c r="C176" s="494">
        <v>86</v>
      </c>
      <c r="D176" s="494" t="s">
        <v>521</v>
      </c>
      <c r="E176" s="494">
        <v>0.9</v>
      </c>
      <c r="F176" s="494" t="s">
        <v>533</v>
      </c>
      <c r="G176" s="495" t="s">
        <v>533</v>
      </c>
      <c r="H176" s="42"/>
      <c r="I176" s="422"/>
      <c r="J176" s="422"/>
      <c r="K176" s="422"/>
      <c r="L176" s="422"/>
      <c r="M176" s="422"/>
      <c r="N176" s="422"/>
      <c r="O176" s="422"/>
      <c r="P176" s="422"/>
    </row>
    <row r="177" spans="1:16" s="414" customFormat="1">
      <c r="A177" s="468" t="s">
        <v>503</v>
      </c>
      <c r="B177" s="494" t="s">
        <v>513</v>
      </c>
      <c r="C177" s="494">
        <v>91</v>
      </c>
      <c r="D177" s="494" t="s">
        <v>535</v>
      </c>
      <c r="E177" s="494">
        <v>1.35</v>
      </c>
      <c r="F177" s="494">
        <v>0.8</v>
      </c>
      <c r="G177" s="495">
        <v>0.55000000000000004</v>
      </c>
      <c r="H177" s="42"/>
      <c r="I177" s="422"/>
      <c r="J177" s="422"/>
      <c r="K177" s="422"/>
      <c r="L177" s="422"/>
      <c r="M177" s="422"/>
      <c r="N177" s="422"/>
      <c r="O177" s="422"/>
      <c r="P177" s="422"/>
    </row>
    <row r="178" spans="1:16" s="414" customFormat="1">
      <c r="A178" s="468"/>
      <c r="B178" s="494" t="s">
        <v>536</v>
      </c>
      <c r="C178" s="494">
        <v>100</v>
      </c>
      <c r="D178" s="494" t="s">
        <v>516</v>
      </c>
      <c r="E178" s="494">
        <v>2.0499999999999998</v>
      </c>
      <c r="F178" s="494">
        <v>7.2</v>
      </c>
      <c r="G178" s="495">
        <v>1.3</v>
      </c>
      <c r="H178" s="42"/>
      <c r="I178" s="422"/>
      <c r="J178" s="422"/>
      <c r="K178" s="422"/>
      <c r="L178" s="422"/>
      <c r="M178" s="422"/>
      <c r="N178" s="422"/>
      <c r="O178" s="422"/>
      <c r="P178" s="422"/>
    </row>
    <row r="179" spans="1:16" s="414" customFormat="1">
      <c r="A179" s="468" t="s">
        <v>534</v>
      </c>
      <c r="B179" s="494" t="s">
        <v>537</v>
      </c>
      <c r="C179" s="494">
        <v>100</v>
      </c>
      <c r="D179" s="494" t="s">
        <v>520</v>
      </c>
      <c r="E179" s="494">
        <v>2.0499999999999998</v>
      </c>
      <c r="F179" s="494">
        <v>7.2</v>
      </c>
      <c r="G179" s="495">
        <v>1.3</v>
      </c>
      <c r="H179" s="42"/>
      <c r="I179" s="422"/>
      <c r="J179" s="422"/>
      <c r="K179" s="422"/>
      <c r="L179" s="422"/>
      <c r="M179" s="422"/>
      <c r="N179" s="422"/>
      <c r="O179" s="422"/>
      <c r="P179" s="422"/>
    </row>
    <row r="180" spans="1:16" s="414" customFormat="1">
      <c r="A180" s="922" t="s">
        <v>504</v>
      </c>
      <c r="B180" s="494" t="s">
        <v>538</v>
      </c>
      <c r="C180" s="494">
        <v>81</v>
      </c>
      <c r="D180" s="494" t="s">
        <v>535</v>
      </c>
      <c r="E180" s="494">
        <v>0.65</v>
      </c>
      <c r="F180" s="494">
        <v>0.45</v>
      </c>
      <c r="G180" s="495">
        <v>0.14000000000000001</v>
      </c>
      <c r="H180" s="42"/>
      <c r="I180" s="422"/>
      <c r="J180" s="422"/>
      <c r="K180" s="422"/>
      <c r="L180" s="422"/>
      <c r="M180" s="422"/>
      <c r="N180" s="422"/>
      <c r="O180" s="422"/>
      <c r="P180" s="422"/>
    </row>
    <row r="181" spans="1:16" s="414" customFormat="1">
      <c r="A181" s="922"/>
      <c r="B181" s="494" t="s">
        <v>513</v>
      </c>
      <c r="C181" s="494">
        <v>85</v>
      </c>
      <c r="D181" s="494" t="s">
        <v>521</v>
      </c>
      <c r="E181" s="494">
        <v>0.6</v>
      </c>
      <c r="F181" s="494">
        <v>0.55000000000000004</v>
      </c>
      <c r="G181" s="495">
        <v>0.13</v>
      </c>
      <c r="H181" s="42"/>
      <c r="I181" s="422"/>
      <c r="J181" s="422"/>
      <c r="K181" s="422"/>
      <c r="L181" s="422"/>
      <c r="M181" s="422"/>
      <c r="N181" s="422"/>
      <c r="O181" s="422"/>
      <c r="P181" s="422"/>
    </row>
    <row r="182" spans="1:16" s="414" customFormat="1">
      <c r="A182" s="468" t="s">
        <v>539</v>
      </c>
      <c r="B182" s="493" t="s">
        <v>513</v>
      </c>
      <c r="C182" s="494">
        <v>85</v>
      </c>
      <c r="D182" s="494" t="s">
        <v>521</v>
      </c>
      <c r="E182" s="494">
        <v>0.6</v>
      </c>
      <c r="F182" s="494" t="s">
        <v>533</v>
      </c>
      <c r="G182" s="495" t="s">
        <v>533</v>
      </c>
      <c r="H182" s="42"/>
      <c r="I182" s="422"/>
      <c r="J182" s="422"/>
      <c r="K182" s="422"/>
      <c r="L182" s="422"/>
      <c r="M182" s="422"/>
      <c r="N182" s="422"/>
      <c r="O182" s="422"/>
      <c r="P182" s="422"/>
    </row>
    <row r="183" spans="1:16" s="414" customFormat="1">
      <c r="A183" s="922" t="s">
        <v>308</v>
      </c>
      <c r="B183" s="494" t="s">
        <v>523</v>
      </c>
      <c r="C183" s="494">
        <v>85</v>
      </c>
      <c r="D183" s="494" t="s">
        <v>540</v>
      </c>
      <c r="E183" s="494">
        <v>0.65</v>
      </c>
      <c r="F183" s="494">
        <v>0.55000000000000004</v>
      </c>
      <c r="G183" s="495">
        <v>0.15</v>
      </c>
      <c r="H183" s="42"/>
      <c r="I183" s="422"/>
      <c r="J183" s="422"/>
      <c r="K183" s="422"/>
      <c r="L183" s="422"/>
      <c r="M183" s="422"/>
      <c r="N183" s="422"/>
      <c r="O183" s="422"/>
      <c r="P183" s="422"/>
    </row>
    <row r="184" spans="1:16" s="414" customFormat="1">
      <c r="A184" s="922"/>
      <c r="B184" s="494" t="s">
        <v>541</v>
      </c>
      <c r="C184" s="494">
        <v>88</v>
      </c>
      <c r="D184" s="494" t="s">
        <v>516</v>
      </c>
      <c r="E184" s="494">
        <v>1</v>
      </c>
      <c r="F184" s="494">
        <v>12.9</v>
      </c>
      <c r="G184" s="495">
        <v>0.75</v>
      </c>
      <c r="H184" s="42"/>
      <c r="I184" s="422"/>
      <c r="J184" s="422"/>
      <c r="K184" s="422"/>
      <c r="L184" s="422"/>
      <c r="M184" s="422"/>
      <c r="N184" s="422"/>
      <c r="O184" s="422"/>
      <c r="P184" s="422"/>
    </row>
    <row r="185" spans="1:16" s="414" customFormat="1">
      <c r="A185" s="922" t="s">
        <v>309</v>
      </c>
      <c r="B185" s="494" t="s">
        <v>513</v>
      </c>
      <c r="C185" s="494">
        <v>86</v>
      </c>
      <c r="D185" s="494" t="s">
        <v>521</v>
      </c>
      <c r="E185" s="494">
        <v>0.8</v>
      </c>
      <c r="F185" s="494">
        <v>1.1499999999999999</v>
      </c>
      <c r="G185" s="495">
        <v>0.18</v>
      </c>
      <c r="H185" s="42"/>
      <c r="I185" s="422"/>
      <c r="J185" s="422"/>
      <c r="K185" s="422"/>
      <c r="L185" s="422"/>
      <c r="M185" s="422"/>
      <c r="N185" s="422"/>
      <c r="O185" s="422"/>
      <c r="P185" s="422"/>
    </row>
    <row r="186" spans="1:16" s="414" customFormat="1">
      <c r="A186" s="922"/>
      <c r="B186" s="494" t="s">
        <v>541</v>
      </c>
      <c r="C186" s="494">
        <v>88</v>
      </c>
      <c r="D186" s="494" t="s">
        <v>520</v>
      </c>
      <c r="E186" s="494">
        <v>2.1</v>
      </c>
      <c r="F186" s="494">
        <v>19</v>
      </c>
      <c r="G186" s="495">
        <v>2.0499999999999998</v>
      </c>
      <c r="H186" s="42"/>
      <c r="I186" s="422"/>
      <c r="J186" s="422"/>
      <c r="K186" s="422"/>
      <c r="L186" s="422"/>
      <c r="M186" s="422"/>
      <c r="N186" s="422"/>
      <c r="O186" s="422"/>
      <c r="P186" s="422"/>
    </row>
    <row r="187" spans="1:16" s="414" customFormat="1">
      <c r="A187" s="468" t="s">
        <v>542</v>
      </c>
      <c r="B187" s="493" t="s">
        <v>543</v>
      </c>
      <c r="C187" s="494">
        <v>86</v>
      </c>
      <c r="D187" s="494" t="s">
        <v>521</v>
      </c>
      <c r="E187" s="494">
        <v>0.7</v>
      </c>
      <c r="F187" s="494">
        <v>0.7</v>
      </c>
      <c r="G187" s="495">
        <v>0.17</v>
      </c>
      <c r="H187" s="42"/>
      <c r="I187" s="422"/>
      <c r="J187" s="422"/>
      <c r="K187" s="422"/>
      <c r="L187" s="422"/>
      <c r="M187" s="422"/>
      <c r="N187" s="422"/>
      <c r="O187" s="422"/>
      <c r="P187" s="422"/>
    </row>
    <row r="188" spans="1:16" s="414" customFormat="1">
      <c r="A188" s="468" t="s">
        <v>544</v>
      </c>
      <c r="B188" s="493" t="s">
        <v>545</v>
      </c>
      <c r="C188" s="494">
        <v>20</v>
      </c>
      <c r="D188" s="494" t="s">
        <v>520</v>
      </c>
      <c r="E188" s="494">
        <v>0.95</v>
      </c>
      <c r="F188" s="494">
        <v>3.9</v>
      </c>
      <c r="G188" s="495">
        <v>0.3</v>
      </c>
      <c r="H188" s="42"/>
      <c r="I188" s="422"/>
      <c r="J188" s="422"/>
      <c r="K188" s="422"/>
      <c r="L188" s="422"/>
      <c r="M188" s="422"/>
      <c r="N188" s="422"/>
      <c r="O188" s="422"/>
      <c r="P188" s="422"/>
    </row>
    <row r="189" spans="1:16" s="414" customFormat="1">
      <c r="A189" s="468" t="s">
        <v>546</v>
      </c>
      <c r="B189" s="493" t="s">
        <v>545</v>
      </c>
      <c r="C189" s="494">
        <v>26</v>
      </c>
      <c r="D189" s="494" t="s">
        <v>516</v>
      </c>
      <c r="E189" s="494">
        <v>1.25</v>
      </c>
      <c r="F189" s="494">
        <v>5.0999999999999996</v>
      </c>
      <c r="G189" s="495" t="s">
        <v>533</v>
      </c>
      <c r="H189" s="42"/>
      <c r="I189" s="422"/>
      <c r="J189" s="422"/>
      <c r="K189" s="422"/>
      <c r="L189" s="422"/>
      <c r="M189" s="422"/>
      <c r="N189" s="422"/>
      <c r="O189" s="422"/>
      <c r="P189" s="422"/>
    </row>
    <row r="190" spans="1:16" s="414" customFormat="1">
      <c r="A190" s="468" t="s">
        <v>547</v>
      </c>
      <c r="B190" s="493" t="s">
        <v>548</v>
      </c>
      <c r="C190" s="493">
        <v>85</v>
      </c>
      <c r="D190" s="494" t="s">
        <v>521</v>
      </c>
      <c r="E190" s="494">
        <v>0.6</v>
      </c>
      <c r="F190" s="494">
        <v>0.3</v>
      </c>
      <c r="G190" s="495" t="s">
        <v>533</v>
      </c>
      <c r="H190" s="42"/>
      <c r="I190" s="422"/>
      <c r="J190" s="422"/>
      <c r="K190" s="422"/>
      <c r="L190" s="422"/>
      <c r="M190" s="422"/>
      <c r="N190" s="422"/>
      <c r="O190" s="422"/>
      <c r="P190" s="422"/>
    </row>
    <row r="191" spans="1:16" s="414" customFormat="1">
      <c r="A191" s="922" t="s">
        <v>315</v>
      </c>
      <c r="B191" s="494" t="s">
        <v>513</v>
      </c>
      <c r="C191" s="494">
        <v>85</v>
      </c>
      <c r="D191" s="494" t="s">
        <v>540</v>
      </c>
      <c r="E191" s="494">
        <v>0.65</v>
      </c>
      <c r="F191" s="494">
        <v>0.45</v>
      </c>
      <c r="G191" s="495">
        <v>0.16</v>
      </c>
      <c r="H191" s="42"/>
      <c r="I191" s="422"/>
      <c r="J191" s="422"/>
      <c r="K191" s="422"/>
      <c r="L191" s="422"/>
      <c r="M191" s="422"/>
      <c r="N191" s="422"/>
      <c r="O191" s="422"/>
      <c r="P191" s="422"/>
    </row>
    <row r="192" spans="1:16" s="414" customFormat="1">
      <c r="A192" s="922"/>
      <c r="B192" s="494" t="s">
        <v>515</v>
      </c>
      <c r="C192" s="494">
        <v>86</v>
      </c>
      <c r="D192" s="494" t="s">
        <v>516</v>
      </c>
      <c r="E192" s="494">
        <v>3</v>
      </c>
      <c r="F192" s="494">
        <v>12</v>
      </c>
      <c r="G192" s="495" t="s">
        <v>550</v>
      </c>
      <c r="H192" s="42"/>
      <c r="I192" s="422"/>
      <c r="J192" s="422"/>
      <c r="K192" s="422"/>
      <c r="L192" s="422"/>
      <c r="M192" s="422"/>
      <c r="N192" s="422"/>
      <c r="O192" s="422"/>
      <c r="P192" s="422"/>
    </row>
    <row r="193" spans="1:16" s="414" customFormat="1">
      <c r="A193" s="468" t="s">
        <v>316</v>
      </c>
      <c r="B193" s="493" t="s">
        <v>543</v>
      </c>
      <c r="C193" s="494">
        <v>86</v>
      </c>
      <c r="D193" s="494" t="s">
        <v>540</v>
      </c>
      <c r="E193" s="494">
        <v>1</v>
      </c>
      <c r="F193" s="494">
        <v>1.6</v>
      </c>
      <c r="G193" s="495" t="s">
        <v>533</v>
      </c>
      <c r="H193" s="42"/>
      <c r="I193" s="422"/>
      <c r="J193" s="422"/>
      <c r="K193" s="422"/>
      <c r="L193" s="422"/>
      <c r="M193" s="422"/>
      <c r="N193" s="422"/>
      <c r="O193" s="422"/>
      <c r="P193" s="422"/>
    </row>
    <row r="194" spans="1:16" s="414" customFormat="1">
      <c r="A194" s="468" t="s">
        <v>549</v>
      </c>
      <c r="B194" s="493" t="s">
        <v>513</v>
      </c>
      <c r="C194" s="494">
        <v>85</v>
      </c>
      <c r="D194" s="494" t="s">
        <v>540</v>
      </c>
      <c r="E194" s="494">
        <v>0.7</v>
      </c>
      <c r="F194" s="494">
        <v>0.35</v>
      </c>
      <c r="G194" s="495" t="s">
        <v>533</v>
      </c>
      <c r="H194" s="42"/>
      <c r="I194" s="422"/>
      <c r="J194" s="422"/>
      <c r="K194" s="422"/>
      <c r="L194" s="422"/>
      <c r="M194" s="422"/>
      <c r="N194" s="422"/>
      <c r="O194" s="422"/>
      <c r="P194" s="422"/>
    </row>
    <row r="195" spans="1:16" s="414" customFormat="1">
      <c r="A195" s="468" t="s">
        <v>317</v>
      </c>
      <c r="B195" s="493" t="s">
        <v>543</v>
      </c>
      <c r="C195" s="494">
        <v>91</v>
      </c>
      <c r="D195" s="494" t="s">
        <v>521</v>
      </c>
      <c r="E195" s="494">
        <v>1.2</v>
      </c>
      <c r="F195" s="494">
        <v>1.05</v>
      </c>
      <c r="G195" s="495">
        <v>0.45</v>
      </c>
      <c r="H195" s="42"/>
      <c r="I195" s="422"/>
      <c r="J195" s="422"/>
      <c r="K195" s="422"/>
      <c r="L195" s="422"/>
      <c r="M195" s="422"/>
      <c r="N195" s="422"/>
      <c r="O195" s="422"/>
      <c r="P195" s="422"/>
    </row>
    <row r="196" spans="1:16" s="414" customFormat="1">
      <c r="A196" s="922" t="s">
        <v>505</v>
      </c>
      <c r="B196" s="494" t="s">
        <v>513</v>
      </c>
      <c r="C196" s="494">
        <v>85</v>
      </c>
      <c r="D196" s="494" t="s">
        <v>535</v>
      </c>
      <c r="E196" s="494">
        <v>0.65</v>
      </c>
      <c r="F196" s="494">
        <v>0.5</v>
      </c>
      <c r="G196" s="495">
        <v>0.14000000000000001</v>
      </c>
      <c r="H196" s="42"/>
      <c r="I196" s="422"/>
      <c r="J196" s="422"/>
      <c r="K196" s="422"/>
      <c r="L196" s="422"/>
      <c r="M196" s="422"/>
      <c r="N196" s="422"/>
      <c r="O196" s="422"/>
      <c r="P196" s="422"/>
    </row>
    <row r="197" spans="1:16" s="414" customFormat="1">
      <c r="A197" s="922"/>
      <c r="B197" s="494" t="s">
        <v>515</v>
      </c>
      <c r="C197" s="494">
        <v>88</v>
      </c>
      <c r="D197" s="494" t="s">
        <v>516</v>
      </c>
      <c r="E197" s="494">
        <v>2</v>
      </c>
      <c r="F197" s="494">
        <v>10</v>
      </c>
      <c r="G197" s="495" t="s">
        <v>551</v>
      </c>
      <c r="H197" s="42"/>
      <c r="I197" s="422"/>
      <c r="J197" s="422"/>
      <c r="K197" s="422"/>
      <c r="L197" s="422"/>
      <c r="M197" s="422"/>
      <c r="N197" s="422"/>
      <c r="O197" s="422"/>
      <c r="P197" s="422"/>
    </row>
    <row r="198" spans="1:16" s="414" customFormat="1">
      <c r="A198" s="922" t="s">
        <v>506</v>
      </c>
      <c r="B198" s="494" t="s">
        <v>513</v>
      </c>
      <c r="C198" s="494">
        <v>85</v>
      </c>
      <c r="D198" s="494" t="s">
        <v>540</v>
      </c>
      <c r="E198" s="494">
        <v>1</v>
      </c>
      <c r="F198" s="494">
        <v>1.95</v>
      </c>
      <c r="G198" s="495" t="s">
        <v>533</v>
      </c>
      <c r="H198" s="42"/>
      <c r="I198" s="422"/>
      <c r="J198" s="422"/>
      <c r="K198" s="422"/>
      <c r="L198" s="422"/>
      <c r="M198" s="422"/>
      <c r="N198" s="422"/>
      <c r="O198" s="422"/>
      <c r="P198" s="422"/>
    </row>
    <row r="199" spans="1:16" s="414" customFormat="1" ht="15.75" thickBot="1">
      <c r="A199" s="942"/>
      <c r="B199" s="496" t="s">
        <v>541</v>
      </c>
      <c r="C199" s="496">
        <v>88</v>
      </c>
      <c r="D199" s="496" t="s">
        <v>516</v>
      </c>
      <c r="E199" s="496">
        <v>2</v>
      </c>
      <c r="F199" s="496" t="s">
        <v>552</v>
      </c>
      <c r="G199" s="497">
        <v>1.3</v>
      </c>
      <c r="H199" s="42"/>
      <c r="I199" s="422"/>
      <c r="J199" s="422"/>
      <c r="K199" s="422"/>
      <c r="L199" s="422"/>
      <c r="M199" s="422"/>
      <c r="N199" s="422"/>
      <c r="O199" s="422"/>
      <c r="P199" s="422"/>
    </row>
    <row r="200" spans="1:16" s="414" customFormat="1" ht="16.5" thickBot="1">
      <c r="A200" s="947" t="s">
        <v>553</v>
      </c>
      <c r="B200" s="948"/>
      <c r="C200" s="948"/>
      <c r="D200" s="948"/>
      <c r="E200" s="948"/>
      <c r="F200" s="948"/>
      <c r="G200" s="949"/>
      <c r="H200" s="42"/>
      <c r="I200" s="422"/>
      <c r="J200" s="422"/>
      <c r="K200" s="422"/>
      <c r="L200" s="422"/>
      <c r="M200" s="422"/>
      <c r="N200" s="422"/>
      <c r="O200" s="422"/>
      <c r="P200" s="422"/>
    </row>
    <row r="201" spans="1:16" s="414" customFormat="1">
      <c r="A201" s="472" t="s">
        <v>557</v>
      </c>
      <c r="B201" s="520" t="s">
        <v>558</v>
      </c>
      <c r="C201" s="500">
        <v>13</v>
      </c>
      <c r="D201" s="500" t="s">
        <v>516</v>
      </c>
      <c r="E201" s="500">
        <v>1.3</v>
      </c>
      <c r="F201" s="500">
        <v>3.7</v>
      </c>
      <c r="G201" s="500">
        <v>0.2</v>
      </c>
      <c r="H201" s="42"/>
      <c r="I201" s="422"/>
      <c r="J201" s="422"/>
      <c r="K201" s="422"/>
      <c r="L201" s="422"/>
      <c r="M201" s="422"/>
      <c r="N201" s="422"/>
      <c r="O201" s="422"/>
      <c r="P201" s="422"/>
    </row>
    <row r="202" spans="1:16" s="414" customFormat="1">
      <c r="A202" s="467" t="s">
        <v>559</v>
      </c>
      <c r="B202" s="493" t="s">
        <v>560</v>
      </c>
      <c r="C202" s="494">
        <v>17</v>
      </c>
      <c r="D202" s="494" t="s">
        <v>520</v>
      </c>
      <c r="E202" s="494">
        <v>1.3</v>
      </c>
      <c r="F202" s="494">
        <v>5.75</v>
      </c>
      <c r="G202" s="494">
        <v>0.5</v>
      </c>
      <c r="H202" s="42"/>
      <c r="I202" s="422"/>
      <c r="J202" s="422"/>
      <c r="K202" s="422"/>
      <c r="L202" s="422"/>
      <c r="M202" s="422"/>
      <c r="N202" s="422"/>
      <c r="O202" s="422"/>
      <c r="P202" s="422"/>
    </row>
    <row r="203" spans="1:16" s="414" customFormat="1">
      <c r="A203" s="467" t="s">
        <v>561</v>
      </c>
      <c r="B203" s="493" t="s">
        <v>563</v>
      </c>
      <c r="C203" s="494">
        <v>8</v>
      </c>
      <c r="D203" s="494" t="s">
        <v>516</v>
      </c>
      <c r="E203" s="494">
        <v>1.4</v>
      </c>
      <c r="F203" s="494">
        <v>3.95</v>
      </c>
      <c r="G203" s="494">
        <v>0.22</v>
      </c>
      <c r="H203" s="42"/>
      <c r="I203" s="422"/>
      <c r="J203" s="422"/>
      <c r="K203" s="422"/>
      <c r="L203" s="422"/>
      <c r="M203" s="422"/>
      <c r="N203" s="422"/>
      <c r="O203" s="422"/>
      <c r="P203" s="422"/>
    </row>
    <row r="204" spans="1:16" s="414" customFormat="1">
      <c r="A204" s="467" t="s">
        <v>564</v>
      </c>
      <c r="B204" s="493" t="s">
        <v>565</v>
      </c>
      <c r="C204" s="494">
        <v>9</v>
      </c>
      <c r="D204" s="494" t="s">
        <v>528</v>
      </c>
      <c r="E204" s="494">
        <v>0.6</v>
      </c>
      <c r="F204" s="494">
        <v>3.85</v>
      </c>
      <c r="G204" s="494">
        <v>0.3</v>
      </c>
      <c r="H204" s="42"/>
      <c r="I204" s="422"/>
      <c r="J204" s="422"/>
      <c r="K204" s="422"/>
      <c r="L204" s="422"/>
      <c r="M204" s="422"/>
      <c r="N204" s="422"/>
      <c r="O204" s="422"/>
      <c r="P204" s="422"/>
    </row>
    <row r="205" spans="1:16" s="414" customFormat="1">
      <c r="A205" s="467" t="s">
        <v>566</v>
      </c>
      <c r="B205" s="493" t="s">
        <v>565</v>
      </c>
      <c r="C205" s="494">
        <v>12</v>
      </c>
      <c r="D205" s="494" t="s">
        <v>528</v>
      </c>
      <c r="E205" s="494">
        <v>1</v>
      </c>
      <c r="F205" s="494">
        <v>5.5</v>
      </c>
      <c r="G205" s="494">
        <v>0.23</v>
      </c>
      <c r="H205" s="42"/>
      <c r="I205" s="422"/>
      <c r="J205" s="422"/>
      <c r="K205" s="422"/>
      <c r="L205" s="422"/>
      <c r="M205" s="422"/>
      <c r="N205" s="422"/>
      <c r="O205" s="422"/>
      <c r="P205" s="422"/>
    </row>
    <row r="206" spans="1:16" s="414" customFormat="1">
      <c r="A206" s="467" t="s">
        <v>567</v>
      </c>
      <c r="B206" s="493" t="s">
        <v>568</v>
      </c>
      <c r="C206" s="494">
        <v>9</v>
      </c>
      <c r="D206" s="494" t="s">
        <v>520</v>
      </c>
      <c r="E206" s="494" t="s">
        <v>577</v>
      </c>
      <c r="F206" s="494">
        <v>3.7</v>
      </c>
      <c r="G206" s="494">
        <v>0.3</v>
      </c>
      <c r="H206" s="42"/>
      <c r="I206" s="422"/>
      <c r="J206" s="422"/>
      <c r="K206" s="422"/>
      <c r="L206" s="422"/>
      <c r="M206" s="422"/>
      <c r="N206" s="422"/>
      <c r="O206" s="422"/>
      <c r="P206" s="422"/>
    </row>
    <row r="207" spans="1:16" s="414" customFormat="1">
      <c r="A207" s="950" t="s">
        <v>555</v>
      </c>
      <c r="B207" s="494" t="s">
        <v>569</v>
      </c>
      <c r="C207" s="494">
        <v>7</v>
      </c>
      <c r="D207" s="494" t="s">
        <v>528</v>
      </c>
      <c r="E207" s="494">
        <v>1</v>
      </c>
      <c r="F207" s="494">
        <v>3.3</v>
      </c>
      <c r="G207" s="494">
        <v>0.2</v>
      </c>
      <c r="H207" s="42"/>
      <c r="I207" s="422"/>
      <c r="J207" s="422"/>
      <c r="K207" s="422"/>
      <c r="L207" s="422"/>
      <c r="M207" s="422"/>
      <c r="N207" s="422"/>
      <c r="O207" s="422"/>
      <c r="P207" s="422"/>
    </row>
    <row r="208" spans="1:16" s="414" customFormat="1">
      <c r="A208" s="950"/>
      <c r="B208" s="494" t="s">
        <v>570</v>
      </c>
      <c r="C208" s="494">
        <v>8</v>
      </c>
      <c r="D208" s="494" t="s">
        <v>520</v>
      </c>
      <c r="E208" s="494">
        <v>1</v>
      </c>
      <c r="F208" s="494">
        <v>4</v>
      </c>
      <c r="G208" s="494">
        <v>0.2</v>
      </c>
      <c r="H208" s="42"/>
      <c r="I208" s="422"/>
      <c r="J208" s="422"/>
      <c r="K208" s="422"/>
      <c r="L208" s="422"/>
      <c r="M208" s="422"/>
      <c r="N208" s="422"/>
      <c r="O208" s="422"/>
      <c r="P208" s="422"/>
    </row>
    <row r="209" spans="1:16" s="414" customFormat="1">
      <c r="A209" s="950" t="s">
        <v>556</v>
      </c>
      <c r="B209" s="494" t="s">
        <v>562</v>
      </c>
      <c r="C209" s="494">
        <v>9</v>
      </c>
      <c r="D209" s="494" t="s">
        <v>516</v>
      </c>
      <c r="E209" s="494">
        <v>1.3</v>
      </c>
      <c r="F209" s="494">
        <v>4.3</v>
      </c>
      <c r="G209" s="494">
        <v>0.2</v>
      </c>
      <c r="H209" s="42"/>
      <c r="I209" s="422"/>
      <c r="J209" s="422"/>
      <c r="K209" s="422"/>
      <c r="L209" s="422"/>
      <c r="M209" s="422"/>
      <c r="N209" s="422"/>
      <c r="O209" s="422"/>
      <c r="P209" s="422"/>
    </row>
    <row r="210" spans="1:16" s="414" customFormat="1">
      <c r="A210" s="950"/>
      <c r="B210" s="494" t="s">
        <v>570</v>
      </c>
      <c r="C210" s="494">
        <v>10</v>
      </c>
      <c r="D210" s="494" t="s">
        <v>520</v>
      </c>
      <c r="E210" s="494">
        <v>1.2</v>
      </c>
      <c r="F210" s="494">
        <v>4</v>
      </c>
      <c r="G210" s="494">
        <v>0.2</v>
      </c>
      <c r="H210" s="42"/>
      <c r="I210" s="422"/>
      <c r="J210" s="422"/>
      <c r="K210" s="422"/>
      <c r="L210" s="422"/>
      <c r="M210" s="422"/>
      <c r="N210" s="422"/>
      <c r="O210" s="422"/>
      <c r="P210" s="422"/>
    </row>
    <row r="211" spans="1:16" s="414" customFormat="1">
      <c r="A211" s="467" t="s">
        <v>571</v>
      </c>
      <c r="B211" s="493" t="s">
        <v>569</v>
      </c>
      <c r="C211" s="494">
        <v>12</v>
      </c>
      <c r="D211" s="494" t="s">
        <v>516</v>
      </c>
      <c r="E211" s="494">
        <v>1.3</v>
      </c>
      <c r="F211" s="494">
        <v>4.3</v>
      </c>
      <c r="G211" s="494">
        <v>0.25</v>
      </c>
      <c r="H211" s="42"/>
      <c r="I211" s="422"/>
      <c r="J211" s="422"/>
      <c r="K211" s="422"/>
      <c r="L211" s="422"/>
      <c r="M211" s="422"/>
      <c r="N211" s="422"/>
      <c r="O211" s="422"/>
      <c r="P211" s="422"/>
    </row>
    <row r="212" spans="1:16" s="414" customFormat="1">
      <c r="A212" s="467" t="s">
        <v>572</v>
      </c>
      <c r="B212" s="493" t="s">
        <v>573</v>
      </c>
      <c r="C212" s="494">
        <v>7</v>
      </c>
      <c r="D212" s="494" t="s">
        <v>528</v>
      </c>
      <c r="E212" s="494">
        <v>0.65</v>
      </c>
      <c r="F212" s="494">
        <v>2.1</v>
      </c>
      <c r="G212" s="494">
        <v>0.3</v>
      </c>
      <c r="H212" s="42"/>
      <c r="I212" s="422"/>
      <c r="J212" s="422"/>
      <c r="K212" s="422"/>
      <c r="L212" s="422"/>
      <c r="M212" s="422"/>
      <c r="N212" s="422"/>
      <c r="O212" s="422"/>
      <c r="P212" s="422"/>
    </row>
    <row r="213" spans="1:16" s="414" customFormat="1">
      <c r="A213" s="467" t="s">
        <v>574</v>
      </c>
      <c r="B213" s="493" t="s">
        <v>575</v>
      </c>
      <c r="C213" s="494">
        <v>7</v>
      </c>
      <c r="D213" s="494" t="s">
        <v>516</v>
      </c>
      <c r="E213" s="494">
        <v>1.1000000000000001</v>
      </c>
      <c r="F213" s="494">
        <v>7.05</v>
      </c>
      <c r="G213" s="494">
        <v>0.65</v>
      </c>
      <c r="H213" s="42"/>
      <c r="I213" s="422"/>
      <c r="J213" s="422"/>
      <c r="K213" s="422"/>
      <c r="L213" s="422"/>
      <c r="M213" s="422"/>
      <c r="N213" s="422"/>
      <c r="O213" s="422"/>
      <c r="P213" s="422"/>
    </row>
    <row r="214" spans="1:16" s="414" customFormat="1">
      <c r="A214" s="467" t="s">
        <v>576</v>
      </c>
      <c r="B214" s="493" t="s">
        <v>578</v>
      </c>
      <c r="C214" s="494">
        <v>10</v>
      </c>
      <c r="D214" s="494" t="s">
        <v>516</v>
      </c>
      <c r="E214" s="494">
        <v>1.05</v>
      </c>
      <c r="F214" s="494">
        <v>3.65</v>
      </c>
      <c r="G214" s="494">
        <v>0.45</v>
      </c>
      <c r="H214" s="42"/>
      <c r="I214" s="422"/>
      <c r="J214" s="422"/>
      <c r="K214" s="422"/>
      <c r="L214" s="422"/>
      <c r="M214" s="422"/>
      <c r="N214" s="422"/>
      <c r="O214" s="422"/>
      <c r="P214" s="422"/>
    </row>
    <row r="215" spans="1:16" s="414" customFormat="1">
      <c r="A215" s="467" t="s">
        <v>579</v>
      </c>
      <c r="B215" s="493" t="s">
        <v>513</v>
      </c>
      <c r="C215" s="494">
        <v>43</v>
      </c>
      <c r="D215" s="494" t="s">
        <v>540</v>
      </c>
      <c r="E215" s="494">
        <v>4.55</v>
      </c>
      <c r="F215" s="494">
        <v>9.4</v>
      </c>
      <c r="G215" s="494">
        <v>1.25</v>
      </c>
      <c r="H215" s="42"/>
      <c r="I215" s="422"/>
      <c r="J215" s="422"/>
      <c r="K215" s="422"/>
      <c r="L215" s="422"/>
      <c r="M215" s="422"/>
      <c r="N215" s="422"/>
      <c r="O215" s="422"/>
      <c r="P215" s="422"/>
    </row>
    <row r="216" spans="1:16" s="414" customFormat="1">
      <c r="A216" s="467" t="s">
        <v>580</v>
      </c>
      <c r="B216" s="493" t="s">
        <v>530</v>
      </c>
      <c r="C216" s="494">
        <v>88</v>
      </c>
      <c r="D216" s="494" t="s">
        <v>516</v>
      </c>
      <c r="E216" s="494">
        <v>2.6</v>
      </c>
      <c r="F216" s="494">
        <v>24.1</v>
      </c>
      <c r="G216" s="494">
        <v>3.95</v>
      </c>
      <c r="H216" s="42"/>
      <c r="I216" s="422"/>
      <c r="J216" s="422"/>
      <c r="K216" s="422"/>
      <c r="L216" s="422"/>
      <c r="M216" s="422"/>
      <c r="N216" s="422"/>
      <c r="O216" s="422"/>
      <c r="P216" s="422"/>
    </row>
    <row r="217" spans="1:16" s="414" customFormat="1">
      <c r="A217" s="467" t="s">
        <v>581</v>
      </c>
      <c r="B217" s="493" t="s">
        <v>582</v>
      </c>
      <c r="C217" s="494">
        <v>30</v>
      </c>
      <c r="D217" s="494" t="s">
        <v>520</v>
      </c>
      <c r="E217" s="494">
        <v>2.15</v>
      </c>
      <c r="F217" s="494">
        <v>3.4</v>
      </c>
      <c r="G217" s="494">
        <v>0.55000000000000004</v>
      </c>
      <c r="H217" s="42"/>
      <c r="I217" s="422"/>
      <c r="J217" s="422"/>
      <c r="K217" s="422"/>
      <c r="L217" s="422"/>
      <c r="M217" s="422"/>
      <c r="N217" s="422"/>
      <c r="O217" s="422"/>
      <c r="P217" s="422"/>
    </row>
    <row r="218" spans="1:16" s="414" customFormat="1">
      <c r="A218" s="467" t="s">
        <v>583</v>
      </c>
      <c r="B218" s="493" t="s">
        <v>584</v>
      </c>
      <c r="C218" s="494"/>
      <c r="D218" s="494" t="s">
        <v>516</v>
      </c>
      <c r="E218" s="494">
        <v>0.9</v>
      </c>
      <c r="F218" s="494">
        <v>4.45</v>
      </c>
      <c r="G218" s="494">
        <v>0.45</v>
      </c>
      <c r="H218" s="42"/>
      <c r="I218" s="422"/>
      <c r="J218" s="422"/>
      <c r="K218" s="422"/>
      <c r="L218" s="422"/>
      <c r="M218" s="422"/>
      <c r="N218" s="422"/>
      <c r="O218" s="422"/>
      <c r="P218" s="422"/>
    </row>
    <row r="219" spans="1:16" s="414" customFormat="1">
      <c r="A219" s="467" t="s">
        <v>585</v>
      </c>
      <c r="B219" s="493" t="s">
        <v>518</v>
      </c>
      <c r="C219" s="494">
        <v>6</v>
      </c>
      <c r="D219" s="494" t="s">
        <v>586</v>
      </c>
      <c r="E219" s="494">
        <v>0.7</v>
      </c>
      <c r="F219" s="494">
        <v>3.9</v>
      </c>
      <c r="G219" s="494">
        <v>0.23</v>
      </c>
      <c r="H219" s="42"/>
      <c r="I219" s="422"/>
      <c r="J219" s="422"/>
      <c r="K219" s="422"/>
      <c r="L219" s="422"/>
      <c r="M219" s="422"/>
      <c r="N219" s="422"/>
      <c r="O219" s="422"/>
      <c r="P219" s="422"/>
    </row>
    <row r="220" spans="1:16" s="414" customFormat="1">
      <c r="A220" s="467" t="s">
        <v>587</v>
      </c>
      <c r="B220" s="493" t="s">
        <v>588</v>
      </c>
      <c r="C220" s="494">
        <v>11</v>
      </c>
      <c r="D220" s="494" t="s">
        <v>520</v>
      </c>
      <c r="E220" s="494">
        <v>0.8</v>
      </c>
      <c r="F220" s="494">
        <v>4.2</v>
      </c>
      <c r="G220" s="494">
        <v>0.2</v>
      </c>
      <c r="H220" s="42"/>
      <c r="I220" s="422"/>
      <c r="J220" s="422"/>
      <c r="K220" s="422"/>
      <c r="L220" s="422"/>
      <c r="M220" s="422"/>
      <c r="N220" s="422"/>
      <c r="O220" s="422"/>
      <c r="P220" s="422"/>
    </row>
    <row r="221" spans="1:16" s="414" customFormat="1">
      <c r="A221" s="467" t="s">
        <v>589</v>
      </c>
      <c r="B221" s="493" t="s">
        <v>590</v>
      </c>
      <c r="C221" s="494">
        <v>26</v>
      </c>
      <c r="D221" s="494" t="s">
        <v>516</v>
      </c>
      <c r="E221" s="494">
        <v>2.95</v>
      </c>
      <c r="F221" s="494">
        <v>4</v>
      </c>
      <c r="G221" s="494">
        <v>0.7</v>
      </c>
      <c r="H221" s="42"/>
      <c r="I221" s="422"/>
      <c r="J221" s="422"/>
      <c r="K221" s="422"/>
      <c r="L221" s="422"/>
      <c r="M221" s="422"/>
      <c r="N221" s="422"/>
      <c r="O221" s="422"/>
      <c r="P221" s="422"/>
    </row>
    <row r="222" spans="1:16" s="414" customFormat="1">
      <c r="A222" s="467" t="s">
        <v>591</v>
      </c>
      <c r="B222" s="493" t="s">
        <v>592</v>
      </c>
      <c r="C222" s="494">
        <v>20</v>
      </c>
      <c r="D222" s="494" t="s">
        <v>528</v>
      </c>
      <c r="E222" s="494">
        <v>1</v>
      </c>
      <c r="F222" s="494">
        <v>7.2</v>
      </c>
      <c r="G222" s="494">
        <v>0.4</v>
      </c>
      <c r="H222" s="42"/>
      <c r="I222" s="422"/>
      <c r="J222" s="422"/>
      <c r="K222" s="422"/>
      <c r="L222" s="422"/>
      <c r="M222" s="422"/>
      <c r="N222" s="422"/>
      <c r="O222" s="422"/>
      <c r="P222" s="422"/>
    </row>
    <row r="223" spans="1:16" s="414" customFormat="1">
      <c r="A223" s="467" t="s">
        <v>593</v>
      </c>
      <c r="B223" s="493" t="s">
        <v>592</v>
      </c>
      <c r="C223" s="494">
        <v>15</v>
      </c>
      <c r="D223" s="494" t="s">
        <v>586</v>
      </c>
      <c r="E223" s="494">
        <v>0.75</v>
      </c>
      <c r="F223" s="494">
        <v>4.5</v>
      </c>
      <c r="G223" s="494">
        <v>0.3</v>
      </c>
      <c r="H223" s="42"/>
      <c r="I223" s="422"/>
      <c r="J223" s="422"/>
      <c r="K223" s="422"/>
      <c r="L223" s="422"/>
      <c r="M223" s="422"/>
      <c r="N223" s="422"/>
      <c r="O223" s="422"/>
      <c r="P223" s="422"/>
    </row>
    <row r="224" spans="1:16" s="414" customFormat="1">
      <c r="A224" s="467" t="s">
        <v>594</v>
      </c>
      <c r="B224" s="493" t="s">
        <v>575</v>
      </c>
      <c r="C224" s="494">
        <v>79</v>
      </c>
      <c r="D224" s="494" t="s">
        <v>528</v>
      </c>
      <c r="E224" s="494">
        <v>2</v>
      </c>
      <c r="F224" s="494">
        <v>50</v>
      </c>
      <c r="G224" s="494" t="s">
        <v>533</v>
      </c>
      <c r="H224" s="42"/>
      <c r="I224" s="422"/>
      <c r="J224" s="422"/>
      <c r="K224" s="422"/>
      <c r="L224" s="422"/>
      <c r="M224" s="422"/>
      <c r="N224" s="422"/>
      <c r="O224" s="422"/>
      <c r="P224" s="422"/>
    </row>
    <row r="225" spans="1:16" s="414" customFormat="1">
      <c r="A225" s="467" t="s">
        <v>595</v>
      </c>
      <c r="B225" s="493" t="s">
        <v>575</v>
      </c>
      <c r="C225" s="494">
        <v>87</v>
      </c>
      <c r="D225" s="494" t="s">
        <v>516</v>
      </c>
      <c r="E225" s="494">
        <v>2.5</v>
      </c>
      <c r="F225" s="494">
        <v>30</v>
      </c>
      <c r="G225" s="494">
        <v>5</v>
      </c>
      <c r="H225" s="42"/>
      <c r="I225" s="422"/>
      <c r="J225" s="422"/>
      <c r="K225" s="422"/>
      <c r="L225" s="422"/>
      <c r="M225" s="422"/>
      <c r="N225" s="422"/>
      <c r="O225" s="422"/>
      <c r="P225" s="422"/>
    </row>
    <row r="226" spans="1:16" s="414" customFormat="1">
      <c r="A226" s="467" t="s">
        <v>596</v>
      </c>
      <c r="B226" s="493" t="s">
        <v>575</v>
      </c>
      <c r="C226" s="494">
        <v>73</v>
      </c>
      <c r="D226" s="494" t="s">
        <v>520</v>
      </c>
      <c r="E226" s="494">
        <v>3</v>
      </c>
      <c r="F226" s="494">
        <v>80</v>
      </c>
      <c r="G226" s="494">
        <v>10</v>
      </c>
      <c r="H226" s="42"/>
      <c r="I226" s="422"/>
      <c r="J226" s="422"/>
      <c r="K226" s="422"/>
      <c r="L226" s="422"/>
      <c r="M226" s="422"/>
      <c r="N226" s="422"/>
      <c r="O226" s="422"/>
      <c r="P226" s="422"/>
    </row>
    <row r="227" spans="1:16" s="414" customFormat="1">
      <c r="A227" s="467" t="s">
        <v>597</v>
      </c>
      <c r="B227" s="493" t="s">
        <v>584</v>
      </c>
      <c r="C227" s="494">
        <v>6</v>
      </c>
      <c r="D227" s="494" t="s">
        <v>516</v>
      </c>
      <c r="E227" s="494">
        <v>0.5</v>
      </c>
      <c r="F227" s="494">
        <v>2.9</v>
      </c>
      <c r="G227" s="494">
        <v>0.2</v>
      </c>
      <c r="H227" s="42"/>
      <c r="I227" s="422"/>
      <c r="J227" s="422"/>
      <c r="K227" s="422"/>
      <c r="L227" s="422"/>
      <c r="M227" s="422"/>
      <c r="N227" s="422"/>
      <c r="O227" s="422"/>
      <c r="P227" s="422"/>
    </row>
    <row r="228" spans="1:16" s="414" customFormat="1">
      <c r="A228" s="467" t="s">
        <v>598</v>
      </c>
      <c r="B228" s="493" t="s">
        <v>599</v>
      </c>
      <c r="C228" s="494">
        <v>5</v>
      </c>
      <c r="D228" s="494" t="s">
        <v>516</v>
      </c>
      <c r="E228" s="494">
        <v>0.55000000000000004</v>
      </c>
      <c r="F228" s="494">
        <v>3.5</v>
      </c>
      <c r="G228" s="494">
        <v>0.18</v>
      </c>
      <c r="H228" s="42"/>
      <c r="I228" s="422"/>
      <c r="J228" s="422"/>
      <c r="K228" s="422"/>
      <c r="L228" s="422"/>
      <c r="M228" s="422"/>
      <c r="N228" s="422"/>
      <c r="O228" s="422"/>
      <c r="P228" s="422"/>
    </row>
    <row r="229" spans="1:16" s="414" customFormat="1" ht="15.75" thickBot="1">
      <c r="A229" s="521" t="s">
        <v>600</v>
      </c>
      <c r="B229" s="522" t="s">
        <v>601</v>
      </c>
      <c r="C229" s="523">
        <v>5</v>
      </c>
      <c r="D229" s="523" t="s">
        <v>528</v>
      </c>
      <c r="E229" s="523">
        <v>0.8</v>
      </c>
      <c r="F229" s="523">
        <v>3.8</v>
      </c>
      <c r="G229" s="523" t="s">
        <v>533</v>
      </c>
      <c r="H229" s="42"/>
      <c r="I229" s="422"/>
      <c r="J229" s="422"/>
      <c r="K229" s="422"/>
      <c r="L229" s="422"/>
      <c r="M229" s="422"/>
      <c r="N229" s="422"/>
      <c r="O229" s="422"/>
      <c r="P229" s="422"/>
    </row>
    <row r="230" spans="1:16" s="414" customFormat="1" ht="16.5" thickBot="1">
      <c r="A230" s="926" t="s">
        <v>602</v>
      </c>
      <c r="B230" s="927"/>
      <c r="C230" s="927"/>
      <c r="D230" s="927"/>
      <c r="E230" s="927"/>
      <c r="F230" s="927"/>
      <c r="G230" s="927"/>
      <c r="H230" s="928"/>
      <c r="I230" s="422"/>
      <c r="J230" s="422"/>
      <c r="K230" s="422"/>
      <c r="L230" s="422"/>
      <c r="M230" s="422"/>
      <c r="N230" s="422"/>
      <c r="O230" s="422"/>
      <c r="P230" s="422"/>
    </row>
    <row r="231" spans="1:16" s="414" customFormat="1">
      <c r="A231" s="923" t="s">
        <v>603</v>
      </c>
      <c r="B231" s="924" t="s">
        <v>604</v>
      </c>
      <c r="C231" s="924" t="s">
        <v>605</v>
      </c>
      <c r="D231" s="924"/>
      <c r="E231" s="924"/>
      <c r="F231" s="924" t="s">
        <v>606</v>
      </c>
      <c r="G231" s="924"/>
      <c r="H231" s="524" t="s">
        <v>607</v>
      </c>
      <c r="I231" s="422"/>
      <c r="J231" s="422"/>
      <c r="K231" s="422"/>
      <c r="L231" s="422"/>
      <c r="M231" s="422"/>
      <c r="N231" s="422"/>
      <c r="O231" s="422"/>
      <c r="P231" s="422"/>
    </row>
    <row r="232" spans="1:16" s="414" customFormat="1" ht="45.75" thickBot="1">
      <c r="A232" s="711"/>
      <c r="B232" s="925"/>
      <c r="C232" s="525" t="s">
        <v>609</v>
      </c>
      <c r="D232" s="525" t="s">
        <v>608</v>
      </c>
      <c r="E232" s="526" t="s">
        <v>611</v>
      </c>
      <c r="F232" s="525" t="s">
        <v>610</v>
      </c>
      <c r="G232" s="525" t="s">
        <v>608</v>
      </c>
      <c r="H232" s="527" t="s">
        <v>612</v>
      </c>
      <c r="I232" s="422"/>
      <c r="J232" s="422"/>
      <c r="K232" s="422"/>
      <c r="L232" s="422"/>
      <c r="M232" s="422"/>
      <c r="N232" s="422"/>
      <c r="O232" s="422"/>
      <c r="P232" s="422"/>
    </row>
    <row r="233" spans="1:16" s="414" customFormat="1">
      <c r="A233" s="471" t="s">
        <v>617</v>
      </c>
      <c r="B233" s="520" t="s">
        <v>618</v>
      </c>
      <c r="C233" s="500">
        <v>6.4</v>
      </c>
      <c r="D233" s="403" t="s">
        <v>533</v>
      </c>
      <c r="E233" s="500">
        <v>2</v>
      </c>
      <c r="F233" s="500">
        <v>7.3</v>
      </c>
      <c r="G233" s="500">
        <v>35.5</v>
      </c>
      <c r="H233" s="501" t="s">
        <v>632</v>
      </c>
      <c r="I233" s="422"/>
      <c r="J233" s="422"/>
      <c r="K233" s="422"/>
      <c r="L233" s="422"/>
      <c r="M233" s="422"/>
      <c r="N233" s="422"/>
      <c r="O233" s="422"/>
      <c r="P233" s="422"/>
    </row>
    <row r="234" spans="1:16" s="414" customFormat="1">
      <c r="A234" s="922" t="s">
        <v>613</v>
      </c>
      <c r="B234" s="494" t="s">
        <v>619</v>
      </c>
      <c r="C234" s="494">
        <v>7</v>
      </c>
      <c r="D234" s="405" t="s">
        <v>533</v>
      </c>
      <c r="E234" s="494">
        <v>2.6</v>
      </c>
      <c r="F234" s="494">
        <v>7.3</v>
      </c>
      <c r="G234" s="494">
        <v>35.5</v>
      </c>
      <c r="H234" s="495" t="s">
        <v>632</v>
      </c>
      <c r="I234" s="422"/>
      <c r="J234" s="422"/>
      <c r="K234" s="422"/>
      <c r="L234" s="422"/>
      <c r="M234" s="422"/>
      <c r="N234" s="422"/>
      <c r="O234" s="422"/>
      <c r="P234" s="422"/>
    </row>
    <row r="235" spans="1:16" s="414" customFormat="1">
      <c r="A235" s="922"/>
      <c r="B235" s="494" t="s">
        <v>620</v>
      </c>
      <c r="C235" s="494">
        <v>5.0999999999999996</v>
      </c>
      <c r="D235" s="494">
        <v>24.6</v>
      </c>
      <c r="E235" s="494">
        <v>2.7</v>
      </c>
      <c r="F235" s="494">
        <v>6.2</v>
      </c>
      <c r="G235" s="494">
        <v>30.8</v>
      </c>
      <c r="H235" s="495" t="s">
        <v>633</v>
      </c>
      <c r="I235" s="422"/>
      <c r="J235" s="422"/>
      <c r="K235" s="422"/>
      <c r="L235" s="422"/>
      <c r="M235" s="422"/>
      <c r="N235" s="422"/>
      <c r="O235" s="422"/>
      <c r="P235" s="422"/>
    </row>
    <row r="236" spans="1:16" s="414" customFormat="1">
      <c r="A236" s="468" t="s">
        <v>621</v>
      </c>
      <c r="B236" s="493" t="s">
        <v>620</v>
      </c>
      <c r="C236" s="494" t="s">
        <v>634</v>
      </c>
      <c r="D236" s="494">
        <v>22.1</v>
      </c>
      <c r="E236" s="405" t="s">
        <v>622</v>
      </c>
      <c r="F236" s="494">
        <v>6.2</v>
      </c>
      <c r="G236" s="494">
        <v>30.8</v>
      </c>
      <c r="H236" s="495" t="s">
        <v>633</v>
      </c>
      <c r="I236" s="422"/>
      <c r="J236" s="422"/>
      <c r="K236" s="422"/>
      <c r="L236" s="422"/>
      <c r="M236" s="422"/>
      <c r="N236" s="422"/>
      <c r="O236" s="422"/>
      <c r="P236" s="422"/>
    </row>
    <row r="237" spans="1:16" s="414" customFormat="1">
      <c r="A237" s="922" t="s">
        <v>614</v>
      </c>
      <c r="B237" s="494" t="s">
        <v>618</v>
      </c>
      <c r="C237" s="494">
        <v>6.6</v>
      </c>
      <c r="D237" s="405" t="s">
        <v>533</v>
      </c>
      <c r="E237" s="494">
        <v>2.7</v>
      </c>
      <c r="F237" s="494">
        <v>7.3</v>
      </c>
      <c r="G237" s="494">
        <v>35.5</v>
      </c>
      <c r="H237" s="495" t="s">
        <v>632</v>
      </c>
      <c r="I237" s="422"/>
      <c r="J237" s="422"/>
      <c r="K237" s="422"/>
      <c r="L237" s="422"/>
      <c r="M237" s="422"/>
      <c r="N237" s="422"/>
      <c r="O237" s="422"/>
      <c r="P237" s="422"/>
    </row>
    <row r="238" spans="1:16" s="414" customFormat="1">
      <c r="A238" s="922"/>
      <c r="B238" s="494" t="s">
        <v>620</v>
      </c>
      <c r="C238" s="494">
        <v>7.6</v>
      </c>
      <c r="D238" s="405" t="s">
        <v>533</v>
      </c>
      <c r="E238" s="405" t="s">
        <v>533</v>
      </c>
      <c r="F238" s="494">
        <v>6.2</v>
      </c>
      <c r="G238" s="494">
        <v>30.8</v>
      </c>
      <c r="H238" s="495" t="s">
        <v>633</v>
      </c>
      <c r="I238" s="422"/>
      <c r="J238" s="422"/>
      <c r="K238" s="422"/>
      <c r="L238" s="422"/>
      <c r="M238" s="422"/>
      <c r="N238" s="422"/>
      <c r="O238" s="422"/>
      <c r="P238" s="422"/>
    </row>
    <row r="239" spans="1:16" s="414" customFormat="1">
      <c r="A239" s="922" t="s">
        <v>303</v>
      </c>
      <c r="B239" s="494" t="s">
        <v>623</v>
      </c>
      <c r="C239" s="493">
        <v>5.8</v>
      </c>
      <c r="D239" s="494">
        <v>31.8</v>
      </c>
      <c r="E239" s="494">
        <v>2.2000000000000002</v>
      </c>
      <c r="F239" s="405" t="s">
        <v>533</v>
      </c>
      <c r="G239" s="405" t="s">
        <v>533</v>
      </c>
      <c r="H239" s="40" t="s">
        <v>533</v>
      </c>
      <c r="I239" s="422"/>
      <c r="J239" s="422"/>
      <c r="K239" s="422"/>
      <c r="L239" s="422"/>
      <c r="M239" s="422"/>
      <c r="N239" s="422"/>
      <c r="O239" s="422"/>
      <c r="P239" s="422"/>
    </row>
    <row r="240" spans="1:16" s="414" customFormat="1">
      <c r="A240" s="922"/>
      <c r="B240" s="493" t="s">
        <v>624</v>
      </c>
      <c r="C240" s="494">
        <v>6</v>
      </c>
      <c r="D240" s="405" t="s">
        <v>533</v>
      </c>
      <c r="E240" s="405" t="s">
        <v>533</v>
      </c>
      <c r="F240" s="405" t="s">
        <v>533</v>
      </c>
      <c r="G240" s="405" t="s">
        <v>533</v>
      </c>
      <c r="H240" s="40" t="s">
        <v>533</v>
      </c>
      <c r="I240" s="422"/>
      <c r="J240" s="422"/>
      <c r="K240" s="422"/>
      <c r="L240" s="422"/>
      <c r="M240" s="422"/>
      <c r="N240" s="422"/>
      <c r="O240" s="422"/>
      <c r="P240" s="422"/>
    </row>
    <row r="241" spans="1:16" s="414" customFormat="1">
      <c r="A241" s="922"/>
      <c r="B241" s="493" t="s">
        <v>625</v>
      </c>
      <c r="C241" s="494">
        <v>6.3</v>
      </c>
      <c r="D241" s="494">
        <v>26.2</v>
      </c>
      <c r="E241" s="494">
        <v>3.9</v>
      </c>
      <c r="F241" s="405" t="s">
        <v>533</v>
      </c>
      <c r="G241" s="405" t="s">
        <v>533</v>
      </c>
      <c r="H241" s="40" t="s">
        <v>533</v>
      </c>
      <c r="I241" s="422"/>
      <c r="J241" s="422"/>
      <c r="K241" s="422"/>
      <c r="L241" s="422"/>
      <c r="M241" s="422"/>
      <c r="N241" s="422"/>
      <c r="O241" s="422"/>
      <c r="P241" s="422"/>
    </row>
    <row r="242" spans="1:16" s="414" customFormat="1">
      <c r="A242" s="922" t="s">
        <v>627</v>
      </c>
      <c r="B242" s="494" t="s">
        <v>626</v>
      </c>
      <c r="C242" s="493">
        <v>7.1</v>
      </c>
      <c r="D242" s="494">
        <v>25.9</v>
      </c>
      <c r="E242" s="494">
        <v>2.7</v>
      </c>
      <c r="F242" s="494">
        <v>7.4</v>
      </c>
      <c r="G242" s="494">
        <v>36.200000000000003</v>
      </c>
      <c r="H242" s="495" t="s">
        <v>635</v>
      </c>
      <c r="I242" s="422"/>
      <c r="J242" s="422"/>
      <c r="K242" s="422"/>
      <c r="L242" s="422"/>
      <c r="M242" s="422"/>
      <c r="N242" s="422"/>
      <c r="O242" s="422"/>
      <c r="P242" s="422"/>
    </row>
    <row r="243" spans="1:16" s="414" customFormat="1">
      <c r="A243" s="922"/>
      <c r="B243" s="493" t="s">
        <v>619</v>
      </c>
      <c r="C243" s="494">
        <v>5.6</v>
      </c>
      <c r="D243" s="405" t="s">
        <v>533</v>
      </c>
      <c r="E243" s="494">
        <v>2.5</v>
      </c>
      <c r="F243" s="494">
        <v>7.6</v>
      </c>
      <c r="G243" s="494">
        <v>36.700000000000003</v>
      </c>
      <c r="H243" s="495" t="s">
        <v>642</v>
      </c>
      <c r="I243" s="422"/>
      <c r="J243" s="422"/>
      <c r="K243" s="422"/>
      <c r="L243" s="422"/>
      <c r="M243" s="422"/>
      <c r="N243" s="422"/>
      <c r="O243" s="422"/>
      <c r="P243" s="422"/>
    </row>
    <row r="244" spans="1:16" s="414" customFormat="1">
      <c r="A244" s="922"/>
      <c r="B244" s="494" t="s">
        <v>620</v>
      </c>
      <c r="C244" s="494">
        <v>6.9</v>
      </c>
      <c r="D244" s="494">
        <v>29.9</v>
      </c>
      <c r="E244" s="494">
        <v>2.6</v>
      </c>
      <c r="F244" s="494">
        <v>6.5</v>
      </c>
      <c r="G244" s="494">
        <v>32</v>
      </c>
      <c r="H244" s="495" t="s">
        <v>636</v>
      </c>
      <c r="I244" s="422"/>
      <c r="J244" s="422"/>
      <c r="K244" s="422"/>
      <c r="L244" s="422"/>
      <c r="M244" s="422"/>
      <c r="N244" s="422"/>
      <c r="O244" s="422"/>
      <c r="P244" s="422"/>
    </row>
    <row r="245" spans="1:16" s="414" customFormat="1">
      <c r="A245" s="922" t="s">
        <v>628</v>
      </c>
      <c r="B245" s="493" t="s">
        <v>625</v>
      </c>
      <c r="C245" s="494" t="s">
        <v>637</v>
      </c>
      <c r="D245" s="494">
        <v>26.5</v>
      </c>
      <c r="E245" s="494">
        <v>3.6</v>
      </c>
      <c r="F245" s="494">
        <v>6.2</v>
      </c>
      <c r="G245" s="494">
        <v>30.8</v>
      </c>
      <c r="H245" s="495" t="s">
        <v>638</v>
      </c>
      <c r="I245" s="422"/>
      <c r="J245" s="422"/>
      <c r="K245" s="422"/>
      <c r="L245" s="422"/>
      <c r="M245" s="422"/>
      <c r="N245" s="422"/>
      <c r="O245" s="422"/>
      <c r="P245" s="422"/>
    </row>
    <row r="246" spans="1:16" s="414" customFormat="1">
      <c r="A246" s="922"/>
      <c r="B246" s="494" t="s">
        <v>629</v>
      </c>
      <c r="C246" s="494">
        <v>6.8</v>
      </c>
      <c r="D246" s="405" t="s">
        <v>533</v>
      </c>
      <c r="E246" s="405" t="s">
        <v>533</v>
      </c>
      <c r="F246" s="494">
        <v>9.1999999999999993</v>
      </c>
      <c r="G246" s="494">
        <v>43.4</v>
      </c>
      <c r="H246" s="495" t="s">
        <v>639</v>
      </c>
      <c r="I246" s="422"/>
      <c r="J246" s="422"/>
      <c r="K246" s="422"/>
      <c r="L246" s="422"/>
      <c r="M246" s="422"/>
      <c r="N246" s="422"/>
      <c r="O246" s="422"/>
      <c r="P246" s="422"/>
    </row>
    <row r="247" spans="1:16" s="414" customFormat="1">
      <c r="A247" s="922" t="s">
        <v>630</v>
      </c>
      <c r="B247" s="493" t="s">
        <v>624</v>
      </c>
      <c r="C247" s="494">
        <v>7.5</v>
      </c>
      <c r="D247" s="405" t="s">
        <v>533</v>
      </c>
      <c r="E247" s="405" t="s">
        <v>533</v>
      </c>
      <c r="F247" s="494">
        <v>7.3</v>
      </c>
      <c r="G247" s="494">
        <v>35.5</v>
      </c>
      <c r="H247" s="495" t="s">
        <v>640</v>
      </c>
      <c r="I247" s="422"/>
      <c r="J247" s="422"/>
      <c r="K247" s="422"/>
      <c r="L247" s="422"/>
      <c r="M247" s="422"/>
      <c r="N247" s="422"/>
      <c r="O247" s="422"/>
      <c r="P247" s="422"/>
    </row>
    <row r="248" spans="1:16" s="414" customFormat="1">
      <c r="A248" s="922"/>
      <c r="B248" s="494" t="s">
        <v>620</v>
      </c>
      <c r="C248" s="494">
        <v>6.7</v>
      </c>
      <c r="D248" s="494">
        <v>28.6</v>
      </c>
      <c r="E248" s="494">
        <v>2.7</v>
      </c>
      <c r="F248" s="494">
        <v>6.2</v>
      </c>
      <c r="G248" s="494">
        <v>30.8</v>
      </c>
      <c r="H248" s="495" t="s">
        <v>633</v>
      </c>
      <c r="I248" s="422"/>
      <c r="J248" s="422"/>
      <c r="K248" s="422"/>
      <c r="L248" s="422"/>
      <c r="M248" s="422"/>
      <c r="N248" s="422"/>
      <c r="O248" s="422"/>
      <c r="P248" s="422"/>
    </row>
    <row r="249" spans="1:16" s="414" customFormat="1">
      <c r="A249" s="922" t="s">
        <v>615</v>
      </c>
      <c r="B249" s="494" t="s">
        <v>618</v>
      </c>
      <c r="C249" s="494">
        <v>6.8</v>
      </c>
      <c r="D249" s="494">
        <v>44.1</v>
      </c>
      <c r="E249" s="494">
        <v>2.6</v>
      </c>
      <c r="F249" s="494">
        <v>7.3</v>
      </c>
      <c r="G249" s="494">
        <v>35.5</v>
      </c>
      <c r="H249" s="495" t="s">
        <v>632</v>
      </c>
      <c r="I249" s="422"/>
      <c r="J249" s="422"/>
      <c r="K249" s="422"/>
      <c r="L249" s="422"/>
      <c r="M249" s="422"/>
      <c r="N249" s="422"/>
      <c r="O249" s="422"/>
      <c r="P249" s="422"/>
    </row>
    <row r="250" spans="1:16" s="414" customFormat="1">
      <c r="A250" s="922"/>
      <c r="B250" s="494" t="s">
        <v>620</v>
      </c>
      <c r="C250" s="494">
        <v>7</v>
      </c>
      <c r="D250" s="494">
        <v>38.9</v>
      </c>
      <c r="E250" s="405" t="s">
        <v>533</v>
      </c>
      <c r="F250" s="494">
        <v>6.2</v>
      </c>
      <c r="G250" s="494">
        <v>30.8</v>
      </c>
      <c r="H250" s="495" t="s">
        <v>633</v>
      </c>
      <c r="I250" s="422"/>
      <c r="J250" s="422"/>
      <c r="K250" s="422"/>
      <c r="L250" s="422"/>
      <c r="M250" s="422"/>
      <c r="N250" s="422"/>
      <c r="O250" s="422"/>
      <c r="P250" s="422"/>
    </row>
    <row r="251" spans="1:16" s="414" customFormat="1">
      <c r="A251" s="922" t="s">
        <v>616</v>
      </c>
      <c r="B251" s="494" t="s">
        <v>619</v>
      </c>
      <c r="C251" s="494">
        <v>7.4</v>
      </c>
      <c r="D251" s="405" t="s">
        <v>533</v>
      </c>
      <c r="E251" s="494">
        <v>2.2999999999999998</v>
      </c>
      <c r="F251" s="494">
        <v>7.3</v>
      </c>
      <c r="G251" s="494">
        <v>35.5</v>
      </c>
      <c r="H251" s="495" t="s">
        <v>632</v>
      </c>
      <c r="I251" s="422"/>
      <c r="J251" s="422"/>
      <c r="K251" s="422"/>
      <c r="L251" s="422"/>
      <c r="M251" s="422"/>
      <c r="N251" s="422"/>
      <c r="O251" s="422"/>
      <c r="P251" s="422"/>
    </row>
    <row r="252" spans="1:16" s="414" customFormat="1">
      <c r="A252" s="922"/>
      <c r="B252" s="494" t="s">
        <v>625</v>
      </c>
      <c r="C252" s="494">
        <v>8.4</v>
      </c>
      <c r="D252" s="494">
        <v>33.700000000000003</v>
      </c>
      <c r="E252" s="494">
        <v>1.8</v>
      </c>
      <c r="F252" s="494">
        <v>6.2</v>
      </c>
      <c r="G252" s="494">
        <v>30.8</v>
      </c>
      <c r="H252" s="495" t="s">
        <v>633</v>
      </c>
      <c r="I252" s="422"/>
      <c r="J252" s="422"/>
      <c r="K252" s="422"/>
      <c r="L252" s="422"/>
      <c r="M252" s="422"/>
      <c r="N252" s="422"/>
      <c r="O252" s="422"/>
      <c r="P252" s="422"/>
    </row>
    <row r="253" spans="1:16" s="414" customFormat="1">
      <c r="A253" s="468" t="s">
        <v>631</v>
      </c>
      <c r="B253" s="493" t="s">
        <v>619</v>
      </c>
      <c r="C253" s="494">
        <v>8.3000000000000007</v>
      </c>
      <c r="D253" s="405" t="s">
        <v>533</v>
      </c>
      <c r="E253" s="494">
        <v>2.8</v>
      </c>
      <c r="F253" s="405" t="s">
        <v>533</v>
      </c>
      <c r="G253" s="405" t="s">
        <v>533</v>
      </c>
      <c r="H253" s="40" t="s">
        <v>533</v>
      </c>
      <c r="I253" s="422"/>
      <c r="J253" s="422"/>
      <c r="K253" s="422"/>
      <c r="L253" s="422"/>
      <c r="M253" s="422"/>
      <c r="N253" s="422"/>
      <c r="O253" s="422"/>
      <c r="P253" s="422"/>
    </row>
    <row r="254" spans="1:16" s="414" customFormat="1">
      <c r="A254" s="922" t="s">
        <v>506</v>
      </c>
      <c r="B254" s="494" t="s">
        <v>619</v>
      </c>
      <c r="C254" s="494" t="s">
        <v>641</v>
      </c>
      <c r="D254" s="494">
        <v>22.7</v>
      </c>
      <c r="E254" s="405" t="s">
        <v>533</v>
      </c>
      <c r="F254" s="405" t="s">
        <v>533</v>
      </c>
      <c r="G254" s="405" t="s">
        <v>533</v>
      </c>
      <c r="H254" s="40" t="s">
        <v>533</v>
      </c>
      <c r="I254" s="422"/>
      <c r="J254" s="422"/>
      <c r="K254" s="422"/>
      <c r="L254" s="422"/>
      <c r="M254" s="422"/>
      <c r="N254" s="422"/>
      <c r="O254" s="422"/>
      <c r="P254" s="422"/>
    </row>
    <row r="255" spans="1:16" s="414" customFormat="1" ht="15.75" thickBot="1">
      <c r="A255" s="942"/>
      <c r="B255" s="496" t="s">
        <v>625</v>
      </c>
      <c r="C255" s="496">
        <v>2.2999999999999998</v>
      </c>
      <c r="D255" s="496">
        <v>14.4</v>
      </c>
      <c r="E255" s="496">
        <v>1.5</v>
      </c>
      <c r="F255" s="406" t="s">
        <v>533</v>
      </c>
      <c r="G255" s="406" t="s">
        <v>533</v>
      </c>
      <c r="H255" s="41" t="s">
        <v>533</v>
      </c>
      <c r="I255" s="422"/>
      <c r="J255" s="422"/>
      <c r="K255" s="422"/>
      <c r="L255" s="422"/>
      <c r="M255" s="422"/>
      <c r="N255" s="422"/>
      <c r="O255" s="422"/>
      <c r="P255" s="422"/>
    </row>
    <row r="256" spans="1:16" s="414" customFormat="1" ht="15.75" thickBot="1">
      <c r="A256" s="528" t="s">
        <v>603</v>
      </c>
      <c r="B256" s="529" t="s">
        <v>507</v>
      </c>
      <c r="C256" s="530" t="s">
        <v>512</v>
      </c>
      <c r="D256" s="530" t="s">
        <v>509</v>
      </c>
      <c r="E256" s="530" t="s">
        <v>39</v>
      </c>
      <c r="F256" s="530" t="s">
        <v>510</v>
      </c>
      <c r="G256" s="531" t="s">
        <v>511</v>
      </c>
      <c r="H256" s="42"/>
      <c r="I256" s="422"/>
      <c r="J256" s="422"/>
      <c r="K256" s="422"/>
      <c r="L256" s="422"/>
      <c r="M256" s="422"/>
      <c r="N256" s="422"/>
      <c r="O256" s="422"/>
      <c r="P256" s="422"/>
    </row>
    <row r="257" spans="1:16" s="414" customFormat="1">
      <c r="A257" s="532" t="s">
        <v>643</v>
      </c>
      <c r="B257" s="533" t="s">
        <v>518</v>
      </c>
      <c r="C257" s="534">
        <v>16</v>
      </c>
      <c r="D257" s="534" t="s">
        <v>516</v>
      </c>
      <c r="E257" s="534">
        <v>0.55000000000000004</v>
      </c>
      <c r="F257" s="534">
        <v>1.95</v>
      </c>
      <c r="G257" s="48" t="s">
        <v>533</v>
      </c>
      <c r="H257" s="42"/>
      <c r="I257" s="422"/>
      <c r="J257" s="422"/>
      <c r="K257" s="422"/>
      <c r="L257" s="422"/>
      <c r="M257" s="422"/>
      <c r="N257" s="422"/>
      <c r="O257" s="422"/>
      <c r="P257" s="422"/>
    </row>
    <row r="258" spans="1:16" s="414" customFormat="1">
      <c r="A258" s="468" t="s">
        <v>644</v>
      </c>
      <c r="B258" s="493" t="s">
        <v>568</v>
      </c>
      <c r="C258" s="494">
        <v>13</v>
      </c>
      <c r="D258" s="494" t="s">
        <v>520</v>
      </c>
      <c r="E258" s="494" t="s">
        <v>646</v>
      </c>
      <c r="F258" s="494">
        <v>1.5</v>
      </c>
      <c r="G258" s="40" t="s">
        <v>533</v>
      </c>
      <c r="H258" s="42"/>
      <c r="I258" s="422"/>
      <c r="J258" s="422"/>
      <c r="K258" s="422"/>
      <c r="L258" s="422"/>
      <c r="M258" s="422"/>
      <c r="N258" s="422"/>
      <c r="O258" s="422"/>
      <c r="P258" s="422"/>
    </row>
    <row r="259" spans="1:16" s="414" customFormat="1" ht="15.75" thickBot="1">
      <c r="A259" s="469" t="s">
        <v>504</v>
      </c>
      <c r="B259" s="535" t="s">
        <v>645</v>
      </c>
      <c r="C259" s="496">
        <v>100</v>
      </c>
      <c r="D259" s="496" t="s">
        <v>520</v>
      </c>
      <c r="E259" s="496">
        <v>4.2</v>
      </c>
      <c r="F259" s="496">
        <v>11.9</v>
      </c>
      <c r="G259" s="497">
        <v>1.85</v>
      </c>
      <c r="H259" s="42"/>
      <c r="I259" s="422"/>
      <c r="J259" s="422"/>
      <c r="K259" s="422"/>
      <c r="L259" s="422"/>
      <c r="M259" s="422"/>
      <c r="N259" s="422"/>
      <c r="O259" s="422"/>
      <c r="P259" s="422"/>
    </row>
    <row r="260" spans="1:16" s="414" customFormat="1">
      <c r="A260" s="422"/>
      <c r="B260" s="492"/>
      <c r="C260" s="42"/>
      <c r="D260" s="42"/>
      <c r="E260" s="42"/>
      <c r="F260" s="42"/>
      <c r="G260" s="42"/>
      <c r="H260" s="42"/>
      <c r="I260" s="422"/>
      <c r="J260" s="422"/>
      <c r="K260" s="422"/>
      <c r="L260" s="422"/>
      <c r="M260" s="422"/>
      <c r="N260" s="422"/>
      <c r="O260" s="422"/>
      <c r="P260" s="422"/>
    </row>
    <row r="261" spans="1:16" s="414" customFormat="1">
      <c r="A261" s="422"/>
      <c r="B261" s="492"/>
      <c r="C261" s="42"/>
      <c r="D261" s="42"/>
      <c r="E261" s="42"/>
      <c r="F261" s="42"/>
      <c r="G261" s="42"/>
      <c r="H261" s="42"/>
      <c r="I261" s="422"/>
      <c r="J261" s="422"/>
      <c r="K261" s="422"/>
      <c r="L261" s="422"/>
      <c r="M261" s="422"/>
      <c r="N261" s="422"/>
      <c r="O261" s="422"/>
      <c r="P261" s="422"/>
    </row>
    <row r="262" spans="1:16" s="414" customFormat="1">
      <c r="A262" s="422"/>
      <c r="B262" s="492"/>
      <c r="C262" s="42"/>
      <c r="D262" s="42"/>
      <c r="E262" s="42"/>
      <c r="F262" s="42"/>
      <c r="G262" s="42"/>
      <c r="H262" s="42"/>
      <c r="I262" s="422"/>
      <c r="J262" s="422"/>
      <c r="K262" s="422"/>
      <c r="L262" s="422"/>
      <c r="M262" s="422"/>
      <c r="N262" s="422"/>
      <c r="O262" s="422"/>
      <c r="P262" s="422"/>
    </row>
    <row r="263" spans="1:16" s="414" customFormat="1">
      <c r="A263" s="422"/>
      <c r="B263" s="492"/>
      <c r="C263" s="42"/>
      <c r="D263" s="42"/>
      <c r="E263" s="42"/>
      <c r="F263" s="42"/>
      <c r="G263" s="42"/>
      <c r="H263" s="42"/>
      <c r="I263" s="422"/>
      <c r="J263" s="422"/>
      <c r="K263" s="422"/>
      <c r="L263" s="422"/>
      <c r="M263" s="422"/>
      <c r="N263" s="422"/>
      <c r="O263" s="422"/>
      <c r="P263" s="422"/>
    </row>
    <row r="264" spans="1:16" s="414" customFormat="1">
      <c r="A264" s="422"/>
      <c r="B264" s="492"/>
      <c r="C264" s="42"/>
      <c r="D264" s="42"/>
      <c r="E264" s="42"/>
      <c r="F264" s="42"/>
      <c r="G264" s="42"/>
      <c r="H264" s="42"/>
      <c r="I264" s="422"/>
      <c r="J264" s="422"/>
      <c r="K264" s="422"/>
      <c r="L264" s="422"/>
      <c r="M264" s="422"/>
      <c r="N264" s="422"/>
      <c r="O264" s="422"/>
      <c r="P264" s="422"/>
    </row>
    <row r="265" spans="1:16" s="414" customFormat="1">
      <c r="A265" s="422"/>
      <c r="B265" s="492"/>
      <c r="C265" s="42"/>
      <c r="D265" s="42"/>
      <c r="E265" s="42"/>
      <c r="F265" s="42"/>
      <c r="G265" s="42"/>
      <c r="H265" s="42"/>
      <c r="I265" s="422"/>
      <c r="J265" s="422"/>
      <c r="K265" s="422"/>
      <c r="L265" s="422"/>
      <c r="M265" s="422"/>
      <c r="N265" s="422"/>
      <c r="O265" s="422"/>
      <c r="P265" s="422"/>
    </row>
    <row r="266" spans="1:16" s="414" customFormat="1">
      <c r="A266" s="422"/>
      <c r="B266" s="492"/>
      <c r="C266" s="42"/>
      <c r="D266" s="42"/>
      <c r="E266" s="42"/>
      <c r="F266" s="42"/>
      <c r="G266" s="42"/>
      <c r="H266" s="42"/>
      <c r="I266" s="422"/>
      <c r="J266" s="422"/>
      <c r="K266" s="422"/>
      <c r="L266" s="422"/>
      <c r="M266" s="422"/>
      <c r="N266" s="422"/>
      <c r="O266" s="422"/>
      <c r="P266" s="422"/>
    </row>
    <row r="267" spans="1:16" s="414" customFormat="1">
      <c r="A267" s="422"/>
      <c r="B267" s="492"/>
      <c r="C267" s="42"/>
      <c r="D267" s="42"/>
      <c r="E267" s="42"/>
      <c r="F267" s="42"/>
      <c r="G267" s="42"/>
      <c r="H267" s="42"/>
      <c r="I267" s="422"/>
      <c r="J267" s="422"/>
      <c r="K267" s="422"/>
      <c r="L267" s="422"/>
      <c r="M267" s="422"/>
      <c r="N267" s="422"/>
      <c r="O267" s="422"/>
      <c r="P267" s="422"/>
    </row>
    <row r="268" spans="1:16" s="414" customFormat="1">
      <c r="A268" s="422"/>
      <c r="B268" s="492"/>
      <c r="C268" s="42"/>
      <c r="D268" s="42"/>
      <c r="E268" s="42"/>
      <c r="F268" s="42"/>
      <c r="G268" s="42"/>
      <c r="H268" s="42"/>
      <c r="I268" s="422"/>
      <c r="J268" s="422"/>
      <c r="K268" s="422"/>
      <c r="L268" s="422"/>
      <c r="M268" s="422"/>
      <c r="N268" s="422"/>
      <c r="O268" s="422"/>
      <c r="P268" s="422"/>
    </row>
    <row r="269" spans="1:16" s="414" customFormat="1">
      <c r="A269" s="422"/>
      <c r="B269" s="492"/>
      <c r="C269" s="42"/>
      <c r="D269" s="42"/>
      <c r="E269" s="42"/>
      <c r="F269" s="42"/>
      <c r="G269" s="42"/>
      <c r="H269" s="42"/>
      <c r="I269" s="422"/>
      <c r="J269" s="422"/>
      <c r="K269" s="422"/>
      <c r="L269" s="422"/>
      <c r="M269" s="422"/>
      <c r="N269" s="422"/>
      <c r="O269" s="422"/>
      <c r="P269" s="422"/>
    </row>
    <row r="270" spans="1:16" s="414" customFormat="1">
      <c r="A270" s="422"/>
      <c r="B270" s="492"/>
      <c r="C270" s="42"/>
      <c r="D270" s="42"/>
      <c r="E270" s="42"/>
      <c r="F270" s="42"/>
      <c r="G270" s="42"/>
      <c r="H270" s="42"/>
      <c r="I270" s="422"/>
      <c r="J270" s="422"/>
      <c r="K270" s="422"/>
      <c r="L270" s="422"/>
      <c r="M270" s="422"/>
      <c r="N270" s="422"/>
      <c r="O270" s="422"/>
      <c r="P270" s="422"/>
    </row>
    <row r="271" spans="1:16" s="414" customFormat="1">
      <c r="A271" s="422"/>
      <c r="B271" s="492"/>
      <c r="C271" s="42"/>
      <c r="D271" s="42"/>
      <c r="E271" s="42"/>
      <c r="F271" s="42"/>
      <c r="G271" s="42"/>
      <c r="H271" s="42"/>
      <c r="I271" s="422"/>
      <c r="J271" s="422"/>
      <c r="K271" s="422"/>
      <c r="L271" s="422"/>
      <c r="M271" s="422"/>
      <c r="N271" s="422"/>
      <c r="O271" s="422"/>
      <c r="P271" s="422"/>
    </row>
    <row r="272" spans="1:16" s="414" customFormat="1">
      <c r="A272" s="422"/>
      <c r="B272" s="492"/>
      <c r="C272" s="42"/>
      <c r="D272" s="42"/>
      <c r="E272" s="42"/>
      <c r="F272" s="42"/>
      <c r="G272" s="42"/>
      <c r="H272" s="42"/>
      <c r="I272" s="422"/>
      <c r="J272" s="422"/>
      <c r="K272" s="422"/>
      <c r="L272" s="422"/>
      <c r="M272" s="422"/>
      <c r="N272" s="422"/>
      <c r="O272" s="422"/>
      <c r="P272" s="422"/>
    </row>
    <row r="273" spans="1:16" s="414" customFormat="1">
      <c r="A273" s="422"/>
      <c r="B273" s="492"/>
      <c r="C273" s="42"/>
      <c r="D273" s="42"/>
      <c r="E273" s="42"/>
      <c r="F273" s="42"/>
      <c r="G273" s="42"/>
      <c r="H273" s="42"/>
      <c r="I273" s="422"/>
      <c r="J273" s="422"/>
      <c r="K273" s="422"/>
      <c r="L273" s="422"/>
      <c r="M273" s="422"/>
      <c r="N273" s="422"/>
      <c r="O273" s="422"/>
      <c r="P273" s="422"/>
    </row>
    <row r="274" spans="1:16" s="414" customFormat="1">
      <c r="A274" s="422"/>
      <c r="B274" s="492"/>
      <c r="C274" s="42"/>
      <c r="D274" s="42"/>
      <c r="E274" s="42"/>
      <c r="F274" s="42"/>
      <c r="G274" s="42"/>
      <c r="H274" s="42"/>
      <c r="I274" s="422"/>
      <c r="J274" s="422"/>
      <c r="K274" s="422"/>
      <c r="L274" s="422"/>
      <c r="M274" s="422"/>
      <c r="N274" s="422"/>
      <c r="O274" s="422"/>
      <c r="P274" s="422"/>
    </row>
    <row r="275" spans="1:16" s="414" customFormat="1">
      <c r="A275" s="422"/>
      <c r="B275" s="492"/>
      <c r="C275" s="42"/>
      <c r="D275" s="42"/>
      <c r="E275" s="42"/>
      <c r="F275" s="42"/>
      <c r="G275" s="42"/>
      <c r="H275" s="42"/>
      <c r="I275" s="422"/>
      <c r="J275" s="422"/>
      <c r="K275" s="422"/>
      <c r="L275" s="422"/>
      <c r="M275" s="422"/>
      <c r="N275" s="422"/>
      <c r="O275" s="422"/>
      <c r="P275" s="422"/>
    </row>
    <row r="276" spans="1:16" s="414" customFormat="1">
      <c r="A276" s="422"/>
      <c r="B276" s="492"/>
      <c r="C276" s="42"/>
      <c r="D276" s="42"/>
      <c r="E276" s="42"/>
      <c r="F276" s="42"/>
      <c r="G276" s="42"/>
      <c r="H276" s="42"/>
      <c r="I276" s="422"/>
      <c r="J276" s="422"/>
      <c r="K276" s="422"/>
      <c r="L276" s="422"/>
      <c r="M276" s="422"/>
      <c r="N276" s="422"/>
      <c r="O276" s="422"/>
      <c r="P276" s="422"/>
    </row>
    <row r="277" spans="1:16" s="414" customFormat="1">
      <c r="A277" s="422"/>
      <c r="B277" s="492"/>
      <c r="C277" s="42"/>
      <c r="D277" s="42"/>
      <c r="E277" s="42"/>
      <c r="F277" s="42"/>
      <c r="G277" s="42"/>
      <c r="H277" s="42"/>
      <c r="I277" s="422"/>
      <c r="J277" s="422"/>
      <c r="K277" s="422"/>
      <c r="L277" s="422"/>
      <c r="M277" s="422"/>
      <c r="N277" s="422"/>
      <c r="O277" s="422"/>
      <c r="P277" s="422"/>
    </row>
    <row r="278" spans="1:16" s="414" customFormat="1">
      <c r="A278" s="422"/>
      <c r="B278" s="492"/>
      <c r="C278" s="42"/>
      <c r="D278" s="42"/>
      <c r="E278" s="42"/>
      <c r="F278" s="42"/>
      <c r="G278" s="42"/>
      <c r="H278" s="42"/>
      <c r="I278" s="422"/>
      <c r="J278" s="422"/>
      <c r="K278" s="422"/>
      <c r="L278" s="422"/>
      <c r="M278" s="422"/>
      <c r="N278" s="422"/>
      <c r="O278" s="422"/>
      <c r="P278" s="422"/>
    </row>
    <row r="279" spans="1:16" s="414" customFormat="1">
      <c r="A279" s="422"/>
      <c r="B279" s="492"/>
      <c r="C279" s="42"/>
      <c r="D279" s="42"/>
      <c r="E279" s="42"/>
      <c r="F279" s="42"/>
      <c r="G279" s="42"/>
      <c r="H279" s="42"/>
      <c r="I279" s="422"/>
      <c r="J279" s="422"/>
      <c r="K279" s="422"/>
      <c r="L279" s="422"/>
      <c r="M279" s="422"/>
      <c r="N279" s="422"/>
      <c r="O279" s="422"/>
      <c r="P279" s="422"/>
    </row>
    <row r="280" spans="1:16" s="414" customFormat="1">
      <c r="A280" s="422"/>
      <c r="B280" s="492"/>
      <c r="C280" s="42"/>
      <c r="D280" s="42"/>
      <c r="E280" s="42"/>
      <c r="F280" s="42"/>
      <c r="G280" s="42"/>
      <c r="H280" s="42"/>
      <c r="I280" s="422"/>
      <c r="J280" s="422"/>
      <c r="K280" s="422"/>
      <c r="L280" s="422"/>
      <c r="M280" s="422"/>
      <c r="N280" s="422"/>
      <c r="O280" s="422"/>
      <c r="P280" s="422"/>
    </row>
    <row r="281" spans="1:16" s="414" customFormat="1">
      <c r="A281" s="422"/>
      <c r="B281" s="492"/>
      <c r="C281" s="42"/>
      <c r="D281" s="42"/>
      <c r="E281" s="42"/>
      <c r="F281" s="42"/>
      <c r="G281" s="42"/>
      <c r="H281" s="42"/>
      <c r="I281" s="422"/>
      <c r="J281" s="422"/>
      <c r="K281" s="422"/>
      <c r="L281" s="422"/>
      <c r="M281" s="422"/>
      <c r="N281" s="422"/>
      <c r="O281" s="422"/>
      <c r="P281" s="422"/>
    </row>
    <row r="282" spans="1:16" s="414" customFormat="1">
      <c r="A282" s="422"/>
      <c r="B282" s="492"/>
      <c r="C282" s="42"/>
      <c r="D282" s="42"/>
      <c r="E282" s="42"/>
      <c r="F282" s="42"/>
      <c r="G282" s="42"/>
      <c r="H282" s="42"/>
      <c r="I282" s="422"/>
      <c r="J282" s="422"/>
      <c r="K282" s="422"/>
      <c r="L282" s="422"/>
      <c r="M282" s="422"/>
      <c r="N282" s="422"/>
      <c r="O282" s="422"/>
      <c r="P282" s="422"/>
    </row>
    <row r="283" spans="1:16" s="414" customFormat="1">
      <c r="A283" s="422"/>
      <c r="B283" s="492"/>
      <c r="C283" s="42"/>
      <c r="D283" s="42"/>
      <c r="E283" s="42"/>
      <c r="F283" s="42"/>
      <c r="G283" s="42"/>
      <c r="H283" s="42"/>
      <c r="I283" s="422"/>
      <c r="J283" s="422"/>
      <c r="K283" s="422"/>
      <c r="L283" s="422"/>
      <c r="M283" s="422"/>
      <c r="N283" s="422"/>
      <c r="O283" s="422"/>
      <c r="P283" s="422"/>
    </row>
    <row r="284" spans="1:16" s="414" customFormat="1">
      <c r="A284" s="422"/>
      <c r="B284" s="492"/>
      <c r="C284" s="42"/>
      <c r="D284" s="42"/>
      <c r="E284" s="42"/>
      <c r="F284" s="42"/>
      <c r="G284" s="42"/>
      <c r="H284" s="42"/>
      <c r="I284" s="422"/>
      <c r="J284" s="422"/>
      <c r="K284" s="422"/>
      <c r="L284" s="422"/>
      <c r="M284" s="422"/>
      <c r="N284" s="422"/>
      <c r="O284" s="422"/>
      <c r="P284" s="422"/>
    </row>
    <row r="285" spans="1:16" s="414" customFormat="1">
      <c r="A285" s="422"/>
      <c r="B285" s="492"/>
      <c r="C285" s="42"/>
      <c r="D285" s="42"/>
      <c r="E285" s="42"/>
      <c r="F285" s="42"/>
      <c r="G285" s="42"/>
      <c r="H285" s="42"/>
      <c r="I285" s="422"/>
      <c r="J285" s="422"/>
      <c r="K285" s="422"/>
      <c r="L285" s="422"/>
      <c r="M285" s="422"/>
      <c r="N285" s="422"/>
      <c r="O285" s="422"/>
      <c r="P285" s="422"/>
    </row>
    <row r="286" spans="1:16" s="414" customFormat="1">
      <c r="A286" s="422"/>
      <c r="B286" s="492"/>
      <c r="C286" s="42"/>
      <c r="D286" s="42"/>
      <c r="E286" s="42"/>
      <c r="F286" s="42"/>
      <c r="G286" s="42"/>
      <c r="H286" s="42"/>
      <c r="I286" s="422"/>
      <c r="J286" s="422"/>
      <c r="K286" s="422"/>
      <c r="L286" s="422"/>
      <c r="M286" s="422"/>
      <c r="N286" s="422"/>
      <c r="O286" s="422"/>
      <c r="P286" s="422"/>
    </row>
    <row r="287" spans="1:16" s="414" customFormat="1">
      <c r="A287" s="422"/>
      <c r="B287" s="492"/>
      <c r="C287" s="42"/>
      <c r="D287" s="42"/>
      <c r="E287" s="42"/>
      <c r="F287" s="42"/>
      <c r="G287" s="42"/>
      <c r="H287" s="42"/>
      <c r="I287" s="422"/>
      <c r="J287" s="422"/>
      <c r="K287" s="422"/>
      <c r="L287" s="422"/>
      <c r="M287" s="422"/>
      <c r="N287" s="422"/>
      <c r="O287" s="422"/>
      <c r="P287" s="422"/>
    </row>
    <row r="288" spans="1:16" s="414" customFormat="1">
      <c r="A288" s="422"/>
      <c r="B288" s="492"/>
      <c r="C288" s="42"/>
      <c r="D288" s="42"/>
      <c r="E288" s="42"/>
      <c r="F288" s="42"/>
      <c r="G288" s="42"/>
      <c r="H288" s="42"/>
      <c r="I288" s="422"/>
      <c r="J288" s="422"/>
      <c r="K288" s="422"/>
      <c r="L288" s="422"/>
      <c r="M288" s="422"/>
      <c r="N288" s="422"/>
      <c r="O288" s="422"/>
      <c r="P288" s="422"/>
    </row>
    <row r="289" spans="1:16" s="414" customFormat="1">
      <c r="A289" s="422"/>
      <c r="B289" s="492"/>
      <c r="C289" s="42"/>
      <c r="D289" s="42"/>
      <c r="E289" s="42"/>
      <c r="F289" s="42"/>
      <c r="G289" s="42"/>
      <c r="H289" s="42"/>
      <c r="I289" s="422"/>
      <c r="J289" s="422"/>
      <c r="K289" s="422"/>
      <c r="L289" s="422"/>
      <c r="M289" s="422"/>
      <c r="N289" s="422"/>
      <c r="O289" s="422"/>
      <c r="P289" s="422"/>
    </row>
    <row r="290" spans="1:16" s="414" customFormat="1">
      <c r="A290" s="422"/>
      <c r="B290" s="492"/>
      <c r="C290" s="42"/>
      <c r="D290" s="42"/>
      <c r="E290" s="42"/>
      <c r="F290" s="42"/>
      <c r="G290" s="42"/>
      <c r="H290" s="42"/>
      <c r="I290" s="422"/>
      <c r="J290" s="422"/>
      <c r="K290" s="422"/>
      <c r="L290" s="422"/>
      <c r="M290" s="422"/>
      <c r="N290" s="422"/>
      <c r="O290" s="422"/>
      <c r="P290" s="422"/>
    </row>
    <row r="291" spans="1:16" s="414" customFormat="1">
      <c r="A291" s="422"/>
      <c r="B291" s="492"/>
      <c r="C291" s="42"/>
      <c r="D291" s="42"/>
      <c r="E291" s="42"/>
      <c r="F291" s="42"/>
      <c r="G291" s="42"/>
      <c r="H291" s="42"/>
      <c r="I291" s="422"/>
      <c r="J291" s="422"/>
      <c r="K291" s="422"/>
      <c r="L291" s="422"/>
      <c r="M291" s="422"/>
      <c r="N291" s="422"/>
      <c r="O291" s="422"/>
      <c r="P291" s="422"/>
    </row>
    <row r="292" spans="1:16" s="414" customFormat="1">
      <c r="A292" s="422"/>
      <c r="B292" s="492"/>
      <c r="C292" s="42"/>
      <c r="D292" s="42"/>
      <c r="E292" s="42"/>
      <c r="F292" s="42"/>
      <c r="G292" s="42"/>
      <c r="H292" s="42"/>
      <c r="I292" s="422"/>
      <c r="J292" s="422"/>
      <c r="K292" s="422"/>
      <c r="L292" s="422"/>
      <c r="M292" s="422"/>
      <c r="N292" s="422"/>
      <c r="O292" s="422"/>
      <c r="P292" s="422"/>
    </row>
    <row r="293" spans="1:16" s="414" customFormat="1">
      <c r="A293" s="422"/>
      <c r="B293" s="492"/>
      <c r="C293" s="42"/>
      <c r="D293" s="42"/>
      <c r="E293" s="42"/>
      <c r="F293" s="42"/>
      <c r="G293" s="42"/>
      <c r="H293" s="42"/>
      <c r="I293" s="422"/>
      <c r="J293" s="422"/>
      <c r="K293" s="422"/>
      <c r="L293" s="422"/>
      <c r="M293" s="422"/>
      <c r="N293" s="422"/>
      <c r="O293" s="422"/>
      <c r="P293" s="422"/>
    </row>
    <row r="294" spans="1:16" s="414" customFormat="1">
      <c r="A294" s="422"/>
      <c r="B294" s="492"/>
      <c r="C294" s="42"/>
      <c r="D294" s="42"/>
      <c r="E294" s="42"/>
      <c r="F294" s="42"/>
      <c r="G294" s="42"/>
      <c r="H294" s="42"/>
      <c r="I294" s="422"/>
      <c r="J294" s="422"/>
      <c r="K294" s="422"/>
      <c r="L294" s="422"/>
      <c r="M294" s="422"/>
      <c r="N294" s="422"/>
      <c r="O294" s="422"/>
      <c r="P294" s="422"/>
    </row>
    <row r="295" spans="1:16" s="414" customFormat="1">
      <c r="A295" s="422"/>
      <c r="B295" s="492"/>
      <c r="C295" s="42"/>
      <c r="D295" s="42"/>
      <c r="E295" s="42"/>
      <c r="F295" s="42"/>
      <c r="G295" s="42"/>
      <c r="H295" s="42"/>
      <c r="I295" s="422"/>
      <c r="J295" s="422"/>
      <c r="K295" s="422"/>
      <c r="L295" s="422"/>
      <c r="M295" s="422"/>
      <c r="N295" s="422"/>
      <c r="O295" s="422"/>
      <c r="P295" s="422"/>
    </row>
    <row r="296" spans="1:16" s="414" customFormat="1">
      <c r="A296" s="422"/>
      <c r="B296" s="492"/>
      <c r="C296" s="42"/>
      <c r="D296" s="42"/>
      <c r="E296" s="42"/>
      <c r="F296" s="42"/>
      <c r="G296" s="42"/>
      <c r="H296" s="42"/>
      <c r="I296" s="422"/>
      <c r="J296" s="422"/>
      <c r="K296" s="422"/>
      <c r="L296" s="422"/>
      <c r="M296" s="422"/>
      <c r="N296" s="422"/>
      <c r="O296" s="422"/>
      <c r="P296" s="422"/>
    </row>
    <row r="297" spans="1:16" s="414" customFormat="1">
      <c r="A297" s="422"/>
      <c r="B297" s="492"/>
      <c r="C297" s="42"/>
      <c r="D297" s="42"/>
      <c r="E297" s="42"/>
      <c r="F297" s="42"/>
      <c r="G297" s="42"/>
      <c r="H297" s="42"/>
      <c r="I297" s="422"/>
      <c r="J297" s="422"/>
      <c r="K297" s="422"/>
      <c r="L297" s="422"/>
      <c r="M297" s="422"/>
      <c r="N297" s="422"/>
      <c r="O297" s="422"/>
      <c r="P297" s="422"/>
    </row>
    <row r="298" spans="1:16" s="414" customFormat="1">
      <c r="A298" s="422"/>
      <c r="B298" s="492"/>
      <c r="C298" s="42"/>
      <c r="D298" s="42"/>
      <c r="E298" s="42"/>
      <c r="F298" s="42"/>
      <c r="G298" s="42"/>
      <c r="H298" s="42"/>
      <c r="I298" s="422"/>
      <c r="J298" s="422"/>
      <c r="K298" s="422"/>
      <c r="L298" s="422"/>
      <c r="M298" s="422"/>
      <c r="N298" s="422"/>
      <c r="O298" s="422"/>
      <c r="P298" s="422"/>
    </row>
    <row r="299" spans="1:16" s="414" customFormat="1">
      <c r="A299" s="422"/>
      <c r="B299" s="492"/>
      <c r="C299" s="42"/>
      <c r="D299" s="42"/>
      <c r="E299" s="42"/>
      <c r="F299" s="42"/>
      <c r="G299" s="42"/>
      <c r="H299" s="42"/>
      <c r="I299" s="422"/>
      <c r="J299" s="422"/>
      <c r="K299" s="422"/>
      <c r="L299" s="422"/>
      <c r="M299" s="422"/>
      <c r="N299" s="422"/>
      <c r="O299" s="422"/>
      <c r="P299" s="422"/>
    </row>
    <row r="300" spans="1:16" s="414" customFormat="1">
      <c r="A300" s="422"/>
      <c r="B300" s="492"/>
      <c r="C300" s="42"/>
      <c r="D300" s="42"/>
      <c r="E300" s="42"/>
      <c r="F300" s="42"/>
      <c r="G300" s="42"/>
      <c r="H300" s="42"/>
      <c r="I300" s="422"/>
      <c r="J300" s="422"/>
      <c r="K300" s="422"/>
      <c r="L300" s="422"/>
      <c r="M300" s="422"/>
      <c r="N300" s="422"/>
      <c r="O300" s="422"/>
      <c r="P300" s="422"/>
    </row>
    <row r="301" spans="1:16" s="414" customFormat="1">
      <c r="A301" s="422"/>
      <c r="B301" s="492"/>
      <c r="C301" s="42"/>
      <c r="D301" s="42"/>
      <c r="E301" s="42"/>
      <c r="F301" s="42"/>
      <c r="G301" s="42"/>
      <c r="H301" s="42"/>
      <c r="I301" s="422"/>
      <c r="J301" s="422"/>
      <c r="K301" s="422"/>
      <c r="L301" s="422"/>
      <c r="M301" s="422"/>
      <c r="N301" s="422"/>
      <c r="O301" s="422"/>
      <c r="P301" s="422"/>
    </row>
    <row r="302" spans="1:16" s="414" customFormat="1">
      <c r="A302" s="422"/>
      <c r="B302" s="492"/>
      <c r="C302" s="42"/>
      <c r="D302" s="42"/>
      <c r="E302" s="42"/>
      <c r="F302" s="42"/>
      <c r="G302" s="42"/>
      <c r="H302" s="42"/>
      <c r="I302" s="422"/>
      <c r="J302" s="422"/>
      <c r="K302" s="422"/>
      <c r="L302" s="422"/>
      <c r="M302" s="422"/>
      <c r="N302" s="422"/>
      <c r="O302" s="422"/>
      <c r="P302" s="422"/>
    </row>
    <row r="303" spans="1:16" s="414" customFormat="1">
      <c r="A303" s="422"/>
      <c r="B303" s="492"/>
      <c r="C303" s="42"/>
      <c r="D303" s="42"/>
      <c r="E303" s="42"/>
      <c r="F303" s="42"/>
      <c r="G303" s="42"/>
      <c r="H303" s="42"/>
      <c r="I303" s="422"/>
      <c r="J303" s="422"/>
      <c r="K303" s="422"/>
      <c r="L303" s="422"/>
      <c r="M303" s="422"/>
      <c r="N303" s="422"/>
      <c r="O303" s="422"/>
      <c r="P303" s="422"/>
    </row>
    <row r="304" spans="1:16" s="414" customFormat="1">
      <c r="A304" s="422"/>
      <c r="B304" s="492"/>
      <c r="C304" s="42"/>
      <c r="D304" s="42"/>
      <c r="E304" s="42"/>
      <c r="F304" s="42"/>
      <c r="G304" s="42"/>
      <c r="H304" s="42"/>
      <c r="I304" s="422"/>
      <c r="J304" s="422"/>
      <c r="K304" s="422"/>
      <c r="L304" s="422"/>
      <c r="M304" s="422"/>
      <c r="N304" s="422"/>
      <c r="O304" s="422"/>
      <c r="P304" s="422"/>
    </row>
    <row r="305" spans="1:16" s="414" customFormat="1">
      <c r="A305" s="422"/>
      <c r="B305" s="492"/>
      <c r="C305" s="42"/>
      <c r="D305" s="42"/>
      <c r="E305" s="42"/>
      <c r="F305" s="42"/>
      <c r="G305" s="42"/>
      <c r="H305" s="42"/>
      <c r="I305" s="422"/>
      <c r="J305" s="422"/>
      <c r="K305" s="422"/>
      <c r="L305" s="422"/>
      <c r="M305" s="422"/>
      <c r="N305" s="422"/>
      <c r="O305" s="422"/>
      <c r="P305" s="422"/>
    </row>
    <row r="306" spans="1:16" s="414" customFormat="1">
      <c r="A306" s="422"/>
      <c r="B306" s="492"/>
      <c r="C306" s="42"/>
      <c r="D306" s="42"/>
      <c r="E306" s="42"/>
      <c r="F306" s="42"/>
      <c r="G306" s="42"/>
      <c r="H306" s="42"/>
      <c r="I306" s="422"/>
      <c r="J306" s="422"/>
      <c r="K306" s="422"/>
      <c r="L306" s="422"/>
      <c r="M306" s="422"/>
      <c r="N306" s="422"/>
      <c r="O306" s="422"/>
      <c r="P306" s="422"/>
    </row>
    <row r="307" spans="1:16" s="414" customFormat="1">
      <c r="A307" s="422"/>
      <c r="B307" s="492"/>
      <c r="C307" s="42"/>
      <c r="D307" s="42"/>
      <c r="E307" s="42"/>
      <c r="F307" s="42"/>
      <c r="G307" s="42"/>
      <c r="H307" s="42"/>
      <c r="I307" s="422"/>
      <c r="J307" s="422"/>
      <c r="K307" s="422"/>
      <c r="L307" s="422"/>
      <c r="M307" s="422"/>
      <c r="N307" s="422"/>
      <c r="O307" s="422"/>
      <c r="P307" s="422"/>
    </row>
    <row r="308" spans="1:16" s="414" customFormat="1">
      <c r="A308" s="422"/>
      <c r="B308" s="492"/>
      <c r="C308" s="42"/>
      <c r="D308" s="42"/>
      <c r="E308" s="42"/>
      <c r="F308" s="42"/>
      <c r="G308" s="42"/>
      <c r="H308" s="42"/>
      <c r="I308" s="422"/>
      <c r="J308" s="422"/>
      <c r="K308" s="422"/>
      <c r="L308" s="422"/>
      <c r="M308" s="422"/>
      <c r="N308" s="422"/>
      <c r="O308" s="422"/>
      <c r="P308" s="422"/>
    </row>
    <row r="309" spans="1:16" s="414" customFormat="1">
      <c r="A309" s="422"/>
      <c r="B309" s="492"/>
      <c r="C309" s="42"/>
      <c r="D309" s="42"/>
      <c r="E309" s="42"/>
      <c r="F309" s="42"/>
      <c r="G309" s="42"/>
      <c r="H309" s="42"/>
      <c r="I309" s="422"/>
      <c r="J309" s="422"/>
      <c r="K309" s="422"/>
      <c r="L309" s="422"/>
      <c r="M309" s="422"/>
      <c r="N309" s="422"/>
      <c r="O309" s="422"/>
      <c r="P309" s="422"/>
    </row>
    <row r="310" spans="1:16" s="414" customFormat="1">
      <c r="A310" s="422"/>
      <c r="B310" s="492"/>
      <c r="C310" s="42"/>
      <c r="D310" s="42"/>
      <c r="E310" s="42"/>
      <c r="F310" s="42"/>
      <c r="G310" s="42"/>
      <c r="H310" s="42"/>
      <c r="I310" s="422"/>
      <c r="J310" s="422"/>
      <c r="K310" s="422"/>
      <c r="L310" s="422"/>
      <c r="M310" s="422"/>
      <c r="N310" s="422"/>
      <c r="O310" s="422"/>
      <c r="P310" s="422"/>
    </row>
    <row r="311" spans="1:16" s="414" customFormat="1">
      <c r="A311" s="422"/>
      <c r="B311" s="492"/>
      <c r="C311" s="42"/>
      <c r="D311" s="42"/>
      <c r="E311" s="42"/>
      <c r="F311" s="42"/>
      <c r="G311" s="42"/>
      <c r="H311" s="42"/>
      <c r="I311" s="422"/>
      <c r="J311" s="422"/>
      <c r="K311" s="422"/>
      <c r="L311" s="422"/>
      <c r="M311" s="422"/>
      <c r="N311" s="422"/>
      <c r="O311" s="422"/>
      <c r="P311" s="422"/>
    </row>
    <row r="312" spans="1:16" s="414" customFormat="1">
      <c r="A312" s="422"/>
      <c r="B312" s="492"/>
      <c r="C312" s="42"/>
      <c r="D312" s="42"/>
      <c r="E312" s="42"/>
      <c r="F312" s="42"/>
      <c r="G312" s="42"/>
      <c r="H312" s="42"/>
      <c r="I312" s="422"/>
      <c r="J312" s="422"/>
      <c r="K312" s="422"/>
      <c r="L312" s="422"/>
      <c r="M312" s="422"/>
      <c r="N312" s="422"/>
      <c r="O312" s="422"/>
      <c r="P312" s="422"/>
    </row>
    <row r="313" spans="1:16" s="414" customFormat="1">
      <c r="A313" s="422"/>
      <c r="B313" s="492"/>
      <c r="C313" s="42"/>
      <c r="D313" s="42"/>
      <c r="E313" s="42"/>
      <c r="F313" s="42"/>
      <c r="G313" s="42"/>
      <c r="H313" s="42"/>
      <c r="I313" s="422"/>
      <c r="J313" s="422"/>
      <c r="K313" s="422"/>
      <c r="L313" s="422"/>
      <c r="M313" s="422"/>
      <c r="N313" s="422"/>
      <c r="O313" s="422"/>
      <c r="P313" s="422"/>
    </row>
    <row r="314" spans="1:16" s="414" customFormat="1">
      <c r="A314" s="422"/>
      <c r="B314" s="492"/>
      <c r="C314" s="42"/>
      <c r="D314" s="42"/>
      <c r="E314" s="42"/>
      <c r="F314" s="42"/>
      <c r="G314" s="42"/>
      <c r="H314" s="42"/>
      <c r="I314" s="422"/>
      <c r="J314" s="422"/>
      <c r="K314" s="422"/>
      <c r="L314" s="422"/>
      <c r="M314" s="422"/>
      <c r="N314" s="422"/>
      <c r="O314" s="422"/>
      <c r="P314" s="422"/>
    </row>
    <row r="315" spans="1:16" s="414" customFormat="1">
      <c r="A315" s="422"/>
      <c r="B315" s="492"/>
      <c r="C315" s="42"/>
      <c r="D315" s="42"/>
      <c r="E315" s="42"/>
      <c r="F315" s="42"/>
      <c r="G315" s="42"/>
      <c r="H315" s="42"/>
      <c r="I315" s="422"/>
      <c r="J315" s="422"/>
      <c r="K315" s="422"/>
      <c r="L315" s="422"/>
      <c r="M315" s="422"/>
      <c r="N315" s="422"/>
      <c r="O315" s="422"/>
      <c r="P315" s="422"/>
    </row>
    <row r="316" spans="1:16" s="414" customFormat="1">
      <c r="A316" s="422"/>
      <c r="B316" s="492"/>
      <c r="C316" s="42"/>
      <c r="D316" s="42"/>
      <c r="E316" s="42"/>
      <c r="F316" s="42"/>
      <c r="G316" s="42"/>
      <c r="H316" s="42"/>
      <c r="I316" s="422"/>
      <c r="J316" s="422"/>
      <c r="K316" s="422"/>
      <c r="L316" s="422"/>
      <c r="M316" s="422"/>
      <c r="N316" s="422"/>
      <c r="O316" s="422"/>
      <c r="P316" s="422"/>
    </row>
    <row r="317" spans="1:16" s="414" customFormat="1">
      <c r="A317" s="422"/>
      <c r="B317" s="492"/>
      <c r="C317" s="42"/>
      <c r="D317" s="42"/>
      <c r="E317" s="42"/>
      <c r="F317" s="42"/>
      <c r="G317" s="42"/>
      <c r="H317" s="42"/>
      <c r="I317" s="422"/>
      <c r="J317" s="422"/>
      <c r="K317" s="422"/>
      <c r="L317" s="422"/>
      <c r="M317" s="422"/>
      <c r="N317" s="422"/>
      <c r="O317" s="422"/>
      <c r="P317" s="422"/>
    </row>
    <row r="318" spans="1:16" s="414" customFormat="1">
      <c r="A318" s="422"/>
      <c r="B318" s="492"/>
      <c r="C318" s="42"/>
      <c r="D318" s="42"/>
      <c r="E318" s="42"/>
      <c r="F318" s="42"/>
      <c r="G318" s="42"/>
      <c r="H318" s="42"/>
      <c r="I318" s="422"/>
      <c r="J318" s="422"/>
      <c r="K318" s="422"/>
      <c r="L318" s="422"/>
      <c r="M318" s="422"/>
      <c r="N318" s="422"/>
      <c r="O318" s="422"/>
      <c r="P318" s="422"/>
    </row>
    <row r="319" spans="1:16" s="414" customFormat="1">
      <c r="A319" s="422"/>
      <c r="B319" s="492"/>
      <c r="C319" s="42"/>
      <c r="D319" s="42"/>
      <c r="E319" s="42"/>
      <c r="F319" s="42"/>
      <c r="G319" s="42"/>
      <c r="H319" s="42"/>
      <c r="I319" s="422"/>
      <c r="J319" s="422"/>
      <c r="K319" s="422"/>
      <c r="L319" s="422"/>
      <c r="M319" s="422"/>
      <c r="N319" s="422"/>
      <c r="O319" s="422"/>
      <c r="P319" s="422"/>
    </row>
    <row r="320" spans="1:16" s="414" customFormat="1">
      <c r="A320" s="422"/>
      <c r="B320" s="492"/>
      <c r="C320" s="42"/>
      <c r="D320" s="42"/>
      <c r="E320" s="42"/>
      <c r="F320" s="42"/>
      <c r="G320" s="42"/>
      <c r="H320" s="42"/>
      <c r="I320" s="422"/>
      <c r="J320" s="422"/>
      <c r="K320" s="422"/>
      <c r="L320" s="422"/>
      <c r="M320" s="422"/>
      <c r="N320" s="422"/>
      <c r="O320" s="422"/>
      <c r="P320" s="422"/>
    </row>
    <row r="321" spans="1:16" s="414" customFormat="1">
      <c r="A321" s="422"/>
      <c r="B321" s="492"/>
      <c r="C321" s="42"/>
      <c r="D321" s="42"/>
      <c r="E321" s="42"/>
      <c r="F321" s="42"/>
      <c r="G321" s="42"/>
      <c r="H321" s="42"/>
      <c r="I321" s="422"/>
      <c r="J321" s="422"/>
      <c r="K321" s="422"/>
      <c r="L321" s="422"/>
      <c r="M321" s="422"/>
      <c r="N321" s="422"/>
      <c r="O321" s="422"/>
      <c r="P321" s="422"/>
    </row>
    <row r="322" spans="1:16" s="414" customFormat="1">
      <c r="A322" s="422"/>
      <c r="B322" s="492"/>
      <c r="C322" s="42"/>
      <c r="D322" s="42"/>
      <c r="E322" s="42"/>
      <c r="F322" s="42"/>
      <c r="G322" s="42"/>
      <c r="H322" s="42"/>
      <c r="I322" s="422"/>
      <c r="J322" s="422"/>
      <c r="K322" s="422"/>
      <c r="L322" s="422"/>
      <c r="M322" s="422"/>
      <c r="N322" s="422"/>
      <c r="O322" s="422"/>
      <c r="P322" s="422"/>
    </row>
    <row r="323" spans="1:16" s="414" customFormat="1">
      <c r="A323" s="422"/>
      <c r="B323" s="492"/>
      <c r="C323" s="42"/>
      <c r="D323" s="42"/>
      <c r="E323" s="42"/>
      <c r="F323" s="42"/>
      <c r="G323" s="42"/>
      <c r="H323" s="42"/>
      <c r="I323" s="422"/>
      <c r="J323" s="422"/>
      <c r="K323" s="422"/>
      <c r="L323" s="422"/>
      <c r="M323" s="422"/>
      <c r="N323" s="422"/>
      <c r="O323" s="422"/>
      <c r="P323" s="422"/>
    </row>
    <row r="324" spans="1:16" s="414" customFormat="1">
      <c r="A324" s="422"/>
      <c r="B324" s="492"/>
      <c r="C324" s="42"/>
      <c r="D324" s="42"/>
      <c r="E324" s="42"/>
      <c r="F324" s="42"/>
      <c r="G324" s="42"/>
      <c r="H324" s="42"/>
      <c r="I324" s="422"/>
      <c r="J324" s="422"/>
      <c r="K324" s="422"/>
      <c r="L324" s="422"/>
      <c r="M324" s="422"/>
      <c r="N324" s="422"/>
      <c r="O324" s="422"/>
      <c r="P324" s="422"/>
    </row>
    <row r="325" spans="1:16" s="414" customFormat="1">
      <c r="A325" s="422"/>
      <c r="B325" s="492"/>
      <c r="C325" s="42"/>
      <c r="D325" s="42"/>
      <c r="E325" s="42"/>
      <c r="F325" s="42"/>
      <c r="G325" s="42"/>
      <c r="H325" s="42"/>
      <c r="I325" s="422"/>
      <c r="J325" s="422"/>
      <c r="K325" s="422"/>
      <c r="L325" s="422"/>
      <c r="M325" s="422"/>
      <c r="N325" s="422"/>
      <c r="O325" s="422"/>
      <c r="P325" s="422"/>
    </row>
    <row r="326" spans="1:16" s="414" customFormat="1">
      <c r="A326" s="422"/>
      <c r="B326" s="492"/>
      <c r="C326" s="42"/>
      <c r="D326" s="42"/>
      <c r="E326" s="42"/>
      <c r="F326" s="42"/>
      <c r="G326" s="42"/>
      <c r="H326" s="42"/>
      <c r="I326" s="422"/>
      <c r="J326" s="422"/>
      <c r="K326" s="422"/>
      <c r="L326" s="422"/>
      <c r="M326" s="422"/>
      <c r="N326" s="422"/>
      <c r="O326" s="422"/>
      <c r="P326" s="422"/>
    </row>
    <row r="327" spans="1:16" s="414" customFormat="1">
      <c r="A327" s="422"/>
      <c r="B327" s="492"/>
      <c r="C327" s="42"/>
      <c r="D327" s="42"/>
      <c r="E327" s="42"/>
      <c r="F327" s="42"/>
      <c r="G327" s="42"/>
      <c r="H327" s="42"/>
      <c r="I327" s="422"/>
      <c r="J327" s="422"/>
      <c r="K327" s="422"/>
      <c r="L327" s="422"/>
      <c r="M327" s="422"/>
      <c r="N327" s="422"/>
      <c r="O327" s="422"/>
      <c r="P327" s="422"/>
    </row>
    <row r="328" spans="1:16" s="414" customFormat="1">
      <c r="A328" s="422"/>
      <c r="B328" s="492"/>
      <c r="C328" s="42"/>
      <c r="D328" s="42"/>
      <c r="E328" s="42"/>
      <c r="F328" s="42"/>
      <c r="G328" s="42"/>
      <c r="H328" s="42"/>
      <c r="I328" s="422"/>
      <c r="J328" s="422"/>
      <c r="K328" s="422"/>
      <c r="L328" s="422"/>
      <c r="M328" s="422"/>
      <c r="N328" s="422"/>
      <c r="O328" s="422"/>
      <c r="P328" s="422"/>
    </row>
    <row r="329" spans="1:16" s="414" customFormat="1">
      <c r="A329" s="422"/>
      <c r="B329" s="492"/>
      <c r="C329" s="42"/>
      <c r="D329" s="42"/>
      <c r="E329" s="42"/>
      <c r="F329" s="42"/>
      <c r="G329" s="42"/>
      <c r="H329" s="42"/>
      <c r="I329" s="422"/>
      <c r="J329" s="422"/>
      <c r="K329" s="422"/>
      <c r="L329" s="422"/>
      <c r="M329" s="422"/>
      <c r="N329" s="422"/>
      <c r="O329" s="422"/>
      <c r="P329" s="422"/>
    </row>
    <row r="330" spans="1:16" s="414" customFormat="1">
      <c r="A330" s="422"/>
      <c r="B330" s="492"/>
      <c r="C330" s="42"/>
      <c r="D330" s="42"/>
      <c r="E330" s="42"/>
      <c r="F330" s="42"/>
      <c r="G330" s="42"/>
      <c r="H330" s="42"/>
      <c r="I330" s="422"/>
      <c r="J330" s="422"/>
      <c r="K330" s="422"/>
      <c r="L330" s="422"/>
      <c r="M330" s="422"/>
      <c r="N330" s="422"/>
      <c r="O330" s="422"/>
      <c r="P330" s="422"/>
    </row>
    <row r="331" spans="1:16" s="414" customFormat="1">
      <c r="A331" s="422"/>
      <c r="B331" s="492"/>
      <c r="C331" s="42"/>
      <c r="D331" s="42"/>
      <c r="E331" s="42"/>
      <c r="F331" s="42"/>
      <c r="G331" s="42"/>
      <c r="H331" s="42"/>
      <c r="I331" s="422"/>
      <c r="J331" s="422"/>
      <c r="K331" s="422"/>
      <c r="L331" s="422"/>
      <c r="M331" s="422"/>
      <c r="N331" s="422"/>
      <c r="O331" s="422"/>
      <c r="P331" s="422"/>
    </row>
    <row r="332" spans="1:16" s="414" customFormat="1">
      <c r="A332" s="422"/>
      <c r="B332" s="492"/>
      <c r="C332" s="42"/>
      <c r="D332" s="42"/>
      <c r="E332" s="42"/>
      <c r="F332" s="42"/>
      <c r="G332" s="42"/>
      <c r="H332" s="42"/>
      <c r="I332" s="422"/>
      <c r="J332" s="422"/>
      <c r="K332" s="422"/>
      <c r="L332" s="422"/>
      <c r="M332" s="422"/>
      <c r="N332" s="422"/>
      <c r="O332" s="422"/>
      <c r="P332" s="422"/>
    </row>
    <row r="333" spans="1:16" s="414" customFormat="1">
      <c r="A333" s="422"/>
      <c r="B333" s="492"/>
      <c r="C333" s="42"/>
      <c r="D333" s="42"/>
      <c r="E333" s="42"/>
      <c r="F333" s="42"/>
      <c r="G333" s="42"/>
      <c r="H333" s="42"/>
      <c r="I333" s="422"/>
      <c r="J333" s="422"/>
      <c r="K333" s="422"/>
      <c r="L333" s="422"/>
      <c r="M333" s="422"/>
      <c r="N333" s="422"/>
      <c r="O333" s="422"/>
      <c r="P333" s="422"/>
    </row>
    <row r="334" spans="1:16" s="414" customFormat="1">
      <c r="A334" s="422"/>
      <c r="B334" s="492"/>
      <c r="C334" s="42"/>
      <c r="D334" s="42"/>
      <c r="E334" s="42"/>
      <c r="F334" s="42"/>
      <c r="G334" s="42"/>
      <c r="H334" s="42"/>
      <c r="I334" s="422"/>
      <c r="J334" s="422"/>
      <c r="K334" s="422"/>
      <c r="L334" s="422"/>
      <c r="M334" s="422"/>
      <c r="N334" s="422"/>
      <c r="O334" s="422"/>
      <c r="P334" s="422"/>
    </row>
    <row r="335" spans="1:16" s="414" customFormat="1">
      <c r="A335" s="422"/>
      <c r="B335" s="492"/>
      <c r="C335" s="42"/>
      <c r="D335" s="42"/>
      <c r="E335" s="42"/>
      <c r="F335" s="42"/>
      <c r="G335" s="42"/>
      <c r="H335" s="42"/>
      <c r="I335" s="422"/>
      <c r="J335" s="422"/>
      <c r="K335" s="422"/>
      <c r="L335" s="422"/>
      <c r="M335" s="422"/>
      <c r="N335" s="422"/>
      <c r="O335" s="422"/>
      <c r="P335" s="422"/>
    </row>
    <row r="336" spans="1:16" s="414" customFormat="1">
      <c r="A336" s="422"/>
      <c r="B336" s="492"/>
      <c r="C336" s="42"/>
      <c r="D336" s="42"/>
      <c r="E336" s="42"/>
      <c r="F336" s="42"/>
      <c r="G336" s="42"/>
      <c r="H336" s="42"/>
      <c r="I336" s="422"/>
      <c r="J336" s="422"/>
      <c r="K336" s="422"/>
      <c r="L336" s="422"/>
      <c r="M336" s="422"/>
      <c r="N336" s="422"/>
      <c r="O336" s="422"/>
      <c r="P336" s="422"/>
    </row>
    <row r="337" spans="1:16" s="414" customFormat="1">
      <c r="A337" s="422"/>
      <c r="B337" s="492"/>
      <c r="C337" s="42"/>
      <c r="D337" s="42"/>
      <c r="E337" s="42"/>
      <c r="F337" s="42"/>
      <c r="G337" s="42"/>
      <c r="H337" s="42"/>
      <c r="I337" s="422"/>
      <c r="J337" s="422"/>
      <c r="K337" s="422"/>
      <c r="L337" s="422"/>
      <c r="M337" s="422"/>
      <c r="N337" s="422"/>
      <c r="O337" s="422"/>
      <c r="P337" s="422"/>
    </row>
    <row r="338" spans="1:16" s="414" customFormat="1">
      <c r="A338" s="422"/>
      <c r="B338" s="492"/>
      <c r="C338" s="42"/>
      <c r="D338" s="42"/>
      <c r="E338" s="42"/>
      <c r="F338" s="42"/>
      <c r="G338" s="42"/>
      <c r="H338" s="42"/>
      <c r="I338" s="422"/>
      <c r="J338" s="422"/>
      <c r="K338" s="422"/>
      <c r="L338" s="422"/>
      <c r="M338" s="422"/>
      <c r="N338" s="422"/>
      <c r="O338" s="422"/>
      <c r="P338" s="422"/>
    </row>
    <row r="339" spans="1:16" s="414" customFormat="1">
      <c r="A339" s="422"/>
      <c r="B339" s="492"/>
      <c r="C339" s="42"/>
      <c r="D339" s="42"/>
      <c r="E339" s="42"/>
      <c r="F339" s="42"/>
      <c r="G339" s="42"/>
      <c r="H339" s="42"/>
      <c r="I339" s="422"/>
      <c r="J339" s="422"/>
      <c r="K339" s="422"/>
      <c r="L339" s="422"/>
      <c r="M339" s="422"/>
      <c r="N339" s="422"/>
      <c r="O339" s="422"/>
      <c r="P339" s="422"/>
    </row>
    <row r="340" spans="1:16" s="414" customFormat="1">
      <c r="A340" s="422"/>
      <c r="B340" s="492"/>
      <c r="C340" s="42"/>
      <c r="D340" s="42"/>
      <c r="E340" s="42"/>
      <c r="F340" s="42"/>
      <c r="G340" s="42"/>
      <c r="H340" s="42"/>
      <c r="I340" s="422"/>
      <c r="J340" s="422"/>
      <c r="K340" s="422"/>
      <c r="L340" s="422"/>
      <c r="M340" s="422"/>
      <c r="N340" s="422"/>
      <c r="O340" s="422"/>
      <c r="P340" s="422"/>
    </row>
    <row r="341" spans="1:16" s="414" customFormat="1">
      <c r="A341" s="422"/>
      <c r="B341" s="492"/>
      <c r="C341" s="42"/>
      <c r="D341" s="42"/>
      <c r="E341" s="42"/>
      <c r="F341" s="42"/>
      <c r="G341" s="42"/>
      <c r="H341" s="42"/>
      <c r="I341" s="422"/>
      <c r="J341" s="422"/>
      <c r="K341" s="422"/>
      <c r="L341" s="422"/>
      <c r="M341" s="422"/>
      <c r="N341" s="422"/>
      <c r="O341" s="422"/>
      <c r="P341" s="422"/>
    </row>
    <row r="342" spans="1:16" s="414" customFormat="1">
      <c r="A342" s="422"/>
      <c r="B342" s="492"/>
      <c r="C342" s="42"/>
      <c r="D342" s="42"/>
      <c r="E342" s="42"/>
      <c r="F342" s="42"/>
      <c r="G342" s="42"/>
      <c r="H342" s="42"/>
      <c r="I342" s="422"/>
      <c r="J342" s="422"/>
      <c r="K342" s="422"/>
      <c r="L342" s="422"/>
      <c r="M342" s="422"/>
      <c r="N342" s="422"/>
      <c r="O342" s="422"/>
      <c r="P342" s="422"/>
    </row>
    <row r="343" spans="1:16" s="414" customFormat="1">
      <c r="A343" s="422"/>
      <c r="B343" s="492"/>
      <c r="C343" s="42"/>
      <c r="D343" s="42"/>
      <c r="E343" s="42"/>
      <c r="F343" s="42"/>
      <c r="G343" s="42"/>
      <c r="H343" s="42"/>
      <c r="I343" s="422"/>
      <c r="J343" s="422"/>
      <c r="K343" s="422"/>
      <c r="L343" s="422"/>
      <c r="M343" s="422"/>
      <c r="N343" s="422"/>
      <c r="O343" s="422"/>
      <c r="P343" s="422"/>
    </row>
    <row r="344" spans="1:16" s="414" customFormat="1">
      <c r="A344" s="422"/>
      <c r="B344" s="492"/>
      <c r="C344" s="42"/>
      <c r="D344" s="42"/>
      <c r="E344" s="42"/>
      <c r="F344" s="42"/>
      <c r="G344" s="42"/>
      <c r="H344" s="42"/>
      <c r="I344" s="422"/>
      <c r="J344" s="422"/>
      <c r="K344" s="422"/>
      <c r="L344" s="422"/>
      <c r="M344" s="422"/>
      <c r="N344" s="422"/>
      <c r="O344" s="422"/>
      <c r="P344" s="422"/>
    </row>
    <row r="345" spans="1:16" s="414" customFormat="1">
      <c r="A345" s="422"/>
      <c r="B345" s="492"/>
      <c r="C345" s="42"/>
      <c r="D345" s="42"/>
      <c r="E345" s="42"/>
      <c r="F345" s="42"/>
      <c r="G345" s="42"/>
      <c r="H345" s="42"/>
      <c r="I345" s="422"/>
      <c r="J345" s="422"/>
      <c r="K345" s="422"/>
      <c r="L345" s="422"/>
      <c r="M345" s="422"/>
      <c r="N345" s="422"/>
      <c r="O345" s="422"/>
      <c r="P345" s="422"/>
    </row>
    <row r="346" spans="1:16" s="414" customFormat="1">
      <c r="A346" s="422"/>
      <c r="B346" s="492"/>
      <c r="C346" s="42"/>
      <c r="D346" s="42"/>
      <c r="E346" s="42"/>
      <c r="F346" s="42"/>
      <c r="G346" s="42"/>
      <c r="H346" s="42"/>
      <c r="I346" s="422"/>
      <c r="J346" s="422"/>
      <c r="K346" s="422"/>
      <c r="L346" s="422"/>
      <c r="M346" s="422"/>
      <c r="N346" s="422"/>
      <c r="O346" s="422"/>
      <c r="P346" s="422"/>
    </row>
    <row r="347" spans="1:16" s="414" customFormat="1">
      <c r="A347" s="422"/>
      <c r="B347" s="492"/>
      <c r="C347" s="42"/>
      <c r="D347" s="42"/>
      <c r="E347" s="42"/>
      <c r="F347" s="42"/>
      <c r="G347" s="42"/>
      <c r="H347" s="42"/>
      <c r="I347" s="422"/>
      <c r="J347" s="422"/>
      <c r="K347" s="422"/>
      <c r="L347" s="422"/>
      <c r="M347" s="422"/>
      <c r="N347" s="422"/>
      <c r="O347" s="422"/>
      <c r="P347" s="422"/>
    </row>
    <row r="348" spans="1:16" s="414" customFormat="1">
      <c r="A348" s="422"/>
      <c r="B348" s="492"/>
      <c r="C348" s="42"/>
      <c r="D348" s="42"/>
      <c r="E348" s="42"/>
      <c r="F348" s="42"/>
      <c r="G348" s="42"/>
      <c r="H348" s="42"/>
      <c r="I348" s="422"/>
      <c r="J348" s="422"/>
      <c r="K348" s="422"/>
      <c r="L348" s="422"/>
      <c r="M348" s="422"/>
      <c r="N348" s="422"/>
      <c r="O348" s="422"/>
      <c r="P348" s="422"/>
    </row>
    <row r="349" spans="1:16" s="414" customFormat="1">
      <c r="A349" s="422"/>
      <c r="B349" s="492"/>
      <c r="C349" s="42"/>
      <c r="D349" s="42"/>
      <c r="E349" s="42"/>
      <c r="F349" s="42"/>
      <c r="G349" s="42"/>
      <c r="H349" s="42"/>
      <c r="I349" s="422"/>
      <c r="J349" s="422"/>
      <c r="K349" s="422"/>
      <c r="L349" s="422"/>
      <c r="M349" s="422"/>
      <c r="N349" s="422"/>
      <c r="O349" s="422"/>
      <c r="P349" s="422"/>
    </row>
    <row r="350" spans="1:16" s="414" customFormat="1">
      <c r="A350" s="422"/>
      <c r="B350" s="492"/>
      <c r="C350" s="42"/>
      <c r="D350" s="42"/>
      <c r="E350" s="42"/>
      <c r="F350" s="42"/>
      <c r="G350" s="42"/>
      <c r="H350" s="42"/>
      <c r="I350" s="422"/>
      <c r="J350" s="422"/>
      <c r="K350" s="422"/>
      <c r="L350" s="422"/>
      <c r="M350" s="422"/>
      <c r="N350" s="422"/>
      <c r="O350" s="422"/>
      <c r="P350" s="422"/>
    </row>
    <row r="351" spans="1:16" s="414" customFormat="1">
      <c r="A351" s="422"/>
      <c r="B351" s="492"/>
      <c r="C351" s="42"/>
      <c r="D351" s="42"/>
      <c r="E351" s="42"/>
      <c r="F351" s="42"/>
      <c r="G351" s="42"/>
      <c r="H351" s="42"/>
      <c r="I351" s="422"/>
      <c r="J351" s="422"/>
      <c r="K351" s="422"/>
      <c r="L351" s="422"/>
      <c r="M351" s="422"/>
      <c r="N351" s="422"/>
      <c r="O351" s="422"/>
      <c r="P351" s="422"/>
    </row>
    <row r="352" spans="1:16" s="414" customFormat="1">
      <c r="A352" s="422"/>
      <c r="B352" s="492"/>
      <c r="C352" s="42"/>
      <c r="D352" s="42"/>
      <c r="E352" s="42"/>
      <c r="F352" s="42"/>
      <c r="G352" s="42"/>
      <c r="H352" s="42"/>
      <c r="I352" s="422"/>
      <c r="J352" s="422"/>
      <c r="K352" s="422"/>
      <c r="L352" s="422"/>
      <c r="M352" s="422"/>
      <c r="N352" s="422"/>
      <c r="O352" s="422"/>
      <c r="P352" s="422"/>
    </row>
    <row r="353" spans="1:16" s="414" customFormat="1">
      <c r="A353" s="422"/>
      <c r="B353" s="492"/>
      <c r="C353" s="42"/>
      <c r="D353" s="42"/>
      <c r="E353" s="42"/>
      <c r="F353" s="42"/>
      <c r="G353" s="42"/>
      <c r="H353" s="42"/>
      <c r="I353" s="422"/>
      <c r="J353" s="422"/>
      <c r="K353" s="422"/>
      <c r="L353" s="422"/>
      <c r="M353" s="422"/>
      <c r="N353" s="422"/>
      <c r="O353" s="422"/>
      <c r="P353" s="422"/>
    </row>
    <row r="354" spans="1:16" s="414" customFormat="1">
      <c r="A354" s="422"/>
      <c r="B354" s="492"/>
      <c r="C354" s="42"/>
      <c r="D354" s="42"/>
      <c r="E354" s="42"/>
      <c r="F354" s="42"/>
      <c r="G354" s="42"/>
      <c r="H354" s="42"/>
      <c r="I354" s="422"/>
      <c r="J354" s="422"/>
      <c r="K354" s="422"/>
      <c r="L354" s="422"/>
      <c r="M354" s="422"/>
      <c r="N354" s="422"/>
      <c r="O354" s="422"/>
      <c r="P354" s="422"/>
    </row>
    <row r="355" spans="1:16" s="414" customFormat="1">
      <c r="A355" s="422"/>
      <c r="B355" s="492"/>
      <c r="C355" s="42"/>
      <c r="D355" s="42"/>
      <c r="E355" s="42"/>
      <c r="F355" s="42"/>
      <c r="G355" s="42"/>
      <c r="H355" s="42"/>
      <c r="I355" s="422"/>
      <c r="J355" s="422"/>
      <c r="K355" s="422"/>
      <c r="L355" s="422"/>
      <c r="M355" s="422"/>
      <c r="N355" s="422"/>
      <c r="O355" s="422"/>
      <c r="P355" s="422"/>
    </row>
    <row r="356" spans="1:16" s="414" customFormat="1">
      <c r="A356" s="422"/>
      <c r="B356" s="492"/>
      <c r="C356" s="42"/>
      <c r="D356" s="42"/>
      <c r="E356" s="42"/>
      <c r="F356" s="42"/>
      <c r="G356" s="42"/>
      <c r="H356" s="42"/>
      <c r="I356" s="422"/>
      <c r="J356" s="422"/>
      <c r="K356" s="422"/>
      <c r="L356" s="422"/>
      <c r="M356" s="422"/>
      <c r="N356" s="422"/>
      <c r="O356" s="422"/>
      <c r="P356" s="422"/>
    </row>
    <row r="357" spans="1:16" s="414" customFormat="1">
      <c r="A357" s="422"/>
      <c r="B357" s="492"/>
      <c r="C357" s="42"/>
      <c r="D357" s="42"/>
      <c r="E357" s="42"/>
      <c r="F357" s="42"/>
      <c r="G357" s="42"/>
      <c r="H357" s="42"/>
      <c r="I357" s="422"/>
      <c r="J357" s="422"/>
      <c r="K357" s="422"/>
      <c r="L357" s="422"/>
      <c r="M357" s="422"/>
      <c r="N357" s="422"/>
      <c r="O357" s="422"/>
      <c r="P357" s="422"/>
    </row>
    <row r="358" spans="1:16" s="414" customFormat="1">
      <c r="A358" s="422"/>
      <c r="B358" s="492"/>
      <c r="C358" s="42"/>
      <c r="D358" s="42"/>
      <c r="E358" s="42"/>
      <c r="F358" s="42"/>
      <c r="G358" s="42"/>
      <c r="H358" s="42"/>
      <c r="I358" s="422"/>
      <c r="J358" s="422"/>
      <c r="K358" s="422"/>
      <c r="L358" s="422"/>
      <c r="M358" s="422"/>
      <c r="N358" s="422"/>
      <c r="O358" s="422"/>
      <c r="P358" s="422"/>
    </row>
    <row r="359" spans="1:16" s="414" customFormat="1">
      <c r="A359" s="422"/>
      <c r="B359" s="492"/>
      <c r="C359" s="42"/>
      <c r="D359" s="42"/>
      <c r="E359" s="42"/>
      <c r="F359" s="42"/>
      <c r="G359" s="42"/>
      <c r="H359" s="42"/>
      <c r="I359" s="422"/>
      <c r="J359" s="422"/>
      <c r="K359" s="422"/>
      <c r="L359" s="422"/>
      <c r="M359" s="422"/>
      <c r="N359" s="422"/>
      <c r="O359" s="422"/>
      <c r="P359" s="422"/>
    </row>
    <row r="360" spans="1:16" s="414" customFormat="1">
      <c r="A360" s="422"/>
      <c r="B360" s="492"/>
      <c r="C360" s="42"/>
      <c r="D360" s="42"/>
      <c r="E360" s="42"/>
      <c r="F360" s="42"/>
      <c r="G360" s="42"/>
      <c r="H360" s="42"/>
      <c r="I360" s="422"/>
      <c r="J360" s="422"/>
      <c r="K360" s="422"/>
      <c r="L360" s="422"/>
      <c r="M360" s="422"/>
      <c r="N360" s="422"/>
      <c r="O360" s="422"/>
      <c r="P360" s="422"/>
    </row>
    <row r="361" spans="1:16" s="414" customFormat="1">
      <c r="A361" s="422"/>
      <c r="B361" s="492"/>
      <c r="C361" s="42"/>
      <c r="D361" s="42"/>
      <c r="E361" s="42"/>
      <c r="F361" s="42"/>
      <c r="G361" s="42"/>
      <c r="H361" s="42"/>
      <c r="I361" s="422"/>
      <c r="J361" s="422"/>
      <c r="K361" s="422"/>
      <c r="L361" s="422"/>
      <c r="M361" s="422"/>
      <c r="N361" s="422"/>
      <c r="O361" s="422"/>
      <c r="P361" s="422"/>
    </row>
    <row r="362" spans="1:16" s="414" customFormat="1">
      <c r="A362" s="422"/>
      <c r="B362" s="492"/>
      <c r="C362" s="42"/>
      <c r="D362" s="42"/>
      <c r="E362" s="42"/>
      <c r="F362" s="42"/>
      <c r="G362" s="42"/>
      <c r="H362" s="42"/>
      <c r="I362" s="422"/>
      <c r="J362" s="422"/>
      <c r="K362" s="422"/>
      <c r="L362" s="422"/>
      <c r="M362" s="422"/>
      <c r="N362" s="422"/>
      <c r="O362" s="422"/>
      <c r="P362" s="422"/>
    </row>
    <row r="363" spans="1:16" s="414" customFormat="1">
      <c r="A363" s="422"/>
      <c r="B363" s="492"/>
      <c r="C363" s="42"/>
      <c r="D363" s="42"/>
      <c r="E363" s="42"/>
      <c r="F363" s="42"/>
      <c r="G363" s="42"/>
      <c r="H363" s="42"/>
      <c r="I363" s="422"/>
      <c r="J363" s="422"/>
      <c r="K363" s="422"/>
      <c r="L363" s="422"/>
      <c r="M363" s="422"/>
      <c r="N363" s="422"/>
      <c r="O363" s="422"/>
      <c r="P363" s="422"/>
    </row>
    <row r="364" spans="1:16" s="414" customFormat="1">
      <c r="A364" s="422"/>
      <c r="B364" s="492"/>
      <c r="C364" s="42"/>
      <c r="D364" s="42"/>
      <c r="E364" s="42"/>
      <c r="F364" s="42"/>
      <c r="G364" s="42"/>
      <c r="H364" s="42"/>
      <c r="I364" s="422"/>
      <c r="J364" s="422"/>
      <c r="K364" s="422"/>
      <c r="L364" s="422"/>
      <c r="M364" s="422"/>
      <c r="N364" s="422"/>
      <c r="O364" s="422"/>
      <c r="P364" s="422"/>
    </row>
    <row r="365" spans="1:16" s="414" customFormat="1">
      <c r="A365" s="422"/>
      <c r="B365" s="492"/>
      <c r="C365" s="42"/>
      <c r="D365" s="42"/>
      <c r="E365" s="42"/>
      <c r="F365" s="42"/>
      <c r="G365" s="42"/>
      <c r="H365" s="42"/>
      <c r="I365" s="422"/>
      <c r="J365" s="422"/>
      <c r="K365" s="422"/>
      <c r="L365" s="422"/>
      <c r="M365" s="422"/>
      <c r="N365" s="422"/>
      <c r="O365" s="422"/>
      <c r="P365" s="422"/>
    </row>
    <row r="366" spans="1:16" s="414" customFormat="1">
      <c r="A366" s="422"/>
      <c r="B366" s="492"/>
      <c r="C366" s="42"/>
      <c r="D366" s="42"/>
      <c r="E366" s="42"/>
      <c r="F366" s="42"/>
      <c r="G366" s="42"/>
      <c r="H366" s="42"/>
      <c r="I366" s="422"/>
      <c r="J366" s="422"/>
      <c r="K366" s="422"/>
      <c r="L366" s="422"/>
      <c r="M366" s="422"/>
      <c r="N366" s="422"/>
      <c r="O366" s="422"/>
      <c r="P366" s="422"/>
    </row>
    <row r="367" spans="1:16" s="414" customFormat="1">
      <c r="A367" s="422"/>
      <c r="B367" s="492"/>
      <c r="C367" s="42"/>
      <c r="D367" s="42"/>
      <c r="E367" s="42"/>
      <c r="F367" s="42"/>
      <c r="G367" s="42"/>
      <c r="H367" s="42"/>
      <c r="I367" s="422"/>
      <c r="J367" s="422"/>
      <c r="K367" s="422"/>
      <c r="L367" s="422"/>
      <c r="M367" s="422"/>
      <c r="N367" s="422"/>
      <c r="O367" s="422"/>
      <c r="P367" s="422"/>
    </row>
    <row r="368" spans="1:16" s="414" customFormat="1">
      <c r="A368" s="422"/>
      <c r="B368" s="492"/>
      <c r="C368" s="42"/>
      <c r="D368" s="42"/>
      <c r="E368" s="42"/>
      <c r="F368" s="42"/>
      <c r="G368" s="42"/>
      <c r="H368" s="42"/>
      <c r="I368" s="422"/>
      <c r="J368" s="422"/>
      <c r="K368" s="422"/>
      <c r="L368" s="422"/>
      <c r="M368" s="422"/>
      <c r="N368" s="422"/>
      <c r="O368" s="422"/>
      <c r="P368" s="422"/>
    </row>
    <row r="369" spans="1:16" s="414" customFormat="1">
      <c r="A369" s="422"/>
      <c r="B369" s="492"/>
      <c r="C369" s="42"/>
      <c r="D369" s="42"/>
      <c r="E369" s="42"/>
      <c r="F369" s="42"/>
      <c r="G369" s="42"/>
      <c r="H369" s="42"/>
      <c r="I369" s="422"/>
      <c r="J369" s="422"/>
      <c r="K369" s="422"/>
      <c r="L369" s="422"/>
      <c r="M369" s="422"/>
      <c r="N369" s="422"/>
      <c r="O369" s="422"/>
      <c r="P369" s="422"/>
    </row>
    <row r="370" spans="1:16" s="414" customFormat="1">
      <c r="A370" s="422"/>
      <c r="B370" s="492"/>
      <c r="C370" s="42"/>
      <c r="D370" s="42"/>
      <c r="E370" s="42"/>
      <c r="F370" s="42"/>
      <c r="G370" s="42"/>
      <c r="H370" s="42"/>
      <c r="I370" s="422"/>
      <c r="J370" s="422"/>
      <c r="K370" s="422"/>
      <c r="L370" s="422"/>
      <c r="M370" s="422"/>
      <c r="N370" s="422"/>
      <c r="O370" s="422"/>
      <c r="P370" s="422"/>
    </row>
    <row r="371" spans="1:16" s="414" customFormat="1">
      <c r="A371" s="422"/>
      <c r="B371" s="492"/>
      <c r="C371" s="42"/>
      <c r="D371" s="42"/>
      <c r="E371" s="42"/>
      <c r="F371" s="42"/>
      <c r="G371" s="42"/>
      <c r="H371" s="42"/>
      <c r="I371" s="422"/>
      <c r="J371" s="422"/>
      <c r="K371" s="422"/>
      <c r="L371" s="422"/>
      <c r="M371" s="422"/>
      <c r="N371" s="422"/>
      <c r="O371" s="422"/>
      <c r="P371" s="422"/>
    </row>
    <row r="372" spans="1:16" s="414" customFormat="1">
      <c r="B372" s="492"/>
      <c r="C372" s="42"/>
      <c r="D372" s="42"/>
      <c r="E372" s="42"/>
      <c r="F372" s="42"/>
      <c r="G372" s="42"/>
      <c r="H372" s="42"/>
      <c r="I372" s="422"/>
      <c r="J372" s="422"/>
      <c r="K372" s="422"/>
      <c r="L372" s="422"/>
      <c r="M372" s="422"/>
      <c r="N372" s="422"/>
      <c r="O372" s="422"/>
      <c r="P372" s="422"/>
    </row>
    <row r="373" spans="1:16" s="414" customFormat="1">
      <c r="B373" s="470"/>
    </row>
    <row r="374" spans="1:16" s="414" customFormat="1">
      <c r="B374" s="470"/>
    </row>
    <row r="375" spans="1:16" s="414" customFormat="1">
      <c r="B375" s="470"/>
    </row>
    <row r="376" spans="1:16" s="414" customFormat="1">
      <c r="A376"/>
      <c r="B376" s="470"/>
    </row>
  </sheetData>
  <dataConsolidate/>
  <mergeCells count="52">
    <mergeCell ref="A1:K1"/>
    <mergeCell ref="A247:A248"/>
    <mergeCell ref="A254:A255"/>
    <mergeCell ref="A251:A252"/>
    <mergeCell ref="A249:A250"/>
    <mergeCell ref="A162:G162"/>
    <mergeCell ref="A234:A235"/>
    <mergeCell ref="A237:A238"/>
    <mergeCell ref="A239:A241"/>
    <mergeCell ref="A242:A244"/>
    <mergeCell ref="A245:A246"/>
    <mergeCell ref="A198:A199"/>
    <mergeCell ref="A165:G165"/>
    <mergeCell ref="A200:G200"/>
    <mergeCell ref="A207:A208"/>
    <mergeCell ref="A209:A210"/>
    <mergeCell ref="A166:A167"/>
    <mergeCell ref="A144:A146"/>
    <mergeCell ref="A147:A149"/>
    <mergeCell ref="A150:A152"/>
    <mergeCell ref="C143:I143"/>
    <mergeCell ref="A158:A160"/>
    <mergeCell ref="C157:I157"/>
    <mergeCell ref="M36:N36"/>
    <mergeCell ref="A196:A197"/>
    <mergeCell ref="A231:A232"/>
    <mergeCell ref="B231:B232"/>
    <mergeCell ref="C231:E231"/>
    <mergeCell ref="F231:G231"/>
    <mergeCell ref="A230:H230"/>
    <mergeCell ref="A173:A174"/>
    <mergeCell ref="A180:A181"/>
    <mergeCell ref="A185:A186"/>
    <mergeCell ref="A191:A192"/>
    <mergeCell ref="A183:A184"/>
    <mergeCell ref="C129:I129"/>
    <mergeCell ref="K143:N144"/>
    <mergeCell ref="K146:N148"/>
    <mergeCell ref="B5:C5"/>
    <mergeCell ref="A5:A6"/>
    <mergeCell ref="C36:D36"/>
    <mergeCell ref="E36:F36"/>
    <mergeCell ref="G36:H36"/>
    <mergeCell ref="E6:F6"/>
    <mergeCell ref="E9:F9"/>
    <mergeCell ref="E13:F13"/>
    <mergeCell ref="A33:N33"/>
    <mergeCell ref="C35:H35"/>
    <mergeCell ref="A36:A37"/>
    <mergeCell ref="I35:N35"/>
    <mergeCell ref="I36:J36"/>
    <mergeCell ref="K36:L36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Q32" sqref="Q3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34</vt:i4>
      </vt:variant>
    </vt:vector>
  </HeadingPairs>
  <TitlesOfParts>
    <vt:vector size="47" baseType="lpstr">
      <vt:lpstr>Descriptif technique</vt:lpstr>
      <vt:lpstr>Economie</vt:lpstr>
      <vt:lpstr>DoseP2O5K2O</vt:lpstr>
      <vt:lpstr>DoseN</vt:lpstr>
      <vt:lpstr>Plan épandage</vt:lpstr>
      <vt:lpstr>Parcelle n°1</vt:lpstr>
      <vt:lpstr>Parcelle n°n</vt:lpstr>
      <vt:lpstr>Flux éléments</vt:lpstr>
      <vt:lpstr>Flux énergie </vt:lpstr>
      <vt:lpstr>Schéma récapitulatif du process</vt:lpstr>
      <vt:lpstr>Flux éléments et énergie (2)</vt:lpstr>
      <vt:lpstr>Sources P2O5 K2O</vt:lpstr>
      <vt:lpstr>Sources N</vt:lpstr>
      <vt:lpstr>Alsace</vt:lpstr>
      <vt:lpstr>années</vt:lpstr>
      <vt:lpstr>Auvergne</vt:lpstr>
      <vt:lpstr>Basse_Normandie</vt:lpstr>
      <vt:lpstr>Bourgogne</vt:lpstr>
      <vt:lpstr>Bretagne_Pays_de_Loire</vt:lpstr>
      <vt:lpstr>Centre_Bassin_parisien</vt:lpstr>
      <vt:lpstr>Centre_Limousin</vt:lpstr>
      <vt:lpstr>Champagne_Ardenne</vt:lpstr>
      <vt:lpstr>culture</vt:lpstr>
      <vt:lpstr>diffré</vt:lpstr>
      <vt:lpstr>Franche_Comté</vt:lpstr>
      <vt:lpstr>Haute_Marne</vt:lpstr>
      <vt:lpstr>'Sources P2O5 K2O'!Haute_Normandie</vt:lpstr>
      <vt:lpstr>Haute_Normandie</vt:lpstr>
      <vt:lpstr>HauteNormandie</vt:lpstr>
      <vt:lpstr>'Sources P2O5 K2O'!K2O</vt:lpstr>
      <vt:lpstr>K2O</vt:lpstr>
      <vt:lpstr>Lorraine</vt:lpstr>
      <vt:lpstr>Nord_Picardie</vt:lpstr>
      <vt:lpstr>'Sources P2O5 K2O'!P2O5</vt:lpstr>
      <vt:lpstr>P2O5</vt:lpstr>
      <vt:lpstr>Poitou_Charentes</vt:lpstr>
      <vt:lpstr>'Sources P2O5 K2O'!Régions</vt:lpstr>
      <vt:lpstr>régions</vt:lpstr>
      <vt:lpstr>Repousses</vt:lpstr>
      <vt:lpstr>Résidus</vt:lpstr>
      <vt:lpstr>Rhone_Alpes_Saône_et_Loire</vt:lpstr>
      <vt:lpstr>Sud_Ouest</vt:lpstr>
      <vt:lpstr>DoseP2O5K2O!Zone_d_impression</vt:lpstr>
      <vt:lpstr>Economie!Zone_d_impression</vt:lpstr>
      <vt:lpstr>'Flux éléments et énergie (2)'!Zone_d_impression</vt:lpstr>
      <vt:lpstr>'Flux énergie '!Zone_d_impression</vt:lpstr>
      <vt:lpstr>'Plan épandage'!Zone_d_impression</vt:lpstr>
    </vt:vector>
  </TitlesOfParts>
  <Company>IFIP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levasseur</dc:creator>
  <cp:lastModifiedBy>cagnat</cp:lastModifiedBy>
  <cp:lastPrinted>2014-02-13T14:51:58Z</cp:lastPrinted>
  <dcterms:created xsi:type="dcterms:W3CDTF">2014-01-28T13:11:37Z</dcterms:created>
  <dcterms:modified xsi:type="dcterms:W3CDTF">2014-02-17T11:10:40Z</dcterms:modified>
</cp:coreProperties>
</file>