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Taux de disponibilité" sheetId="1" r:id="rId1"/>
    <sheet name="Paramètres" sheetId="3" r:id="rId2"/>
  </sheets>
  <externalReferences>
    <externalReference r:id="rId3"/>
  </externalReferences>
  <definedNames>
    <definedName name="Classe">Tableau4[Classe]</definedName>
  </definedNames>
  <calcPr calcId="145621" concurrentCalc="0"/>
</workbook>
</file>

<file path=xl/calcChain.xml><?xml version="1.0" encoding="utf-8"?>
<calcChain xmlns="http://schemas.openxmlformats.org/spreadsheetml/2006/main">
  <c r="H42" i="1" l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7" i="1"/>
  <c r="H26" i="1"/>
  <c r="H25" i="1"/>
  <c r="H24" i="1"/>
  <c r="H23" i="1"/>
  <c r="H22" i="1"/>
  <c r="H20" i="1"/>
  <c r="H19" i="1"/>
  <c r="H12" i="1"/>
  <c r="H13" i="1"/>
  <c r="H15" i="1"/>
  <c r="H16" i="1"/>
  <c r="H17" i="1"/>
  <c r="H18" i="1"/>
  <c r="G7" i="1"/>
  <c r="I42" i="1"/>
  <c r="G5" i="1"/>
  <c r="I41" i="1"/>
  <c r="I40" i="1"/>
  <c r="G6" i="1"/>
  <c r="I39" i="1"/>
  <c r="I38" i="1"/>
  <c r="G4" i="1"/>
  <c r="I37" i="1"/>
  <c r="I36" i="1"/>
  <c r="I35" i="1"/>
  <c r="I34" i="1"/>
  <c r="I33" i="1"/>
  <c r="I32" i="1"/>
  <c r="I31" i="1"/>
  <c r="I30" i="1"/>
  <c r="I29" i="1"/>
  <c r="F5" i="1"/>
  <c r="I27" i="1"/>
  <c r="F4" i="1"/>
  <c r="I26" i="1"/>
  <c r="F6" i="1"/>
  <c r="I25" i="1"/>
  <c r="I24" i="1"/>
  <c r="I23" i="1"/>
  <c r="I22" i="1"/>
  <c r="E7" i="1"/>
  <c r="I20" i="1"/>
  <c r="E5" i="1"/>
  <c r="I19" i="1"/>
  <c r="G18" i="1"/>
  <c r="I18" i="1"/>
  <c r="E6" i="1"/>
  <c r="I17" i="1"/>
  <c r="I16" i="1"/>
  <c r="I15" i="1"/>
  <c r="D6" i="1"/>
  <c r="I13" i="1"/>
  <c r="D5" i="1"/>
  <c r="I12" i="1"/>
  <c r="P7" i="1"/>
  <c r="O7" i="1"/>
  <c r="N7" i="1"/>
  <c r="M7" i="1"/>
  <c r="L7" i="1"/>
  <c r="K7" i="1"/>
  <c r="J7" i="1"/>
  <c r="I7" i="1"/>
  <c r="H7" i="1"/>
  <c r="F7" i="1"/>
  <c r="D7" i="1"/>
  <c r="P6" i="1"/>
  <c r="O6" i="1"/>
  <c r="N6" i="1"/>
  <c r="M6" i="1"/>
  <c r="L6" i="1"/>
  <c r="K6" i="1"/>
  <c r="J6" i="1"/>
  <c r="I6" i="1"/>
  <c r="H6" i="1"/>
  <c r="P5" i="1"/>
  <c r="O5" i="1"/>
  <c r="N5" i="1"/>
  <c r="M5" i="1"/>
  <c r="L5" i="1"/>
  <c r="K5" i="1"/>
  <c r="J5" i="1"/>
  <c r="I5" i="1"/>
  <c r="H5" i="1"/>
  <c r="P4" i="1"/>
  <c r="O4" i="1"/>
  <c r="N4" i="1"/>
  <c r="M4" i="1"/>
  <c r="L4" i="1"/>
  <c r="K4" i="1"/>
  <c r="J4" i="1"/>
  <c r="I4" i="1"/>
  <c r="H4" i="1"/>
  <c r="E4" i="1"/>
  <c r="D4" i="1"/>
</calcChain>
</file>

<file path=xl/sharedStrings.xml><?xml version="1.0" encoding="utf-8"?>
<sst xmlns="http://schemas.openxmlformats.org/spreadsheetml/2006/main" count="112" uniqueCount="62">
  <si>
    <t>Durée d'ouverture de service en minutes</t>
  </si>
  <si>
    <t>Plage d'ouverture du service</t>
  </si>
  <si>
    <t>déc-15</t>
  </si>
  <si>
    <t>janv-16</t>
  </si>
  <si>
    <t>fev 2016</t>
  </si>
  <si>
    <t>mars-16</t>
  </si>
  <si>
    <t>avr-16</t>
  </si>
  <si>
    <t>mai-16</t>
  </si>
  <si>
    <t>juin-16</t>
  </si>
  <si>
    <t>juil-16</t>
  </si>
  <si>
    <t>août-16</t>
  </si>
  <si>
    <t>sept-16</t>
  </si>
  <si>
    <t>oct-16</t>
  </si>
  <si>
    <t>nov-16</t>
  </si>
  <si>
    <t>déc-16</t>
  </si>
  <si>
    <t>24h*7j</t>
  </si>
  <si>
    <t>8h/19h</t>
  </si>
  <si>
    <t>8h-12h/14h-18h</t>
  </si>
  <si>
    <t>Services</t>
  </si>
  <si>
    <t>Type</t>
  </si>
  <si>
    <t>Date de début</t>
  </si>
  <si>
    <t>Date de fin</t>
  </si>
  <si>
    <t>Durée d'indisponibilité (min)</t>
  </si>
  <si>
    <t>Durée d'indisponibilité (hh:mm)</t>
  </si>
  <si>
    <t>Taux de disponibilité brute</t>
  </si>
  <si>
    <t>Taux de disponibilité Nette</t>
  </si>
  <si>
    <t>DECEMBRE</t>
  </si>
  <si>
    <t>JANVIER</t>
  </si>
  <si>
    <t>FEVRIER</t>
  </si>
  <si>
    <t>MARS</t>
  </si>
  <si>
    <t>AVRIL</t>
  </si>
  <si>
    <t>Planifié</t>
  </si>
  <si>
    <t xml:space="preserve">Classe </t>
  </si>
  <si>
    <t>Rouge</t>
  </si>
  <si>
    <t>Orange</t>
  </si>
  <si>
    <t>Bleu</t>
  </si>
  <si>
    <t>Vert</t>
  </si>
  <si>
    <t>SED</t>
  </si>
  <si>
    <t>PAZ</t>
  </si>
  <si>
    <t>COCA</t>
  </si>
  <si>
    <t>CLA</t>
  </si>
  <si>
    <t>DERMA</t>
  </si>
  <si>
    <t>RET</t>
  </si>
  <si>
    <t>ZETA</t>
  </si>
  <si>
    <t>FRAGOL</t>
  </si>
  <si>
    <t>POC</t>
  </si>
  <si>
    <t>ROULI</t>
  </si>
  <si>
    <t>DAZA</t>
  </si>
  <si>
    <t>POLO</t>
  </si>
  <si>
    <t>MOULANI</t>
  </si>
  <si>
    <t>WII</t>
  </si>
  <si>
    <t>NIBA</t>
  </si>
  <si>
    <t>DAVA</t>
  </si>
  <si>
    <t>ROCK</t>
  </si>
  <si>
    <t>Plage de service</t>
  </si>
  <si>
    <t>Heure ouverture matin</t>
  </si>
  <si>
    <t>Heure fermeture matin</t>
  </si>
  <si>
    <t>Heure ouverture soir</t>
  </si>
  <si>
    <t>Heure fermeture soir</t>
  </si>
  <si>
    <t>NE PAS SUPPRIMER</t>
  </si>
  <si>
    <t>BOUL</t>
  </si>
  <si>
    <t>Classe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</si>
</sst>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;[Red]#,##0"/>
    <numFmt numFmtId="165" formatCode="h:mm;@"/>
    <numFmt numFmtId="166" formatCode="[h]:mm;@"/>
  </numFmts>
  <fonts count="6" x14ac:knownFonts="1">
    <font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F07F0A"/>
      <name val="Calibri"/>
      <family val="2"/>
      <scheme val="minor"/>
    </font>
    <font>
      <sz val="8"/>
      <color theme="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07F0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</fills>
  <borders count="5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2">
    <xf numFmtId="0" fontId="0" fillId="0" borderId="0"/>
    <xf numFmtId="0" fontId="5" fillId="0" borderId="0"/>
  </cellStyleXfs>
  <cellXfs count="4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2" fillId="3" borderId="0" xfId="0" applyFont="1" applyFill="1"/>
    <xf numFmtId="0" fontId="3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7" fontId="2" fillId="0" borderId="0" xfId="0" applyNumberFormat="1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0" fontId="2" fillId="0" borderId="0" xfId="0" applyFont="1" applyFill="1" applyBorder="1"/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wrapText="1"/>
    </xf>
    <xf numFmtId="0" fontId="4" fillId="4" borderId="2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/>
    <xf numFmtId="0" fontId="4" fillId="4" borderId="1" xfId="0" applyFont="1" applyFill="1" applyBorder="1" applyAlignment="1">
      <alignment horizontal="right"/>
    </xf>
    <xf numFmtId="10" fontId="4" fillId="4" borderId="1" xfId="0" applyNumberFormat="1" applyFont="1" applyFill="1" applyBorder="1" applyAlignment="1">
      <alignment horizontal="center" vertical="center"/>
    </xf>
    <xf numFmtId="0" fontId="2" fillId="0" borderId="2" xfId="0" applyFont="1" applyFill="1" applyBorder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right"/>
    </xf>
    <xf numFmtId="10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/>
    <xf numFmtId="17" fontId="4" fillId="4" borderId="2" xfId="0" applyNumberFormat="1" applyFont="1" applyFill="1" applyBorder="1" applyAlignment="1">
      <alignment horizontal="center"/>
    </xf>
    <xf numFmtId="164" fontId="2" fillId="0" borderId="1" xfId="0" applyNumberFormat="1" applyFont="1" applyFill="1" applyBorder="1" applyAlignment="1">
      <alignment horizontal="right"/>
    </xf>
    <xf numFmtId="0" fontId="2" fillId="0" borderId="1" xfId="0" applyFont="1" applyFill="1" applyBorder="1" applyAlignment="1">
      <alignment horizontal="center" vertical="center" wrapText="1"/>
    </xf>
    <xf numFmtId="22" fontId="2" fillId="0" borderId="1" xfId="0" applyNumberFormat="1" applyFont="1" applyFill="1" applyBorder="1"/>
    <xf numFmtId="0" fontId="2" fillId="0" borderId="3" xfId="0" applyFont="1" applyFill="1" applyBorder="1"/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/>
    <xf numFmtId="0" fontId="2" fillId="0" borderId="4" xfId="0" applyFont="1" applyFill="1" applyBorder="1" applyAlignment="1">
      <alignment horizontal="right"/>
    </xf>
    <xf numFmtId="10" fontId="2" fillId="0" borderId="4" xfId="0" applyNumberFormat="1" applyFont="1" applyFill="1" applyBorder="1" applyAlignment="1">
      <alignment horizontal="center" vertical="center"/>
    </xf>
    <xf numFmtId="165" fontId="2" fillId="0" borderId="4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4" fillId="2" borderId="2" xfId="0" applyFont="1" applyFill="1" applyBorder="1" applyAlignment="1">
      <alignment horizontal="center"/>
    </xf>
    <xf numFmtId="0" fontId="4" fillId="4" borderId="0" xfId="0" applyFont="1" applyFill="1" applyBorder="1" applyAlignment="1">
      <alignment horizontal="center"/>
    </xf>
    <xf numFmtId="46" fontId="2" fillId="0" borderId="0" xfId="0" applyNumberFormat="1" applyFont="1" applyFill="1" applyAlignment="1">
      <alignment horizontal="center" vertical="center"/>
    </xf>
    <xf numFmtId="166" fontId="2" fillId="0" borderId="1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42"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fill>
        <patternFill patternType="solid">
          <fgColor indexed="64"/>
          <bgColor theme="9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0"/>
        <name val="Calibri"/>
        <scheme val="minor"/>
      </font>
      <fill>
        <patternFill patternType="solid">
          <fgColor indexed="64"/>
          <bgColor rgb="FFF07F0A"/>
        </patternFill>
      </fill>
      <alignment horizontal="center" vertical="bottom" textRotation="0" wrapText="0" indent="0" justifyLastLine="0" shrinkToFit="0" readingOrder="0"/>
    </dxf>
    <dxf>
      <border outline="0">
        <left style="thin">
          <color theme="0"/>
        </left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5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border outline="0">
        <left style="thin">
          <color theme="0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4" formatCode="#,##0;[Red]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07F0A"/>
        </patternFill>
      </fill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</dxfs>
  <tableStyles count="1" defaultTableStyle="TableStyleMedium2" defaultPivotStyle="PivotStyleLight16">
    <tableStyle name="Style de tableau 2" pivot="0" count="4">
      <tableStyleElement type="wholeTable" dxfId="41"/>
      <tableStyleElement type="headerRow" dxfId="40"/>
      <tableStyleElement type="firstRowStripe" dxfId="39"/>
      <tableStyleElement type="secondRowStripe" dxfId="3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space-collaboratif/sites/SI/GTSI/SIRIUS2/Travail/02-Planification%20-%20Suivi/02-GFI/04-Indicateurs/Mensuel/SIRIUS.16010416.QUA.KPI%20-%20Mesure%20disponibilite%20des%20servic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de Garde"/>
      <sheetName val="Taux de disponibilité"/>
      <sheetName val="Paramètres"/>
      <sheetName val="Feuil1"/>
    </sheetNames>
    <sheetDataSet>
      <sheetData sheetId="0"/>
      <sheetData sheetId="1"/>
      <sheetData sheetId="2"/>
      <sheetData sheetId="3">
        <row r="6">
          <cell r="A6">
            <v>42495</v>
          </cell>
        </row>
        <row r="7">
          <cell r="A7">
            <v>42506</v>
          </cell>
        </row>
        <row r="10">
          <cell r="A10">
            <v>42675</v>
          </cell>
        </row>
        <row r="11">
          <cell r="A11">
            <v>42685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2" displayName="Tableau2" ref="B3:P7" totalsRowShown="0" headerRowDxfId="37" dataDxfId="36">
  <autoFilter ref="B3:P7"/>
  <tableColumns count="15">
    <tableColumn id="1" name="Classe " dataDxfId="35"/>
    <tableColumn id="2" name="Plage d'ouverture du service" dataDxfId="34"/>
    <tableColumn id="3" name="déc-15" dataDxfId="33"/>
    <tableColumn id="4" name="janv-16" dataDxfId="32"/>
    <tableColumn id="5" name="fev 2016" dataDxfId="31"/>
    <tableColumn id="6" name="mars-16" dataDxfId="30"/>
    <tableColumn id="7" name="avr-16" dataDxfId="29"/>
    <tableColumn id="8" name="mai-16" dataDxfId="28"/>
    <tableColumn id="9" name="juin-16" dataDxfId="27"/>
    <tableColumn id="10" name="juil-16" dataDxfId="26"/>
    <tableColumn id="11" name="août-16" dataDxfId="25"/>
    <tableColumn id="12" name="sept-16" dataDxfId="24"/>
    <tableColumn id="13" name="oct-16" dataDxfId="23"/>
    <tableColumn id="14" name="nov-16" dataDxfId="22"/>
    <tableColumn id="15" name="déc-16" dataDxfId="21"/>
  </tableColumns>
  <tableStyleInfo name="Style de tableau 2" showFirstColumn="0" showLastColumn="0" showRowStripes="1" showColumnStripes="0"/>
</table>
</file>

<file path=xl/tables/table2.xml><?xml version="1.0" encoding="utf-8"?>
<table xmlns="http://schemas.openxmlformats.org/spreadsheetml/2006/main" id="2" name="Tableau3" displayName="Tableau3" ref="B10:J55" totalsRowShown="0" headerRowDxfId="20" dataDxfId="19" tableBorderDxfId="18">
  <autoFilter ref="B10:J55"/>
  <tableColumns count="9">
    <tableColumn id="1" name="Services" dataDxfId="17"/>
    <tableColumn id="2" name="Classe" dataDxfId="16"/>
    <tableColumn id="22" name="Type" dataDxfId="15"/>
    <tableColumn id="17" name="Date de début" dataDxfId="14"/>
    <tableColumn id="16" name="Date de fin" dataDxfId="13"/>
    <tableColumn id="19" name="Durée d'indisponibilité (min)" dataDxfId="12"/>
    <tableColumn id="20" name="Durée d'indisponibilité (hh:mm)" dataDxfId="11"/>
    <tableColumn id="18" name="Taux de disponibilité brute" dataDxfId="10">
      <calculatedColumnFormula>(D4-G11)/D4</calculatedColumnFormula>
    </tableColumn>
    <tableColumn id="21" name="Taux de disponibilité Nette" dataDxfId="9"/>
  </tableColumns>
  <tableStyleInfo name="Style de tableau 2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C1:H5" totalsRowShown="0" headerRowDxfId="8" dataDxfId="7" tableBorderDxfId="6">
  <autoFilter ref="C1:H5"/>
  <tableColumns count="6">
    <tableColumn id="1" name="Classe" dataDxfId="5"/>
    <tableColumn id="6" name="Plage de service" dataDxfId="4"/>
    <tableColumn id="2" name="Heure ouverture matin" dataDxfId="3"/>
    <tableColumn id="3" name="Heure fermeture matin" dataDxfId="2"/>
    <tableColumn id="4" name="Heure ouverture soir" dataDxfId="1"/>
    <tableColumn id="5" name="Heure fermeture soir" dataDxfId="0"/>
  </tableColumns>
  <tableStyleInfo name="Style de tableau 2" showFirstColumn="1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07F0A"/>
  </sheetPr>
  <dimension ref="B2:P55"/>
  <sheetViews>
    <sheetView showGridLines="0" tabSelected="1" zoomScaleNormal="100" workbookViewId="0">
      <selection activeCell="D37" sqref="D37"/>
    </sheetView>
  </sheetViews>
  <sheetFormatPr baseColWidth="10" defaultRowHeight="11.25" x14ac:dyDescent="0.2"/>
  <cols>
    <col min="1" max="1" width="2" style="8" customWidth="1"/>
    <col min="2" max="2" width="18.7109375" style="8" customWidth="1"/>
    <col min="3" max="3" width="12.5703125" style="8" customWidth="1"/>
    <col min="4" max="4" width="16.42578125" style="8" customWidth="1"/>
    <col min="5" max="5" width="16.7109375" style="8" customWidth="1"/>
    <col min="6" max="6" width="17.7109375" style="8" customWidth="1"/>
    <col min="7" max="7" width="14.28515625" style="8" customWidth="1"/>
    <col min="8" max="8" width="13.42578125" style="8" customWidth="1"/>
    <col min="9" max="9" width="15.28515625" style="8" customWidth="1"/>
    <col min="10" max="10" width="14.28515625" style="8" customWidth="1"/>
    <col min="11" max="11" width="14.5703125" style="8" customWidth="1"/>
    <col min="12" max="12" width="15.5703125" style="8" customWidth="1"/>
    <col min="13" max="1011" width="11.42578125" style="8"/>
    <col min="1012" max="10011" width="12.140625" style="8" customWidth="1"/>
    <col min="10012" max="16384" width="13" style="8" customWidth="1"/>
  </cols>
  <sheetData>
    <row r="2" spans="2:16" s="3" customFormat="1" ht="15.75" x14ac:dyDescent="0.2">
      <c r="B2" s="1" t="s">
        <v>0</v>
      </c>
      <c r="C2" s="2"/>
      <c r="F2" s="4"/>
      <c r="G2" s="4"/>
      <c r="H2" s="4"/>
      <c r="I2" s="4"/>
      <c r="J2" s="4"/>
      <c r="K2" s="4"/>
    </row>
    <row r="3" spans="2:16" s="5" customFormat="1" ht="24" customHeight="1" x14ac:dyDescent="0.25">
      <c r="B3" s="5" t="s">
        <v>32</v>
      </c>
      <c r="C3" s="6" t="s">
        <v>1</v>
      </c>
      <c r="D3" s="7" t="s">
        <v>2</v>
      </c>
      <c r="E3" s="7" t="s">
        <v>3</v>
      </c>
      <c r="F3" s="5" t="s">
        <v>4</v>
      </c>
      <c r="G3" s="7" t="s">
        <v>5</v>
      </c>
      <c r="H3" s="7" t="s">
        <v>6</v>
      </c>
      <c r="I3" s="7" t="s">
        <v>7</v>
      </c>
      <c r="J3" s="7" t="s">
        <v>8</v>
      </c>
      <c r="K3" s="7" t="s">
        <v>9</v>
      </c>
      <c r="L3" s="7" t="s">
        <v>10</v>
      </c>
      <c r="M3" s="7" t="s">
        <v>11</v>
      </c>
      <c r="N3" s="7" t="s">
        <v>12</v>
      </c>
      <c r="O3" s="7" t="s">
        <v>13</v>
      </c>
      <c r="P3" s="7" t="s">
        <v>14</v>
      </c>
    </row>
    <row r="4" spans="2:16" x14ac:dyDescent="0.2">
      <c r="B4" s="8" t="s">
        <v>33</v>
      </c>
      <c r="C4" s="8" t="s">
        <v>15</v>
      </c>
      <c r="D4" s="9">
        <f>(("31/12/2015"-"09/12/2015")+1)*24*60</f>
        <v>33120</v>
      </c>
      <c r="E4" s="9">
        <f>(("31/01/2016"-"01/01/2016")+1)*24*60</f>
        <v>44640</v>
      </c>
      <c r="F4" s="9">
        <f>(("29/02/2016"-"01/02/2016")+1)*24*60</f>
        <v>41760</v>
      </c>
      <c r="G4" s="9">
        <f>(("31/03/2016"-"01/03/2016")+1)*24*60</f>
        <v>44640</v>
      </c>
      <c r="H4" s="9">
        <f>(("30/04/2016"-"01/04/2016")+1)*24*60</f>
        <v>43200</v>
      </c>
      <c r="I4" s="9">
        <f>(("31/05/2015"-"01/05/2015")+1)*24*60</f>
        <v>44640</v>
      </c>
      <c r="J4" s="9">
        <f>(("30/06/2016"-"01/06/2016")+1)*24*60</f>
        <v>43200</v>
      </c>
      <c r="K4" s="9">
        <f>(("31/07/2016"-"01/07/2016")+1)*24*60</f>
        <v>44640</v>
      </c>
      <c r="L4" s="9">
        <f>(("31/08/2016"-"01/08/2016")+1)*24*60</f>
        <v>44640</v>
      </c>
      <c r="M4" s="9">
        <f>(("30/09/2016"-"01/09/2016")+1)*24*60</f>
        <v>43200</v>
      </c>
      <c r="N4" s="9">
        <f>(("31/10/2016"-"01/10/2016")+1)*24*60</f>
        <v>44640</v>
      </c>
      <c r="O4" s="9">
        <f>(("30/11/2016"-"01/11/2016")+1)*24*60</f>
        <v>43200</v>
      </c>
      <c r="P4" s="9">
        <f>(("31/12/2016"-"01/12/2016")+1)*24*60</f>
        <v>44640</v>
      </c>
    </row>
    <row r="5" spans="2:16" x14ac:dyDescent="0.2">
      <c r="B5" s="8" t="s">
        <v>34</v>
      </c>
      <c r="C5" s="8" t="s">
        <v>15</v>
      </c>
      <c r="D5" s="9">
        <f>(("31/12/2015"-"09/12/2015")+1)*24*60</f>
        <v>33120</v>
      </c>
      <c r="E5" s="9">
        <f>(("31/01/2016"-"01/01/2016")+1)*24*60</f>
        <v>44640</v>
      </c>
      <c r="F5" s="9">
        <f>(("29/02/2016"-"01/02/2016")+1)*24*60</f>
        <v>41760</v>
      </c>
      <c r="G5" s="9">
        <f>(("31/03/2016"-"01/03/2016")+1)*24*60</f>
        <v>44640</v>
      </c>
      <c r="H5" s="9">
        <f>(("30/04/2016"-"01/04/2016")+1)*24*60</f>
        <v>43200</v>
      </c>
      <c r="I5" s="9">
        <f>(("31/05/2015"-"01/05/2015")+1)*24*60</f>
        <v>44640</v>
      </c>
      <c r="J5" s="9">
        <f>(("30/06/2016"-"01/06/2016")+1)*24*60</f>
        <v>43200</v>
      </c>
      <c r="K5" s="9">
        <f>(("31/07/2016"-"01/07/2016")+1)*24*60</f>
        <v>44640</v>
      </c>
      <c r="L5" s="9">
        <f>(("31/08/2016"-"01/08/2016")+1)*24*60</f>
        <v>44640</v>
      </c>
      <c r="M5" s="9">
        <f>(("30/09/2016"-"01/09/2016")+1)*24*60</f>
        <v>43200</v>
      </c>
      <c r="N5" s="9">
        <f>(("31/10/2016"-"01/10/2016")+1)*24*60</f>
        <v>44640</v>
      </c>
      <c r="O5" s="9">
        <f>(("30/11/2016"-"01/11/2016")+1)*24*60</f>
        <v>43200</v>
      </c>
      <c r="P5" s="9">
        <f>(("31/12/2016"-"01/12/2016")+1)*24*60</f>
        <v>44640</v>
      </c>
    </row>
    <row r="6" spans="2:16" x14ac:dyDescent="0.2">
      <c r="B6" s="8" t="s">
        <v>35</v>
      </c>
      <c r="C6" s="8" t="s">
        <v>16</v>
      </c>
      <c r="D6" s="9">
        <f>NETWORKDAYS(DATE(2015,12,9),DATE(2015,12,31),DATE(2015,12,25))*11*60</f>
        <v>10560</v>
      </c>
      <c r="E6" s="9">
        <f>NETWORKDAYS(DATE(2016,1,1),DATE(2016,1,31),DATE(2016,1,1))*11*60</f>
        <v>13200</v>
      </c>
      <c r="F6" s="9">
        <f>NETWORKDAYS(DATE(2016,2,1),DATE(2016,2,29))*11*60</f>
        <v>13860</v>
      </c>
      <c r="G6" s="9">
        <f>NETWORKDAYS(DATE(2016,3,1),DATE(2016,3,31),DATE(2016,3,28))*11*60</f>
        <v>14520</v>
      </c>
      <c r="H6" s="9">
        <f>NETWORKDAYS(DATE(2016,4,1),DATE(2016,4,30))*11*60</f>
        <v>13860</v>
      </c>
      <c r="I6" s="9">
        <f>NETWORKDAYS(DATE(2016,5,1),DATE(2016,5,31),[1]Feuil1!A6:A7)*11*60</f>
        <v>13200</v>
      </c>
      <c r="J6" s="9">
        <f>NETWORKDAYS(DATE(2016,6,1),DATE(2016,6,30))*11*60</f>
        <v>14520</v>
      </c>
      <c r="K6" s="9">
        <f>NETWORKDAYS(DATE(2016,7,1),DATE(2016,7,31),DATE(2016,7,14))*11*60</f>
        <v>13200</v>
      </c>
      <c r="L6" s="9">
        <f>NETWORKDAYS(DATE(2016,8,1),DATE(2016,8,31),DATE(2016,8,15))*11*60</f>
        <v>14520</v>
      </c>
      <c r="M6" s="9">
        <f>NETWORKDAYS(DATE(2016,9,1),DATE(2016,9,30))*11*60</f>
        <v>14520</v>
      </c>
      <c r="N6" s="9">
        <f>NETWORKDAYS(DATE(2016,10,1),DATE(2016,10,31))*11*60</f>
        <v>13860</v>
      </c>
      <c r="O6" s="9">
        <f>NETWORKDAYS(DATE(2016,11,1),DATE(2016,11,30),[1]Feuil1!A10:A11)*11*60</f>
        <v>13200</v>
      </c>
      <c r="P6" s="9">
        <f>NETWORKDAYS(DATE(2016,12,1),DATE(2016,12,31),DATE(2016,12,31))*11*60</f>
        <v>14520</v>
      </c>
    </row>
    <row r="7" spans="2:16" x14ac:dyDescent="0.2">
      <c r="B7" s="8" t="s">
        <v>36</v>
      </c>
      <c r="C7" s="8" t="s">
        <v>17</v>
      </c>
      <c r="D7" s="9">
        <f>NETWORKDAYS(DATE(2015,12,9),DATE(2015,12,31),DATE(2015,12,25))*8*60</f>
        <v>7680</v>
      </c>
      <c r="E7" s="9">
        <f>NETWORKDAYS(DATE(2016,1,1),DATE(2016,1,31),DATE(2016,1,1))*8*60</f>
        <v>9600</v>
      </c>
      <c r="F7" s="9">
        <f>NETWORKDAYS(DATE(2016,2,1),DATE(2016,2,29))*8*60</f>
        <v>10080</v>
      </c>
      <c r="G7" s="9">
        <f>NETWORKDAYS(DATE(2016,3,1),DATE(2016,3,31),DATE(2016,3,28))*8*60</f>
        <v>10560</v>
      </c>
      <c r="H7" s="9">
        <f>NETWORKDAYS(DATE(2016,4,1),DATE(2016,4,30))*8*60</f>
        <v>10080</v>
      </c>
      <c r="I7" s="9">
        <f>NETWORKDAYS(DATE(2016,5,1),DATE(2016,5,31),[1]Feuil1!A6:A7)*8*60</f>
        <v>9600</v>
      </c>
      <c r="J7" s="9">
        <f>NETWORKDAYS(DATE(2016,6,1),DATE(2016,6,30))*8*60</f>
        <v>10560</v>
      </c>
      <c r="K7" s="9">
        <f>NETWORKDAYS(DATE(2016,7,1),DATE(2016,7,31),DATE(2016,7,14))*8*60</f>
        <v>9600</v>
      </c>
      <c r="L7" s="9">
        <f>NETWORKDAYS(DATE(2016,8,1),DATE(2016,8,31),DATE(2016,8,15))*8*60</f>
        <v>10560</v>
      </c>
      <c r="M7" s="9">
        <f>NETWORKDAYS(DATE(2016,9,1),DATE(2016,9,30))*8*60</f>
        <v>10560</v>
      </c>
      <c r="N7" s="9">
        <f>NETWORKDAYS(DATE(2016,10,1),DATE(2016,10,31))*8*60</f>
        <v>10080</v>
      </c>
      <c r="O7" s="9">
        <f>NETWORKDAYS(DATE(2016,11,1),DATE(2016,11,30),[1]Feuil1!A10:A11)*8*60</f>
        <v>9600</v>
      </c>
      <c r="P7" s="9">
        <f>NETWORKDAYS(DATE(2016,12,1),DATE(2016,12,31),DATE(2016,12,31))*8*60</f>
        <v>10560</v>
      </c>
    </row>
    <row r="8" spans="2:16" s="10" customFormat="1" x14ac:dyDescent="0.2"/>
    <row r="9" spans="2:16" s="10" customFormat="1" x14ac:dyDescent="0.2"/>
    <row r="10" spans="2:16" s="13" customFormat="1" ht="37.5" customHeight="1" x14ac:dyDescent="0.2">
      <c r="B10" s="11" t="s">
        <v>18</v>
      </c>
      <c r="C10" s="12" t="s">
        <v>61</v>
      </c>
      <c r="D10" s="12" t="s">
        <v>19</v>
      </c>
      <c r="E10" s="12" t="s">
        <v>20</v>
      </c>
      <c r="F10" s="12" t="s">
        <v>21</v>
      </c>
      <c r="G10" s="12" t="s">
        <v>22</v>
      </c>
      <c r="H10" s="12" t="s">
        <v>23</v>
      </c>
      <c r="I10" s="12" t="s">
        <v>24</v>
      </c>
      <c r="J10" s="12" t="s">
        <v>25</v>
      </c>
    </row>
    <row r="11" spans="2:16" s="10" customFormat="1" x14ac:dyDescent="0.2">
      <c r="B11" s="14" t="s">
        <v>26</v>
      </c>
      <c r="C11" s="15"/>
      <c r="D11" s="15"/>
      <c r="E11" s="16"/>
      <c r="F11" s="16"/>
      <c r="G11" s="17"/>
      <c r="H11" s="15"/>
      <c r="I11" s="18"/>
      <c r="J11" s="18"/>
    </row>
    <row r="12" spans="2:16" s="10" customFormat="1" x14ac:dyDescent="0.2">
      <c r="B12" s="19" t="s">
        <v>60</v>
      </c>
      <c r="C12" s="20" t="s">
        <v>34</v>
      </c>
      <c r="D12" s="20"/>
      <c r="E12" s="21"/>
      <c r="F12" s="21"/>
      <c r="G12" s="22">
        <v>335</v>
      </c>
      <c r="H12" s="41">
        <f t="shared" ref="H12:H42" si="0">G12/1440</f>
        <v>0.2326388888888889</v>
      </c>
      <c r="I12" s="23">
        <f>(D5-G12)/D5</f>
        <v>0.98988526570048307</v>
      </c>
    </row>
    <row r="13" spans="2:16" s="24" customFormat="1" x14ac:dyDescent="0.2">
      <c r="B13" s="19" t="s">
        <v>37</v>
      </c>
      <c r="C13" s="20" t="s">
        <v>35</v>
      </c>
      <c r="D13" s="20"/>
      <c r="E13" s="21"/>
      <c r="F13" s="21"/>
      <c r="G13" s="22">
        <v>30</v>
      </c>
      <c r="H13" s="41">
        <f t="shared" si="0"/>
        <v>2.0833333333333332E-2</v>
      </c>
      <c r="I13" s="23">
        <f>(D6-G13)/D6</f>
        <v>0.99715909090909094</v>
      </c>
    </row>
    <row r="14" spans="2:16" s="10" customFormat="1" x14ac:dyDescent="0.2">
      <c r="B14" s="25" t="s">
        <v>27</v>
      </c>
      <c r="C14" s="15"/>
      <c r="D14" s="15"/>
      <c r="E14" s="16"/>
      <c r="F14" s="16"/>
      <c r="G14" s="17"/>
      <c r="H14" s="17"/>
      <c r="I14" s="18"/>
      <c r="J14" s="18"/>
    </row>
    <row r="15" spans="2:16" s="10" customFormat="1" x14ac:dyDescent="0.2">
      <c r="B15" s="19" t="s">
        <v>38</v>
      </c>
      <c r="C15" s="20" t="s">
        <v>34</v>
      </c>
      <c r="D15" s="20"/>
      <c r="E15" s="21"/>
      <c r="F15" s="21"/>
      <c r="G15" s="22">
        <v>8730</v>
      </c>
      <c r="H15" s="41">
        <f t="shared" si="0"/>
        <v>6.0625</v>
      </c>
      <c r="I15" s="23">
        <f>(E5-G15)/E5</f>
        <v>0.80443548387096775</v>
      </c>
    </row>
    <row r="16" spans="2:16" s="10" customFormat="1" x14ac:dyDescent="0.2">
      <c r="B16" s="19" t="s">
        <v>39</v>
      </c>
      <c r="C16" s="23" t="s">
        <v>35</v>
      </c>
      <c r="D16" s="23"/>
      <c r="E16" s="21"/>
      <c r="F16" s="21"/>
      <c r="G16" s="26">
        <v>60</v>
      </c>
      <c r="H16" s="41">
        <f t="shared" si="0"/>
        <v>4.1666666666666664E-2</v>
      </c>
      <c r="I16" s="23">
        <f>(E6-G16)/E6</f>
        <v>0.99545454545454548</v>
      </c>
    </row>
    <row r="17" spans="2:10" s="10" customFormat="1" x14ac:dyDescent="0.2">
      <c r="B17" s="19" t="s">
        <v>40</v>
      </c>
      <c r="C17" s="20" t="s">
        <v>35</v>
      </c>
      <c r="D17" s="20"/>
      <c r="E17" s="21"/>
      <c r="F17" s="21"/>
      <c r="G17" s="26">
        <v>60</v>
      </c>
      <c r="H17" s="41">
        <f t="shared" si="0"/>
        <v>4.1666666666666664E-2</v>
      </c>
      <c r="I17" s="23">
        <f>(E6-G17)/E6</f>
        <v>0.99545454545454548</v>
      </c>
    </row>
    <row r="18" spans="2:10" s="13" customFormat="1" x14ac:dyDescent="0.2">
      <c r="B18" s="19" t="s">
        <v>41</v>
      </c>
      <c r="C18" s="20" t="s">
        <v>34</v>
      </c>
      <c r="D18" s="20"/>
      <c r="E18" s="27"/>
      <c r="F18" s="27"/>
      <c r="G18" s="26">
        <f>(24+24+8+4*24)*60+30</f>
        <v>9150</v>
      </c>
      <c r="H18" s="41">
        <f t="shared" si="0"/>
        <v>6.354166666666667</v>
      </c>
      <c r="I18" s="23">
        <f>(E5-G18)/E5</f>
        <v>0.79502688172043012</v>
      </c>
    </row>
    <row r="19" spans="2:10" s="13" customFormat="1" x14ac:dyDescent="0.2">
      <c r="B19" s="19" t="s">
        <v>42</v>
      </c>
      <c r="C19" s="20" t="s">
        <v>34</v>
      </c>
      <c r="D19" s="20"/>
      <c r="E19" s="27"/>
      <c r="F19" s="27"/>
      <c r="G19" s="26">
        <v>272</v>
      </c>
      <c r="H19" s="41">
        <f t="shared" si="0"/>
        <v>0.18888888888888888</v>
      </c>
      <c r="I19" s="23">
        <f>(E5-G19)/E5</f>
        <v>0.99390681003584225</v>
      </c>
    </row>
    <row r="20" spans="2:10" s="13" customFormat="1" x14ac:dyDescent="0.2">
      <c r="B20" s="19" t="s">
        <v>43</v>
      </c>
      <c r="C20" s="20" t="s">
        <v>36</v>
      </c>
      <c r="D20" s="20"/>
      <c r="E20" s="27"/>
      <c r="F20" s="27"/>
      <c r="G20" s="26">
        <v>9</v>
      </c>
      <c r="H20" s="41">
        <f t="shared" si="0"/>
        <v>6.2500000000000003E-3</v>
      </c>
      <c r="I20" s="23">
        <f>(E7-G20)/E7</f>
        <v>0.99906249999999996</v>
      </c>
    </row>
    <row r="21" spans="2:10" s="13" customFormat="1" x14ac:dyDescent="0.2">
      <c r="B21" s="25" t="s">
        <v>28</v>
      </c>
      <c r="C21" s="15"/>
      <c r="D21" s="15"/>
      <c r="E21" s="16"/>
      <c r="F21" s="16"/>
      <c r="G21" s="17"/>
      <c r="H21" s="17"/>
      <c r="I21" s="18"/>
      <c r="J21" s="18"/>
    </row>
    <row r="22" spans="2:10" s="13" customFormat="1" x14ac:dyDescent="0.2">
      <c r="B22" s="19" t="s">
        <v>41</v>
      </c>
      <c r="C22" s="20" t="s">
        <v>34</v>
      </c>
      <c r="D22" s="20"/>
      <c r="E22" s="27"/>
      <c r="F22" s="27"/>
      <c r="G22" s="26">
        <v>240</v>
      </c>
      <c r="H22" s="41">
        <f t="shared" si="0"/>
        <v>0.16666666666666666</v>
      </c>
      <c r="I22" s="23">
        <f>(F5-G22)/F5</f>
        <v>0.99425287356321834</v>
      </c>
    </row>
    <row r="23" spans="2:10" s="13" customFormat="1" x14ac:dyDescent="0.2">
      <c r="B23" s="19" t="s">
        <v>44</v>
      </c>
      <c r="C23" s="20" t="s">
        <v>34</v>
      </c>
      <c r="D23" s="20"/>
      <c r="E23" s="27"/>
      <c r="F23" s="27"/>
      <c r="G23" s="26">
        <v>4455</v>
      </c>
      <c r="H23" s="41">
        <f t="shared" si="0"/>
        <v>3.09375</v>
      </c>
      <c r="I23" s="23">
        <f>(F5-G23)/F5</f>
        <v>0.89331896551724133</v>
      </c>
    </row>
    <row r="24" spans="2:10" s="13" customFormat="1" x14ac:dyDescent="0.2">
      <c r="B24" s="19" t="s">
        <v>39</v>
      </c>
      <c r="C24" s="20" t="s">
        <v>35</v>
      </c>
      <c r="D24" s="20"/>
      <c r="E24" s="27"/>
      <c r="F24" s="27"/>
      <c r="G24" s="26">
        <v>1320</v>
      </c>
      <c r="H24" s="41">
        <f t="shared" si="0"/>
        <v>0.91666666666666663</v>
      </c>
      <c r="I24" s="23">
        <f>(F6-G24)/F6</f>
        <v>0.90476190476190477</v>
      </c>
    </row>
    <row r="25" spans="2:10" s="13" customFormat="1" x14ac:dyDescent="0.2">
      <c r="B25" s="19" t="s">
        <v>45</v>
      </c>
      <c r="C25" s="20" t="s">
        <v>35</v>
      </c>
      <c r="D25" s="20"/>
      <c r="E25" s="27"/>
      <c r="F25" s="27"/>
      <c r="G25" s="26">
        <v>1040</v>
      </c>
      <c r="H25" s="41">
        <f t="shared" si="0"/>
        <v>0.72222222222222221</v>
      </c>
      <c r="I25" s="23">
        <f>(F6-G25)/F6</f>
        <v>0.92496392496392499</v>
      </c>
    </row>
    <row r="26" spans="2:10" s="13" customFormat="1" x14ac:dyDescent="0.2">
      <c r="B26" s="19" t="s">
        <v>46</v>
      </c>
      <c r="C26" s="20" t="s">
        <v>33</v>
      </c>
      <c r="D26" s="20"/>
      <c r="E26" s="27"/>
      <c r="F26" s="27"/>
      <c r="G26" s="26">
        <v>481</v>
      </c>
      <c r="H26" s="41">
        <f t="shared" si="0"/>
        <v>0.33402777777777776</v>
      </c>
      <c r="I26" s="23">
        <f>(F4-G26)/F4</f>
        <v>0.98848180076628356</v>
      </c>
    </row>
    <row r="27" spans="2:10" s="13" customFormat="1" x14ac:dyDescent="0.2">
      <c r="B27" s="19" t="s">
        <v>38</v>
      </c>
      <c r="C27" s="20" t="s">
        <v>34</v>
      </c>
      <c r="D27" s="20"/>
      <c r="E27" s="27"/>
      <c r="F27" s="27"/>
      <c r="G27" s="26">
        <v>59</v>
      </c>
      <c r="H27" s="41">
        <f t="shared" si="0"/>
        <v>4.0972222222222222E-2</v>
      </c>
      <c r="I27" s="23">
        <f>(F5-G27)/F5</f>
        <v>0.99858716475095788</v>
      </c>
    </row>
    <row r="28" spans="2:10" s="10" customFormat="1" x14ac:dyDescent="0.2">
      <c r="B28" s="14" t="s">
        <v>29</v>
      </c>
      <c r="C28" s="15"/>
      <c r="D28" s="15"/>
      <c r="E28" s="16"/>
      <c r="F28" s="16"/>
      <c r="G28" s="17"/>
      <c r="H28" s="17"/>
      <c r="I28" s="18"/>
      <c r="J28" s="18"/>
    </row>
    <row r="29" spans="2:10" s="24" customFormat="1" x14ac:dyDescent="0.2">
      <c r="B29" s="19" t="s">
        <v>42</v>
      </c>
      <c r="C29" s="20" t="s">
        <v>34</v>
      </c>
      <c r="D29" s="20"/>
      <c r="E29" s="21"/>
      <c r="F29" s="21"/>
      <c r="G29" s="26">
        <v>3360</v>
      </c>
      <c r="H29" s="41">
        <f t="shared" si="0"/>
        <v>2.3333333333333335</v>
      </c>
      <c r="I29" s="23">
        <f>(G5-G29)/G5</f>
        <v>0.92473118279569888</v>
      </c>
    </row>
    <row r="30" spans="2:10" s="10" customFormat="1" x14ac:dyDescent="0.2">
      <c r="B30" s="19" t="s">
        <v>39</v>
      </c>
      <c r="C30" s="20" t="s">
        <v>35</v>
      </c>
      <c r="D30" s="20"/>
      <c r="E30" s="21"/>
      <c r="F30" s="21"/>
      <c r="G30" s="26">
        <v>74</v>
      </c>
      <c r="H30" s="41">
        <f t="shared" si="0"/>
        <v>5.1388888888888887E-2</v>
      </c>
      <c r="I30" s="23">
        <f>(G6-G30)/G6</f>
        <v>0.99490358126721767</v>
      </c>
    </row>
    <row r="31" spans="2:10" s="24" customFormat="1" x14ac:dyDescent="0.2">
      <c r="B31" s="19" t="s">
        <v>47</v>
      </c>
      <c r="C31" s="20" t="s">
        <v>35</v>
      </c>
      <c r="D31" s="20"/>
      <c r="E31" s="21"/>
      <c r="F31" s="21"/>
      <c r="G31" s="26">
        <v>4860</v>
      </c>
      <c r="H31" s="41">
        <f t="shared" si="0"/>
        <v>3.375</v>
      </c>
      <c r="I31" s="23">
        <f>(G6-G31)/G6</f>
        <v>0.66528925619834711</v>
      </c>
    </row>
    <row r="32" spans="2:10" s="10" customFormat="1" x14ac:dyDescent="0.2">
      <c r="B32" s="19" t="s">
        <v>48</v>
      </c>
      <c r="C32" s="20" t="s">
        <v>35</v>
      </c>
      <c r="D32" s="20"/>
      <c r="E32" s="21"/>
      <c r="F32" s="21"/>
      <c r="G32" s="26">
        <v>120</v>
      </c>
      <c r="H32" s="41">
        <f t="shared" si="0"/>
        <v>8.3333333333333329E-2</v>
      </c>
      <c r="I32" s="23">
        <f>(G6-G32)/G6</f>
        <v>0.99173553719008267</v>
      </c>
    </row>
    <row r="33" spans="2:10" s="24" customFormat="1" x14ac:dyDescent="0.2">
      <c r="B33" s="19" t="s">
        <v>49</v>
      </c>
      <c r="C33" s="20" t="s">
        <v>35</v>
      </c>
      <c r="D33" s="20"/>
      <c r="E33" s="21"/>
      <c r="F33" s="21"/>
      <c r="G33" s="26">
        <v>4</v>
      </c>
      <c r="H33" s="41">
        <f t="shared" si="0"/>
        <v>2.7777777777777779E-3</v>
      </c>
      <c r="I33" s="23">
        <f>(G6-G33)/G6</f>
        <v>0.9997245179063361</v>
      </c>
    </row>
    <row r="34" spans="2:10" s="10" customFormat="1" x14ac:dyDescent="0.2">
      <c r="B34" s="19" t="s">
        <v>40</v>
      </c>
      <c r="C34" s="20" t="s">
        <v>35</v>
      </c>
      <c r="D34" s="20"/>
      <c r="E34" s="21"/>
      <c r="F34" s="21"/>
      <c r="G34" s="26">
        <v>14</v>
      </c>
      <c r="H34" s="41">
        <f t="shared" si="0"/>
        <v>9.7222222222222224E-3</v>
      </c>
      <c r="I34" s="23">
        <f>(G6-G34)/G6</f>
        <v>0.99903581267217634</v>
      </c>
    </row>
    <row r="35" spans="2:10" s="24" customFormat="1" x14ac:dyDescent="0.2">
      <c r="B35" s="19" t="s">
        <v>46</v>
      </c>
      <c r="C35" s="20" t="s">
        <v>33</v>
      </c>
      <c r="D35" s="20"/>
      <c r="E35" s="21"/>
      <c r="F35" s="21"/>
      <c r="G35" s="26">
        <v>8885</v>
      </c>
      <c r="H35" s="41">
        <f t="shared" si="0"/>
        <v>6.1701388888888893</v>
      </c>
      <c r="I35" s="23">
        <f>(G4-G35)/G4</f>
        <v>0.80096326164874554</v>
      </c>
    </row>
    <row r="36" spans="2:10" s="10" customFormat="1" x14ac:dyDescent="0.2">
      <c r="B36" s="19" t="s">
        <v>50</v>
      </c>
      <c r="C36" s="20" t="s">
        <v>35</v>
      </c>
      <c r="D36" s="20"/>
      <c r="E36" s="21"/>
      <c r="F36" s="21"/>
      <c r="G36" s="26">
        <v>70</v>
      </c>
      <c r="H36" s="41">
        <f t="shared" si="0"/>
        <v>4.8611111111111112E-2</v>
      </c>
      <c r="I36" s="23">
        <f>(G6-G36)/G6</f>
        <v>0.99517906336088158</v>
      </c>
    </row>
    <row r="37" spans="2:10" s="24" customFormat="1" x14ac:dyDescent="0.2">
      <c r="B37" s="19" t="s">
        <v>51</v>
      </c>
      <c r="C37" s="20" t="s">
        <v>33</v>
      </c>
      <c r="D37" s="20"/>
      <c r="E37" s="21"/>
      <c r="F37" s="21"/>
      <c r="G37" s="26">
        <v>120</v>
      </c>
      <c r="H37" s="41">
        <f t="shared" si="0"/>
        <v>8.3333333333333329E-2</v>
      </c>
      <c r="I37" s="23">
        <f>(G4-G37)/G4</f>
        <v>0.99731182795698925</v>
      </c>
    </row>
    <row r="38" spans="2:10" s="10" customFormat="1" x14ac:dyDescent="0.2">
      <c r="B38" s="19" t="s">
        <v>45</v>
      </c>
      <c r="C38" s="20" t="s">
        <v>35</v>
      </c>
      <c r="D38" s="20"/>
      <c r="E38" s="21"/>
      <c r="F38" s="21"/>
      <c r="G38" s="26">
        <v>2330</v>
      </c>
      <c r="H38" s="41">
        <f t="shared" si="0"/>
        <v>1.6180555555555556</v>
      </c>
      <c r="I38" s="23">
        <f>(G6-G38)/G6</f>
        <v>0.83953168044077131</v>
      </c>
    </row>
    <row r="39" spans="2:10" s="24" customFormat="1" x14ac:dyDescent="0.2">
      <c r="B39" s="19" t="s">
        <v>52</v>
      </c>
      <c r="C39" s="20" t="s">
        <v>35</v>
      </c>
      <c r="D39" s="20"/>
      <c r="E39" s="21"/>
      <c r="F39" s="21"/>
      <c r="G39" s="26">
        <v>1975</v>
      </c>
      <c r="H39" s="41">
        <f t="shared" si="0"/>
        <v>1.3715277777777777</v>
      </c>
      <c r="I39" s="23">
        <f>(G6-G39)/G6</f>
        <v>0.86398071625344353</v>
      </c>
    </row>
    <row r="40" spans="2:10" s="10" customFormat="1" x14ac:dyDescent="0.2">
      <c r="B40" s="19" t="s">
        <v>44</v>
      </c>
      <c r="C40" s="20" t="s">
        <v>34</v>
      </c>
      <c r="D40" s="20"/>
      <c r="E40" s="21"/>
      <c r="F40" s="21"/>
      <c r="G40" s="26">
        <v>502</v>
      </c>
      <c r="H40" s="41">
        <f t="shared" si="0"/>
        <v>0.34861111111111109</v>
      </c>
      <c r="I40" s="23">
        <f>(G5-G40)/G5</f>
        <v>0.9887544802867384</v>
      </c>
    </row>
    <row r="41" spans="2:10" s="24" customFormat="1" x14ac:dyDescent="0.2">
      <c r="B41" s="19" t="s">
        <v>53</v>
      </c>
      <c r="C41" s="20" t="s">
        <v>34</v>
      </c>
      <c r="D41" s="20"/>
      <c r="E41" s="21"/>
      <c r="F41" s="21"/>
      <c r="G41" s="26">
        <v>815</v>
      </c>
      <c r="H41" s="41">
        <f t="shared" si="0"/>
        <v>0.56597222222222221</v>
      </c>
      <c r="I41" s="23">
        <f>(G5-G41)/G5</f>
        <v>0.98174283154121866</v>
      </c>
    </row>
    <row r="42" spans="2:10" x14ac:dyDescent="0.2">
      <c r="B42" s="19" t="s">
        <v>43</v>
      </c>
      <c r="C42" s="20" t="s">
        <v>36</v>
      </c>
      <c r="D42" s="20"/>
      <c r="E42" s="21"/>
      <c r="F42" s="21"/>
      <c r="G42" s="26">
        <v>2400</v>
      </c>
      <c r="H42" s="41">
        <f t="shared" si="0"/>
        <v>1.6666666666666667</v>
      </c>
      <c r="I42" s="23">
        <f>(G7-G42)/G7</f>
        <v>0.77272727272727271</v>
      </c>
      <c r="J42" s="24"/>
    </row>
    <row r="43" spans="2:10" x14ac:dyDescent="0.2">
      <c r="B43" s="14" t="s">
        <v>30</v>
      </c>
      <c r="C43" s="15"/>
      <c r="D43" s="15"/>
      <c r="E43" s="16"/>
      <c r="F43" s="16"/>
      <c r="G43" s="17"/>
      <c r="H43" s="15"/>
      <c r="I43" s="18"/>
      <c r="J43" s="18"/>
    </row>
    <row r="44" spans="2:10" x14ac:dyDescent="0.2">
      <c r="B44" s="19" t="s">
        <v>43</v>
      </c>
      <c r="C44" s="20" t="s">
        <v>36</v>
      </c>
      <c r="D44" s="20" t="s">
        <v>31</v>
      </c>
      <c r="E44" s="28">
        <v>42461.333333333336</v>
      </c>
      <c r="F44" s="28">
        <v>42466.75</v>
      </c>
      <c r="G44" s="22"/>
      <c r="H44" s="20"/>
      <c r="I44" s="23"/>
      <c r="J44" s="24"/>
    </row>
    <row r="45" spans="2:10" x14ac:dyDescent="0.2">
      <c r="B45" s="19"/>
      <c r="C45" s="20"/>
      <c r="D45" s="20"/>
      <c r="E45" s="21"/>
      <c r="F45" s="21"/>
      <c r="G45" s="22"/>
      <c r="H45" s="20"/>
      <c r="I45" s="23"/>
      <c r="J45" s="24"/>
    </row>
    <row r="46" spans="2:10" x14ac:dyDescent="0.2">
      <c r="B46" s="19"/>
      <c r="C46" s="20"/>
      <c r="D46" s="20"/>
      <c r="E46" s="21"/>
      <c r="F46" s="21"/>
      <c r="G46" s="22"/>
      <c r="H46" s="20"/>
      <c r="I46" s="23"/>
      <c r="J46" s="24"/>
    </row>
    <row r="47" spans="2:10" x14ac:dyDescent="0.2">
      <c r="B47" s="19"/>
      <c r="C47" s="20"/>
      <c r="D47" s="20"/>
      <c r="E47" s="21"/>
      <c r="F47" s="21"/>
      <c r="G47" s="22"/>
      <c r="H47" s="20"/>
      <c r="I47" s="23"/>
      <c r="J47" s="24"/>
    </row>
    <row r="48" spans="2:10" x14ac:dyDescent="0.2">
      <c r="B48" s="29"/>
      <c r="C48" s="30"/>
      <c r="D48" s="30"/>
      <c r="E48" s="31"/>
      <c r="F48" s="31"/>
      <c r="G48" s="32"/>
      <c r="H48" s="30"/>
      <c r="I48" s="33"/>
      <c r="J48" s="24"/>
    </row>
    <row r="49" spans="2:10" x14ac:dyDescent="0.2">
      <c r="B49" s="29"/>
      <c r="C49" s="30"/>
      <c r="D49" s="30"/>
      <c r="E49" s="31"/>
      <c r="F49" s="31"/>
      <c r="G49" s="32"/>
      <c r="H49" s="34"/>
      <c r="I49" s="33"/>
      <c r="J49" s="10"/>
    </row>
    <row r="50" spans="2:10" x14ac:dyDescent="0.2">
      <c r="B50" s="29"/>
      <c r="C50" s="30"/>
      <c r="D50" s="30"/>
      <c r="E50" s="31"/>
      <c r="F50" s="31"/>
      <c r="G50" s="32"/>
      <c r="H50" s="34"/>
      <c r="I50" s="33"/>
      <c r="J50" s="10"/>
    </row>
    <row r="51" spans="2:10" x14ac:dyDescent="0.2">
      <c r="B51" s="29"/>
      <c r="C51" s="30"/>
      <c r="D51" s="30"/>
      <c r="E51" s="31"/>
      <c r="F51" s="31"/>
      <c r="G51" s="32"/>
      <c r="H51" s="34"/>
      <c r="I51" s="33"/>
      <c r="J51" s="10"/>
    </row>
    <row r="52" spans="2:10" x14ac:dyDescent="0.2">
      <c r="B52" s="29"/>
      <c r="C52" s="30"/>
      <c r="D52" s="30"/>
      <c r="E52" s="31"/>
      <c r="F52" s="31"/>
      <c r="G52" s="32"/>
      <c r="H52" s="34"/>
      <c r="I52" s="33"/>
      <c r="J52" s="10"/>
    </row>
    <row r="53" spans="2:10" x14ac:dyDescent="0.2">
      <c r="B53" s="29"/>
      <c r="C53" s="30"/>
      <c r="D53" s="30"/>
      <c r="E53" s="31"/>
      <c r="F53" s="31"/>
      <c r="G53" s="32"/>
      <c r="H53" s="34"/>
      <c r="I53" s="33"/>
      <c r="J53" s="10"/>
    </row>
    <row r="54" spans="2:10" x14ac:dyDescent="0.2">
      <c r="B54" s="29"/>
      <c r="C54" s="30"/>
      <c r="D54" s="30"/>
      <c r="E54" s="31"/>
      <c r="F54" s="31"/>
      <c r="G54" s="32"/>
      <c r="H54" s="34"/>
      <c r="I54" s="33"/>
      <c r="J54" s="10"/>
    </row>
    <row r="55" spans="2:10" x14ac:dyDescent="0.2">
      <c r="B55" s="29"/>
      <c r="C55" s="30"/>
      <c r="D55" s="30"/>
      <c r="E55" s="31"/>
      <c r="F55" s="31"/>
      <c r="G55" s="32"/>
      <c r="H55" s="34"/>
      <c r="I55" s="33"/>
      <c r="J55" s="10"/>
    </row>
  </sheetData>
  <dataValidations disablePrompts="1" count="1">
    <dataValidation type="list" allowBlank="1" showInputMessage="1" showErrorMessage="1" sqref="C11:C55">
      <formula1>Classe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08080"/>
  </sheetPr>
  <dimension ref="A1:H5"/>
  <sheetViews>
    <sheetView workbookViewId="0">
      <selection activeCell="C2" sqref="C2:C5"/>
    </sheetView>
  </sheetViews>
  <sheetFormatPr baseColWidth="10" defaultRowHeight="11.25" x14ac:dyDescent="0.2"/>
  <cols>
    <col min="1" max="1" width="13.28515625" style="8" bestFit="1" customWidth="1"/>
    <col min="2" max="2" width="1.7109375" style="8" customWidth="1"/>
    <col min="3" max="3" width="16" style="8" customWidth="1"/>
    <col min="4" max="4" width="13.85546875" style="8" customWidth="1"/>
    <col min="5" max="16384" width="11.42578125" style="8"/>
  </cols>
  <sheetData>
    <row r="1" spans="1:8" ht="33.75" x14ac:dyDescent="0.2">
      <c r="A1" s="8" t="s">
        <v>59</v>
      </c>
      <c r="C1" s="35" t="s">
        <v>61</v>
      </c>
      <c r="D1" s="36" t="s">
        <v>54</v>
      </c>
      <c r="E1" s="37" t="s">
        <v>55</v>
      </c>
      <c r="F1" s="37" t="s">
        <v>56</v>
      </c>
      <c r="G1" s="37" t="s">
        <v>57</v>
      </c>
      <c r="H1" s="37" t="s">
        <v>58</v>
      </c>
    </row>
    <row r="2" spans="1:8" x14ac:dyDescent="0.2">
      <c r="C2" s="38" t="s">
        <v>33</v>
      </c>
      <c r="D2" s="39" t="s">
        <v>15</v>
      </c>
      <c r="E2" s="40">
        <v>0</v>
      </c>
      <c r="F2" s="40">
        <v>0.5</v>
      </c>
      <c r="G2" s="40">
        <v>0.5</v>
      </c>
      <c r="H2" s="40">
        <v>1</v>
      </c>
    </row>
    <row r="3" spans="1:8" x14ac:dyDescent="0.2">
      <c r="C3" s="38" t="s">
        <v>34</v>
      </c>
      <c r="D3" s="39" t="s">
        <v>15</v>
      </c>
      <c r="E3" s="40">
        <v>0</v>
      </c>
      <c r="F3" s="40">
        <v>0.5</v>
      </c>
      <c r="G3" s="40">
        <v>0.5</v>
      </c>
      <c r="H3" s="40">
        <v>1</v>
      </c>
    </row>
    <row r="4" spans="1:8" x14ac:dyDescent="0.2">
      <c r="C4" s="38" t="s">
        <v>35</v>
      </c>
      <c r="D4" s="39" t="s">
        <v>16</v>
      </c>
      <c r="E4" s="40">
        <v>0.33333333333333331</v>
      </c>
      <c r="F4" s="40">
        <v>0.5</v>
      </c>
      <c r="G4" s="40">
        <v>0.5</v>
      </c>
      <c r="H4" s="40">
        <v>0.79166666666666663</v>
      </c>
    </row>
    <row r="5" spans="1:8" x14ac:dyDescent="0.2">
      <c r="C5" s="38" t="s">
        <v>36</v>
      </c>
      <c r="D5" s="39" t="s">
        <v>17</v>
      </c>
      <c r="E5" s="40">
        <v>0.33333333333333331</v>
      </c>
      <c r="F5" s="40">
        <v>0.5</v>
      </c>
      <c r="G5" s="40">
        <v>0.58333333333333337</v>
      </c>
      <c r="H5" s="40">
        <v>0.75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Taux de disponibilité</vt:lpstr>
      <vt:lpstr>Paramètres</vt:lpstr>
      <vt:lpstr>Classe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Cheron David (GFI INFORMATIQUE)</cp:lastModifiedBy>
  <dcterms:created xsi:type="dcterms:W3CDTF">2016-05-03T09:23:30Z</dcterms:created>
  <dcterms:modified xsi:type="dcterms:W3CDTF">2016-05-03T09:39:20Z</dcterms:modified>
</cp:coreProperties>
</file>