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K\Desktop\NC\Devis\"/>
    </mc:Choice>
  </mc:AlternateContent>
  <bookViews>
    <workbookView xWindow="0" yWindow="0" windowWidth="24000" windowHeight="9735"/>
  </bookViews>
  <sheets>
    <sheet name="Feuille Diags" sheetId="1" r:id="rId1"/>
    <sheet name="Devis" sheetId="9" r:id="rId2"/>
    <sheet name="BDD Client" sheetId="7" r:id="rId3"/>
    <sheet name="BDD1" sheetId="6" r:id="rId4"/>
    <sheet name="Grille Base" sheetId="2" r:id="rId5"/>
    <sheet name="Autres Grilles" sheetId="8" r:id="rId6"/>
  </sheets>
  <externalReferences>
    <externalReference r:id="rId7"/>
  </externalReferences>
  <definedNames>
    <definedName name="_xlnm.Print_Area" localSheetId="1">Devis!$B$2:$L$78</definedName>
    <definedName name="_xlnm.Print_Area" localSheetId="4">'Grille Base'!$B$3:$Y$37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2" i="2" l="1"/>
  <c r="V32" i="2"/>
  <c r="U32" i="2"/>
  <c r="T32" i="2"/>
  <c r="S32" i="2"/>
  <c r="R32" i="2"/>
  <c r="Q32" i="2"/>
  <c r="W31" i="2"/>
  <c r="V31" i="2"/>
  <c r="U31" i="2"/>
  <c r="T31" i="2"/>
  <c r="S31" i="2"/>
  <c r="R31" i="2"/>
  <c r="Q31" i="2"/>
  <c r="W30" i="2"/>
  <c r="V30" i="2"/>
  <c r="U30" i="2"/>
  <c r="T30" i="2"/>
  <c r="S30" i="2"/>
  <c r="R30" i="2"/>
  <c r="Q30" i="2"/>
  <c r="Q29" i="2"/>
  <c r="S29" i="2"/>
  <c r="U29" i="2"/>
  <c r="W29" i="2"/>
  <c r="Y32" i="2"/>
  <c r="Y31" i="2"/>
  <c r="Y30" i="2"/>
  <c r="O32" i="2"/>
  <c r="O31" i="2"/>
  <c r="O30" i="2"/>
  <c r="O29" i="2"/>
  <c r="Y29" i="2"/>
  <c r="M31" i="2"/>
  <c r="M32" i="2"/>
  <c r="E32" i="2"/>
  <c r="E31" i="2"/>
  <c r="M30" i="2"/>
  <c r="E30" i="2"/>
  <c r="E29" i="2"/>
  <c r="M29" i="2"/>
  <c r="K31" i="2" l="1"/>
  <c r="I14" i="9"/>
  <c r="J41" i="9"/>
  <c r="J40" i="9"/>
  <c r="D34" i="9"/>
  <c r="C34" i="9"/>
  <c r="I24" i="9"/>
  <c r="I23" i="9"/>
  <c r="F31" i="9"/>
  <c r="F30" i="9"/>
  <c r="F29" i="9"/>
  <c r="F28" i="9"/>
  <c r="D30" i="9"/>
  <c r="D29" i="9"/>
  <c r="D28" i="9"/>
  <c r="D24" i="9"/>
  <c r="D23" i="9"/>
  <c r="D22" i="9"/>
  <c r="C19" i="9"/>
  <c r="D15" i="9"/>
  <c r="D14" i="9"/>
  <c r="D13" i="9"/>
  <c r="D12" i="9"/>
  <c r="I9" i="9"/>
  <c r="I11" i="9"/>
  <c r="I10" i="9"/>
  <c r="G45" i="1"/>
  <c r="C75" i="9"/>
  <c r="C74" i="9"/>
  <c r="G64" i="9"/>
  <c r="B2" i="2" l="1"/>
  <c r="E48" i="1"/>
  <c r="I28" i="9" l="1"/>
  <c r="G59" i="1"/>
  <c r="S25" i="1" l="1"/>
  <c r="S24" i="1"/>
  <c r="R25" i="1"/>
  <c r="R26" i="1"/>
  <c r="R27" i="1"/>
  <c r="R28" i="1"/>
  <c r="R29" i="1"/>
  <c r="R30" i="1"/>
  <c r="R31" i="1"/>
  <c r="R32" i="1"/>
  <c r="R33" i="1"/>
  <c r="R34" i="1"/>
  <c r="R24" i="1"/>
  <c r="Q25" i="1"/>
  <c r="Q26" i="1"/>
  <c r="Q27" i="1"/>
  <c r="Q28" i="1"/>
  <c r="Q29" i="1"/>
  <c r="Q24" i="1"/>
  <c r="P24" i="1"/>
  <c r="P25" i="1"/>
  <c r="P26" i="1"/>
  <c r="P27" i="1"/>
  <c r="P28" i="1"/>
  <c r="P29" i="1"/>
  <c r="P30" i="1"/>
  <c r="P31" i="1"/>
  <c r="P32" i="1"/>
  <c r="P33" i="1"/>
  <c r="P34" i="1"/>
  <c r="P13" i="1"/>
  <c r="C35" i="9" s="1"/>
  <c r="G67" i="1"/>
  <c r="E47" i="1"/>
  <c r="E46" i="1"/>
  <c r="I27" i="9" s="1"/>
  <c r="E45" i="1"/>
  <c r="D205" i="8"/>
  <c r="D190" i="8"/>
  <c r="X37" i="2"/>
  <c r="V37" i="2"/>
  <c r="T37" i="2"/>
  <c r="R37" i="2"/>
  <c r="P37" i="2"/>
  <c r="N37" i="2"/>
  <c r="L37" i="2"/>
  <c r="J37" i="2"/>
  <c r="H37" i="2"/>
  <c r="F37" i="2"/>
  <c r="D37" i="2"/>
  <c r="D21" i="2"/>
  <c r="L21" i="2"/>
  <c r="J21" i="2"/>
  <c r="H21" i="2"/>
  <c r="F21" i="2"/>
  <c r="L11" i="2"/>
  <c r="J11" i="2"/>
  <c r="H11" i="2"/>
  <c r="F11" i="2"/>
  <c r="D11" i="2"/>
  <c r="D27" i="9" l="1"/>
  <c r="Q35" i="1"/>
  <c r="S35" i="1"/>
  <c r="P35" i="1"/>
  <c r="E34" i="9" s="1"/>
  <c r="R35" i="1"/>
  <c r="P237" i="8"/>
  <c r="P123" i="8"/>
  <c r="H9" i="8"/>
  <c r="B248" i="8" s="1"/>
  <c r="H8" i="8"/>
  <c r="B136" i="8" s="1"/>
  <c r="H7" i="8"/>
  <c r="B282" i="8" s="1"/>
  <c r="H6" i="8"/>
  <c r="B181" i="8" s="1"/>
  <c r="H5" i="8"/>
  <c r="B264" i="8" s="1"/>
  <c r="H3" i="8"/>
  <c r="B90" i="8" s="1"/>
  <c r="H2" i="8"/>
  <c r="E18" i="8"/>
  <c r="E17" i="8"/>
  <c r="E16" i="8"/>
  <c r="E15" i="8"/>
  <c r="B263" i="8" s="1"/>
  <c r="E14" i="8"/>
  <c r="B147" i="8" s="1"/>
  <c r="E13" i="8"/>
  <c r="E12" i="8"/>
  <c r="B245" i="8" s="1"/>
  <c r="E11" i="8"/>
  <c r="E10" i="8"/>
  <c r="B66" i="8" s="1"/>
  <c r="E9" i="8"/>
  <c r="E8" i="8"/>
  <c r="E7" i="8"/>
  <c r="B244" i="8" s="1"/>
  <c r="E6" i="8"/>
  <c r="B243" i="8" s="1"/>
  <c r="E5" i="8"/>
  <c r="B246" i="8" s="1"/>
  <c r="E4" i="8"/>
  <c r="B24" i="8" s="1"/>
  <c r="E3" i="8"/>
  <c r="E2" i="8"/>
  <c r="B98" i="8"/>
  <c r="B180" i="8"/>
  <c r="B97" i="8"/>
  <c r="Z238" i="8"/>
  <c r="X238" i="8"/>
  <c r="V238" i="8"/>
  <c r="T238" i="8"/>
  <c r="R238" i="8"/>
  <c r="P238" i="8"/>
  <c r="Z124" i="8"/>
  <c r="X124" i="8"/>
  <c r="V124" i="8"/>
  <c r="T124" i="8"/>
  <c r="R124" i="8"/>
  <c r="P124" i="8"/>
  <c r="N238" i="8"/>
  <c r="L238" i="8"/>
  <c r="J238" i="8"/>
  <c r="H238" i="8"/>
  <c r="F238" i="8"/>
  <c r="D238" i="8"/>
  <c r="N124" i="8"/>
  <c r="L124" i="8"/>
  <c r="J124" i="8"/>
  <c r="H124" i="8"/>
  <c r="F124" i="8"/>
  <c r="D124" i="8"/>
  <c r="N270" i="8"/>
  <c r="L270" i="8"/>
  <c r="J270" i="8"/>
  <c r="H270" i="8"/>
  <c r="F270" i="8"/>
  <c r="P269" i="8"/>
  <c r="N257" i="8"/>
  <c r="L257" i="8"/>
  <c r="J257" i="8"/>
  <c r="H257" i="8"/>
  <c r="F257" i="8"/>
  <c r="P256" i="8"/>
  <c r="N219" i="8"/>
  <c r="L219" i="8"/>
  <c r="J219" i="8"/>
  <c r="H219" i="8"/>
  <c r="F219" i="8"/>
  <c r="P218" i="8"/>
  <c r="N207" i="8"/>
  <c r="L207" i="8"/>
  <c r="J207" i="8"/>
  <c r="H207" i="8"/>
  <c r="F207" i="8"/>
  <c r="P206" i="8"/>
  <c r="N192" i="8"/>
  <c r="L192" i="8"/>
  <c r="J192" i="8"/>
  <c r="H192" i="8"/>
  <c r="F192" i="8"/>
  <c r="P191" i="8"/>
  <c r="N179" i="8"/>
  <c r="L179" i="8"/>
  <c r="J179" i="8"/>
  <c r="H179" i="8"/>
  <c r="F179" i="8"/>
  <c r="P178" i="8"/>
  <c r="N166" i="8"/>
  <c r="L166" i="8"/>
  <c r="J166" i="8"/>
  <c r="H166" i="8"/>
  <c r="F166" i="8"/>
  <c r="P165" i="8"/>
  <c r="N153" i="8"/>
  <c r="L153" i="8"/>
  <c r="J153" i="8"/>
  <c r="H153" i="8"/>
  <c r="F153" i="8"/>
  <c r="P152" i="8"/>
  <c r="N143" i="8"/>
  <c r="L143" i="8"/>
  <c r="J143" i="8"/>
  <c r="H143" i="8"/>
  <c r="F143" i="8"/>
  <c r="P142" i="8"/>
  <c r="N106" i="8"/>
  <c r="L106" i="8"/>
  <c r="J106" i="8"/>
  <c r="H106" i="8"/>
  <c r="F106" i="8"/>
  <c r="P105" i="8"/>
  <c r="N96" i="8"/>
  <c r="L96" i="8"/>
  <c r="J96" i="8"/>
  <c r="H96" i="8"/>
  <c r="F96" i="8"/>
  <c r="P95" i="8"/>
  <c r="N74" i="8"/>
  <c r="L74" i="8"/>
  <c r="J74" i="8"/>
  <c r="H74" i="8"/>
  <c r="F74" i="8"/>
  <c r="P73" i="8"/>
  <c r="N58" i="8"/>
  <c r="L58" i="8"/>
  <c r="J58" i="8"/>
  <c r="H58" i="8"/>
  <c r="F58" i="8"/>
  <c r="P57" i="8"/>
  <c r="N44" i="8"/>
  <c r="L44" i="8"/>
  <c r="J44" i="8"/>
  <c r="H44" i="8"/>
  <c r="F44" i="8"/>
  <c r="P43" i="8"/>
  <c r="N36" i="8"/>
  <c r="L36" i="8"/>
  <c r="J36" i="8"/>
  <c r="H36" i="8"/>
  <c r="F36" i="8"/>
  <c r="P35" i="8"/>
  <c r="D270" i="8"/>
  <c r="D269" i="8"/>
  <c r="D257" i="8"/>
  <c r="D256" i="8"/>
  <c r="D237" i="8"/>
  <c r="D219" i="8"/>
  <c r="D218" i="8"/>
  <c r="D207" i="8"/>
  <c r="D206" i="8"/>
  <c r="D192" i="8"/>
  <c r="D191" i="8"/>
  <c r="D179" i="8"/>
  <c r="D178" i="8"/>
  <c r="D166" i="8"/>
  <c r="D165" i="8"/>
  <c r="D153" i="8"/>
  <c r="D152" i="8"/>
  <c r="D143" i="8"/>
  <c r="D142" i="8"/>
  <c r="D123" i="8"/>
  <c r="D106" i="8"/>
  <c r="D105" i="8"/>
  <c r="D96" i="8"/>
  <c r="D95" i="8"/>
  <c r="D74" i="8"/>
  <c r="D73" i="8"/>
  <c r="D58" i="8"/>
  <c r="D57" i="8"/>
  <c r="D44" i="8"/>
  <c r="D43" i="8"/>
  <c r="D36" i="8"/>
  <c r="D35" i="8"/>
  <c r="P22" i="8"/>
  <c r="N23" i="8"/>
  <c r="L23" i="8"/>
  <c r="J23" i="8"/>
  <c r="H23" i="8"/>
  <c r="F23" i="8"/>
  <c r="D23" i="8"/>
  <c r="D22" i="8"/>
  <c r="A267" i="8"/>
  <c r="A254" i="8"/>
  <c r="A235" i="8"/>
  <c r="A216" i="8"/>
  <c r="A189" i="8"/>
  <c r="A176" i="8"/>
  <c r="A163" i="8"/>
  <c r="A150" i="8"/>
  <c r="A140" i="8"/>
  <c r="A121" i="8"/>
  <c r="A103" i="8"/>
  <c r="A93" i="8"/>
  <c r="A71" i="8"/>
  <c r="A55" i="8"/>
  <c r="A41" i="8"/>
  <c r="A33" i="8"/>
  <c r="A20" i="8"/>
  <c r="E65" i="1"/>
  <c r="F65" i="1"/>
  <c r="F61" i="1"/>
  <c r="E61" i="1"/>
  <c r="B126" i="8" l="1"/>
  <c r="B118" i="8"/>
  <c r="B258" i="8"/>
  <c r="B250" i="8"/>
  <c r="B100" i="8"/>
  <c r="B146" i="8"/>
  <c r="B88" i="8"/>
  <c r="B111" i="8"/>
  <c r="B51" i="8"/>
  <c r="B169" i="8"/>
  <c r="B273" i="8"/>
  <c r="B65" i="8"/>
  <c r="B195" i="8"/>
  <c r="B226" i="8"/>
  <c r="B277" i="8"/>
  <c r="B68" i="8"/>
  <c r="B47" i="8"/>
  <c r="B61" i="8"/>
  <c r="B78" i="8"/>
  <c r="B117" i="8"/>
  <c r="B145" i="8"/>
  <c r="B186" i="8"/>
  <c r="B242" i="8"/>
  <c r="B262" i="8"/>
  <c r="B203" i="8"/>
  <c r="R203" i="8" s="1"/>
  <c r="B251" i="8"/>
  <c r="AB251" i="8" s="1"/>
  <c r="B49" i="8"/>
  <c r="B63" i="8"/>
  <c r="B86" i="8"/>
  <c r="B128" i="8"/>
  <c r="B38" i="8"/>
  <c r="B52" i="8"/>
  <c r="B131" i="8"/>
  <c r="B173" i="8"/>
  <c r="B230" i="8"/>
  <c r="B259" i="8"/>
  <c r="B281" i="8"/>
  <c r="B137" i="8"/>
  <c r="AB137" i="8" s="1"/>
  <c r="B261" i="8"/>
  <c r="B194" i="8"/>
  <c r="B168" i="8"/>
  <c r="B155" i="8"/>
  <c r="B84" i="8"/>
  <c r="B80" i="8"/>
  <c r="B60" i="8"/>
  <c r="B46" i="8"/>
  <c r="B275" i="8"/>
  <c r="B232" i="8"/>
  <c r="B241" i="8"/>
  <c r="B211" i="8"/>
  <c r="B157" i="8"/>
  <c r="B64" i="8"/>
  <c r="B50" i="8"/>
  <c r="B279" i="8"/>
  <c r="B228" i="8"/>
  <c r="B116" i="8"/>
  <c r="B280" i="8"/>
  <c r="B249" i="8"/>
  <c r="B135" i="8"/>
  <c r="B231" i="8"/>
  <c r="B81" i="8"/>
  <c r="B114" i="8"/>
  <c r="B127" i="8"/>
  <c r="B199" i="8"/>
  <c r="B99" i="8"/>
  <c r="O101" i="8" s="1"/>
  <c r="B276" i="8"/>
  <c r="B272" i="8"/>
  <c r="B239" i="8"/>
  <c r="B225" i="8"/>
  <c r="B221" i="8"/>
  <c r="B209" i="8"/>
  <c r="B198" i="8"/>
  <c r="B144" i="8"/>
  <c r="B125" i="8"/>
  <c r="B113" i="8"/>
  <c r="B109" i="8"/>
  <c r="B27" i="8"/>
  <c r="B271" i="8"/>
  <c r="B224" i="8"/>
  <c r="B220" i="8"/>
  <c r="B208" i="8"/>
  <c r="B197" i="8"/>
  <c r="B193" i="8"/>
  <c r="B183" i="8"/>
  <c r="B171" i="8"/>
  <c r="B167" i="8"/>
  <c r="B154" i="8"/>
  <c r="B107" i="8"/>
  <c r="B87" i="8"/>
  <c r="B83" i="8"/>
  <c r="B79" i="8"/>
  <c r="B75" i="8"/>
  <c r="B59" i="8"/>
  <c r="B45" i="8"/>
  <c r="B26" i="8"/>
  <c r="B274" i="8"/>
  <c r="B227" i="8"/>
  <c r="B223" i="8"/>
  <c r="B200" i="8"/>
  <c r="B196" i="8"/>
  <c r="B182" i="8"/>
  <c r="B170" i="8"/>
  <c r="B229" i="8"/>
  <c r="B76" i="8"/>
  <c r="B112" i="8"/>
  <c r="B278" i="8"/>
  <c r="B25" i="8"/>
  <c r="B48" i="8"/>
  <c r="B82" i="8"/>
  <c r="B108" i="8"/>
  <c r="B115" i="8"/>
  <c r="B185" i="8"/>
  <c r="B210" i="8"/>
  <c r="B240" i="8"/>
  <c r="B184" i="8"/>
  <c r="B37" i="8"/>
  <c r="B62" i="8"/>
  <c r="B77" i="8"/>
  <c r="B85" i="8"/>
  <c r="B110" i="8"/>
  <c r="B130" i="8"/>
  <c r="B156" i="8"/>
  <c r="B222" i="8"/>
  <c r="B89" i="8"/>
  <c r="R89" i="8" s="1"/>
  <c r="B30" i="8"/>
  <c r="R147" i="8" s="1"/>
  <c r="B132" i="8"/>
  <c r="B260" i="8"/>
  <c r="B160" i="8"/>
  <c r="R160" i="8" s="1"/>
  <c r="B129" i="8"/>
  <c r="B172" i="8"/>
  <c r="B67" i="8"/>
  <c r="E16" i="1"/>
  <c r="G60" i="1" s="1"/>
  <c r="Y33" i="2"/>
  <c r="W33" i="2"/>
  <c r="U33" i="2"/>
  <c r="S33" i="2"/>
  <c r="Q33" i="2"/>
  <c r="O33" i="2"/>
  <c r="L20" i="2"/>
  <c r="J20" i="2"/>
  <c r="L19" i="2"/>
  <c r="J19" i="2"/>
  <c r="L18" i="2"/>
  <c r="J18" i="2"/>
  <c r="L17" i="2"/>
  <c r="J17" i="2"/>
  <c r="L16" i="2"/>
  <c r="J16" i="2"/>
  <c r="L15" i="2"/>
  <c r="J15" i="2"/>
  <c r="H15" i="2"/>
  <c r="F15" i="2"/>
  <c r="K22" i="2" l="1"/>
  <c r="R173" i="8"/>
  <c r="R38" i="8"/>
  <c r="R30" i="8"/>
  <c r="R118" i="8"/>
  <c r="R282" i="8"/>
  <c r="M22" i="2"/>
  <c r="R67" i="8"/>
  <c r="R213" i="8"/>
  <c r="R52" i="8"/>
  <c r="R264" i="8"/>
  <c r="R100" i="8"/>
  <c r="R186" i="8"/>
  <c r="R232" i="8"/>
  <c r="E204" i="8"/>
  <c r="O204" i="8"/>
  <c r="M204" i="8"/>
  <c r="I204" i="8"/>
  <c r="G204" i="8"/>
  <c r="Q204" i="8"/>
  <c r="K204" i="8"/>
  <c r="Q187" i="8"/>
  <c r="Q148" i="8"/>
  <c r="M69" i="8"/>
  <c r="M265" i="8"/>
  <c r="E233" i="8"/>
  <c r="Q161" i="8"/>
  <c r="E283" i="8"/>
  <c r="Q39" i="8"/>
  <c r="Q214" i="8"/>
  <c r="G174" i="8"/>
  <c r="O233" i="8"/>
  <c r="E265" i="8"/>
  <c r="K174" i="8"/>
  <c r="K283" i="8"/>
  <c r="I119" i="8"/>
  <c r="I91" i="8"/>
  <c r="G148" i="8"/>
  <c r="I265" i="8"/>
  <c r="I214" i="8"/>
  <c r="E174" i="8"/>
  <c r="O283" i="8"/>
  <c r="M214" i="8"/>
  <c r="Q174" i="8"/>
  <c r="I187" i="8"/>
  <c r="E161" i="8"/>
  <c r="O265" i="8"/>
  <c r="Q265" i="8"/>
  <c r="Q91" i="8"/>
  <c r="Q69" i="8"/>
  <c r="K148" i="8"/>
  <c r="Q283" i="8"/>
  <c r="G233" i="8"/>
  <c r="G283" i="8"/>
  <c r="E214" i="8"/>
  <c r="I174" i="8"/>
  <c r="M283" i="8"/>
  <c r="K214" i="8"/>
  <c r="O174" i="8"/>
  <c r="Q233" i="8"/>
  <c r="G265" i="8"/>
  <c r="O187" i="8"/>
  <c r="M174" i="8"/>
  <c r="K69" i="8"/>
  <c r="M101" i="8"/>
  <c r="O148" i="8"/>
  <c r="I283" i="8"/>
  <c r="O214" i="8"/>
  <c r="E187" i="8"/>
  <c r="O161" i="8"/>
  <c r="K161" i="8"/>
  <c r="M187" i="8"/>
  <c r="K265" i="8"/>
  <c r="I161" i="8"/>
  <c r="I233" i="8"/>
  <c r="G187" i="8"/>
  <c r="G214" i="8"/>
  <c r="M233" i="8"/>
  <c r="K187" i="8"/>
  <c r="G161" i="8"/>
  <c r="K233" i="8"/>
  <c r="M161" i="8"/>
  <c r="M39" i="8"/>
  <c r="E101" i="8"/>
  <c r="O39" i="8"/>
  <c r="E39" i="8"/>
  <c r="G101" i="8"/>
  <c r="Q119" i="8"/>
  <c r="M53" i="8"/>
  <c r="E53" i="8"/>
  <c r="G69" i="8"/>
  <c r="K119" i="8"/>
  <c r="I69" i="8"/>
  <c r="I148" i="8"/>
  <c r="K101" i="8"/>
  <c r="E69" i="8"/>
  <c r="G39" i="8"/>
  <c r="O119" i="8"/>
  <c r="E148" i="8"/>
  <c r="I39" i="8"/>
  <c r="Q101" i="8"/>
  <c r="K39" i="8"/>
  <c r="M119" i="8"/>
  <c r="O91" i="8"/>
  <c r="Q53" i="8"/>
  <c r="I101" i="8"/>
  <c r="K53" i="8"/>
  <c r="M91" i="8"/>
  <c r="K91" i="8"/>
  <c r="E91" i="8"/>
  <c r="G119" i="8"/>
  <c r="O53" i="8"/>
  <c r="E119" i="8"/>
  <c r="G91" i="8"/>
  <c r="I53" i="8"/>
  <c r="G53" i="8"/>
  <c r="O69" i="8"/>
  <c r="M148" i="8"/>
  <c r="B28" i="8"/>
  <c r="B133" i="8"/>
  <c r="B134" i="8" s="1"/>
  <c r="B247" i="8"/>
  <c r="E252" i="8" s="1"/>
  <c r="E60" i="1"/>
  <c r="F60" i="1" s="1"/>
  <c r="X36" i="2"/>
  <c r="V36" i="2"/>
  <c r="T36" i="2"/>
  <c r="R36" i="2"/>
  <c r="P36" i="2"/>
  <c r="N36" i="2"/>
  <c r="L36" i="2"/>
  <c r="J36" i="2"/>
  <c r="H36" i="2"/>
  <c r="F36" i="2"/>
  <c r="D36" i="2"/>
  <c r="X35" i="2"/>
  <c r="V35" i="2"/>
  <c r="T35" i="2"/>
  <c r="R35" i="2"/>
  <c r="P35" i="2"/>
  <c r="N35" i="2"/>
  <c r="L35" i="2"/>
  <c r="J35" i="2"/>
  <c r="H35" i="2"/>
  <c r="F35" i="2"/>
  <c r="D35" i="2"/>
  <c r="X34" i="2"/>
  <c r="V34" i="2"/>
  <c r="T34" i="2"/>
  <c r="R34" i="2"/>
  <c r="P34" i="2"/>
  <c r="N34" i="2"/>
  <c r="L34" i="2"/>
  <c r="J34" i="2"/>
  <c r="H34" i="2"/>
  <c r="F34" i="2"/>
  <c r="D34" i="2"/>
  <c r="X33" i="2"/>
  <c r="V33" i="2"/>
  <c r="T33" i="2"/>
  <c r="R33" i="2"/>
  <c r="P33" i="2"/>
  <c r="N33" i="2"/>
  <c r="L33" i="2"/>
  <c r="J33" i="2"/>
  <c r="H33" i="2"/>
  <c r="F33" i="2"/>
  <c r="D33" i="2"/>
  <c r="K35" i="1"/>
  <c r="I35" i="1"/>
  <c r="G35" i="1"/>
  <c r="E35" i="1"/>
  <c r="B25" i="2"/>
  <c r="H16" i="2"/>
  <c r="F16" i="2"/>
  <c r="D16" i="2"/>
  <c r="D15" i="2"/>
  <c r="L5" i="2"/>
  <c r="J5" i="2"/>
  <c r="H5" i="2"/>
  <c r="F5" i="2"/>
  <c r="L6" i="2"/>
  <c r="J6" i="2"/>
  <c r="H6" i="2"/>
  <c r="F6" i="2"/>
  <c r="D6" i="2"/>
  <c r="X27" i="2"/>
  <c r="V27" i="2"/>
  <c r="T27" i="2"/>
  <c r="R27" i="2"/>
  <c r="P27" i="2"/>
  <c r="N27" i="2"/>
  <c r="L27" i="2"/>
  <c r="J27" i="2"/>
  <c r="H27" i="2"/>
  <c r="F27" i="2"/>
  <c r="D27" i="2"/>
  <c r="D5" i="2"/>
  <c r="L7" i="2"/>
  <c r="J7" i="2"/>
  <c r="H7" i="2"/>
  <c r="F7" i="2"/>
  <c r="L8" i="2"/>
  <c r="J8" i="2"/>
  <c r="H8" i="2"/>
  <c r="F8" i="2"/>
  <c r="L9" i="2"/>
  <c r="J9" i="2"/>
  <c r="H9" i="2"/>
  <c r="F9" i="2"/>
  <c r="L10" i="2"/>
  <c r="J10" i="2"/>
  <c r="H10" i="2"/>
  <c r="F10" i="2"/>
  <c r="D10" i="2"/>
  <c r="D9" i="2"/>
  <c r="D8" i="2"/>
  <c r="D7" i="2"/>
  <c r="H20" i="2"/>
  <c r="F20" i="2"/>
  <c r="D20" i="2"/>
  <c r="H19" i="2"/>
  <c r="H18" i="2"/>
  <c r="H17" i="2"/>
  <c r="F19" i="2"/>
  <c r="F18" i="2"/>
  <c r="F17" i="2"/>
  <c r="D19" i="2"/>
  <c r="D18" i="2"/>
  <c r="D17" i="2"/>
  <c r="B3" i="2"/>
  <c r="N26" i="2"/>
  <c r="D26" i="2"/>
  <c r="H14" i="2"/>
  <c r="D14" i="2"/>
  <c r="H4" i="2"/>
  <c r="D4" i="2"/>
  <c r="A14" i="2"/>
  <c r="A4" i="2"/>
  <c r="J39" i="9" l="1"/>
  <c r="R288" i="8"/>
  <c r="B29" i="8"/>
  <c r="G31" i="8" s="1"/>
  <c r="I12" i="2"/>
  <c r="H12" i="2"/>
  <c r="E22" i="2"/>
  <c r="K12" i="2"/>
  <c r="G22" i="2"/>
  <c r="E12" i="2"/>
  <c r="M12" i="2"/>
  <c r="I22" i="2"/>
  <c r="G12" i="2"/>
  <c r="R119" i="8"/>
  <c r="R283" i="8"/>
  <c r="S252" i="8"/>
  <c r="AA252" i="8"/>
  <c r="W252" i="8"/>
  <c r="R265" i="8"/>
  <c r="I252" i="8"/>
  <c r="R233" i="8"/>
  <c r="G252" i="8"/>
  <c r="R69" i="8"/>
  <c r="R161" i="8"/>
  <c r="S138" i="8"/>
  <c r="G138" i="8"/>
  <c r="O138" i="8"/>
  <c r="R187" i="8"/>
  <c r="K252" i="8"/>
  <c r="R204" i="8"/>
  <c r="Q252" i="8"/>
  <c r="Y252" i="8"/>
  <c r="U252" i="8"/>
  <c r="R174" i="8"/>
  <c r="Q138" i="8"/>
  <c r="AA138" i="8"/>
  <c r="M138" i="8"/>
  <c r="Y138" i="8"/>
  <c r="E138" i="8"/>
  <c r="R214" i="8"/>
  <c r="I138" i="8"/>
  <c r="K138" i="8"/>
  <c r="M252" i="8"/>
  <c r="O252" i="8"/>
  <c r="R53" i="8"/>
  <c r="R101" i="8"/>
  <c r="R91" i="8"/>
  <c r="R39" i="8"/>
  <c r="U138" i="8"/>
  <c r="R148" i="8"/>
  <c r="W138" i="8"/>
  <c r="X30" i="2"/>
  <c r="L22" i="2"/>
  <c r="M23" i="2" s="1"/>
  <c r="J22" i="2"/>
  <c r="K23" i="2" s="1"/>
  <c r="X38" i="2"/>
  <c r="D28" i="2"/>
  <c r="D32" i="2"/>
  <c r="F28" i="2"/>
  <c r="N28" i="2"/>
  <c r="V28" i="2"/>
  <c r="J29" i="2"/>
  <c r="R29" i="2"/>
  <c r="F30" i="2"/>
  <c r="H31" i="2"/>
  <c r="J32" i="2"/>
  <c r="N30" i="2"/>
  <c r="P31" i="2"/>
  <c r="X31" i="2"/>
  <c r="D29" i="2"/>
  <c r="H28" i="2"/>
  <c r="P28" i="2"/>
  <c r="X28" i="2"/>
  <c r="L29" i="2"/>
  <c r="T29" i="2"/>
  <c r="F31" i="2"/>
  <c r="H32" i="2"/>
  <c r="L30" i="2"/>
  <c r="N31" i="2"/>
  <c r="P32" i="2"/>
  <c r="X32" i="2"/>
  <c r="D30" i="2"/>
  <c r="J28" i="2"/>
  <c r="R28" i="2"/>
  <c r="F29" i="2"/>
  <c r="N29" i="2"/>
  <c r="V29" i="2"/>
  <c r="F32" i="2"/>
  <c r="J30" i="2"/>
  <c r="L31" i="2"/>
  <c r="N32" i="2"/>
  <c r="D31" i="2"/>
  <c r="L28" i="2"/>
  <c r="T28" i="2"/>
  <c r="H29" i="2"/>
  <c r="P29" i="2"/>
  <c r="X29" i="2"/>
  <c r="H30" i="2"/>
  <c r="J31" i="2"/>
  <c r="L32" i="2"/>
  <c r="P30" i="2"/>
  <c r="H38" i="2"/>
  <c r="D38" i="2"/>
  <c r="R38" i="2"/>
  <c r="V38" i="2"/>
  <c r="F38" i="2"/>
  <c r="N38" i="2"/>
  <c r="J38" i="2"/>
  <c r="L38" i="2"/>
  <c r="P38" i="2"/>
  <c r="T38" i="2"/>
  <c r="L12" i="2"/>
  <c r="J12" i="2"/>
  <c r="H22" i="2"/>
  <c r="F22" i="2"/>
  <c r="D22" i="2"/>
  <c r="F12" i="2"/>
  <c r="D12" i="2"/>
  <c r="N12" i="2" l="1"/>
  <c r="N22" i="2"/>
  <c r="U38" i="2"/>
  <c r="U39" i="2" s="1"/>
  <c r="W38" i="2"/>
  <c r="W39" i="2" s="1"/>
  <c r="O31" i="8"/>
  <c r="I31" i="8"/>
  <c r="M31" i="8"/>
  <c r="Q31" i="8"/>
  <c r="E31" i="8"/>
  <c r="K31" i="8"/>
  <c r="S38" i="2"/>
  <c r="S39" i="2" s="1"/>
  <c r="O38" i="2"/>
  <c r="O39" i="2" s="1"/>
  <c r="Z38" i="2"/>
  <c r="Y38" i="2"/>
  <c r="Y39" i="2" s="1"/>
  <c r="Q38" i="2"/>
  <c r="Q39" i="2" s="1"/>
  <c r="AB252" i="8"/>
  <c r="AB138" i="8"/>
  <c r="I13" i="2"/>
  <c r="M13" i="2"/>
  <c r="K13" i="2"/>
  <c r="G13" i="2"/>
  <c r="E23" i="2"/>
  <c r="G23" i="2"/>
  <c r="I23" i="2"/>
  <c r="E13" i="2"/>
  <c r="C36" i="2"/>
  <c r="N23" i="2" l="1"/>
  <c r="Z42" i="2"/>
  <c r="N13" i="2"/>
  <c r="R31" i="8"/>
  <c r="R287" i="8" s="1"/>
  <c r="C35" i="2"/>
  <c r="G33" i="2"/>
  <c r="I33" i="2"/>
  <c r="K33" i="2"/>
  <c r="M33" i="2"/>
  <c r="E33" i="2"/>
  <c r="C34" i="2"/>
  <c r="C33" i="2"/>
  <c r="G30" i="2"/>
  <c r="I30" i="2"/>
  <c r="K30" i="2"/>
  <c r="G31" i="2"/>
  <c r="I31" i="2"/>
  <c r="G32" i="2"/>
  <c r="I32" i="2"/>
  <c r="K32" i="2"/>
  <c r="K29" i="2"/>
  <c r="I29" i="2"/>
  <c r="G29" i="2"/>
  <c r="G38" i="2" l="1"/>
  <c r="G39" i="2" s="1"/>
  <c r="I38" i="2"/>
  <c r="I39" i="2" s="1"/>
  <c r="K38" i="2"/>
  <c r="K39" i="2" s="1"/>
  <c r="M38" i="2"/>
  <c r="M39" i="2" s="1"/>
  <c r="F67" i="1"/>
  <c r="J44" i="9" s="1"/>
  <c r="E38" i="2"/>
  <c r="E39" i="2" s="1"/>
  <c r="E67" i="1" l="1"/>
  <c r="Z39" i="2"/>
  <c r="Z41" i="2" l="1"/>
  <c r="F58" i="1" s="1"/>
  <c r="F59" i="1" l="1"/>
  <c r="E58" i="1"/>
  <c r="F62" i="1" l="1"/>
  <c r="F66" i="1" s="1"/>
  <c r="F68" i="1" s="1"/>
  <c r="J34" i="9"/>
  <c r="E59" i="1"/>
  <c r="E62" i="1" l="1"/>
  <c r="E66" i="1" s="1"/>
  <c r="E68" i="1" s="1"/>
  <c r="H34" i="9"/>
  <c r="J36" i="9" s="1"/>
  <c r="J37" i="9" l="1"/>
  <c r="J38" i="9" s="1"/>
  <c r="J42" i="9" s="1"/>
  <c r="J45" i="9" s="1"/>
  <c r="E64" i="1"/>
  <c r="E63" i="1"/>
  <c r="F63" i="1"/>
</calcChain>
</file>

<file path=xl/comments1.xml><?xml version="1.0" encoding="utf-8"?>
<comments xmlns="http://schemas.openxmlformats.org/spreadsheetml/2006/main">
  <authors>
    <author>GK</author>
  </authors>
  <commentList>
    <comment ref="J9" authorId="0" shapeId="0">
      <text>
        <r>
          <rPr>
            <b/>
            <sz val="9"/>
            <color indexed="81"/>
            <rFont val="Tahoma"/>
            <family val="2"/>
          </rPr>
          <t>Remplir la base de donnée dans la feuille "BDD Client"</t>
        </r>
      </text>
    </comment>
    <comment ref="J37" authorId="0" shapeId="0">
      <text>
        <r>
          <rPr>
            <b/>
            <sz val="9"/>
            <color indexed="81"/>
            <rFont val="Tahoma"/>
            <family val="2"/>
          </rPr>
          <t>Si le client est un particulier, le report des coordonnées sera automatique.</t>
        </r>
      </text>
    </comment>
  </commentList>
</comments>
</file>

<file path=xl/sharedStrings.xml><?xml version="1.0" encoding="utf-8"?>
<sst xmlns="http://schemas.openxmlformats.org/spreadsheetml/2006/main" count="639" uniqueCount="256">
  <si>
    <t>Type de bien</t>
  </si>
  <si>
    <t>Vente</t>
  </si>
  <si>
    <t>Location</t>
  </si>
  <si>
    <t>Taille</t>
  </si>
  <si>
    <t>Type</t>
  </si>
  <si>
    <t>Maison</t>
  </si>
  <si>
    <t>Appartement</t>
  </si>
  <si>
    <t>Prestation</t>
  </si>
  <si>
    <t>Adresse</t>
  </si>
  <si>
    <t>Année de construction</t>
  </si>
  <si>
    <t>Nom</t>
  </si>
  <si>
    <t>Téléphone</t>
  </si>
  <si>
    <t>E-mail</t>
  </si>
  <si>
    <t>Bien à diagnostiquer</t>
  </si>
  <si>
    <t>≤ F4</t>
  </si>
  <si>
    <t>≥ F5</t>
  </si>
  <si>
    <t>Tout diag</t>
  </si>
  <si>
    <t>DPE</t>
  </si>
  <si>
    <t>≤ 100 m²</t>
  </si>
  <si>
    <t>≤ 200 m²</t>
  </si>
  <si>
    <t>Diagnostics</t>
  </si>
  <si>
    <t>Amiante</t>
  </si>
  <si>
    <t>Plomb</t>
  </si>
  <si>
    <t>Electricité</t>
  </si>
  <si>
    <t>Gaz</t>
  </si>
  <si>
    <t>ERNT</t>
  </si>
  <si>
    <t>Loi Carrez</t>
  </si>
  <si>
    <t>Termite</t>
  </si>
  <si>
    <t>Piscine</t>
  </si>
  <si>
    <t>Assainissement</t>
  </si>
  <si>
    <t>Loi Boutin</t>
  </si>
  <si>
    <t>Parties communes</t>
  </si>
  <si>
    <t>Liste des diagnostics</t>
  </si>
  <si>
    <t>Travaux/Démo</t>
  </si>
  <si>
    <t>T1</t>
  </si>
  <si>
    <t>F2</t>
  </si>
  <si>
    <t>F3</t>
  </si>
  <si>
    <t>F4</t>
  </si>
  <si>
    <t>F5</t>
  </si>
  <si>
    <t>T4</t>
  </si>
  <si>
    <t>T5</t>
  </si>
  <si>
    <t>T6</t>
  </si>
  <si>
    <t>T7</t>
  </si>
  <si>
    <t>T8</t>
  </si>
  <si>
    <t>T9</t>
  </si>
  <si>
    <t>Nombre de diags</t>
  </si>
  <si>
    <t>Tarifs</t>
  </si>
  <si>
    <t>Remise exceptionnelle</t>
  </si>
  <si>
    <t>Total</t>
  </si>
  <si>
    <t>DIAGNOSTICS IMMOBILIERS</t>
  </si>
  <si>
    <t>Prescripteur</t>
  </si>
  <si>
    <t>Remise partenaire</t>
  </si>
  <si>
    <t>5+</t>
  </si>
  <si>
    <t>Diags</t>
  </si>
  <si>
    <t>Remise</t>
  </si>
  <si>
    <t>Numéro de devis</t>
  </si>
  <si>
    <t>Prix base</t>
  </si>
  <si>
    <t>DIAGNOSTIC UNIQUE</t>
  </si>
  <si>
    <t>FORFAIT DIAGNOSTICS GROUPES</t>
  </si>
  <si>
    <t>VENTE</t>
  </si>
  <si>
    <t>LOCATION</t>
  </si>
  <si>
    <t>CI</t>
  </si>
  <si>
    <t>&gt; 200 m²</t>
  </si>
  <si>
    <t>Prix remisé</t>
  </si>
  <si>
    <t>Type de chauffage</t>
  </si>
  <si>
    <t>Urgence de la demande</t>
  </si>
  <si>
    <t>Metz, le</t>
  </si>
  <si>
    <t>DEVIS</t>
  </si>
  <si>
    <t>Téléphone :</t>
  </si>
  <si>
    <t>Portable :</t>
  </si>
  <si>
    <t>Fax :</t>
  </si>
  <si>
    <t>E-mail :</t>
  </si>
  <si>
    <t>Montant €HT</t>
  </si>
  <si>
    <t>Montant €TTC</t>
  </si>
  <si>
    <t>Date</t>
  </si>
  <si>
    <t xml:space="preserve">Nom du client : </t>
  </si>
  <si>
    <t>Portable</t>
  </si>
  <si>
    <t>Fax</t>
  </si>
  <si>
    <t>Numéro de lot :</t>
  </si>
  <si>
    <t>Etage :</t>
  </si>
  <si>
    <t>Cave :</t>
  </si>
  <si>
    <t>Garage :</t>
  </si>
  <si>
    <t>Grenier :</t>
  </si>
  <si>
    <t>Grange :</t>
  </si>
  <si>
    <t>Date d'exécution :</t>
  </si>
  <si>
    <t>* Prélèvements et analyses facturés en plus de la prestation</t>
  </si>
  <si>
    <t>MOLP : 70,00 € TTC</t>
  </si>
  <si>
    <t>META : 70,00 € TTC</t>
  </si>
  <si>
    <t>Le client</t>
  </si>
  <si>
    <t>Date et signature</t>
  </si>
  <si>
    <t>Mention "lu et approuvé"</t>
  </si>
  <si>
    <t>Société</t>
  </si>
  <si>
    <t>AADI</t>
  </si>
  <si>
    <t>Siège social : 18 rue du haut Lessis, 57420 MARIEULLES</t>
  </si>
  <si>
    <t>SIRET : 509 496 436 / Code APE 742 B / CIC 30087-33309-00020069701-12 / TVA intra : FR83509496436 / SARL capital 27 000€</t>
  </si>
  <si>
    <t>T2</t>
  </si>
  <si>
    <t>T3</t>
  </si>
  <si>
    <t>LOCATION / VENTE</t>
  </si>
  <si>
    <t>TTC</t>
  </si>
  <si>
    <t>T8 (~200m²)</t>
  </si>
  <si>
    <t>T9 (~250m²)</t>
  </si>
  <si>
    <t>T5 (~100m²)</t>
  </si>
  <si>
    <t>T4 (~80m²)</t>
  </si>
  <si>
    <t>HT</t>
  </si>
  <si>
    <t>ABP+</t>
  </si>
  <si>
    <t>Saisie devis</t>
  </si>
  <si>
    <t>Affaire suivie par :</t>
  </si>
  <si>
    <t>Tél :</t>
  </si>
  <si>
    <t>Remise payement comptant</t>
  </si>
  <si>
    <t>OUI</t>
  </si>
  <si>
    <t>NON</t>
  </si>
  <si>
    <t>Total (Hors prélèvements)</t>
  </si>
  <si>
    <t>Nom client</t>
  </si>
  <si>
    <t>Orpi Location</t>
  </si>
  <si>
    <t>Synergie Habitat</t>
  </si>
  <si>
    <t>Tritschler</t>
  </si>
  <si>
    <t>UNPI</t>
  </si>
  <si>
    <t>Claude Rizon</t>
  </si>
  <si>
    <t>Norman Parker Yutz</t>
  </si>
  <si>
    <t>Bonnabelle/Michel et Neumayer/Lamirand</t>
  </si>
  <si>
    <t>La Ravinelle</t>
  </si>
  <si>
    <t>EI54</t>
  </si>
  <si>
    <t>Foncia Loca</t>
  </si>
  <si>
    <t>Orpi Vente Thionville</t>
  </si>
  <si>
    <t>Belsim</t>
  </si>
  <si>
    <t>Square Habitat Location</t>
  </si>
  <si>
    <t>Dumur Transac</t>
  </si>
  <si>
    <t>Grille Verte</t>
  </si>
  <si>
    <t>F1</t>
  </si>
  <si>
    <t>F6</t>
  </si>
  <si>
    <t>DPE + Amiante</t>
  </si>
  <si>
    <t>DPE + Plomb</t>
  </si>
  <si>
    <t>DPE + Amiante + Plomb</t>
  </si>
  <si>
    <t>Surface Habitable pack</t>
  </si>
  <si>
    <t>Surface Habitable seule</t>
  </si>
  <si>
    <t>Prélèvement</t>
  </si>
  <si>
    <t>Carrez ou Boutin</t>
  </si>
  <si>
    <t>Parasitaire</t>
  </si>
  <si>
    <t>Plomb PC</t>
  </si>
  <si>
    <t>Termites</t>
  </si>
  <si>
    <t>UNPI unité</t>
  </si>
  <si>
    <t>UNPI multiple</t>
  </si>
  <si>
    <t>DPE + Carrez ou Boutin</t>
  </si>
  <si>
    <t>DPE + CREP</t>
  </si>
  <si>
    <t>CREP + Amiante</t>
  </si>
  <si>
    <t>DPE + Electricité</t>
  </si>
  <si>
    <t>DPE + Amiante + Carrez</t>
  </si>
  <si>
    <t>DPE + Amiante + CREP</t>
  </si>
  <si>
    <t>DPE + Amiante + Gaz</t>
  </si>
  <si>
    <t>DPE + Gaz + Elec</t>
  </si>
  <si>
    <t>Amiante + Gaz + Carrez + DPE</t>
  </si>
  <si>
    <t>Amiante + Gaz + Carrez + CREP</t>
  </si>
  <si>
    <t>Amiante + Gaz + CREP + DPE</t>
  </si>
  <si>
    <t>DPE + Amiante + Gaz + Electricité</t>
  </si>
  <si>
    <t>DPE + Gaz + Electricité + CREP</t>
  </si>
  <si>
    <t>MOLP</t>
  </si>
  <si>
    <t>META</t>
  </si>
  <si>
    <t>CREP</t>
  </si>
  <si>
    <t>DPE + SH</t>
  </si>
  <si>
    <t>DPE + CI</t>
  </si>
  <si>
    <t>DAPP</t>
  </si>
  <si>
    <t>DPE + DAPP</t>
  </si>
  <si>
    <t>DPE + DAPP + Plomb</t>
  </si>
  <si>
    <t>DUMUR Transac</t>
  </si>
  <si>
    <t>DPE + Carrez</t>
  </si>
  <si>
    <t>DPE + Plomb + Carrez</t>
  </si>
  <si>
    <t>DPE + Amiante + Plomb + Carrez</t>
  </si>
  <si>
    <t>Piscines</t>
  </si>
  <si>
    <t>Elec</t>
  </si>
  <si>
    <t>Certificat habitabilité</t>
  </si>
  <si>
    <t>T6 (~150 m²)</t>
  </si>
  <si>
    <t>T7 (~180m²)</t>
  </si>
  <si>
    <t>Complément Amiante</t>
  </si>
  <si>
    <t>Complément Amiante Seul</t>
  </si>
  <si>
    <t>Plan</t>
  </si>
  <si>
    <t>MOLP / META</t>
  </si>
  <si>
    <t>CREP PC</t>
  </si>
  <si>
    <t>Bonnabelle / Michel et Neumayer / Lamirand</t>
  </si>
  <si>
    <t>DPE + Amiante + CI</t>
  </si>
  <si>
    <t>DPE + CREP + CI</t>
  </si>
  <si>
    <t>DPE + CREP + Amiante + CI</t>
  </si>
  <si>
    <t>SH</t>
  </si>
  <si>
    <t>EI 54</t>
  </si>
  <si>
    <t>DPE + A + E</t>
  </si>
  <si>
    <t>DPE + A + E + G</t>
  </si>
  <si>
    <t>DPE + A +E + G + P</t>
  </si>
  <si>
    <t>DPE + P</t>
  </si>
  <si>
    <t>SH / Carrez pack</t>
  </si>
  <si>
    <t>SH / Carrez seul</t>
  </si>
  <si>
    <t>Ventes</t>
  </si>
  <si>
    <t>DPE + A + P</t>
  </si>
  <si>
    <t>Foncia</t>
  </si>
  <si>
    <t>DPE + A + Carrez</t>
  </si>
  <si>
    <t>DPE + P + Carrez</t>
  </si>
  <si>
    <t>DPE + A + P + Carrez</t>
  </si>
  <si>
    <t>Carrez</t>
  </si>
  <si>
    <t>BELSIM</t>
  </si>
  <si>
    <t>Contrôle triennal</t>
  </si>
  <si>
    <t>Amiante PP</t>
  </si>
  <si>
    <t>Terre Lorraine / EI Metz</t>
  </si>
  <si>
    <t>DTA PC</t>
  </si>
  <si>
    <t>DTI PC</t>
  </si>
  <si>
    <t>Plomb T/D</t>
  </si>
  <si>
    <t>Amiante T/D</t>
  </si>
  <si>
    <t>Prélèvements</t>
  </si>
  <si>
    <t>Surface habitable</t>
  </si>
  <si>
    <t>Certificat Habitabilité</t>
  </si>
  <si>
    <t>Complément amiante</t>
  </si>
  <si>
    <t>Spécifiques grilles</t>
  </si>
  <si>
    <t>AADI - NeoConsulting</t>
  </si>
  <si>
    <t>ABP+ - NeoConsulting</t>
  </si>
  <si>
    <t>DANKE - NeoConsulting</t>
  </si>
  <si>
    <t>DANKE</t>
  </si>
  <si>
    <t>Siège social : 4 Rue des Joncs L-1818 HOWALD</t>
  </si>
  <si>
    <t>SIRET : 503 171 951 0000 18 / Code APE : 7120B / CIC 30087 33309 00020017401 63 / TVA intra FR22503171951 / SARL capital 30 100€</t>
  </si>
  <si>
    <t>CELLLULL LU 88 0141 7442 6520 0000 / TVA intra LU 25661225 / RC Lux B 170 519 / SARL capital 12 400€</t>
  </si>
  <si>
    <t>Adresse et lot</t>
  </si>
  <si>
    <t>Grille tarifs</t>
  </si>
  <si>
    <t>BASIQUE</t>
  </si>
  <si>
    <t>POUR DEMAIN</t>
  </si>
  <si>
    <t>DANS LA SEMAINE</t>
  </si>
  <si>
    <t>DANS LES DEUX SEMAINES</t>
  </si>
  <si>
    <t>DANS LE MOIS</t>
  </si>
  <si>
    <t>DANS LES DEUX MOIS</t>
  </si>
  <si>
    <t>DANS LES SIX MOIS</t>
  </si>
  <si>
    <t>DANS L'ANNEE</t>
  </si>
  <si>
    <t>MDP = NC</t>
  </si>
  <si>
    <t xml:space="preserve"> </t>
  </si>
  <si>
    <t xml:space="preserve">  </t>
  </si>
  <si>
    <t>Prénom et Nom</t>
  </si>
  <si>
    <t>Nombre de biens à diagnostiquer</t>
  </si>
  <si>
    <t>Appartement(s)</t>
  </si>
  <si>
    <t>Cave(s)</t>
  </si>
  <si>
    <t>Garage(s)</t>
  </si>
  <si>
    <t>Grenier(s)</t>
  </si>
  <si>
    <t>Grange(s)</t>
  </si>
  <si>
    <t>Numéro(s) de lot(s)</t>
  </si>
  <si>
    <t>Etage(s)</t>
  </si>
  <si>
    <t>Maison(s)</t>
  </si>
  <si>
    <t>Prix base totale</t>
  </si>
  <si>
    <t>Bien à expertiser</t>
  </si>
  <si>
    <t>Nombre de biens</t>
  </si>
  <si>
    <t>Diagnostic(s) à réaliser</t>
  </si>
  <si>
    <t>Adresse du bien :</t>
  </si>
  <si>
    <t>Montant base HT</t>
  </si>
  <si>
    <t>Dont TVA 20%</t>
  </si>
  <si>
    <t>Montant base TTC</t>
  </si>
  <si>
    <t>Remise règlement sur place</t>
  </si>
  <si>
    <t>Montant base remisé TTC</t>
  </si>
  <si>
    <t>Prélèvements (estimatif TTC)</t>
  </si>
  <si>
    <t>Montant total TTC</t>
  </si>
  <si>
    <t>Commanditaire = bien à expertiser</t>
  </si>
  <si>
    <t>Coordonnées du commanditaire</t>
  </si>
  <si>
    <t>Prix concurrent</t>
  </si>
  <si>
    <t>Appartement :</t>
  </si>
  <si>
    <t>lol@lol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</si>
</sst>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\-0;;@"/>
    <numFmt numFmtId="165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1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4" xfId="0" applyFill="1" applyBorder="1"/>
    <xf numFmtId="0" fontId="0" fillId="4" borderId="6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0" xfId="0" applyFill="1" applyBorder="1" applyAlignment="1">
      <alignment horizontal="center" vertical="center" wrapText="1"/>
    </xf>
    <xf numFmtId="0" fontId="0" fillId="4" borderId="7" xfId="0" applyFill="1" applyBorder="1" applyAlignment="1">
      <alignment vertical="center" textRotation="90"/>
    </xf>
    <xf numFmtId="0" fontId="0" fillId="4" borderId="7" xfId="0" applyFill="1" applyBorder="1"/>
    <xf numFmtId="0" fontId="0" fillId="4" borderId="8" xfId="0" applyFill="1" applyBorder="1"/>
    <xf numFmtId="0" fontId="0" fillId="4" borderId="5" xfId="0" applyFill="1" applyBorder="1" applyAlignment="1"/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/>
    <xf numFmtId="9" fontId="0" fillId="0" borderId="7" xfId="1" applyFont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0" fontId="0" fillId="0" borderId="7" xfId="0" applyBorder="1"/>
    <xf numFmtId="0" fontId="0" fillId="0" borderId="12" xfId="0" applyBorder="1" applyAlignment="1">
      <alignment horizontal="center"/>
    </xf>
    <xf numFmtId="0" fontId="0" fillId="4" borderId="2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7" fillId="5" borderId="12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7" fillId="5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9" fontId="0" fillId="0" borderId="0" xfId="1" applyFont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2" borderId="19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/>
    <xf numFmtId="9" fontId="0" fillId="0" borderId="0" xfId="1" applyFont="1"/>
    <xf numFmtId="9" fontId="0" fillId="2" borderId="17" xfId="1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9" fontId="0" fillId="2" borderId="12" xfId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5" xfId="0" applyBorder="1"/>
    <xf numFmtId="0" fontId="0" fillId="0" borderId="15" xfId="0" applyBorder="1"/>
    <xf numFmtId="0" fontId="0" fillId="0" borderId="17" xfId="0" applyBorder="1"/>
    <xf numFmtId="0" fontId="0" fillId="2" borderId="12" xfId="0" applyFill="1" applyBorder="1" applyAlignment="1">
      <alignment horizontal="center" vertical="center" wrapText="1"/>
    </xf>
    <xf numFmtId="0" fontId="0" fillId="4" borderId="1" xfId="0" applyFill="1" applyBorder="1"/>
    <xf numFmtId="0" fontId="0" fillId="0" borderId="0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0" xfId="0" applyFill="1" applyBorder="1" applyAlignment="1">
      <alignment horizontal="right"/>
    </xf>
    <xf numFmtId="0" fontId="0" fillId="0" borderId="5" xfId="0" applyBorder="1" applyAlignment="1"/>
    <xf numFmtId="0" fontId="0" fillId="0" borderId="7" xfId="0" applyFill="1" applyBorder="1" applyAlignment="1">
      <alignment horizontal="right"/>
    </xf>
    <xf numFmtId="0" fontId="0" fillId="0" borderId="0" xfId="0" applyFill="1" applyBorder="1"/>
    <xf numFmtId="0" fontId="0" fillId="0" borderId="7" xfId="0" applyFill="1" applyBorder="1"/>
    <xf numFmtId="0" fontId="0" fillId="0" borderId="5" xfId="0" applyFill="1" applyBorder="1"/>
    <xf numFmtId="0" fontId="0" fillId="0" borderId="8" xfId="0" applyFill="1" applyBorder="1"/>
    <xf numFmtId="0" fontId="0" fillId="4" borderId="5" xfId="0" applyFill="1" applyBorder="1" applyAlignment="1">
      <alignment wrapText="1"/>
    </xf>
    <xf numFmtId="0" fontId="0" fillId="2" borderId="21" xfId="0" applyFill="1" applyBorder="1" applyAlignment="1">
      <alignment horizontal="center" vertical="center" wrapText="1"/>
    </xf>
    <xf numFmtId="0" fontId="0" fillId="0" borderId="20" xfId="0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42" xfId="0" applyFill="1" applyBorder="1" applyAlignment="1">
      <alignment horizontal="center" vertical="center"/>
    </xf>
    <xf numFmtId="0" fontId="0" fillId="2" borderId="13" xfId="0" applyFill="1" applyBorder="1" applyAlignment="1">
      <alignment horizontal="right" vertical="center"/>
    </xf>
    <xf numFmtId="0" fontId="0" fillId="4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right" vertical="center"/>
    </xf>
    <xf numFmtId="0" fontId="0" fillId="2" borderId="18" xfId="0" applyFill="1" applyBorder="1" applyAlignment="1">
      <alignment horizontal="right" vertical="center"/>
    </xf>
    <xf numFmtId="0" fontId="0" fillId="4" borderId="0" xfId="0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7" fillId="5" borderId="0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5" borderId="14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7" fillId="5" borderId="19" xfId="0" applyFont="1" applyFill="1" applyBorder="1" applyAlignment="1">
      <alignment horizontal="center"/>
    </xf>
    <xf numFmtId="0" fontId="7" fillId="5" borderId="26" xfId="0" applyFont="1" applyFill="1" applyBorder="1" applyAlignment="1">
      <alignment horizontal="center" vertical="center"/>
    </xf>
    <xf numFmtId="0" fontId="0" fillId="2" borderId="4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9" fontId="0" fillId="0" borderId="0" xfId="0" applyNumberFormat="1" applyAlignment="1">
      <alignment horizontal="center" vertical="center"/>
    </xf>
    <xf numFmtId="0" fontId="0" fillId="4" borderId="19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  <xf numFmtId="0" fontId="0" fillId="4" borderId="44" xfId="0" applyFill="1" applyBorder="1" applyAlignment="1" applyProtection="1">
      <alignment horizontal="center" vertical="center"/>
      <protection locked="0"/>
    </xf>
    <xf numFmtId="0" fontId="0" fillId="4" borderId="22" xfId="0" applyFill="1" applyBorder="1" applyProtection="1"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 vertical="center"/>
      <protection locked="0"/>
    </xf>
    <xf numFmtId="0" fontId="0" fillId="4" borderId="20" xfId="0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9" fontId="0" fillId="6" borderId="11" xfId="1" applyFont="1" applyFill="1" applyBorder="1" applyAlignment="1" applyProtection="1">
      <alignment horizontal="center" vertical="center"/>
      <protection locked="0"/>
    </xf>
    <xf numFmtId="2" fontId="0" fillId="0" borderId="12" xfId="0" applyNumberFormat="1" applyBorder="1" applyAlignment="1" applyProtection="1">
      <alignment horizontal="center" vertical="center"/>
      <protection locked="0"/>
    </xf>
    <xf numFmtId="2" fontId="0" fillId="0" borderId="17" xfId="0" applyNumberFormat="1" applyBorder="1" applyAlignment="1" applyProtection="1">
      <alignment horizontal="center" vertical="center"/>
      <protection locked="0"/>
    </xf>
    <xf numFmtId="2" fontId="0" fillId="0" borderId="19" xfId="0" applyNumberFormat="1" applyBorder="1" applyAlignment="1" applyProtection="1">
      <alignment horizontal="center" vertical="center"/>
      <protection locked="0"/>
    </xf>
    <xf numFmtId="2" fontId="0" fillId="0" borderId="20" xfId="0" applyNumberFormat="1" applyBorder="1" applyAlignment="1" applyProtection="1">
      <alignment horizontal="center" vertical="center"/>
      <protection locked="0"/>
    </xf>
    <xf numFmtId="14" fontId="6" fillId="6" borderId="11" xfId="0" applyNumberFormat="1" applyFont="1" applyFill="1" applyBorder="1" applyAlignment="1" applyProtection="1">
      <alignment horizontal="center" vertical="center"/>
      <protection locked="0"/>
    </xf>
    <xf numFmtId="14" fontId="6" fillId="4" borderId="11" xfId="0" applyNumberFormat="1" applyFont="1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2" fontId="0" fillId="2" borderId="14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2" borderId="42" xfId="0" applyFill="1" applyBorder="1" applyAlignment="1">
      <alignment horizontal="center" vertical="center"/>
    </xf>
    <xf numFmtId="0" fontId="0" fillId="4" borderId="0" xfId="0" applyFill="1" applyBorder="1" applyProtection="1">
      <protection hidden="1"/>
    </xf>
    <xf numFmtId="0" fontId="0" fillId="0" borderId="0" xfId="0" applyProtection="1">
      <protection locked="0"/>
    </xf>
    <xf numFmtId="0" fontId="0" fillId="0" borderId="0" xfId="0"/>
    <xf numFmtId="0" fontId="0" fillId="6" borderId="31" xfId="0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Alignment="1">
      <alignment horizontal="center"/>
    </xf>
    <xf numFmtId="0" fontId="0" fillId="4" borderId="34" xfId="0" applyFill="1" applyBorder="1" applyAlignment="1" applyProtection="1">
      <alignment horizontal="center" vertical="center"/>
      <protection locked="0"/>
    </xf>
    <xf numFmtId="0" fontId="0" fillId="2" borderId="35" xfId="0" applyFill="1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  <xf numFmtId="2" fontId="0" fillId="2" borderId="56" xfId="0" applyNumberForma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0" xfId="0"/>
    <xf numFmtId="49" fontId="0" fillId="4" borderId="19" xfId="0" applyNumberFormat="1" applyFill="1" applyBorder="1" applyAlignment="1" applyProtection="1">
      <alignment horizontal="center" vertical="center"/>
      <protection locked="0"/>
    </xf>
    <xf numFmtId="49" fontId="0" fillId="4" borderId="20" xfId="0" applyNumberFormat="1" applyFill="1" applyBorder="1" applyAlignment="1" applyProtection="1">
      <alignment horizontal="center" vertical="center"/>
      <protection locked="0"/>
    </xf>
    <xf numFmtId="0" fontId="0" fillId="2" borderId="57" xfId="0" applyFill="1" applyBorder="1" applyAlignment="1">
      <alignment horizontal="center" vertical="center"/>
    </xf>
    <xf numFmtId="0" fontId="0" fillId="4" borderId="26" xfId="0" applyFill="1" applyBorder="1" applyAlignment="1" applyProtection="1">
      <alignment horizontal="center" vertical="center"/>
      <protection locked="0"/>
    </xf>
    <xf numFmtId="0" fontId="0" fillId="2" borderId="26" xfId="0" applyFill="1" applyBorder="1" applyAlignment="1">
      <alignment horizontal="center" vertical="center"/>
    </xf>
    <xf numFmtId="0" fontId="4" fillId="4" borderId="0" xfId="0" applyFont="1" applyFill="1"/>
    <xf numFmtId="0" fontId="0" fillId="0" borderId="0" xfId="0"/>
    <xf numFmtId="0" fontId="12" fillId="0" borderId="0" xfId="0" applyFont="1" applyProtection="1">
      <protection locked="0"/>
    </xf>
    <xf numFmtId="164" fontId="12" fillId="0" borderId="0" xfId="0" applyNumberFormat="1" applyFont="1" applyProtection="1">
      <protection locked="0"/>
    </xf>
    <xf numFmtId="0" fontId="12" fillId="0" borderId="37" xfId="0" applyFont="1" applyBorder="1" applyAlignment="1" applyProtection="1">
      <alignment horizontal="right"/>
      <protection locked="0"/>
    </xf>
    <xf numFmtId="0" fontId="12" fillId="0" borderId="0" xfId="0" applyFont="1" applyBorder="1" applyProtection="1">
      <protection locked="0"/>
    </xf>
    <xf numFmtId="0" fontId="12" fillId="0" borderId="40" xfId="0" applyFont="1" applyBorder="1" applyAlignment="1" applyProtection="1">
      <alignment horizontal="right"/>
      <protection locked="0"/>
    </xf>
    <xf numFmtId="0" fontId="12" fillId="0" borderId="0" xfId="0" applyFont="1" applyAlignment="1" applyProtection="1">
      <alignment horizontal="left"/>
      <protection locked="0"/>
    </xf>
    <xf numFmtId="0" fontId="12" fillId="0" borderId="41" xfId="0" applyFont="1" applyBorder="1" applyAlignment="1" applyProtection="1">
      <alignment horizontal="right"/>
      <protection locked="0"/>
    </xf>
    <xf numFmtId="0" fontId="12" fillId="0" borderId="0" xfId="0" applyFont="1"/>
    <xf numFmtId="14" fontId="12" fillId="0" borderId="0" xfId="0" applyNumberFormat="1" applyFont="1" applyProtection="1">
      <protection locked="0"/>
    </xf>
    <xf numFmtId="0" fontId="13" fillId="0" borderId="0" xfId="0" applyFont="1" applyProtection="1">
      <protection locked="0"/>
    </xf>
    <xf numFmtId="164" fontId="13" fillId="0" borderId="0" xfId="0" applyNumberFormat="1" applyFont="1" applyProtection="1">
      <protection locked="0"/>
    </xf>
    <xf numFmtId="0" fontId="0" fillId="0" borderId="0" xfId="0" applyAlignment="1">
      <alignment vertical="center"/>
    </xf>
    <xf numFmtId="0" fontId="12" fillId="0" borderId="12" xfId="0" applyNumberFormat="1" applyFont="1" applyBorder="1" applyAlignment="1" applyProtection="1">
      <alignment horizontal="center" vertical="center"/>
      <protection locked="0"/>
    </xf>
    <xf numFmtId="0" fontId="0" fillId="7" borderId="0" xfId="0" applyFill="1" applyProtection="1"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vertical="center"/>
      <protection locked="0"/>
    </xf>
    <xf numFmtId="0" fontId="12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2" fillId="0" borderId="0" xfId="0" applyFont="1" applyBorder="1" applyAlignment="1" applyProtection="1">
      <alignment wrapText="1"/>
      <protection locked="0"/>
    </xf>
    <xf numFmtId="0" fontId="12" fillId="0" borderId="0" xfId="0" applyFont="1" applyBorder="1" applyAlignment="1" applyProtection="1">
      <protection locked="0"/>
    </xf>
    <xf numFmtId="2" fontId="12" fillId="0" borderId="0" xfId="0" applyNumberFormat="1" applyFont="1" applyBorder="1" applyAlignment="1" applyProtection="1">
      <protection locked="0"/>
    </xf>
    <xf numFmtId="164" fontId="12" fillId="0" borderId="0" xfId="0" applyNumberFormat="1" applyFont="1" applyBorder="1" applyAlignment="1" applyProtection="1">
      <protection locked="0"/>
    </xf>
    <xf numFmtId="0" fontId="0" fillId="2" borderId="14" xfId="0" applyFill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7" fillId="5" borderId="12" xfId="0" applyNumberFormat="1" applyFont="1" applyFill="1" applyBorder="1" applyAlignment="1">
      <alignment horizontal="center"/>
    </xf>
    <xf numFmtId="0" fontId="0" fillId="4" borderId="0" xfId="0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6" borderId="6" xfId="0" applyFill="1" applyBorder="1" applyAlignment="1" applyProtection="1">
      <alignment horizontal="center" vertical="center"/>
      <protection locked="0"/>
    </xf>
    <xf numFmtId="0" fontId="0" fillId="6" borderId="7" xfId="0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2" borderId="42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center" vertical="center"/>
      <protection locked="0"/>
    </xf>
    <xf numFmtId="0" fontId="6" fillId="4" borderId="21" xfId="0" applyFont="1" applyFill="1" applyBorder="1" applyAlignment="1" applyProtection="1">
      <alignment horizontal="center" vertical="center"/>
      <protection locked="0"/>
    </xf>
    <xf numFmtId="0" fontId="6" fillId="4" borderId="33" xfId="0" applyFont="1" applyFill="1" applyBorder="1" applyAlignment="1" applyProtection="1">
      <alignment horizontal="center" vertical="center"/>
      <protection locked="0"/>
    </xf>
    <xf numFmtId="0" fontId="6" fillId="4" borderId="54" xfId="0" applyFont="1" applyFill="1" applyBorder="1" applyAlignment="1" applyProtection="1">
      <alignment horizontal="center" vertical="center"/>
      <protection locked="0"/>
    </xf>
    <xf numFmtId="49" fontId="0" fillId="4" borderId="52" xfId="0" applyNumberFormat="1" applyFill="1" applyBorder="1" applyAlignment="1" applyProtection="1">
      <alignment horizontal="center" vertical="center"/>
      <protection locked="0"/>
    </xf>
    <xf numFmtId="49" fontId="0" fillId="4" borderId="34" xfId="0" applyNumberForma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4" borderId="21" xfId="0" applyFill="1" applyBorder="1" applyAlignment="1" applyProtection="1">
      <alignment horizontal="center" vertical="center"/>
      <protection locked="0"/>
    </xf>
    <xf numFmtId="0" fontId="0" fillId="4" borderId="53" xfId="0" applyFill="1" applyBorder="1" applyAlignment="1" applyProtection="1">
      <alignment horizontal="center" vertical="center"/>
      <protection locked="0"/>
    </xf>
    <xf numFmtId="0" fontId="0" fillId="4" borderId="54" xfId="0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center" vertical="center" wrapText="1"/>
    </xf>
    <xf numFmtId="0" fontId="0" fillId="0" borderId="0" xfId="0"/>
    <xf numFmtId="0" fontId="0" fillId="2" borderId="16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6" fillId="4" borderId="17" xfId="0" applyFont="1" applyFill="1" applyBorder="1" applyAlignment="1" applyProtection="1">
      <alignment horizontal="center" vertical="center"/>
      <protection locked="0"/>
    </xf>
    <xf numFmtId="9" fontId="0" fillId="2" borderId="12" xfId="1" applyFont="1" applyFill="1" applyBorder="1" applyAlignment="1">
      <alignment horizontal="center" vertical="center"/>
    </xf>
    <xf numFmtId="9" fontId="0" fillId="2" borderId="17" xfId="1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9" xfId="0" applyBorder="1" applyAlignment="1" applyProtection="1">
      <alignment horizontal="center" vertical="center"/>
      <protection locked="0"/>
    </xf>
    <xf numFmtId="0" fontId="5" fillId="0" borderId="19" xfId="2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4" borderId="26" xfId="0" applyFill="1" applyBorder="1" applyAlignment="1" applyProtection="1">
      <alignment horizontal="center" vertical="center"/>
      <protection locked="0"/>
    </xf>
    <xf numFmtId="0" fontId="0" fillId="4" borderId="56" xfId="0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0" borderId="12" xfId="0" applyFont="1" applyBorder="1" applyAlignment="1" applyProtection="1">
      <alignment horizontal="center"/>
      <protection locked="0"/>
    </xf>
    <xf numFmtId="2" fontId="12" fillId="0" borderId="12" xfId="0" applyNumberFormat="1" applyFont="1" applyBorder="1" applyAlignment="1" applyProtection="1">
      <alignment horizontal="center" vertical="center"/>
      <protection locked="0"/>
    </xf>
    <xf numFmtId="9" fontId="12" fillId="0" borderId="12" xfId="1" applyFont="1" applyBorder="1" applyAlignment="1" applyProtection="1">
      <alignment horizontal="center" vertical="center"/>
      <protection locked="0"/>
    </xf>
    <xf numFmtId="0" fontId="11" fillId="7" borderId="0" xfId="0" applyFont="1" applyFill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2" fontId="12" fillId="0" borderId="12" xfId="0" applyNumberFormat="1" applyFont="1" applyBorder="1" applyAlignment="1" applyProtection="1">
      <alignment horizontal="center" wrapText="1"/>
      <protection locked="0"/>
    </xf>
    <xf numFmtId="2" fontId="12" fillId="0" borderId="12" xfId="0" applyNumberFormat="1" applyFont="1" applyBorder="1" applyAlignment="1" applyProtection="1">
      <alignment horizontal="center" vertical="center" wrapText="1"/>
      <protection locked="0"/>
    </xf>
    <xf numFmtId="164" fontId="12" fillId="4" borderId="6" xfId="0" applyNumberFormat="1" applyFont="1" applyFill="1" applyBorder="1" applyAlignment="1" applyProtection="1">
      <alignment horizontal="center"/>
      <protection locked="0"/>
    </xf>
    <xf numFmtId="164" fontId="12" fillId="4" borderId="7" xfId="0" applyNumberFormat="1" applyFont="1" applyFill="1" applyBorder="1" applyAlignment="1" applyProtection="1">
      <alignment horizontal="center"/>
      <protection locked="0"/>
    </xf>
    <xf numFmtId="164" fontId="12" fillId="4" borderId="8" xfId="0" applyNumberFormat="1" applyFont="1" applyFill="1" applyBorder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0" fontId="12" fillId="4" borderId="1" xfId="0" applyFont="1" applyFill="1" applyBorder="1" applyAlignment="1" applyProtection="1">
      <alignment horizontal="center"/>
      <protection locked="0"/>
    </xf>
    <xf numFmtId="0" fontId="12" fillId="4" borderId="2" xfId="0" applyFont="1" applyFill="1" applyBorder="1" applyAlignment="1" applyProtection="1">
      <alignment horizontal="center"/>
      <protection locked="0"/>
    </xf>
    <xf numFmtId="0" fontId="12" fillId="4" borderId="3" xfId="0" applyFont="1" applyFill="1" applyBorder="1" applyAlignment="1" applyProtection="1">
      <alignment horizontal="center"/>
      <protection locked="0"/>
    </xf>
    <xf numFmtId="164" fontId="12" fillId="0" borderId="39" xfId="0" applyNumberFormat="1" applyFont="1" applyBorder="1" applyAlignment="1" applyProtection="1">
      <alignment horizontal="center"/>
      <protection locked="0"/>
    </xf>
    <xf numFmtId="164" fontId="12" fillId="0" borderId="38" xfId="0" applyNumberFormat="1" applyFont="1" applyBorder="1" applyAlignment="1" applyProtection="1">
      <alignment horizontal="center"/>
      <protection locked="0"/>
    </xf>
    <xf numFmtId="164" fontId="12" fillId="0" borderId="0" xfId="0" applyNumberFormat="1" applyFont="1" applyBorder="1" applyAlignment="1" applyProtection="1">
      <alignment horizontal="center"/>
      <protection locked="0"/>
    </xf>
    <xf numFmtId="164" fontId="12" fillId="0" borderId="32" xfId="0" applyNumberFormat="1" applyFont="1" applyBorder="1" applyAlignment="1" applyProtection="1">
      <alignment horizontal="center"/>
      <protection locked="0"/>
    </xf>
    <xf numFmtId="14" fontId="12" fillId="0" borderId="0" xfId="0" applyNumberFormat="1" applyFont="1" applyAlignment="1" applyProtection="1">
      <alignment horizontal="center"/>
      <protection locked="0"/>
    </xf>
    <xf numFmtId="164" fontId="12" fillId="0" borderId="25" xfId="0" applyNumberFormat="1" applyFont="1" applyBorder="1" applyAlignment="1" applyProtection="1">
      <alignment horizontal="center"/>
      <protection locked="0"/>
    </xf>
    <xf numFmtId="164" fontId="12" fillId="0" borderId="35" xfId="0" applyNumberFormat="1" applyFont="1" applyBorder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3" borderId="49" xfId="0" applyFont="1" applyFill="1" applyBorder="1" applyAlignment="1">
      <alignment horizontal="center" vertical="center" textRotation="90"/>
    </xf>
    <xf numFmtId="0" fontId="2" fillId="3" borderId="50" xfId="0" applyFont="1" applyFill="1" applyBorder="1" applyAlignment="1">
      <alignment horizontal="center" vertical="center" textRotation="90"/>
    </xf>
    <xf numFmtId="0" fontId="2" fillId="3" borderId="51" xfId="0" applyFont="1" applyFill="1" applyBorder="1" applyAlignment="1">
      <alignment horizontal="center" vertical="center" textRotation="90"/>
    </xf>
    <xf numFmtId="0" fontId="2" fillId="3" borderId="9" xfId="0" applyFont="1" applyFill="1" applyBorder="1" applyAlignment="1">
      <alignment horizontal="center" vertical="center" textRotation="90"/>
    </xf>
    <xf numFmtId="0" fontId="2" fillId="3" borderId="27" xfId="0" applyFont="1" applyFill="1" applyBorder="1" applyAlignment="1">
      <alignment horizontal="center" vertical="center" textRotation="90"/>
    </xf>
    <xf numFmtId="0" fontId="2" fillId="3" borderId="28" xfId="0" applyFont="1" applyFill="1" applyBorder="1" applyAlignment="1">
      <alignment horizontal="center" vertical="center" textRotation="9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44</xdr:row>
          <xdr:rowOff>57150</xdr:rowOff>
        </xdr:from>
        <xdr:to>
          <xdr:col>10</xdr:col>
          <xdr:colOff>123825</xdr:colOff>
          <xdr:row>45</xdr:row>
          <xdr:rowOff>57150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78441</xdr:colOff>
      <xdr:row>1</xdr:row>
      <xdr:rowOff>-1</xdr:rowOff>
    </xdr:from>
    <xdr:to>
      <xdr:col>11</xdr:col>
      <xdr:colOff>750047</xdr:colOff>
      <xdr:row>77</xdr:row>
      <xdr:rowOff>168088</xdr:rowOff>
    </xdr:to>
    <xdr:pic>
      <xdr:nvPicPr>
        <xdr:cNvPr id="2" name="Image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95" r="16709"/>
        <a:stretch/>
      </xdr:blipFill>
      <xdr:spPr bwMode="auto">
        <a:xfrm>
          <a:off x="11586882" y="235323"/>
          <a:ext cx="671606" cy="1796303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2</xdr:col>
      <xdr:colOff>222436</xdr:colOff>
      <xdr:row>3</xdr:row>
      <xdr:rowOff>30255</xdr:rowOff>
    </xdr:from>
    <xdr:to>
      <xdr:col>3</xdr:col>
      <xdr:colOff>308722</xdr:colOff>
      <xdr:row>8</xdr:row>
      <xdr:rowOff>65554</xdr:rowOff>
    </xdr:to>
    <xdr:pic>
      <xdr:nvPicPr>
        <xdr:cNvPr id="3" name="Image 1" descr="logo NeoConsulting FRA_mini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436" y="744630"/>
          <a:ext cx="1953186" cy="12259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70036</xdr:colOff>
      <xdr:row>1</xdr:row>
      <xdr:rowOff>49305</xdr:rowOff>
    </xdr:from>
    <xdr:to>
      <xdr:col>2</xdr:col>
      <xdr:colOff>1425948</xdr:colOff>
      <xdr:row>11</xdr:row>
      <xdr:rowOff>217953</xdr:rowOff>
    </xdr:to>
    <xdr:sp macro="" textlink="">
      <xdr:nvSpPr>
        <xdr:cNvPr id="4" name="Arc 5"/>
        <xdr:cNvSpPr>
          <a:spLocks/>
        </xdr:cNvSpPr>
      </xdr:nvSpPr>
      <xdr:spPr bwMode="auto">
        <a:xfrm flipH="1">
          <a:off x="832036" y="287430"/>
          <a:ext cx="2117912" cy="2549898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D6E3BC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755836</xdr:colOff>
      <xdr:row>0</xdr:row>
      <xdr:rowOff>198904</xdr:rowOff>
    </xdr:from>
    <xdr:to>
      <xdr:col>2</xdr:col>
      <xdr:colOff>368673</xdr:colOff>
      <xdr:row>5</xdr:row>
      <xdr:rowOff>122703</xdr:rowOff>
    </xdr:to>
    <xdr:sp macro="" textlink="">
      <xdr:nvSpPr>
        <xdr:cNvPr id="5" name="Arc 6"/>
        <xdr:cNvSpPr>
          <a:spLocks/>
        </xdr:cNvSpPr>
      </xdr:nvSpPr>
      <xdr:spPr bwMode="auto">
        <a:xfrm flipV="1">
          <a:off x="755836" y="198904"/>
          <a:ext cx="1136837" cy="1114424"/>
        </a:xfrm>
        <a:custGeom>
          <a:avLst/>
          <a:gdLst>
            <a:gd name="T0" fmla="*/ 0 w 21600"/>
            <a:gd name="T1" fmla="*/ 5529959 h 21600"/>
            <a:gd name="T2" fmla="*/ 2147483647 w 21600"/>
            <a:gd name="T3" fmla="*/ 2147483647 h 21600"/>
            <a:gd name="T4" fmla="*/ 181143753 w 21600"/>
            <a:gd name="T5" fmla="*/ 2147483647 h 21600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21600" h="21600" fill="none" extrusionOk="0">
              <a:moveTo>
                <a:pt x="0" y="40"/>
              </a:moveTo>
              <a:cubicBezTo>
                <a:pt x="439" y="13"/>
                <a:pt x="879" y="-1"/>
                <a:pt x="1319" y="0"/>
              </a:cubicBezTo>
              <a:cubicBezTo>
                <a:pt x="13248" y="0"/>
                <a:pt x="22919" y="9670"/>
                <a:pt x="22919" y="21600"/>
              </a:cubicBezTo>
            </a:path>
            <a:path w="21600" h="21600" stroke="0" extrusionOk="0">
              <a:moveTo>
                <a:pt x="0" y="40"/>
              </a:moveTo>
              <a:cubicBezTo>
                <a:pt x="439" y="13"/>
                <a:pt x="879" y="-1"/>
                <a:pt x="1319" y="0"/>
              </a:cubicBezTo>
              <a:cubicBezTo>
                <a:pt x="13248" y="0"/>
                <a:pt x="22919" y="9670"/>
                <a:pt x="22919" y="21600"/>
              </a:cubicBezTo>
              <a:lnTo>
                <a:pt x="1319" y="21600"/>
              </a:lnTo>
              <a:lnTo>
                <a:pt x="0" y="40"/>
              </a:lnTo>
              <a:close/>
            </a:path>
          </a:pathLst>
        </a:custGeom>
        <a:noFill/>
        <a:ln w="9525">
          <a:solidFill>
            <a:srgbClr val="C2D69B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651061</xdr:colOff>
      <xdr:row>1</xdr:row>
      <xdr:rowOff>103653</xdr:rowOff>
    </xdr:from>
    <xdr:to>
      <xdr:col>2</xdr:col>
      <xdr:colOff>79561</xdr:colOff>
      <xdr:row>4</xdr:row>
      <xdr:rowOff>56029</xdr:rowOff>
    </xdr:to>
    <xdr:sp macro="" textlink="">
      <xdr:nvSpPr>
        <xdr:cNvPr id="6" name="Arc 9"/>
        <xdr:cNvSpPr>
          <a:spLocks/>
        </xdr:cNvSpPr>
      </xdr:nvSpPr>
      <xdr:spPr bwMode="auto">
        <a:xfrm rot="20021417" flipV="1">
          <a:off x="651061" y="341778"/>
          <a:ext cx="952500" cy="666751"/>
        </a:xfrm>
        <a:custGeom>
          <a:avLst/>
          <a:gdLst>
            <a:gd name="T0" fmla="*/ 0 w 33934"/>
            <a:gd name="T1" fmla="*/ 52961056 h 28056"/>
            <a:gd name="T2" fmla="*/ 738875807 w 33934"/>
            <a:gd name="T3" fmla="*/ 384144520 h 28056"/>
            <a:gd name="T4" fmla="*/ 276604763 w 33934"/>
            <a:gd name="T5" fmla="*/ 295748838 h 28056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33934" h="28056" fill="none" extrusionOk="0">
              <a:moveTo>
                <a:pt x="-1" y="3867"/>
              </a:moveTo>
              <a:cubicBezTo>
                <a:pt x="3620" y="1349"/>
                <a:pt x="7924" y="-1"/>
                <a:pt x="12334" y="0"/>
              </a:cubicBezTo>
              <a:cubicBezTo>
                <a:pt x="24263" y="0"/>
                <a:pt x="33934" y="9670"/>
                <a:pt x="33934" y="21600"/>
              </a:cubicBezTo>
              <a:cubicBezTo>
                <a:pt x="33934" y="23789"/>
                <a:pt x="33601" y="25966"/>
                <a:pt x="32946" y="28055"/>
              </a:cubicBezTo>
            </a:path>
            <a:path w="33934" h="28056" stroke="0" extrusionOk="0">
              <a:moveTo>
                <a:pt x="-1" y="3867"/>
              </a:moveTo>
              <a:cubicBezTo>
                <a:pt x="3620" y="1349"/>
                <a:pt x="7924" y="-1"/>
                <a:pt x="12334" y="0"/>
              </a:cubicBezTo>
              <a:cubicBezTo>
                <a:pt x="24263" y="0"/>
                <a:pt x="33934" y="9670"/>
                <a:pt x="33934" y="21600"/>
              </a:cubicBezTo>
              <a:cubicBezTo>
                <a:pt x="33934" y="23789"/>
                <a:pt x="33601" y="25966"/>
                <a:pt x="32946" y="28055"/>
              </a:cubicBezTo>
              <a:lnTo>
                <a:pt x="12334" y="21600"/>
              </a:lnTo>
              <a:lnTo>
                <a:pt x="-1" y="3867"/>
              </a:lnTo>
              <a:close/>
            </a:path>
          </a:pathLst>
        </a:custGeom>
        <a:noFill/>
        <a:ln w="9525">
          <a:solidFill>
            <a:srgbClr val="C2D69B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70036</xdr:colOff>
      <xdr:row>1</xdr:row>
      <xdr:rowOff>49305</xdr:rowOff>
    </xdr:from>
    <xdr:to>
      <xdr:col>2</xdr:col>
      <xdr:colOff>136711</xdr:colOff>
      <xdr:row>3</xdr:row>
      <xdr:rowOff>11205</xdr:rowOff>
    </xdr:to>
    <xdr:sp macro="" textlink="">
      <xdr:nvSpPr>
        <xdr:cNvPr id="7" name="Arc 14"/>
        <xdr:cNvSpPr>
          <a:spLocks/>
        </xdr:cNvSpPr>
      </xdr:nvSpPr>
      <xdr:spPr bwMode="auto">
        <a:xfrm flipV="1">
          <a:off x="832036" y="287430"/>
          <a:ext cx="828675" cy="438150"/>
        </a:xfrm>
        <a:custGeom>
          <a:avLst/>
          <a:gdLst>
            <a:gd name="T0" fmla="*/ 0 w 21600"/>
            <a:gd name="T1" fmla="*/ 0 h 21600"/>
            <a:gd name="T2" fmla="*/ 32133747 w 21600"/>
            <a:gd name="T3" fmla="*/ 9042993 h 21600"/>
            <a:gd name="T4" fmla="*/ 0 w 21600"/>
            <a:gd name="T5" fmla="*/ 9042993 h 21600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C2D69B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vis%20Logi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iags"/>
      <sheetName val="Devis"/>
      <sheetName val="BDD Client"/>
      <sheetName val="BDD1"/>
      <sheetName val="Feuil1"/>
    </sheetNames>
    <sheetDataSet>
      <sheetData sheetId="0">
        <row r="50">
          <cell r="D50" t="str">
            <v>AADI - NeoConsulting</v>
          </cell>
        </row>
      </sheetData>
      <sheetData sheetId="1"/>
      <sheetData sheetId="2"/>
      <sheetData sheetId="3">
        <row r="4">
          <cell r="B4" t="str">
            <v>AADI - NeoConsulting</v>
          </cell>
          <cell r="D4" t="str">
            <v>Siège social : 18 rue du haut Lessis, 57420 MARIEULLES</v>
          </cell>
          <cell r="E4" t="str">
            <v>SIRET : 503 171 951 0000 18 / Code APE : 7120B / CIC 30087 33309 00020017401 63 / TVA intra FR22503171951 / SARL capital 30 100€</v>
          </cell>
          <cell r="F4"/>
          <cell r="G4"/>
          <cell r="H4"/>
          <cell r="I4"/>
          <cell r="J4"/>
          <cell r="K4"/>
          <cell r="L4"/>
          <cell r="M4"/>
        </row>
        <row r="5">
          <cell r="B5" t="str">
            <v>ABP+ - NeoConsulting</v>
          </cell>
          <cell r="D5" t="str">
            <v>Siège social : 18 rue du haut Lessis, 57420 MARIEULLES</v>
          </cell>
          <cell r="E5" t="str">
            <v>SIRET : 509 496 436 / Code APE 742 B / CIC 30087-33309-00020069701-12 / TVA intra : FR83509496436 / SARL capital 27 000€</v>
          </cell>
        </row>
        <row r="6">
          <cell r="B6" t="str">
            <v>DANKE - NeoConsulting</v>
          </cell>
          <cell r="D6" t="str">
            <v>Siège social : 4 Rue des Joncs L-1818 HOWALD</v>
          </cell>
          <cell r="E6" t="str">
            <v>CELLLULL LU 88 0141 7442 6520 0000 / TVA intra LU 25661225 / RC Lux B 170 519 / SARL capital 12 400€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l@lol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73"/>
  <sheetViews>
    <sheetView tabSelected="1" topLeftCell="A34" zoomScaleNormal="100" workbookViewId="0">
      <selection activeCell="G55" sqref="G55"/>
    </sheetView>
  </sheetViews>
  <sheetFormatPr baseColWidth="10" defaultRowHeight="15" x14ac:dyDescent="0.25"/>
  <cols>
    <col min="3" max="3" width="17" customWidth="1"/>
    <col min="4" max="4" width="26.140625" bestFit="1" customWidth="1"/>
    <col min="6" max="7" width="15.140625" bestFit="1" customWidth="1"/>
  </cols>
  <sheetData>
    <row r="1" spans="1:21" ht="15.75" thickBot="1" x14ac:dyDescent="0.3">
      <c r="A1" t="s">
        <v>226</v>
      </c>
    </row>
    <row r="2" spans="1:21" ht="15" customHeight="1" x14ac:dyDescent="0.25">
      <c r="B2" s="235" t="s">
        <v>49</v>
      </c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7"/>
    </row>
    <row r="3" spans="1:21" ht="15" customHeight="1" thickBot="1" x14ac:dyDescent="0.3">
      <c r="B3" s="238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40"/>
    </row>
    <row r="4" spans="1:21" ht="15.75" thickBot="1" x14ac:dyDescent="0.3">
      <c r="B4" s="85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  <c r="P4" s="37"/>
      <c r="Q4" s="37"/>
      <c r="R4" s="37"/>
      <c r="S4" s="37"/>
      <c r="T4" s="37"/>
      <c r="U4" s="37"/>
    </row>
    <row r="5" spans="1:21" x14ac:dyDescent="0.25">
      <c r="B5" s="10"/>
      <c r="C5" s="253" t="s">
        <v>105</v>
      </c>
      <c r="D5" s="247" t="s">
        <v>229</v>
      </c>
      <c r="E5" s="248"/>
      <c r="F5" s="71" t="s">
        <v>12</v>
      </c>
      <c r="G5" s="71" t="s">
        <v>11</v>
      </c>
      <c r="H5" s="72" t="s">
        <v>77</v>
      </c>
      <c r="I5" s="12"/>
      <c r="J5" s="12"/>
      <c r="K5" s="12"/>
      <c r="L5" s="12"/>
      <c r="M5" s="12"/>
      <c r="N5" s="13"/>
      <c r="P5" s="56"/>
      <c r="Q5" s="56"/>
      <c r="R5" s="56"/>
      <c r="S5" s="56"/>
      <c r="T5" s="56"/>
      <c r="U5" s="56"/>
    </row>
    <row r="6" spans="1:21" ht="15.75" thickBot="1" x14ac:dyDescent="0.3">
      <c r="B6" s="10"/>
      <c r="C6" s="254"/>
      <c r="D6" s="233" t="s">
        <v>227</v>
      </c>
      <c r="E6" s="234"/>
      <c r="F6" s="172" t="s">
        <v>227</v>
      </c>
      <c r="G6" s="172" t="s">
        <v>227</v>
      </c>
      <c r="H6" s="173" t="s">
        <v>227</v>
      </c>
      <c r="I6" s="12"/>
      <c r="J6" s="12"/>
      <c r="K6" s="12"/>
      <c r="L6" s="12"/>
      <c r="M6" s="12"/>
      <c r="N6" s="13"/>
      <c r="P6" s="56"/>
      <c r="Q6" s="56"/>
      <c r="R6" s="56"/>
      <c r="S6" s="56"/>
      <c r="T6" s="56"/>
      <c r="U6" s="56"/>
    </row>
    <row r="7" spans="1:21" ht="15.75" thickBot="1" x14ac:dyDescent="0.3">
      <c r="B7" s="10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3"/>
      <c r="P7" s="56"/>
      <c r="Q7" s="56"/>
      <c r="R7" s="56"/>
      <c r="S7" s="56"/>
      <c r="T7" s="56"/>
      <c r="U7" s="56"/>
    </row>
    <row r="8" spans="1:21" ht="15" customHeight="1" thickBot="1" x14ac:dyDescent="0.3">
      <c r="B8" s="10"/>
      <c r="C8" s="267" t="s">
        <v>13</v>
      </c>
      <c r="D8" s="205" t="s">
        <v>0</v>
      </c>
      <c r="E8" s="206"/>
      <c r="F8" s="206"/>
      <c r="G8" s="206"/>
      <c r="H8" s="207"/>
      <c r="I8" s="3"/>
      <c r="J8" s="210" t="s">
        <v>50</v>
      </c>
      <c r="K8" s="212"/>
      <c r="L8" s="12"/>
      <c r="M8" s="12"/>
      <c r="N8" s="13"/>
      <c r="P8" s="37"/>
      <c r="Q8" s="37"/>
      <c r="R8" s="37"/>
      <c r="S8" s="37"/>
      <c r="T8" s="35"/>
      <c r="U8" s="35"/>
    </row>
    <row r="9" spans="1:21" ht="15.75" thickBot="1" x14ac:dyDescent="0.3">
      <c r="B9" s="10"/>
      <c r="C9" s="244"/>
      <c r="D9" s="152" t="s">
        <v>7</v>
      </c>
      <c r="E9" s="153" t="s">
        <v>1</v>
      </c>
      <c r="F9" s="157"/>
      <c r="G9" s="153" t="s">
        <v>2</v>
      </c>
      <c r="H9" s="158"/>
      <c r="I9" s="3"/>
      <c r="J9" s="216"/>
      <c r="K9" s="217"/>
      <c r="L9" s="12"/>
      <c r="M9" s="12"/>
      <c r="N9" s="13"/>
    </row>
    <row r="10" spans="1:21" x14ac:dyDescent="0.25">
      <c r="B10" s="10"/>
      <c r="C10" s="244"/>
      <c r="D10" s="156" t="s">
        <v>4</v>
      </c>
      <c r="E10" s="5" t="s">
        <v>238</v>
      </c>
      <c r="F10" s="150"/>
      <c r="G10" s="5" t="s">
        <v>231</v>
      </c>
      <c r="H10" s="151"/>
      <c r="I10" s="3"/>
      <c r="J10" s="3"/>
      <c r="K10" s="3"/>
      <c r="L10" s="12"/>
      <c r="M10" s="12"/>
      <c r="N10" s="13"/>
    </row>
    <row r="11" spans="1:21" s="162" customFormat="1" ht="30.75" thickBot="1" x14ac:dyDescent="0.3">
      <c r="B11" s="10"/>
      <c r="C11" s="244"/>
      <c r="D11" s="154" t="s">
        <v>230</v>
      </c>
      <c r="E11" s="250"/>
      <c r="F11" s="251"/>
      <c r="G11" s="251"/>
      <c r="H11" s="252"/>
      <c r="I11" s="3"/>
      <c r="J11" s="3"/>
      <c r="K11" s="3"/>
      <c r="L11" s="12"/>
      <c r="M11" s="12"/>
      <c r="N11" s="13"/>
    </row>
    <row r="12" spans="1:21" x14ac:dyDescent="0.25">
      <c r="B12" s="10"/>
      <c r="C12" s="244"/>
      <c r="D12" s="249" t="s">
        <v>3</v>
      </c>
      <c r="E12" s="5" t="s">
        <v>34</v>
      </c>
      <c r="F12" s="5" t="s">
        <v>95</v>
      </c>
      <c r="G12" s="5" t="s">
        <v>96</v>
      </c>
      <c r="H12" s="5" t="s">
        <v>102</v>
      </c>
      <c r="I12" s="159" t="s">
        <v>101</v>
      </c>
      <c r="J12" s="63" t="s">
        <v>170</v>
      </c>
      <c r="K12" s="63" t="s">
        <v>171</v>
      </c>
      <c r="L12" s="49" t="s">
        <v>99</v>
      </c>
      <c r="M12" s="65" t="s">
        <v>100</v>
      </c>
      <c r="N12" s="13"/>
    </row>
    <row r="13" spans="1:21" ht="15.75" thickBot="1" x14ac:dyDescent="0.3">
      <c r="B13" s="10"/>
      <c r="C13" s="244"/>
      <c r="D13" s="249"/>
      <c r="E13" s="150"/>
      <c r="F13" s="150"/>
      <c r="G13" s="150"/>
      <c r="H13" s="150"/>
      <c r="I13" s="165"/>
      <c r="J13" s="129"/>
      <c r="K13" s="129"/>
      <c r="L13" s="124"/>
      <c r="M13" s="125"/>
      <c r="N13" s="13"/>
      <c r="P13" s="50" t="str">
        <f>IF(E13=1,E12,IF(F13=1,F12,IF(G13=1,G12,IF(H13=1,H12,IF(I13=1,I12,IF(J13=1,J12,IF(K13=1,K12,IF(L13=1,L12,IF(M13=1,M12,"")))))))))</f>
        <v/>
      </c>
    </row>
    <row r="14" spans="1:21" x14ac:dyDescent="0.25">
      <c r="B14" s="10"/>
      <c r="C14" s="244"/>
      <c r="D14" s="156" t="s">
        <v>9</v>
      </c>
      <c r="E14" s="218"/>
      <c r="F14" s="218"/>
      <c r="G14" s="218"/>
      <c r="H14" s="219"/>
      <c r="I14" s="3"/>
      <c r="J14" s="3"/>
      <c r="K14" s="3"/>
      <c r="L14" s="12"/>
      <c r="M14" s="12"/>
      <c r="N14" s="13"/>
    </row>
    <row r="15" spans="1:21" x14ac:dyDescent="0.25">
      <c r="B15" s="10"/>
      <c r="C15" s="244"/>
      <c r="D15" s="156" t="s">
        <v>64</v>
      </c>
      <c r="E15" s="218"/>
      <c r="F15" s="218"/>
      <c r="G15" s="218"/>
      <c r="H15" s="219"/>
      <c r="I15" s="3"/>
      <c r="J15" s="3"/>
      <c r="K15" s="3"/>
      <c r="L15" s="12"/>
      <c r="M15" s="12"/>
      <c r="N15" s="13"/>
    </row>
    <row r="16" spans="1:21" ht="15.75" thickBot="1" x14ac:dyDescent="0.3">
      <c r="B16" s="10"/>
      <c r="C16" s="244"/>
      <c r="D16" s="155" t="s">
        <v>45</v>
      </c>
      <c r="E16" s="241">
        <f>SUM(E24:E34)+SUM(G24:G29)+SUM(I24:I26)+SUM(K24:K25)</f>
        <v>0</v>
      </c>
      <c r="F16" s="241"/>
      <c r="G16" s="241"/>
      <c r="H16" s="242"/>
      <c r="I16" s="3"/>
      <c r="J16" s="3"/>
      <c r="K16" s="3"/>
      <c r="L16" s="12"/>
      <c r="M16" s="12"/>
      <c r="N16" s="13"/>
    </row>
    <row r="17" spans="2:22" ht="45" x14ac:dyDescent="0.25">
      <c r="B17" s="10"/>
      <c r="C17" s="244"/>
      <c r="D17" s="246" t="s">
        <v>217</v>
      </c>
      <c r="E17" s="69" t="s">
        <v>218</v>
      </c>
      <c r="F17" s="69" t="s">
        <v>113</v>
      </c>
      <c r="G17" s="69" t="s">
        <v>114</v>
      </c>
      <c r="H17" s="69" t="s">
        <v>115</v>
      </c>
      <c r="I17" s="69" t="s">
        <v>116</v>
      </c>
      <c r="J17" s="69" t="s">
        <v>117</v>
      </c>
      <c r="K17" s="69" t="s">
        <v>126</v>
      </c>
      <c r="L17" s="69" t="s">
        <v>127</v>
      </c>
      <c r="M17" s="70" t="s">
        <v>125</v>
      </c>
      <c r="N17" s="96"/>
    </row>
    <row r="18" spans="2:22" ht="15.75" thickBot="1" x14ac:dyDescent="0.3">
      <c r="B18" s="10"/>
      <c r="C18" s="244"/>
      <c r="D18" s="249"/>
      <c r="E18" s="130"/>
      <c r="F18" s="130"/>
      <c r="G18" s="130"/>
      <c r="H18" s="130"/>
      <c r="I18" s="130"/>
      <c r="J18" s="130"/>
      <c r="K18" s="130"/>
      <c r="L18" s="130"/>
      <c r="M18" s="131"/>
      <c r="N18" s="13"/>
      <c r="O18" s="12"/>
      <c r="P18" s="12"/>
      <c r="Q18" s="12"/>
      <c r="R18" s="12"/>
      <c r="S18" s="12"/>
      <c r="T18" s="12"/>
      <c r="U18" s="12"/>
      <c r="V18" s="12"/>
    </row>
    <row r="19" spans="2:22" ht="60" x14ac:dyDescent="0.25">
      <c r="B19" s="10"/>
      <c r="C19" s="244"/>
      <c r="D19" s="249"/>
      <c r="E19" s="84" t="s">
        <v>118</v>
      </c>
      <c r="F19" s="84" t="s">
        <v>119</v>
      </c>
      <c r="G19" s="84" t="s">
        <v>120</v>
      </c>
      <c r="H19" s="84" t="s">
        <v>121</v>
      </c>
      <c r="I19" s="84" t="s">
        <v>122</v>
      </c>
      <c r="J19" s="84" t="s">
        <v>123</v>
      </c>
      <c r="K19" s="84" t="s">
        <v>124</v>
      </c>
      <c r="L19" s="97" t="s">
        <v>199</v>
      </c>
      <c r="M19" s="85"/>
      <c r="N19" s="81"/>
      <c r="O19" s="12"/>
      <c r="P19" s="12"/>
      <c r="Q19" s="12"/>
      <c r="R19" s="12"/>
      <c r="S19" s="12"/>
      <c r="T19" s="12"/>
    </row>
    <row r="20" spans="2:22" ht="15.75" thickBot="1" x14ac:dyDescent="0.3">
      <c r="B20" s="10"/>
      <c r="C20" s="245"/>
      <c r="D20" s="266"/>
      <c r="E20" s="129"/>
      <c r="F20" s="129"/>
      <c r="G20" s="129"/>
      <c r="H20" s="129"/>
      <c r="I20" s="129"/>
      <c r="J20" s="129"/>
      <c r="K20" s="129"/>
      <c r="L20" s="132"/>
      <c r="M20" s="10"/>
      <c r="N20" s="13"/>
      <c r="O20" s="12"/>
      <c r="P20" s="12"/>
      <c r="Q20" s="12"/>
      <c r="R20" s="12"/>
      <c r="S20" s="12"/>
      <c r="T20" s="12"/>
    </row>
    <row r="21" spans="2:22" ht="15.75" thickBot="1" x14ac:dyDescent="0.3">
      <c r="B21" s="10"/>
      <c r="C21" s="3"/>
      <c r="D21" s="3"/>
      <c r="E21" s="3"/>
      <c r="F21" s="3"/>
      <c r="G21" s="3"/>
      <c r="H21" s="3"/>
      <c r="I21" s="3"/>
      <c r="J21" s="3"/>
      <c r="K21" s="3"/>
      <c r="L21" s="12"/>
      <c r="M21" s="12"/>
      <c r="N21" s="13"/>
    </row>
    <row r="22" spans="2:22" ht="15.75" thickBot="1" x14ac:dyDescent="0.3">
      <c r="B22" s="10"/>
      <c r="C22" s="243" t="s">
        <v>32</v>
      </c>
      <c r="D22" s="224" t="s">
        <v>20</v>
      </c>
      <c r="E22" s="224"/>
      <c r="F22" s="224"/>
      <c r="G22" s="224"/>
      <c r="H22" s="224"/>
      <c r="I22" s="224"/>
      <c r="J22" s="224"/>
      <c r="K22" s="225"/>
      <c r="L22" s="12"/>
      <c r="M22" s="12"/>
      <c r="N22" s="13"/>
    </row>
    <row r="23" spans="2:22" x14ac:dyDescent="0.25">
      <c r="B23" s="10"/>
      <c r="C23" s="244"/>
      <c r="D23" s="246" t="s">
        <v>1</v>
      </c>
      <c r="E23" s="208"/>
      <c r="F23" s="208" t="s">
        <v>2</v>
      </c>
      <c r="G23" s="208"/>
      <c r="H23" s="208" t="s">
        <v>31</v>
      </c>
      <c r="I23" s="208"/>
      <c r="J23" s="208" t="s">
        <v>33</v>
      </c>
      <c r="K23" s="209"/>
      <c r="L23" s="12"/>
      <c r="M23" s="12"/>
      <c r="N23" s="13"/>
    </row>
    <row r="24" spans="2:22" x14ac:dyDescent="0.25">
      <c r="B24" s="10"/>
      <c r="C24" s="244"/>
      <c r="D24" s="79" t="s">
        <v>22</v>
      </c>
      <c r="E24" s="126"/>
      <c r="F24" s="5" t="s">
        <v>22</v>
      </c>
      <c r="G24" s="126"/>
      <c r="H24" s="5" t="s">
        <v>138</v>
      </c>
      <c r="I24" s="126"/>
      <c r="J24" s="5" t="s">
        <v>202</v>
      </c>
      <c r="K24" s="127"/>
      <c r="L24" s="12"/>
      <c r="M24" s="12"/>
      <c r="N24" s="13"/>
      <c r="P24" t="str">
        <f>IF(E24=1,D24,"")</f>
        <v/>
      </c>
      <c r="Q24" t="str">
        <f>IF(G24=1,F24,"")</f>
        <v/>
      </c>
      <c r="R24" t="str">
        <f>IF(I24=1,H24,"")</f>
        <v/>
      </c>
      <c r="S24" t="str">
        <f>IF(K24=1,J24,"")</f>
        <v/>
      </c>
    </row>
    <row r="25" spans="2:22" x14ac:dyDescent="0.25">
      <c r="B25" s="10"/>
      <c r="C25" s="244"/>
      <c r="D25" s="79" t="s">
        <v>21</v>
      </c>
      <c r="E25" s="126"/>
      <c r="F25" s="5" t="s">
        <v>21</v>
      </c>
      <c r="G25" s="126"/>
      <c r="H25" s="5" t="s">
        <v>200</v>
      </c>
      <c r="I25" s="126"/>
      <c r="J25" s="5" t="s">
        <v>203</v>
      </c>
      <c r="K25" s="127"/>
      <c r="L25" s="12"/>
      <c r="M25" s="12"/>
      <c r="N25" s="13"/>
      <c r="P25" t="str">
        <f t="shared" ref="P25:P34" si="0">IF(E25=1,D25,"")</f>
        <v/>
      </c>
      <c r="Q25" t="str">
        <f t="shared" ref="Q25:Q29" si="1">IF(G25=1,F25,"")</f>
        <v/>
      </c>
      <c r="R25" t="str">
        <f t="shared" ref="R25:R34" si="2">IF(I25=1,H25,"")</f>
        <v/>
      </c>
      <c r="S25" t="str">
        <f>IF(K25=1,J25,"")</f>
        <v/>
      </c>
    </row>
    <row r="26" spans="2:22" x14ac:dyDescent="0.25">
      <c r="B26" s="10"/>
      <c r="C26" s="244"/>
      <c r="D26" s="79" t="s">
        <v>17</v>
      </c>
      <c r="E26" s="126"/>
      <c r="F26" s="5" t="s">
        <v>17</v>
      </c>
      <c r="G26" s="126"/>
      <c r="H26" s="5" t="s">
        <v>201</v>
      </c>
      <c r="I26" s="126"/>
      <c r="J26" s="3"/>
      <c r="K26" s="4"/>
      <c r="L26" s="12"/>
      <c r="M26" s="12"/>
      <c r="N26" s="13"/>
      <c r="P26" t="str">
        <f t="shared" si="0"/>
        <v/>
      </c>
      <c r="Q26" t="str">
        <f t="shared" si="1"/>
        <v/>
      </c>
      <c r="R26" t="str">
        <f t="shared" si="2"/>
        <v/>
      </c>
    </row>
    <row r="27" spans="2:22" x14ac:dyDescent="0.25">
      <c r="B27" s="10"/>
      <c r="C27" s="244"/>
      <c r="D27" s="79" t="s">
        <v>25</v>
      </c>
      <c r="E27" s="126"/>
      <c r="F27" s="5" t="s">
        <v>25</v>
      </c>
      <c r="G27" s="126"/>
      <c r="H27" s="3"/>
      <c r="I27" s="3"/>
      <c r="J27" s="3"/>
      <c r="K27" s="4"/>
      <c r="L27" s="12"/>
      <c r="M27" s="12"/>
      <c r="N27" s="13"/>
      <c r="P27" t="str">
        <f t="shared" si="0"/>
        <v/>
      </c>
      <c r="Q27" t="str">
        <f t="shared" si="1"/>
        <v/>
      </c>
      <c r="R27" t="str">
        <f t="shared" si="2"/>
        <v/>
      </c>
    </row>
    <row r="28" spans="2:22" ht="15.75" thickBot="1" x14ac:dyDescent="0.3">
      <c r="B28" s="10"/>
      <c r="C28" s="244"/>
      <c r="D28" s="79" t="s">
        <v>23</v>
      </c>
      <c r="E28" s="126"/>
      <c r="F28" s="5" t="s">
        <v>30</v>
      </c>
      <c r="G28" s="126"/>
      <c r="H28" s="3"/>
      <c r="I28" s="3"/>
      <c r="J28" s="3"/>
      <c r="K28" s="4"/>
      <c r="L28" s="12"/>
      <c r="M28" s="12"/>
      <c r="N28" s="13"/>
      <c r="P28" t="str">
        <f t="shared" si="0"/>
        <v/>
      </c>
      <c r="Q28" t="str">
        <f t="shared" si="1"/>
        <v/>
      </c>
      <c r="R28" t="str">
        <f t="shared" si="2"/>
        <v/>
      </c>
    </row>
    <row r="29" spans="2:22" ht="15.75" thickBot="1" x14ac:dyDescent="0.3">
      <c r="B29" s="10"/>
      <c r="C29" s="244"/>
      <c r="D29" s="79" t="s">
        <v>24</v>
      </c>
      <c r="E29" s="126"/>
      <c r="F29" s="5" t="s">
        <v>61</v>
      </c>
      <c r="G29" s="128"/>
      <c r="H29" s="223" t="s">
        <v>208</v>
      </c>
      <c r="I29" s="223"/>
      <c r="J29" s="3"/>
      <c r="K29" s="4"/>
      <c r="L29" s="12"/>
      <c r="M29" s="12"/>
      <c r="N29" s="13"/>
      <c r="P29" t="str">
        <f t="shared" si="0"/>
        <v/>
      </c>
      <c r="Q29" t="str">
        <f t="shared" si="1"/>
        <v/>
      </c>
      <c r="R29" t="str">
        <f t="shared" si="2"/>
        <v/>
      </c>
    </row>
    <row r="30" spans="2:22" x14ac:dyDescent="0.25">
      <c r="B30" s="10"/>
      <c r="C30" s="244"/>
      <c r="D30" s="79" t="s">
        <v>26</v>
      </c>
      <c r="E30" s="126"/>
      <c r="F30" s="3"/>
      <c r="G30" s="3"/>
      <c r="H30" s="104" t="s">
        <v>197</v>
      </c>
      <c r="I30" s="135"/>
      <c r="J30" s="3"/>
      <c r="K30" s="4"/>
      <c r="L30" s="12"/>
      <c r="M30" s="12"/>
      <c r="N30" s="13"/>
      <c r="P30" t="str">
        <f t="shared" si="0"/>
        <v/>
      </c>
      <c r="R30" t="str">
        <f t="shared" si="2"/>
        <v/>
      </c>
    </row>
    <row r="31" spans="2:22" ht="15.75" thickBot="1" x14ac:dyDescent="0.3">
      <c r="B31" s="10"/>
      <c r="C31" s="244"/>
      <c r="D31" s="79" t="s">
        <v>27</v>
      </c>
      <c r="E31" s="126"/>
      <c r="F31" s="3"/>
      <c r="G31" s="3"/>
      <c r="H31" s="106" t="s">
        <v>205</v>
      </c>
      <c r="I31" s="136"/>
      <c r="J31" s="3"/>
      <c r="K31" s="4"/>
      <c r="L31" s="12"/>
      <c r="M31" s="12"/>
      <c r="N31" s="13"/>
      <c r="P31" t="str">
        <f t="shared" si="0"/>
        <v/>
      </c>
      <c r="R31" t="str">
        <f t="shared" si="2"/>
        <v/>
      </c>
    </row>
    <row r="32" spans="2:22" x14ac:dyDescent="0.25">
      <c r="B32" s="10"/>
      <c r="C32" s="244"/>
      <c r="D32" s="79" t="s">
        <v>28</v>
      </c>
      <c r="E32" s="126"/>
      <c r="F32" s="3"/>
      <c r="G32" s="3"/>
      <c r="H32" s="106" t="s">
        <v>206</v>
      </c>
      <c r="I32" s="136"/>
      <c r="J32" s="222" t="s">
        <v>204</v>
      </c>
      <c r="K32" s="209"/>
      <c r="L32" s="12"/>
      <c r="M32" s="12"/>
      <c r="N32" s="13"/>
      <c r="P32" t="str">
        <f t="shared" si="0"/>
        <v/>
      </c>
      <c r="R32" t="str">
        <f t="shared" si="2"/>
        <v/>
      </c>
    </row>
    <row r="33" spans="2:19" x14ac:dyDescent="0.25">
      <c r="B33" s="10"/>
      <c r="C33" s="244"/>
      <c r="D33" s="52" t="s">
        <v>29</v>
      </c>
      <c r="E33" s="133"/>
      <c r="F33" s="3"/>
      <c r="G33" s="3"/>
      <c r="H33" s="106" t="s">
        <v>174</v>
      </c>
      <c r="I33" s="136"/>
      <c r="J33" s="30" t="s">
        <v>155</v>
      </c>
      <c r="K33" s="127"/>
      <c r="L33" s="12"/>
      <c r="M33" s="12"/>
      <c r="N33" s="13"/>
      <c r="P33" t="str">
        <f t="shared" si="0"/>
        <v/>
      </c>
      <c r="R33" t="str">
        <f t="shared" si="2"/>
        <v/>
      </c>
    </row>
    <row r="34" spans="2:19" ht="15.75" thickBot="1" x14ac:dyDescent="0.3">
      <c r="B34" s="10"/>
      <c r="C34" s="245"/>
      <c r="D34" s="80" t="s">
        <v>61</v>
      </c>
      <c r="E34" s="134"/>
      <c r="F34" s="9"/>
      <c r="G34" s="9"/>
      <c r="H34" s="107" t="s">
        <v>207</v>
      </c>
      <c r="I34" s="137"/>
      <c r="J34" s="31" t="s">
        <v>156</v>
      </c>
      <c r="K34" s="138"/>
      <c r="L34" s="12"/>
      <c r="M34" s="12"/>
      <c r="N34" s="13"/>
      <c r="P34" t="str">
        <f t="shared" si="0"/>
        <v/>
      </c>
      <c r="R34" t="str">
        <f t="shared" si="2"/>
        <v/>
      </c>
    </row>
    <row r="35" spans="2:19" ht="15.75" thickBot="1" x14ac:dyDescent="0.3">
      <c r="B35" s="10"/>
      <c r="C35" s="3"/>
      <c r="D35" s="3"/>
      <c r="E35" s="48">
        <f>E25+E28+E29+E30+E31+E32+E33</f>
        <v>0</v>
      </c>
      <c r="F35" s="3"/>
      <c r="G35" s="48">
        <f>G25+G28</f>
        <v>0</v>
      </c>
      <c r="H35" s="3"/>
      <c r="I35" s="48">
        <f>I25+I26</f>
        <v>0</v>
      </c>
      <c r="J35" s="3"/>
      <c r="K35" s="48">
        <f>K25</f>
        <v>0</v>
      </c>
      <c r="L35" s="12"/>
      <c r="M35" s="12"/>
      <c r="N35" s="13"/>
      <c r="P35" t="str">
        <f>CONCATENATE(IF(P24="","",P24 &amp; " "),IF(P25="","",P25 &amp; " "),IF(P26="","",P26 &amp; " "),IF(P27="","",P27 &amp; " "),IF(P28="","",P28 &amp; " "),IF(P29="","",P29 &amp; " "),IF(P30="","",P30 &amp; " "),IF(P31="","",P31 &amp; " "),IF(P32="","",P32 &amp; " "),IF(P33="","",P33 &amp; " "),IF(P34="","",P34 &amp; " "))</f>
        <v/>
      </c>
      <c r="Q35" t="str">
        <f>CONCATENATE(IF(Q24="","",Q24 &amp; " "),IF(Q25="","",Q25 &amp; " "),IF(Q26="","",Q26 &amp; " "),IF(Q27="","",Q27 &amp; " "),IF(Q28="","",Q28 &amp; " "),IF(Q29="","",Q29 &amp; " "),IF(Q30="","",Q30 &amp; " "),IF(Q31="","",Q31 &amp; " "),IF(Q32="","",Q32 &amp; " "),IF(Q33="","",Q33 &amp; " "),IF(Q34="","",Q34 &amp; " "))</f>
        <v/>
      </c>
      <c r="R35" t="str">
        <f>CONCATENATE(IF(R24="","",R24 &amp; " "),IF(R25="","",R25 &amp; " "),IF(R26="","",R26 &amp; " "),IF(R27="","",R27 &amp; " "),IF(R28="","",R28 &amp; " "),IF(R29="","",R29 &amp; " "),IF(R30="","",R30 &amp; " "),IF(R31="","",R31 &amp; " "),IF(R32="","",R32 &amp; " "),IF(R33="","",R33 &amp; " "),IF(R34="","",R34 &amp; " "))</f>
        <v/>
      </c>
      <c r="S35" t="str">
        <f>CONCATENATE(IF(S24="","",S24 &amp; " "),IF(S25="","",S25 &amp; " "),IF(S26="","",S26 &amp; " "),IF(S27="","",S27 &amp; " "),IF(S28="","",S28 &amp; " "),IF(S29="","",S29 &amp; " "),IF(S30="","",S30 &amp; " "),IF(S31="","",S31 &amp; " "),IF(S32="","",S32 &amp; " "),IF(S33="","",S33 &amp; " "),IF(S34="","",S34 &amp; " "))</f>
        <v/>
      </c>
    </row>
    <row r="36" spans="2:19" ht="15.75" thickBot="1" x14ac:dyDescent="0.3">
      <c r="B36" s="10"/>
      <c r="C36" s="243" t="s">
        <v>252</v>
      </c>
      <c r="D36" s="276" t="s">
        <v>8</v>
      </c>
      <c r="E36" s="224"/>
      <c r="F36" s="224"/>
      <c r="G36" s="224"/>
      <c r="H36" s="225"/>
      <c r="I36" s="3"/>
      <c r="J36" s="210" t="s">
        <v>251</v>
      </c>
      <c r="K36" s="211"/>
      <c r="L36" s="212"/>
      <c r="M36" s="112"/>
      <c r="N36" s="18"/>
    </row>
    <row r="37" spans="2:19" ht="15.75" thickBot="1" x14ac:dyDescent="0.3">
      <c r="B37" s="10"/>
      <c r="C37" s="244"/>
      <c r="D37" s="62" t="s">
        <v>10</v>
      </c>
      <c r="E37" s="220"/>
      <c r="F37" s="220"/>
      <c r="G37" s="220"/>
      <c r="H37" s="221"/>
      <c r="I37" s="3"/>
      <c r="J37" s="213" t="s">
        <v>110</v>
      </c>
      <c r="K37" s="214"/>
      <c r="L37" s="215"/>
      <c r="M37" s="112"/>
      <c r="N37" s="13"/>
    </row>
    <row r="38" spans="2:19" x14ac:dyDescent="0.25">
      <c r="B38" s="10"/>
      <c r="C38" s="244"/>
      <c r="D38" s="79" t="s">
        <v>8</v>
      </c>
      <c r="E38" s="227"/>
      <c r="F38" s="228"/>
      <c r="G38" s="227"/>
      <c r="H38" s="229"/>
      <c r="I38" s="3"/>
      <c r="J38" s="12"/>
      <c r="K38" s="12"/>
      <c r="L38" s="112"/>
      <c r="M38" s="112"/>
      <c r="N38" s="13"/>
    </row>
    <row r="39" spans="2:19" x14ac:dyDescent="0.25">
      <c r="B39" s="10"/>
      <c r="C39" s="244"/>
      <c r="D39" s="79" t="s">
        <v>11</v>
      </c>
      <c r="E39" s="218" t="s">
        <v>227</v>
      </c>
      <c r="F39" s="218"/>
      <c r="G39" s="218"/>
      <c r="H39" s="219"/>
      <c r="I39" s="108"/>
      <c r="J39" s="226"/>
      <c r="K39" s="226"/>
      <c r="L39" s="112"/>
      <c r="M39" s="112"/>
      <c r="N39" s="13"/>
    </row>
    <row r="40" spans="2:19" x14ac:dyDescent="0.25">
      <c r="B40" s="10"/>
      <c r="C40" s="244"/>
      <c r="D40" s="79" t="s">
        <v>76</v>
      </c>
      <c r="E40" s="218" t="s">
        <v>227</v>
      </c>
      <c r="F40" s="218"/>
      <c r="G40" s="218"/>
      <c r="H40" s="219"/>
      <c r="I40" s="3"/>
      <c r="J40" s="204"/>
      <c r="K40" s="204"/>
      <c r="L40" s="112"/>
      <c r="M40" s="112"/>
      <c r="N40" s="13"/>
    </row>
    <row r="41" spans="2:19" x14ac:dyDescent="0.25">
      <c r="B41" s="10"/>
      <c r="C41" s="244"/>
      <c r="D41" s="79" t="s">
        <v>77</v>
      </c>
      <c r="E41" s="218" t="s">
        <v>227</v>
      </c>
      <c r="F41" s="218"/>
      <c r="G41" s="218"/>
      <c r="H41" s="219"/>
      <c r="I41" s="3"/>
      <c r="J41" s="160"/>
      <c r="K41" s="160"/>
      <c r="L41" s="112"/>
      <c r="M41" s="112"/>
      <c r="N41" s="13"/>
    </row>
    <row r="42" spans="2:19" ht="15.75" thickBot="1" x14ac:dyDescent="0.3">
      <c r="B42" s="10"/>
      <c r="C42" s="245"/>
      <c r="D42" s="80" t="s">
        <v>12</v>
      </c>
      <c r="E42" s="269" t="s">
        <v>255</v>
      </c>
      <c r="F42" s="268"/>
      <c r="G42" s="268"/>
      <c r="H42" s="270"/>
      <c r="I42" s="3"/>
      <c r="J42" s="255"/>
      <c r="K42" s="255"/>
      <c r="L42" s="112"/>
      <c r="M42" s="112"/>
      <c r="N42" s="13"/>
    </row>
    <row r="43" spans="2:19" ht="15.75" thickBot="1" x14ac:dyDescent="0.3">
      <c r="B43" s="10"/>
      <c r="C43" s="3"/>
      <c r="D43" s="3"/>
      <c r="E43" s="3"/>
      <c r="F43" s="3"/>
      <c r="G43" s="3"/>
      <c r="H43" s="3"/>
      <c r="I43" s="3"/>
      <c r="J43" s="14"/>
      <c r="K43" s="3"/>
      <c r="L43" s="12"/>
      <c r="M43" s="12"/>
      <c r="N43" s="13"/>
    </row>
    <row r="44" spans="2:19" x14ac:dyDescent="0.25">
      <c r="B44" s="10"/>
      <c r="C44" s="273" t="s">
        <v>240</v>
      </c>
      <c r="D44" s="276" t="s">
        <v>216</v>
      </c>
      <c r="E44" s="224"/>
      <c r="F44" s="224"/>
      <c r="G44" s="224"/>
      <c r="H44" s="225"/>
      <c r="I44" s="3"/>
      <c r="J44" s="3"/>
      <c r="K44" s="3"/>
      <c r="L44" s="12"/>
      <c r="M44" s="12"/>
      <c r="N44" s="13"/>
    </row>
    <row r="45" spans="2:19" x14ac:dyDescent="0.25">
      <c r="B45" s="10"/>
      <c r="C45" s="274"/>
      <c r="D45" s="79" t="s">
        <v>8</v>
      </c>
      <c r="E45" s="230" t="str">
        <f>IF($J$37="OUI",E38,"")</f>
        <v/>
      </c>
      <c r="F45" s="231"/>
      <c r="G45" s="230" t="str">
        <f>IF($J$37="OUI",G38,"")</f>
        <v/>
      </c>
      <c r="H45" s="232"/>
      <c r="I45" s="3"/>
      <c r="J45" s="3"/>
      <c r="K45" s="3"/>
      <c r="L45" s="12"/>
      <c r="M45" s="12"/>
      <c r="N45" s="13"/>
    </row>
    <row r="46" spans="2:19" x14ac:dyDescent="0.25">
      <c r="B46" s="10"/>
      <c r="C46" s="274"/>
      <c r="D46" s="79" t="s">
        <v>11</v>
      </c>
      <c r="E46" s="258" t="str">
        <f>IF($J$37="OUI",E39,"")</f>
        <v/>
      </c>
      <c r="F46" s="258"/>
      <c r="G46" s="258"/>
      <c r="H46" s="259"/>
      <c r="I46" s="3"/>
      <c r="J46" s="3"/>
      <c r="K46" s="3"/>
      <c r="L46" s="12"/>
      <c r="M46" s="12"/>
      <c r="N46" s="13"/>
    </row>
    <row r="47" spans="2:19" x14ac:dyDescent="0.25">
      <c r="B47" s="10"/>
      <c r="C47" s="274"/>
      <c r="D47" s="79" t="s">
        <v>76</v>
      </c>
      <c r="E47" s="258" t="str">
        <f>IF($J$37="OUI",E40,"")</f>
        <v/>
      </c>
      <c r="F47" s="258"/>
      <c r="G47" s="258"/>
      <c r="H47" s="259"/>
      <c r="I47" s="3"/>
      <c r="J47" s="3"/>
      <c r="K47" s="3"/>
      <c r="L47" s="12"/>
      <c r="M47" s="12"/>
      <c r="N47" s="13"/>
    </row>
    <row r="48" spans="2:19" s="171" customFormat="1" x14ac:dyDescent="0.25">
      <c r="B48" s="10"/>
      <c r="C48" s="274"/>
      <c r="D48" s="170" t="s">
        <v>12</v>
      </c>
      <c r="E48" s="258" t="str">
        <f>IF($J$37="OUI",E41,"")</f>
        <v/>
      </c>
      <c r="F48" s="258"/>
      <c r="G48" s="258"/>
      <c r="H48" s="259"/>
      <c r="I48" s="3"/>
      <c r="J48" s="3"/>
      <c r="K48" s="3"/>
      <c r="L48" s="12"/>
      <c r="M48" s="12"/>
      <c r="N48" s="13"/>
    </row>
    <row r="49" spans="2:14" x14ac:dyDescent="0.25">
      <c r="B49" s="10"/>
      <c r="C49" s="274"/>
      <c r="D49" s="174" t="s">
        <v>237</v>
      </c>
      <c r="E49" s="175" t="s">
        <v>227</v>
      </c>
      <c r="F49" s="176" t="s">
        <v>231</v>
      </c>
      <c r="G49" s="271" t="s">
        <v>227</v>
      </c>
      <c r="H49" s="272"/>
      <c r="I49" s="3"/>
      <c r="J49" s="3"/>
      <c r="K49" s="3"/>
      <c r="L49" s="12"/>
      <c r="M49" s="12"/>
      <c r="N49" s="13"/>
    </row>
    <row r="50" spans="2:14" x14ac:dyDescent="0.25">
      <c r="B50" s="10"/>
      <c r="C50" s="274"/>
      <c r="D50" s="256" t="s">
        <v>236</v>
      </c>
      <c r="E50" s="218" t="s">
        <v>228</v>
      </c>
      <c r="F50" s="5" t="s">
        <v>232</v>
      </c>
      <c r="G50" s="218" t="s">
        <v>227</v>
      </c>
      <c r="H50" s="219"/>
      <c r="I50" s="3"/>
      <c r="J50" s="3"/>
      <c r="K50" s="3"/>
      <c r="L50" s="12"/>
      <c r="M50" s="12"/>
      <c r="N50" s="13"/>
    </row>
    <row r="51" spans="2:14" x14ac:dyDescent="0.25">
      <c r="B51" s="10"/>
      <c r="C51" s="274"/>
      <c r="D51" s="256"/>
      <c r="E51" s="218"/>
      <c r="F51" s="5" t="s">
        <v>233</v>
      </c>
      <c r="G51" s="218" t="s">
        <v>227</v>
      </c>
      <c r="H51" s="219"/>
      <c r="I51" s="3"/>
      <c r="J51" s="3"/>
      <c r="K51" s="3"/>
      <c r="L51" s="12"/>
      <c r="M51" s="12"/>
      <c r="N51" s="13"/>
    </row>
    <row r="52" spans="2:14" x14ac:dyDescent="0.25">
      <c r="B52" s="10"/>
      <c r="C52" s="274"/>
      <c r="D52" s="256"/>
      <c r="E52" s="218"/>
      <c r="F52" s="5" t="s">
        <v>234</v>
      </c>
      <c r="G52" s="218" t="s">
        <v>227</v>
      </c>
      <c r="H52" s="219"/>
      <c r="I52" s="3"/>
      <c r="J52" s="3"/>
      <c r="K52" s="3"/>
      <c r="L52" s="12"/>
      <c r="M52" s="12"/>
      <c r="N52" s="13"/>
    </row>
    <row r="53" spans="2:14" ht="15.75" thickBot="1" x14ac:dyDescent="0.3">
      <c r="B53" s="10"/>
      <c r="C53" s="275"/>
      <c r="D53" s="257"/>
      <c r="E53" s="268"/>
      <c r="F53" s="58" t="s">
        <v>235</v>
      </c>
      <c r="G53" s="268" t="s">
        <v>227</v>
      </c>
      <c r="H53" s="270"/>
      <c r="I53" s="3"/>
      <c r="J53" s="3"/>
      <c r="K53" s="3"/>
      <c r="L53" s="12"/>
      <c r="M53" s="12"/>
      <c r="N53" s="13"/>
    </row>
    <row r="54" spans="2:14" ht="15.75" thickBot="1" x14ac:dyDescent="0.3">
      <c r="B54" s="10"/>
      <c r="C54" s="32"/>
      <c r="D54" s="14"/>
      <c r="E54" s="33"/>
      <c r="F54" s="3"/>
      <c r="G54" s="3"/>
      <c r="H54" s="3"/>
      <c r="I54" s="3"/>
      <c r="J54" s="3"/>
      <c r="K54" s="3"/>
      <c r="L54" s="12"/>
      <c r="M54" s="12"/>
      <c r="N54" s="13"/>
    </row>
    <row r="55" spans="2:14" ht="30.75" thickBot="1" x14ac:dyDescent="0.3">
      <c r="B55" s="10"/>
      <c r="C55" s="66" t="s">
        <v>65</v>
      </c>
      <c r="D55" s="163"/>
      <c r="E55" s="33"/>
      <c r="F55" s="3"/>
      <c r="G55" s="3"/>
      <c r="H55" s="3"/>
      <c r="I55" s="3"/>
      <c r="J55" s="3"/>
      <c r="K55" s="3"/>
      <c r="L55" s="12"/>
      <c r="M55" s="12"/>
      <c r="N55" s="13"/>
    </row>
    <row r="56" spans="2:14" ht="15.75" thickBot="1" x14ac:dyDescent="0.3">
      <c r="B56" s="10"/>
      <c r="C56" s="59"/>
      <c r="D56" s="14"/>
      <c r="E56" s="33"/>
      <c r="F56" s="3"/>
      <c r="G56" s="3"/>
      <c r="H56" s="3"/>
      <c r="I56" s="3"/>
      <c r="J56" s="3"/>
      <c r="K56" s="3"/>
      <c r="L56" s="12"/>
      <c r="M56" s="12"/>
      <c r="N56" s="13"/>
    </row>
    <row r="57" spans="2:14" ht="15.75" thickBot="1" x14ac:dyDescent="0.3">
      <c r="B57" s="10"/>
      <c r="C57" s="3"/>
      <c r="D57" s="3"/>
      <c r="E57" s="77" t="s">
        <v>103</v>
      </c>
      <c r="F57" s="77" t="s">
        <v>98</v>
      </c>
      <c r="G57" s="3"/>
      <c r="H57" s="3"/>
      <c r="I57" s="3"/>
      <c r="J57" s="3"/>
      <c r="K57" s="3"/>
      <c r="L57" s="12"/>
      <c r="M57" s="12"/>
      <c r="N57" s="13"/>
    </row>
    <row r="58" spans="2:14" ht="15" customHeight="1" thickBot="1" x14ac:dyDescent="0.3">
      <c r="B58" s="10"/>
      <c r="C58" s="262" t="s">
        <v>46</v>
      </c>
      <c r="D58" s="103" t="s">
        <v>56</v>
      </c>
      <c r="E58" s="148">
        <f>F58/1.2</f>
        <v>0</v>
      </c>
      <c r="F58" s="168">
        <f>'Grille Base'!Z41+'Autres Grilles'!R287</f>
        <v>0</v>
      </c>
      <c r="G58" s="3"/>
      <c r="H58" s="3"/>
      <c r="I58" s="3"/>
      <c r="J58" s="3"/>
      <c r="K58" s="3"/>
      <c r="L58" s="12"/>
      <c r="M58" s="12"/>
      <c r="N58" s="13"/>
    </row>
    <row r="59" spans="2:14" s="162" customFormat="1" ht="15" customHeight="1" thickBot="1" x14ac:dyDescent="0.3">
      <c r="B59" s="10"/>
      <c r="C59" s="263"/>
      <c r="D59" s="166" t="s">
        <v>239</v>
      </c>
      <c r="E59" s="167">
        <f>E58*G59</f>
        <v>0</v>
      </c>
      <c r="F59" s="169">
        <f>F58*G59</f>
        <v>0</v>
      </c>
      <c r="G59" s="64">
        <f>E11</f>
        <v>0</v>
      </c>
      <c r="H59" s="3"/>
      <c r="I59" s="3"/>
      <c r="J59" s="3"/>
      <c r="K59" s="3"/>
      <c r="L59" s="12"/>
      <c r="M59" s="12"/>
      <c r="N59" s="13"/>
    </row>
    <row r="60" spans="2:14" ht="15" customHeight="1" thickBot="1" x14ac:dyDescent="0.3">
      <c r="B60" s="10"/>
      <c r="C60" s="264"/>
      <c r="D60" s="30" t="s">
        <v>51</v>
      </c>
      <c r="E60" s="78">
        <f>IF(E16&lt;2,0,IF('Feuille Diags'!E16=3,0.05,IF('Feuille Diags'!E16=4,0.1,IF('Feuille Diags'!E16&gt;4,0.15,0))))</f>
        <v>0</v>
      </c>
      <c r="F60" s="76">
        <f>E60</f>
        <v>0</v>
      </c>
      <c r="G60" s="64">
        <f>E16</f>
        <v>0</v>
      </c>
      <c r="H60" s="3"/>
      <c r="I60" s="3"/>
      <c r="J60" s="3"/>
      <c r="K60" s="3"/>
      <c r="L60" s="12"/>
      <c r="M60" s="12"/>
      <c r="N60" s="13"/>
    </row>
    <row r="61" spans="2:14" ht="15" customHeight="1" thickBot="1" x14ac:dyDescent="0.3">
      <c r="B61" s="10"/>
      <c r="C61" s="264"/>
      <c r="D61" s="30" t="s">
        <v>108</v>
      </c>
      <c r="E61" s="78">
        <f>IF(G61="OUI",10%,0)</f>
        <v>0</v>
      </c>
      <c r="F61" s="76">
        <f>IF(G61="OUI",10%,0)</f>
        <v>0</v>
      </c>
      <c r="G61" s="139" t="s">
        <v>110</v>
      </c>
      <c r="H61" s="3"/>
      <c r="I61" s="3"/>
      <c r="J61" s="3"/>
      <c r="K61" s="3"/>
      <c r="L61" s="12"/>
      <c r="M61" s="12"/>
      <c r="N61" s="13"/>
    </row>
    <row r="62" spans="2:14" ht="15" customHeight="1" x14ac:dyDescent="0.25">
      <c r="B62" s="10"/>
      <c r="C62" s="264"/>
      <c r="D62" s="30" t="s">
        <v>63</v>
      </c>
      <c r="E62" s="149">
        <f>E59*(1-E60)*(1-E61)</f>
        <v>0</v>
      </c>
      <c r="F62" s="29">
        <f>F59*(1-F60)*(1-F61)</f>
        <v>0</v>
      </c>
      <c r="G62" s="3"/>
      <c r="H62" s="3"/>
      <c r="I62" s="3"/>
      <c r="J62" s="3"/>
      <c r="K62" s="3"/>
      <c r="L62" s="12"/>
      <c r="M62" s="12"/>
      <c r="N62" s="13"/>
    </row>
    <row r="63" spans="2:14" ht="15" customHeight="1" x14ac:dyDescent="0.25">
      <c r="B63" s="10"/>
      <c r="C63" s="264"/>
      <c r="D63" s="30" t="s">
        <v>253</v>
      </c>
      <c r="E63" s="126">
        <f ca="1">F63/1.2</f>
        <v>0</v>
      </c>
      <c r="F63" s="127">
        <f ca="1">E63*1.2</f>
        <v>0</v>
      </c>
      <c r="G63" s="3"/>
      <c r="H63" s="3"/>
      <c r="I63" s="3"/>
      <c r="J63" s="3"/>
      <c r="K63" s="3"/>
      <c r="L63" s="12"/>
      <c r="M63" s="12"/>
      <c r="N63" s="13"/>
    </row>
    <row r="64" spans="2:14" ht="15.75" thickBot="1" x14ac:dyDescent="0.3">
      <c r="B64" s="10"/>
      <c r="C64" s="264"/>
      <c r="D64" s="30" t="s">
        <v>47</v>
      </c>
      <c r="E64" s="260">
        <f ca="1">1-F63/F62</f>
        <v>0</v>
      </c>
      <c r="F64" s="261"/>
      <c r="G64" s="3"/>
      <c r="H64" s="3"/>
      <c r="I64" s="3"/>
      <c r="J64" s="3"/>
      <c r="K64" s="3"/>
      <c r="L64" s="12"/>
      <c r="M64" s="12"/>
      <c r="N64" s="13"/>
    </row>
    <row r="65" spans="2:14" ht="15.75" thickBot="1" x14ac:dyDescent="0.3">
      <c r="B65" s="10"/>
      <c r="C65" s="264"/>
      <c r="D65" s="30" t="s">
        <v>54</v>
      </c>
      <c r="E65" s="78">
        <f>G65</f>
        <v>0</v>
      </c>
      <c r="F65" s="76">
        <f>G65</f>
        <v>0</v>
      </c>
      <c r="G65" s="140">
        <v>0</v>
      </c>
      <c r="H65" s="3"/>
      <c r="I65" s="3"/>
      <c r="J65" s="3"/>
      <c r="K65" s="3"/>
      <c r="L65" s="12"/>
      <c r="M65" s="12"/>
      <c r="N65" s="13"/>
    </row>
    <row r="66" spans="2:14" ht="15.75" thickBot="1" x14ac:dyDescent="0.3">
      <c r="B66" s="10"/>
      <c r="C66" s="264"/>
      <c r="D66" s="30" t="s">
        <v>111</v>
      </c>
      <c r="E66" s="141">
        <f>E62*(1-E65)</f>
        <v>0</v>
      </c>
      <c r="F66" s="142">
        <f>F62*(1-F65)</f>
        <v>0</v>
      </c>
      <c r="G66" s="3"/>
      <c r="H66" s="3"/>
      <c r="I66" s="3"/>
      <c r="J66" s="3"/>
      <c r="K66" s="3"/>
      <c r="L66" s="12"/>
      <c r="M66" s="12"/>
      <c r="N66" s="13"/>
    </row>
    <row r="67" spans="2:14" ht="15.75" thickBot="1" x14ac:dyDescent="0.3">
      <c r="B67" s="10"/>
      <c r="C67" s="264"/>
      <c r="D67" s="30" t="s">
        <v>204</v>
      </c>
      <c r="E67" s="141">
        <f>F67/1.2</f>
        <v>0</v>
      </c>
      <c r="F67" s="142">
        <f>'Grille Base'!Z42+'Autres Grilles'!R288</f>
        <v>0</v>
      </c>
      <c r="G67" s="64">
        <f>K33+K34</f>
        <v>0</v>
      </c>
      <c r="H67" s="3"/>
      <c r="I67" s="3"/>
      <c r="J67" s="3"/>
      <c r="K67" s="12"/>
      <c r="L67" s="12"/>
      <c r="N67" s="13"/>
    </row>
    <row r="68" spans="2:14" ht="15.75" thickBot="1" x14ac:dyDescent="0.3">
      <c r="B68" s="10"/>
      <c r="C68" s="265"/>
      <c r="D68" s="31" t="s">
        <v>48</v>
      </c>
      <c r="E68" s="143">
        <f>E66+E67</f>
        <v>0</v>
      </c>
      <c r="F68" s="144">
        <f>F66+F67</f>
        <v>0</v>
      </c>
      <c r="G68" s="3"/>
      <c r="H68" s="3"/>
      <c r="I68" s="3"/>
      <c r="J68" s="3"/>
      <c r="K68" s="3"/>
      <c r="L68" s="12"/>
      <c r="M68" s="12"/>
      <c r="N68" s="13"/>
    </row>
    <row r="69" spans="2:14" ht="15.75" thickBot="1" x14ac:dyDescent="0.3">
      <c r="B69" s="10"/>
      <c r="C69" s="32"/>
      <c r="D69" s="34"/>
      <c r="E69" s="34"/>
      <c r="F69" s="3"/>
      <c r="G69" s="3"/>
      <c r="H69" s="3"/>
      <c r="I69" s="3"/>
      <c r="J69" s="3"/>
      <c r="K69" s="3"/>
      <c r="L69" s="12"/>
      <c r="M69" s="12"/>
      <c r="N69" s="13"/>
    </row>
    <row r="70" spans="2:14" ht="15.75" thickBot="1" x14ac:dyDescent="0.3">
      <c r="B70" s="10"/>
      <c r="C70" s="66" t="s">
        <v>91</v>
      </c>
      <c r="D70" s="145" t="s">
        <v>209</v>
      </c>
      <c r="E70" s="47"/>
      <c r="F70" s="3"/>
      <c r="G70" s="3"/>
      <c r="H70" s="3"/>
      <c r="I70" s="3"/>
      <c r="J70" s="3"/>
      <c r="K70" s="3"/>
      <c r="L70" s="12"/>
      <c r="M70" s="12"/>
      <c r="N70" s="13"/>
    </row>
    <row r="71" spans="2:14" ht="15.75" thickBot="1" x14ac:dyDescent="0.3">
      <c r="B71" s="10"/>
      <c r="C71" s="66" t="s">
        <v>74</v>
      </c>
      <c r="D71" s="146"/>
      <c r="E71" s="34"/>
      <c r="F71" s="3"/>
      <c r="G71" s="3"/>
      <c r="H71" s="3"/>
      <c r="I71" s="3"/>
      <c r="J71" s="3"/>
      <c r="K71" s="3"/>
      <c r="L71" s="12"/>
      <c r="M71" s="12"/>
      <c r="N71" s="13"/>
    </row>
    <row r="72" spans="2:14" ht="15.75" thickBot="1" x14ac:dyDescent="0.3">
      <c r="B72" s="10"/>
      <c r="C72" s="66" t="s">
        <v>55</v>
      </c>
      <c r="D72" s="147" t="s">
        <v>227</v>
      </c>
      <c r="E72" s="47"/>
      <c r="F72" s="3"/>
      <c r="G72" s="3"/>
      <c r="H72" s="3"/>
      <c r="I72" s="3"/>
      <c r="J72" s="3"/>
      <c r="K72" s="3"/>
      <c r="L72" s="12"/>
      <c r="M72" s="12"/>
      <c r="N72" s="13"/>
    </row>
    <row r="73" spans="2:14" ht="15.75" thickBot="1" x14ac:dyDescent="0.3">
      <c r="B73" s="11"/>
      <c r="C73" s="1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7"/>
    </row>
  </sheetData>
  <mergeCells count="52">
    <mergeCell ref="E64:F64"/>
    <mergeCell ref="C58:C68"/>
    <mergeCell ref="D17:D20"/>
    <mergeCell ref="C8:C20"/>
    <mergeCell ref="E50:E53"/>
    <mergeCell ref="E42:H42"/>
    <mergeCell ref="G53:H53"/>
    <mergeCell ref="E40:H40"/>
    <mergeCell ref="E41:H41"/>
    <mergeCell ref="G50:H50"/>
    <mergeCell ref="G51:H51"/>
    <mergeCell ref="G49:H49"/>
    <mergeCell ref="C44:C53"/>
    <mergeCell ref="C36:C42"/>
    <mergeCell ref="D44:H44"/>
    <mergeCell ref="D36:H36"/>
    <mergeCell ref="D50:D53"/>
    <mergeCell ref="G52:H52"/>
    <mergeCell ref="E46:H46"/>
    <mergeCell ref="E47:H47"/>
    <mergeCell ref="E48:H48"/>
    <mergeCell ref="E45:F45"/>
    <mergeCell ref="G45:H45"/>
    <mergeCell ref="D6:E6"/>
    <mergeCell ref="B2:N3"/>
    <mergeCell ref="E14:H14"/>
    <mergeCell ref="E16:H16"/>
    <mergeCell ref="C22:C34"/>
    <mergeCell ref="D23:E23"/>
    <mergeCell ref="F23:G23"/>
    <mergeCell ref="D5:E5"/>
    <mergeCell ref="D12:D13"/>
    <mergeCell ref="E11:H11"/>
    <mergeCell ref="J8:K8"/>
    <mergeCell ref="H23:I23"/>
    <mergeCell ref="C5:C6"/>
    <mergeCell ref="J42:K42"/>
    <mergeCell ref="J40:K40"/>
    <mergeCell ref="D8:H8"/>
    <mergeCell ref="J23:K23"/>
    <mergeCell ref="J36:L36"/>
    <mergeCell ref="J37:L37"/>
    <mergeCell ref="J9:K9"/>
    <mergeCell ref="E39:H39"/>
    <mergeCell ref="E37:H37"/>
    <mergeCell ref="J32:K32"/>
    <mergeCell ref="H29:I29"/>
    <mergeCell ref="D22:K22"/>
    <mergeCell ref="E15:H15"/>
    <mergeCell ref="J39:K39"/>
    <mergeCell ref="E38:F38"/>
    <mergeCell ref="G38:H38"/>
  </mergeCells>
  <hyperlinks>
    <hyperlink ref="E4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94" r:id="rId5" name="Button 46">
              <controlPr defaultSize="0" print="0" autoFill="0" autoPict="0" macro="[0]!Feuil1.Macro1">
                <anchor moveWithCells="1" sizeWithCells="1">
                  <from>
                    <xdr:col>9</xdr:col>
                    <xdr:colOff>76200</xdr:colOff>
                    <xdr:row>44</xdr:row>
                    <xdr:rowOff>57150</xdr:rowOff>
                  </from>
                  <to>
                    <xdr:col>10</xdr:col>
                    <xdr:colOff>123825</xdr:colOff>
                    <xdr:row>45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>
          <x14:formula1>
            <xm:f>'BDD1'!$B$4:$B$9</xm:f>
          </x14:formula1>
          <xm:sqref>D70</xm:sqref>
        </x14:dataValidation>
        <x14:dataValidation type="list" allowBlank="1" showInputMessage="1" showErrorMessage="1">
          <x14:formula1>
            <xm:f>'BDD1'!$B$19:$B$20</xm:f>
          </x14:formula1>
          <xm:sqref>G61</xm:sqref>
        </x14:dataValidation>
        <x14:dataValidation type="list" allowBlank="1" showInputMessage="1" showErrorMessage="1">
          <x14:formula1>
            <xm:f>'BDD1'!$D$18:$D$68</xm:f>
          </x14:formula1>
          <xm:sqref>G65</xm:sqref>
        </x14:dataValidation>
        <x14:dataValidation type="list" allowBlank="1" showInputMessage="1" showErrorMessage="1">
          <x14:formula1>
            <xm:f>'BDD Client'!$B$5:$B$584</xm:f>
          </x14:formula1>
          <xm:sqref>J9:K9</xm:sqref>
        </x14:dataValidation>
        <x14:dataValidation type="list" allowBlank="1" showInputMessage="1" showErrorMessage="1">
          <x14:formula1>
            <xm:f>'BDD1'!$B$22:$B$28</xm:f>
          </x14:formula1>
          <xm:sqref>D55</xm:sqref>
        </x14:dataValidation>
        <x14:dataValidation type="list" allowBlank="1" showInputMessage="1" showErrorMessage="1">
          <x14:formula1>
            <xm:f>'BDD1'!$C$19:$C$20</xm:f>
          </x14:formula1>
          <xm:sqref>J37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112"/>
  <sheetViews>
    <sheetView view="pageBreakPreview" topLeftCell="A13" zoomScale="85" zoomScaleNormal="85" zoomScaleSheetLayoutView="85" workbookViewId="0">
      <selection activeCell="D21" sqref="D21"/>
    </sheetView>
  </sheetViews>
  <sheetFormatPr baseColWidth="10" defaultRowHeight="15" x14ac:dyDescent="0.25"/>
  <cols>
    <col min="1" max="2" width="11.42578125" style="178"/>
    <col min="3" max="3" width="28" style="178" bestFit="1" customWidth="1"/>
    <col min="4" max="4" width="20.140625" style="178" bestFit="1" customWidth="1"/>
    <col min="5" max="5" width="20.140625" style="178" customWidth="1"/>
    <col min="6" max="6" width="21" style="178" customWidth="1"/>
    <col min="7" max="8" width="12.85546875" style="178" customWidth="1"/>
    <col min="9" max="9" width="8.28515625" style="178" customWidth="1"/>
    <col min="10" max="10" width="14.7109375" style="178" bestFit="1" customWidth="1"/>
    <col min="11" max="16384" width="11.42578125" style="178"/>
  </cols>
  <sheetData>
    <row r="1" spans="1:17" ht="18.75" customHeight="1" x14ac:dyDescent="0.25">
      <c r="A1" s="161"/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</row>
    <row r="2" spans="1:17" ht="18.75" customHeight="1" x14ac:dyDescent="0.25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</row>
    <row r="3" spans="1:17" ht="18.75" customHeight="1" x14ac:dyDescent="0.25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</row>
    <row r="4" spans="1:17" ht="18.75" customHeight="1" x14ac:dyDescent="0.25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</row>
    <row r="5" spans="1:17" ht="18.75" customHeight="1" x14ac:dyDescent="0.25">
      <c r="A5" s="161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</row>
    <row r="6" spans="1:17" ht="18.75" customHeight="1" x14ac:dyDescent="0.25">
      <c r="A6" s="161"/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</row>
    <row r="7" spans="1:17" ht="18.75" customHeight="1" x14ac:dyDescent="0.25">
      <c r="A7" s="161"/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</row>
    <row r="8" spans="1:17" ht="18.75" customHeight="1" x14ac:dyDescent="0.25">
      <c r="A8" s="161"/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61"/>
    </row>
    <row r="9" spans="1:17" ht="18.75" customHeight="1" x14ac:dyDescent="0.3">
      <c r="A9" s="161"/>
      <c r="B9" s="161"/>
      <c r="C9" s="161"/>
      <c r="D9" s="161"/>
      <c r="E9" s="161"/>
      <c r="F9" s="161"/>
      <c r="G9" s="161"/>
      <c r="I9" s="180">
        <f>'Feuille Diags'!E37</f>
        <v>0</v>
      </c>
      <c r="J9" s="161"/>
      <c r="K9" s="161"/>
      <c r="L9" s="161"/>
      <c r="M9" s="161"/>
      <c r="N9" s="161"/>
      <c r="O9" s="161"/>
      <c r="P9" s="161"/>
      <c r="Q9" s="161"/>
    </row>
    <row r="10" spans="1:17" ht="18.75" customHeight="1" x14ac:dyDescent="0.3">
      <c r="A10" s="161"/>
      <c r="B10" s="161"/>
      <c r="C10" s="161"/>
      <c r="D10" s="161"/>
      <c r="E10" s="161"/>
      <c r="F10" s="161"/>
      <c r="G10" s="161"/>
      <c r="I10" s="180">
        <f>'Feuille Diags'!E38</f>
        <v>0</v>
      </c>
      <c r="J10" s="161"/>
      <c r="K10" s="161"/>
      <c r="L10" s="161"/>
      <c r="M10" s="161"/>
      <c r="N10" s="161"/>
      <c r="O10" s="161"/>
      <c r="P10" s="161"/>
      <c r="Q10" s="161"/>
    </row>
    <row r="11" spans="1:17" ht="18.75" customHeight="1" x14ac:dyDescent="0.3">
      <c r="A11" s="161"/>
      <c r="B11" s="161"/>
      <c r="C11" s="179"/>
      <c r="D11" s="179"/>
      <c r="E11" s="179"/>
      <c r="F11" s="179"/>
      <c r="G11" s="179"/>
      <c r="I11" s="180">
        <f>'Feuille Diags'!G38</f>
        <v>0</v>
      </c>
      <c r="J11" s="179"/>
      <c r="K11" s="179"/>
      <c r="L11" s="161"/>
      <c r="M11" s="161"/>
      <c r="N11" s="161"/>
      <c r="O11" s="161"/>
      <c r="P11" s="161"/>
      <c r="Q11" s="161"/>
    </row>
    <row r="12" spans="1:17" ht="18.75" customHeight="1" x14ac:dyDescent="0.3">
      <c r="A12" s="161"/>
      <c r="B12" s="161"/>
      <c r="C12" s="181" t="s">
        <v>106</v>
      </c>
      <c r="D12" s="293" t="str">
        <f>'Feuille Diags'!D6:E6</f>
        <v xml:space="preserve"> </v>
      </c>
      <c r="E12" s="294"/>
      <c r="F12" s="182"/>
      <c r="G12" s="179"/>
      <c r="H12" s="179"/>
      <c r="I12" s="179"/>
      <c r="J12" s="179"/>
      <c r="K12" s="179"/>
      <c r="L12" s="161"/>
      <c r="M12" s="161"/>
      <c r="N12" s="161"/>
      <c r="O12" s="161"/>
      <c r="P12" s="161"/>
      <c r="Q12" s="161"/>
    </row>
    <row r="13" spans="1:17" ht="18.75" customHeight="1" x14ac:dyDescent="0.3">
      <c r="A13" s="161"/>
      <c r="B13" s="161"/>
      <c r="C13" s="183" t="s">
        <v>107</v>
      </c>
      <c r="D13" s="295" t="str">
        <f>'Feuille Diags'!G6</f>
        <v xml:space="preserve"> </v>
      </c>
      <c r="E13" s="296"/>
      <c r="F13" s="182"/>
      <c r="G13" s="179"/>
      <c r="H13" s="179"/>
      <c r="I13" s="179"/>
      <c r="J13" s="179"/>
      <c r="K13" s="179"/>
      <c r="L13" s="161"/>
      <c r="M13" s="161"/>
      <c r="N13" s="161"/>
      <c r="O13" s="161"/>
      <c r="P13" s="161"/>
      <c r="Q13" s="161"/>
    </row>
    <row r="14" spans="1:17" ht="18.75" customHeight="1" x14ac:dyDescent="0.3">
      <c r="A14" s="161"/>
      <c r="B14" s="161"/>
      <c r="C14" s="183" t="s">
        <v>70</v>
      </c>
      <c r="D14" s="295" t="str">
        <f>'Feuille Diags'!H6</f>
        <v xml:space="preserve"> </v>
      </c>
      <c r="E14" s="296"/>
      <c r="F14" s="182"/>
      <c r="G14" s="179"/>
      <c r="H14" s="184" t="s">
        <v>66</v>
      </c>
      <c r="I14" s="297">
        <f>'Feuille Diags'!D71</f>
        <v>0</v>
      </c>
      <c r="J14" s="297"/>
      <c r="K14" s="179"/>
      <c r="L14" s="161"/>
      <c r="M14" s="161"/>
      <c r="N14" s="161"/>
      <c r="O14" s="161"/>
      <c r="P14" s="161"/>
      <c r="Q14" s="161"/>
    </row>
    <row r="15" spans="1:17" ht="18.75" customHeight="1" x14ac:dyDescent="0.3">
      <c r="A15" s="161"/>
      <c r="B15" s="161"/>
      <c r="C15" s="185" t="s">
        <v>71</v>
      </c>
      <c r="D15" s="298" t="str">
        <f>'Feuille Diags'!F6</f>
        <v xml:space="preserve"> </v>
      </c>
      <c r="E15" s="299"/>
      <c r="F15" s="182"/>
      <c r="G15" s="179"/>
      <c r="H15" s="179"/>
      <c r="I15" s="179"/>
      <c r="J15" s="179"/>
      <c r="K15" s="179"/>
      <c r="L15" s="161"/>
      <c r="M15" s="161"/>
      <c r="N15" s="161"/>
      <c r="O15" s="161"/>
      <c r="P15" s="161"/>
      <c r="Q15" s="161"/>
    </row>
    <row r="16" spans="1:17" ht="18.75" customHeight="1" x14ac:dyDescent="0.3">
      <c r="A16" s="161"/>
      <c r="B16" s="161"/>
      <c r="C16" s="182"/>
      <c r="D16" s="182"/>
      <c r="E16" s="182"/>
      <c r="F16" s="182"/>
      <c r="G16" s="179"/>
      <c r="H16" s="179"/>
      <c r="I16" s="179"/>
      <c r="J16" s="179"/>
      <c r="K16" s="179"/>
      <c r="L16" s="161"/>
      <c r="M16" s="161"/>
      <c r="N16" s="161"/>
      <c r="O16" s="161"/>
      <c r="P16" s="161"/>
      <c r="Q16" s="161"/>
    </row>
    <row r="17" spans="1:17" ht="18.75" customHeight="1" thickBot="1" x14ac:dyDescent="0.35">
      <c r="A17" s="161"/>
      <c r="B17" s="161"/>
      <c r="C17" s="182"/>
      <c r="D17" s="182"/>
      <c r="E17" s="182"/>
      <c r="F17" s="182"/>
      <c r="G17" s="179"/>
      <c r="H17" s="179"/>
      <c r="I17" s="179"/>
      <c r="J17" s="179"/>
      <c r="K17" s="179"/>
      <c r="L17" s="161"/>
      <c r="M17" s="161"/>
      <c r="N17" s="161"/>
      <c r="O17" s="161"/>
      <c r="P17" s="161"/>
      <c r="Q17" s="161"/>
    </row>
    <row r="18" spans="1:17" ht="18.75" customHeight="1" x14ac:dyDescent="0.3">
      <c r="A18" s="161"/>
      <c r="B18" s="161"/>
      <c r="C18" s="290" t="s">
        <v>67</v>
      </c>
      <c r="D18" s="291"/>
      <c r="E18" s="291"/>
      <c r="F18" s="291"/>
      <c r="G18" s="291"/>
      <c r="H18" s="291"/>
      <c r="I18" s="291"/>
      <c r="J18" s="291"/>
      <c r="K18" s="292"/>
      <c r="L18" s="161"/>
      <c r="M18" s="161"/>
      <c r="N18" s="161"/>
      <c r="O18" s="161"/>
      <c r="P18" s="161"/>
      <c r="Q18" s="161"/>
    </row>
    <row r="19" spans="1:17" ht="18.75" customHeight="1" thickBot="1" x14ac:dyDescent="0.35">
      <c r="A19" s="161"/>
      <c r="B19" s="161"/>
      <c r="C19" s="286" t="str">
        <f>'Feuille Diags'!D72</f>
        <v xml:space="preserve"> </v>
      </c>
      <c r="D19" s="287"/>
      <c r="E19" s="287"/>
      <c r="F19" s="287"/>
      <c r="G19" s="287"/>
      <c r="H19" s="287"/>
      <c r="I19" s="287"/>
      <c r="J19" s="287"/>
      <c r="K19" s="288"/>
      <c r="L19" s="161"/>
      <c r="M19" s="161"/>
      <c r="N19" s="161"/>
      <c r="O19" s="161"/>
      <c r="P19" s="161"/>
      <c r="Q19" s="161"/>
    </row>
    <row r="20" spans="1:17" ht="18.75" customHeight="1" x14ac:dyDescent="0.3">
      <c r="A20" s="161"/>
      <c r="B20" s="161"/>
      <c r="C20" s="179"/>
      <c r="D20" s="179"/>
      <c r="E20" s="179"/>
      <c r="F20" s="179"/>
      <c r="G20" s="179"/>
      <c r="H20" s="179"/>
      <c r="I20" s="179"/>
      <c r="J20" s="179"/>
      <c r="K20" s="179"/>
      <c r="L20" s="161"/>
      <c r="M20" s="161"/>
      <c r="N20" s="161"/>
      <c r="O20" s="161"/>
      <c r="P20" s="161"/>
      <c r="Q20" s="161"/>
    </row>
    <row r="21" spans="1:17" ht="18.75" customHeight="1" x14ac:dyDescent="0.3">
      <c r="A21" s="161"/>
      <c r="B21" s="161"/>
      <c r="C21" s="179"/>
      <c r="D21" s="179"/>
      <c r="E21" s="179"/>
      <c r="F21" s="179"/>
      <c r="G21" s="179"/>
      <c r="H21" s="179"/>
      <c r="I21" s="179"/>
      <c r="J21" s="179"/>
      <c r="K21" s="179"/>
      <c r="L21" s="161"/>
      <c r="M21" s="161"/>
      <c r="N21" s="161"/>
      <c r="O21" s="161"/>
      <c r="P21" s="161"/>
      <c r="Q21" s="161"/>
    </row>
    <row r="22" spans="1:17" ht="18.75" customHeight="1" x14ac:dyDescent="0.3">
      <c r="A22" s="161"/>
      <c r="B22" s="161"/>
      <c r="C22" s="188" t="s">
        <v>75</v>
      </c>
      <c r="D22" s="189">
        <f>'Feuille Diags'!E37</f>
        <v>0</v>
      </c>
      <c r="E22" s="190"/>
      <c r="F22" s="179"/>
      <c r="G22" s="179"/>
      <c r="H22" s="179"/>
      <c r="I22" s="179"/>
      <c r="J22" s="179"/>
      <c r="K22" s="179"/>
      <c r="L22" s="161"/>
      <c r="M22" s="161"/>
      <c r="N22" s="161"/>
      <c r="O22" s="161"/>
      <c r="P22" s="161"/>
      <c r="Q22" s="161"/>
    </row>
    <row r="23" spans="1:17" ht="18.75" customHeight="1" x14ac:dyDescent="0.3">
      <c r="A23" s="161"/>
      <c r="B23" s="161"/>
      <c r="C23" s="179" t="s">
        <v>68</v>
      </c>
      <c r="D23" s="180" t="str">
        <f>'Feuille Diags'!E39</f>
        <v xml:space="preserve"> </v>
      </c>
      <c r="E23" s="179"/>
      <c r="F23" s="179"/>
      <c r="H23" s="179" t="s">
        <v>70</v>
      </c>
      <c r="I23" s="289" t="str">
        <f>'Feuille Diags'!E41</f>
        <v xml:space="preserve"> </v>
      </c>
      <c r="J23" s="289"/>
      <c r="K23" s="179"/>
      <c r="L23" s="161"/>
      <c r="M23" s="161"/>
      <c r="N23" s="161"/>
      <c r="O23" s="161"/>
      <c r="P23" s="161"/>
      <c r="Q23" s="161"/>
    </row>
    <row r="24" spans="1:17" ht="18.75" customHeight="1" x14ac:dyDescent="0.3">
      <c r="A24" s="161"/>
      <c r="B24" s="161"/>
      <c r="C24" s="179" t="s">
        <v>69</v>
      </c>
      <c r="D24" s="180" t="str">
        <f>'Feuille Diags'!E40</f>
        <v xml:space="preserve"> </v>
      </c>
      <c r="E24" s="179"/>
      <c r="F24" s="190"/>
      <c r="H24" s="179" t="s">
        <v>71</v>
      </c>
      <c r="I24" s="289" t="str">
        <f>'Feuille Diags'!E42</f>
        <v>lol@lol</v>
      </c>
      <c r="J24" s="289"/>
      <c r="K24" s="179"/>
      <c r="L24" s="161"/>
      <c r="M24" s="161"/>
      <c r="N24" s="161"/>
      <c r="O24" s="161"/>
      <c r="P24" s="161"/>
      <c r="Q24" s="161"/>
    </row>
    <row r="25" spans="1:17" ht="18.75" customHeight="1" x14ac:dyDescent="0.3">
      <c r="A25" s="161"/>
      <c r="B25" s="161"/>
      <c r="C25" s="179"/>
      <c r="D25" s="179"/>
      <c r="E25" s="179"/>
      <c r="F25" s="179"/>
      <c r="G25" s="179"/>
      <c r="H25" s="179"/>
      <c r="I25" s="180"/>
      <c r="J25" s="180"/>
      <c r="K25" s="179"/>
      <c r="L25" s="161"/>
      <c r="M25" s="161"/>
      <c r="N25" s="161"/>
      <c r="O25" s="161"/>
      <c r="P25" s="161"/>
      <c r="Q25" s="161"/>
    </row>
    <row r="26" spans="1:17" ht="18.75" customHeight="1" x14ac:dyDescent="0.3">
      <c r="A26" s="161"/>
      <c r="B26" s="161"/>
      <c r="C26" s="179"/>
      <c r="D26" s="179"/>
      <c r="E26" s="179"/>
      <c r="F26" s="179"/>
      <c r="G26" s="186"/>
      <c r="H26" s="186"/>
      <c r="I26" s="180"/>
      <c r="J26" s="180"/>
      <c r="K26" s="179"/>
      <c r="L26" s="161"/>
      <c r="M26" s="161"/>
      <c r="N26" s="161"/>
      <c r="O26" s="161"/>
      <c r="P26" s="161"/>
      <c r="Q26" s="161"/>
    </row>
    <row r="27" spans="1:17" ht="18.75" customHeight="1" x14ac:dyDescent="0.3">
      <c r="A27" s="161"/>
      <c r="B27" s="161"/>
      <c r="C27" s="188" t="s">
        <v>243</v>
      </c>
      <c r="D27" s="189" t="str">
        <f>CONCATENATE('Feuille Diags'!E45 &amp; " ",'Feuille Diags'!G45)</f>
        <v xml:space="preserve"> </v>
      </c>
      <c r="E27" s="179"/>
      <c r="F27" s="179"/>
      <c r="H27" s="179" t="s">
        <v>68</v>
      </c>
      <c r="I27" s="289" t="str">
        <f>'Feuille Diags'!E46</f>
        <v/>
      </c>
      <c r="J27" s="289"/>
      <c r="K27" s="179"/>
      <c r="L27" s="161"/>
      <c r="M27" s="161"/>
      <c r="N27" s="161"/>
      <c r="O27" s="161"/>
      <c r="P27" s="161"/>
      <c r="Q27" s="161"/>
    </row>
    <row r="28" spans="1:17" ht="18.75" customHeight="1" x14ac:dyDescent="0.3">
      <c r="A28" s="161"/>
      <c r="B28" s="161"/>
      <c r="C28" s="179" t="s">
        <v>79</v>
      </c>
      <c r="D28" s="180" t="str">
        <f>'Feuille Diags'!E49</f>
        <v xml:space="preserve"> </v>
      </c>
      <c r="E28" s="179" t="s">
        <v>80</v>
      </c>
      <c r="F28" s="180" t="str">
        <f>'Feuille Diags'!G50</f>
        <v xml:space="preserve"> </v>
      </c>
      <c r="H28" s="179" t="s">
        <v>69</v>
      </c>
      <c r="I28" s="289" t="str">
        <f>'Feuille Diags'!E48</f>
        <v/>
      </c>
      <c r="J28" s="289"/>
      <c r="K28" s="179"/>
      <c r="L28" s="161"/>
      <c r="M28" s="161"/>
      <c r="N28" s="161"/>
      <c r="O28" s="161"/>
      <c r="P28" s="161"/>
      <c r="Q28" s="161"/>
    </row>
    <row r="29" spans="1:17" ht="18.75" customHeight="1" x14ac:dyDescent="0.3">
      <c r="A29" s="161"/>
      <c r="B29" s="161"/>
      <c r="C29" s="179" t="s">
        <v>254</v>
      </c>
      <c r="D29" s="180" t="str">
        <f>'Feuille Diags'!G49</f>
        <v xml:space="preserve"> </v>
      </c>
      <c r="E29" s="179" t="s">
        <v>81</v>
      </c>
      <c r="F29" s="180" t="str">
        <f>'Feuille Diags'!G51</f>
        <v xml:space="preserve"> </v>
      </c>
      <c r="G29" s="179"/>
      <c r="H29" s="179"/>
      <c r="I29" s="179"/>
      <c r="J29" s="179"/>
      <c r="K29" s="179"/>
      <c r="L29" s="161"/>
      <c r="M29" s="161"/>
      <c r="N29" s="161"/>
      <c r="O29" s="161"/>
      <c r="P29" s="161"/>
      <c r="Q29" s="161"/>
    </row>
    <row r="30" spans="1:17" ht="18.75" customHeight="1" x14ac:dyDescent="0.3">
      <c r="A30" s="161"/>
      <c r="B30" s="161"/>
      <c r="C30" s="179" t="s">
        <v>78</v>
      </c>
      <c r="D30" s="180" t="str">
        <f>'Feuille Diags'!E50</f>
        <v xml:space="preserve">  </v>
      </c>
      <c r="E30" s="179" t="s">
        <v>82</v>
      </c>
      <c r="F30" s="180" t="str">
        <f>'Feuille Diags'!G52</f>
        <v xml:space="preserve"> </v>
      </c>
      <c r="G30" s="179"/>
      <c r="H30" s="179"/>
      <c r="I30" s="179"/>
      <c r="J30" s="179"/>
      <c r="K30" s="179"/>
      <c r="L30" s="161"/>
      <c r="M30" s="161"/>
      <c r="N30" s="161"/>
      <c r="O30" s="161"/>
      <c r="P30" s="161"/>
      <c r="Q30" s="161"/>
    </row>
    <row r="31" spans="1:17" ht="18.75" customHeight="1" x14ac:dyDescent="0.3">
      <c r="A31" s="161"/>
      <c r="B31" s="161"/>
      <c r="C31" s="179"/>
      <c r="D31" s="179"/>
      <c r="E31" s="179" t="s">
        <v>83</v>
      </c>
      <c r="F31" s="180" t="str">
        <f>'Feuille Diags'!G53</f>
        <v xml:space="preserve"> </v>
      </c>
      <c r="G31" s="179"/>
      <c r="H31" s="179"/>
      <c r="I31" s="179"/>
      <c r="J31" s="179"/>
      <c r="K31" s="179"/>
      <c r="L31" s="161"/>
      <c r="M31" s="161"/>
      <c r="N31" s="161"/>
      <c r="O31" s="161"/>
      <c r="P31" s="161"/>
      <c r="Q31" s="161"/>
    </row>
    <row r="32" spans="1:17" ht="18.75" customHeight="1" x14ac:dyDescent="0.3">
      <c r="A32" s="161"/>
      <c r="B32" s="161"/>
      <c r="C32" s="179"/>
      <c r="D32" s="179"/>
      <c r="E32" s="179"/>
      <c r="F32" s="179"/>
      <c r="G32" s="179"/>
      <c r="H32" s="179"/>
      <c r="I32" s="179"/>
      <c r="J32" s="179"/>
      <c r="K32" s="179"/>
      <c r="L32" s="161"/>
      <c r="M32" s="161"/>
      <c r="N32" s="161"/>
      <c r="O32" s="161"/>
      <c r="P32" s="161"/>
      <c r="Q32" s="161"/>
    </row>
    <row r="33" spans="1:18" ht="18.75" customHeight="1" x14ac:dyDescent="0.3">
      <c r="A33" s="161"/>
      <c r="B33" s="161"/>
      <c r="C33" s="193" t="s">
        <v>0</v>
      </c>
      <c r="D33" s="194" t="s">
        <v>241</v>
      </c>
      <c r="E33" s="281" t="s">
        <v>242</v>
      </c>
      <c r="F33" s="281"/>
      <c r="G33" s="281"/>
      <c r="H33" s="281" t="s">
        <v>72</v>
      </c>
      <c r="I33" s="281"/>
      <c r="J33" s="281" t="s">
        <v>73</v>
      </c>
      <c r="K33" s="281"/>
      <c r="L33" s="179"/>
      <c r="M33" s="161"/>
      <c r="N33" s="161"/>
      <c r="O33" s="161"/>
      <c r="P33" s="161"/>
      <c r="Q33" s="161"/>
      <c r="R33" s="161"/>
    </row>
    <row r="34" spans="1:18" ht="18.75" customHeight="1" x14ac:dyDescent="0.3">
      <c r="A34" s="161"/>
      <c r="B34" s="161"/>
      <c r="C34" s="191" t="str">
        <f>IF('Feuille Diags'!F10=1,"Maison",IF('Feuille Diags'!H10=1,"Appartement",""))</f>
        <v/>
      </c>
      <c r="D34" s="282">
        <f>'Feuille Diags'!E11</f>
        <v>0</v>
      </c>
      <c r="E34" s="283" t="str">
        <f>CONCATENATE(IF('Feuille Diags'!P35="","",'Feuille Diags'!P35 &amp; " "),IF('Feuille Diags'!Q35="","",'Feuille Diags'!Q35 &amp; " "),IF('Feuille Diags'!R35="","",'Feuille Diags'!R35 &amp; " "))</f>
        <v/>
      </c>
      <c r="F34" s="283"/>
      <c r="G34" s="283"/>
      <c r="H34" s="285">
        <f>'Feuille Diags'!E59</f>
        <v>0</v>
      </c>
      <c r="I34" s="285"/>
      <c r="J34" s="278">
        <f>'Feuille Diags'!F59</f>
        <v>0</v>
      </c>
      <c r="K34" s="278"/>
      <c r="L34" s="179"/>
      <c r="M34" s="161"/>
      <c r="N34" s="161"/>
      <c r="O34" s="161"/>
      <c r="P34" s="161"/>
      <c r="Q34" s="161"/>
      <c r="R34" s="161"/>
    </row>
    <row r="35" spans="1:18" ht="18.75" customHeight="1" x14ac:dyDescent="0.3">
      <c r="A35" s="161"/>
      <c r="B35" s="161"/>
      <c r="C35" s="191" t="str">
        <f>'Feuille Diags'!P13</f>
        <v/>
      </c>
      <c r="D35" s="282"/>
      <c r="E35" s="283"/>
      <c r="F35" s="283"/>
      <c r="G35" s="283"/>
      <c r="H35" s="285"/>
      <c r="I35" s="285"/>
      <c r="J35" s="278"/>
      <c r="K35" s="278"/>
      <c r="L35" s="179"/>
      <c r="M35" s="161"/>
      <c r="N35" s="161"/>
      <c r="O35" s="161"/>
      <c r="P35" s="161"/>
      <c r="Q35" s="161"/>
      <c r="R35" s="161"/>
    </row>
    <row r="36" spans="1:18" ht="18.75" customHeight="1" x14ac:dyDescent="0.3">
      <c r="A36" s="161"/>
      <c r="B36" s="161"/>
      <c r="C36" s="195"/>
      <c r="D36" s="197"/>
      <c r="E36" s="197"/>
      <c r="F36" s="197"/>
      <c r="G36" s="284" t="s">
        <v>244</v>
      </c>
      <c r="H36" s="284"/>
      <c r="I36" s="284"/>
      <c r="J36" s="278">
        <f>H34</f>
        <v>0</v>
      </c>
      <c r="K36" s="278"/>
      <c r="L36" s="179"/>
      <c r="M36" s="161"/>
      <c r="N36" s="161"/>
      <c r="O36" s="161"/>
      <c r="P36" s="161"/>
      <c r="Q36" s="161"/>
      <c r="R36" s="161"/>
    </row>
    <row r="37" spans="1:18" ht="18.75" customHeight="1" x14ac:dyDescent="0.3">
      <c r="A37" s="161"/>
      <c r="B37" s="161"/>
      <c r="C37" s="195"/>
      <c r="D37" s="197"/>
      <c r="E37" s="197"/>
      <c r="F37" s="197"/>
      <c r="G37" s="284" t="s">
        <v>245</v>
      </c>
      <c r="H37" s="284"/>
      <c r="I37" s="284"/>
      <c r="J37" s="278">
        <f>J36*0.2</f>
        <v>0</v>
      </c>
      <c r="K37" s="278"/>
      <c r="L37" s="179"/>
      <c r="M37" s="161"/>
      <c r="N37" s="161"/>
      <c r="O37" s="161"/>
      <c r="P37" s="161"/>
      <c r="Q37" s="161"/>
      <c r="R37" s="161"/>
    </row>
    <row r="38" spans="1:18" ht="18.75" customHeight="1" x14ac:dyDescent="0.3">
      <c r="A38" s="161"/>
      <c r="B38" s="161"/>
      <c r="C38" s="195"/>
      <c r="D38" s="197"/>
      <c r="E38" s="197"/>
      <c r="F38" s="197"/>
      <c r="G38" s="284" t="s">
        <v>246</v>
      </c>
      <c r="H38" s="284"/>
      <c r="I38" s="284"/>
      <c r="J38" s="278">
        <f>J36+J37</f>
        <v>0</v>
      </c>
      <c r="K38" s="278"/>
      <c r="L38" s="179"/>
      <c r="M38" s="161"/>
      <c r="N38" s="161"/>
      <c r="O38" s="161"/>
      <c r="P38" s="161"/>
      <c r="Q38" s="161"/>
      <c r="R38" s="161"/>
    </row>
    <row r="39" spans="1:18" ht="18.75" customHeight="1" x14ac:dyDescent="0.3">
      <c r="A39" s="161"/>
      <c r="B39" s="161"/>
      <c r="C39" s="195"/>
      <c r="D39" s="197"/>
      <c r="E39" s="197"/>
      <c r="F39" s="197"/>
      <c r="G39" s="284" t="s">
        <v>51</v>
      </c>
      <c r="H39" s="284"/>
      <c r="I39" s="284"/>
      <c r="J39" s="279">
        <f>'Feuille Diags'!F60</f>
        <v>0</v>
      </c>
      <c r="K39" s="279"/>
      <c r="L39" s="179"/>
      <c r="M39" s="161"/>
      <c r="N39" s="161"/>
      <c r="O39" s="161"/>
      <c r="P39" s="161"/>
      <c r="Q39" s="161"/>
      <c r="R39" s="161"/>
    </row>
    <row r="40" spans="1:18" ht="18.75" customHeight="1" x14ac:dyDescent="0.3">
      <c r="A40" s="161"/>
      <c r="B40" s="161"/>
      <c r="C40" s="195"/>
      <c r="D40" s="197"/>
      <c r="E40" s="197"/>
      <c r="F40" s="197"/>
      <c r="G40" s="284" t="s">
        <v>247</v>
      </c>
      <c r="H40" s="284"/>
      <c r="I40" s="284"/>
      <c r="J40" s="279">
        <f>'Feuille Diags'!F61</f>
        <v>0</v>
      </c>
      <c r="K40" s="279"/>
      <c r="L40" s="179"/>
      <c r="M40" s="161"/>
      <c r="N40" s="161"/>
      <c r="O40" s="161"/>
      <c r="P40" s="161"/>
      <c r="Q40" s="161"/>
      <c r="R40" s="161"/>
    </row>
    <row r="41" spans="1:18" ht="18.75" customHeight="1" x14ac:dyDescent="0.3">
      <c r="A41" s="161"/>
      <c r="B41" s="161"/>
      <c r="C41" s="195"/>
      <c r="D41" s="197"/>
      <c r="E41" s="197"/>
      <c r="F41" s="197"/>
      <c r="G41" s="284" t="s">
        <v>47</v>
      </c>
      <c r="H41" s="284"/>
      <c r="I41" s="284"/>
      <c r="J41" s="279">
        <f>'Feuille Diags'!E65</f>
        <v>0</v>
      </c>
      <c r="K41" s="279"/>
      <c r="L41" s="179"/>
      <c r="M41" s="161"/>
      <c r="N41" s="161"/>
      <c r="O41" s="161"/>
      <c r="P41" s="161"/>
      <c r="Q41" s="161"/>
      <c r="R41" s="161"/>
    </row>
    <row r="42" spans="1:18" ht="18.75" customHeight="1" x14ac:dyDescent="0.3">
      <c r="A42" s="161"/>
      <c r="B42" s="161"/>
      <c r="C42" s="182"/>
      <c r="D42" s="182"/>
      <c r="E42" s="182"/>
      <c r="F42" s="198"/>
      <c r="G42" s="277" t="s">
        <v>248</v>
      </c>
      <c r="H42" s="277"/>
      <c r="I42" s="277"/>
      <c r="J42" s="278">
        <f>J38*(1-J40)*(1-J39)*(1-J41)</f>
        <v>0</v>
      </c>
      <c r="K42" s="278"/>
      <c r="L42" s="161"/>
      <c r="M42" s="161"/>
      <c r="N42" s="161"/>
      <c r="O42" s="161"/>
      <c r="P42" s="161"/>
      <c r="Q42" s="161"/>
    </row>
    <row r="43" spans="1:18" ht="18.75" customHeight="1" x14ac:dyDescent="0.3">
      <c r="A43" s="161"/>
      <c r="B43" s="161"/>
      <c r="C43" s="182"/>
      <c r="D43" s="182"/>
      <c r="E43" s="182"/>
      <c r="F43" s="198"/>
      <c r="G43" s="198"/>
      <c r="H43" s="198"/>
      <c r="I43" s="199"/>
      <c r="J43" s="199"/>
      <c r="K43" s="179"/>
      <c r="L43" s="161"/>
      <c r="M43" s="161"/>
      <c r="N43" s="161"/>
      <c r="O43" s="161"/>
      <c r="P43" s="161"/>
      <c r="Q43" s="161"/>
    </row>
    <row r="44" spans="1:18" ht="18.75" customHeight="1" x14ac:dyDescent="0.3">
      <c r="A44" s="161"/>
      <c r="B44" s="161"/>
      <c r="C44" s="182"/>
      <c r="D44" s="182"/>
      <c r="E44" s="196"/>
      <c r="F44" s="198"/>
      <c r="G44" s="277" t="s">
        <v>249</v>
      </c>
      <c r="H44" s="277"/>
      <c r="I44" s="277"/>
      <c r="J44" s="278">
        <f>'Feuille Diags'!F67</f>
        <v>0</v>
      </c>
      <c r="K44" s="278"/>
      <c r="L44" s="161"/>
      <c r="M44" s="161"/>
      <c r="N44" s="161"/>
      <c r="O44" s="161"/>
      <c r="P44" s="161"/>
      <c r="Q44" s="161"/>
    </row>
    <row r="45" spans="1:18" ht="18.75" customHeight="1" x14ac:dyDescent="0.3">
      <c r="A45" s="161"/>
      <c r="B45" s="161"/>
      <c r="C45" s="182"/>
      <c r="D45" s="182"/>
      <c r="E45" s="182"/>
      <c r="F45" s="182"/>
      <c r="G45" s="277" t="s">
        <v>250</v>
      </c>
      <c r="H45" s="277"/>
      <c r="I45" s="277"/>
      <c r="J45" s="278">
        <f>J42+J44</f>
        <v>0</v>
      </c>
      <c r="K45" s="278"/>
      <c r="L45" s="161"/>
      <c r="M45" s="161"/>
      <c r="N45" s="161"/>
      <c r="O45" s="161"/>
      <c r="P45" s="161"/>
      <c r="Q45" s="161"/>
    </row>
    <row r="46" spans="1:18" ht="18.75" customHeight="1" x14ac:dyDescent="0.3">
      <c r="A46" s="161"/>
      <c r="B46" s="161"/>
      <c r="C46" s="179"/>
      <c r="D46" s="179"/>
      <c r="E46" s="179"/>
      <c r="F46" s="179"/>
      <c r="G46" s="179"/>
      <c r="H46" s="179"/>
      <c r="I46" s="179"/>
      <c r="J46" s="179"/>
      <c r="K46" s="179"/>
      <c r="L46" s="161"/>
      <c r="M46" s="161"/>
      <c r="N46" s="161"/>
      <c r="O46" s="161"/>
      <c r="P46" s="161"/>
      <c r="Q46" s="161"/>
    </row>
    <row r="47" spans="1:18" ht="18.75" customHeight="1" x14ac:dyDescent="0.3">
      <c r="A47" s="161"/>
      <c r="B47" s="161"/>
      <c r="C47" s="198"/>
      <c r="D47" s="198"/>
      <c r="E47" s="198"/>
      <c r="F47" s="198"/>
      <c r="G47" s="198"/>
      <c r="H47" s="198"/>
      <c r="I47" s="179"/>
      <c r="J47" s="179"/>
      <c r="K47" s="179"/>
      <c r="L47" s="161"/>
      <c r="M47" s="161"/>
      <c r="N47" s="161"/>
      <c r="O47" s="161"/>
      <c r="P47" s="161"/>
      <c r="Q47" s="161"/>
    </row>
    <row r="48" spans="1:18" ht="18.75" customHeight="1" x14ac:dyDescent="0.3">
      <c r="A48" s="161"/>
      <c r="B48" s="161"/>
      <c r="C48" s="200"/>
      <c r="D48" s="200"/>
      <c r="E48" s="200"/>
      <c r="F48" s="200"/>
      <c r="G48" s="200"/>
      <c r="H48" s="200"/>
      <c r="I48" s="179"/>
      <c r="J48" s="179"/>
      <c r="K48" s="179"/>
      <c r="L48" s="161"/>
      <c r="M48" s="161"/>
      <c r="N48" s="161"/>
      <c r="O48" s="161"/>
      <c r="P48" s="161"/>
      <c r="Q48" s="161"/>
    </row>
    <row r="49" spans="1:17" ht="18.75" customHeight="1" x14ac:dyDescent="0.3">
      <c r="A49" s="161"/>
      <c r="B49" s="161"/>
      <c r="C49" s="200"/>
      <c r="D49" s="200"/>
      <c r="E49" s="200"/>
      <c r="F49" s="200"/>
      <c r="G49" s="200"/>
      <c r="H49" s="200"/>
      <c r="I49" s="179"/>
      <c r="J49" s="179"/>
      <c r="K49" s="179"/>
      <c r="L49" s="161"/>
      <c r="M49" s="161"/>
      <c r="N49" s="161"/>
      <c r="O49" s="161"/>
      <c r="P49" s="161"/>
      <c r="Q49" s="161"/>
    </row>
    <row r="50" spans="1:17" ht="18.75" customHeight="1" x14ac:dyDescent="0.3">
      <c r="A50" s="161"/>
      <c r="B50" s="161"/>
      <c r="C50" s="200"/>
      <c r="D50" s="200"/>
      <c r="E50" s="200"/>
      <c r="F50" s="200"/>
      <c r="G50" s="200"/>
      <c r="H50" s="200"/>
      <c r="I50" s="179"/>
      <c r="J50" s="179"/>
      <c r="K50" s="179"/>
      <c r="L50" s="161"/>
      <c r="M50" s="161"/>
      <c r="N50" s="161"/>
      <c r="O50" s="161"/>
      <c r="P50" s="161"/>
      <c r="Q50" s="161"/>
    </row>
    <row r="51" spans="1:17" ht="18.75" customHeight="1" x14ac:dyDescent="0.3">
      <c r="A51" s="161"/>
      <c r="B51" s="161"/>
      <c r="C51" s="200"/>
      <c r="D51" s="200"/>
      <c r="E51" s="200"/>
      <c r="F51" s="200"/>
      <c r="G51" s="200"/>
      <c r="H51" s="200"/>
      <c r="I51" s="179"/>
      <c r="J51" s="179"/>
      <c r="K51" s="179"/>
      <c r="L51" s="161"/>
      <c r="M51" s="161"/>
      <c r="N51" s="161"/>
      <c r="O51" s="161"/>
      <c r="P51" s="161"/>
      <c r="Q51" s="161"/>
    </row>
    <row r="52" spans="1:17" ht="18.75" customHeight="1" x14ac:dyDescent="0.3">
      <c r="A52" s="161"/>
      <c r="B52" s="161"/>
      <c r="C52" s="200"/>
      <c r="D52" s="200"/>
      <c r="E52" s="200"/>
      <c r="F52" s="200"/>
      <c r="G52" s="200"/>
      <c r="H52" s="200"/>
      <c r="I52" s="179"/>
      <c r="J52" s="179"/>
      <c r="K52" s="179"/>
      <c r="L52" s="161"/>
      <c r="M52" s="161"/>
      <c r="N52" s="161"/>
      <c r="O52" s="161"/>
      <c r="P52" s="161"/>
      <c r="Q52" s="161"/>
    </row>
    <row r="53" spans="1:17" ht="18.75" customHeight="1" x14ac:dyDescent="0.3">
      <c r="A53" s="161"/>
      <c r="B53" s="161"/>
      <c r="C53" s="200"/>
      <c r="D53" s="200"/>
      <c r="E53" s="200"/>
      <c r="F53" s="200"/>
      <c r="G53" s="200"/>
      <c r="H53" s="200"/>
      <c r="I53" s="179"/>
      <c r="J53" s="179"/>
      <c r="K53" s="179"/>
      <c r="L53" s="161"/>
      <c r="M53" s="161"/>
      <c r="N53" s="161"/>
      <c r="O53" s="161"/>
      <c r="P53" s="161"/>
      <c r="Q53" s="161"/>
    </row>
    <row r="54" spans="1:17" ht="18.75" customHeight="1" x14ac:dyDescent="0.3">
      <c r="A54" s="161"/>
      <c r="B54" s="161"/>
      <c r="C54" s="200"/>
      <c r="D54" s="200"/>
      <c r="E54" s="200"/>
      <c r="F54" s="200"/>
      <c r="G54" s="200"/>
      <c r="H54" s="200"/>
      <c r="I54" s="179"/>
      <c r="J54" s="179"/>
      <c r="K54" s="179"/>
      <c r="L54" s="161"/>
      <c r="M54" s="161"/>
      <c r="N54" s="161"/>
      <c r="O54" s="161"/>
      <c r="P54" s="161"/>
      <c r="Q54" s="161"/>
    </row>
    <row r="55" spans="1:17" ht="18.75" customHeight="1" x14ac:dyDescent="0.3">
      <c r="A55" s="161"/>
      <c r="B55" s="161"/>
      <c r="C55" s="179"/>
      <c r="D55" s="179"/>
      <c r="E55" s="179"/>
      <c r="F55" s="179"/>
      <c r="G55" s="179"/>
      <c r="H55" s="179"/>
      <c r="I55" s="179"/>
      <c r="J55" s="179"/>
      <c r="K55" s="179"/>
      <c r="L55" s="161"/>
      <c r="M55" s="161"/>
      <c r="N55" s="161"/>
      <c r="O55" s="161"/>
      <c r="P55" s="161"/>
      <c r="Q55" s="161"/>
    </row>
    <row r="56" spans="1:17" ht="18.75" customHeight="1" x14ac:dyDescent="0.3">
      <c r="A56" s="161"/>
      <c r="B56" s="161"/>
      <c r="C56" s="179"/>
      <c r="D56" s="179"/>
      <c r="E56" s="179"/>
      <c r="F56" s="179"/>
      <c r="G56" s="179"/>
      <c r="H56" s="179"/>
      <c r="I56" s="179"/>
      <c r="J56" s="179"/>
      <c r="K56" s="179"/>
      <c r="L56" s="161"/>
      <c r="M56" s="161"/>
      <c r="N56" s="161"/>
      <c r="O56" s="161"/>
      <c r="P56" s="161"/>
      <c r="Q56" s="161"/>
    </row>
    <row r="57" spans="1:17" ht="18.75" customHeight="1" x14ac:dyDescent="0.3">
      <c r="A57" s="161"/>
      <c r="B57" s="161"/>
      <c r="C57" s="179"/>
      <c r="D57" s="179"/>
      <c r="E57" s="179"/>
      <c r="F57" s="179"/>
      <c r="G57" s="179"/>
      <c r="H57" s="179"/>
      <c r="I57" s="179"/>
      <c r="J57" s="179"/>
      <c r="K57" s="179"/>
      <c r="L57" s="161"/>
      <c r="M57" s="161"/>
      <c r="N57" s="161"/>
      <c r="O57" s="161"/>
      <c r="P57" s="161"/>
      <c r="Q57" s="161"/>
    </row>
    <row r="58" spans="1:17" ht="18.75" customHeight="1" x14ac:dyDescent="0.3">
      <c r="A58" s="161"/>
      <c r="B58" s="161"/>
      <c r="C58" s="179" t="s">
        <v>84</v>
      </c>
      <c r="D58" s="179"/>
      <c r="E58" s="179"/>
      <c r="F58" s="179"/>
      <c r="G58" s="179"/>
      <c r="H58" s="179"/>
      <c r="I58" s="179"/>
      <c r="J58" s="179"/>
      <c r="K58" s="179"/>
      <c r="L58" s="161"/>
      <c r="M58" s="161"/>
      <c r="N58" s="161"/>
      <c r="O58" s="161"/>
      <c r="P58" s="161"/>
      <c r="Q58" s="161"/>
    </row>
    <row r="59" spans="1:17" ht="18.75" customHeight="1" x14ac:dyDescent="0.3">
      <c r="A59" s="161"/>
      <c r="B59" s="161"/>
      <c r="C59" s="179" t="s">
        <v>85</v>
      </c>
      <c r="D59" s="179"/>
      <c r="E59" s="179"/>
      <c r="F59" s="179"/>
      <c r="G59" s="179"/>
      <c r="H59" s="179"/>
      <c r="I59" s="179"/>
      <c r="J59" s="179"/>
      <c r="K59" s="179"/>
      <c r="L59" s="161"/>
      <c r="M59" s="161"/>
      <c r="N59" s="161"/>
      <c r="O59" s="161"/>
      <c r="P59" s="161"/>
      <c r="Q59" s="161"/>
    </row>
    <row r="60" spans="1:17" ht="18.75" customHeight="1" x14ac:dyDescent="0.3">
      <c r="A60" s="161"/>
      <c r="B60" s="161"/>
      <c r="C60" s="179" t="s">
        <v>86</v>
      </c>
      <c r="D60" s="179"/>
      <c r="E60" s="179"/>
      <c r="F60" s="179"/>
      <c r="G60" s="179"/>
      <c r="H60" s="179"/>
      <c r="I60" s="179"/>
      <c r="J60" s="179"/>
      <c r="K60" s="179"/>
      <c r="L60" s="161"/>
      <c r="M60" s="161"/>
      <c r="N60" s="161"/>
      <c r="O60" s="161"/>
      <c r="P60" s="161"/>
      <c r="Q60" s="161"/>
    </row>
    <row r="61" spans="1:17" ht="18.75" customHeight="1" x14ac:dyDescent="0.3">
      <c r="A61" s="161"/>
      <c r="B61" s="161"/>
      <c r="C61" s="179" t="s">
        <v>87</v>
      </c>
      <c r="D61" s="179"/>
      <c r="E61" s="179"/>
      <c r="F61" s="179"/>
      <c r="G61" s="179"/>
      <c r="H61" s="179"/>
      <c r="I61" s="179"/>
      <c r="J61" s="179"/>
      <c r="K61" s="179"/>
      <c r="L61" s="161"/>
      <c r="M61" s="161"/>
      <c r="N61" s="161"/>
      <c r="O61" s="161"/>
      <c r="P61" s="161"/>
      <c r="Q61" s="161"/>
    </row>
    <row r="62" spans="1:17" ht="18.75" customHeight="1" x14ac:dyDescent="0.3">
      <c r="A62" s="161"/>
      <c r="B62" s="161"/>
      <c r="C62" s="179"/>
      <c r="D62" s="179"/>
      <c r="E62" s="179"/>
      <c r="F62" s="179"/>
      <c r="G62" s="179"/>
      <c r="H62" s="179"/>
      <c r="I62" s="179"/>
      <c r="J62" s="179"/>
      <c r="K62" s="179"/>
      <c r="L62" s="161"/>
      <c r="M62" s="161"/>
      <c r="N62" s="161"/>
      <c r="O62" s="161"/>
      <c r="P62" s="161"/>
      <c r="Q62" s="161"/>
    </row>
    <row r="63" spans="1:17" ht="18.75" customHeight="1" x14ac:dyDescent="0.3">
      <c r="A63" s="161"/>
      <c r="B63" s="161"/>
      <c r="C63" s="179"/>
      <c r="D63" s="179"/>
      <c r="E63" s="179"/>
      <c r="F63" s="179"/>
      <c r="G63" s="179"/>
      <c r="H63" s="179"/>
      <c r="I63" s="179"/>
      <c r="J63" s="179"/>
      <c r="K63" s="179"/>
      <c r="L63" s="161"/>
      <c r="M63" s="161"/>
      <c r="N63" s="161"/>
      <c r="O63" s="161"/>
      <c r="P63" s="161"/>
      <c r="Q63" s="161"/>
    </row>
    <row r="64" spans="1:17" ht="18.75" customHeight="1" x14ac:dyDescent="0.3">
      <c r="A64" s="161"/>
      <c r="B64" s="161"/>
      <c r="C64" s="179" t="s">
        <v>88</v>
      </c>
      <c r="D64" s="179"/>
      <c r="E64" s="179"/>
      <c r="F64" s="179"/>
      <c r="G64" s="187" t="str">
        <f>'[1]Feuille Diags'!D50</f>
        <v>AADI - NeoConsulting</v>
      </c>
      <c r="H64" s="179"/>
      <c r="I64" s="179"/>
      <c r="J64" s="179"/>
      <c r="K64" s="179"/>
      <c r="L64" s="161"/>
      <c r="M64" s="161"/>
      <c r="N64" s="161"/>
      <c r="O64" s="161"/>
      <c r="P64" s="161"/>
      <c r="Q64" s="161"/>
    </row>
    <row r="65" spans="1:17" ht="18.75" customHeight="1" x14ac:dyDescent="0.3">
      <c r="A65" s="161"/>
      <c r="B65" s="161"/>
      <c r="C65" s="179" t="s">
        <v>89</v>
      </c>
      <c r="D65" s="179"/>
      <c r="E65" s="179"/>
      <c r="F65" s="179"/>
      <c r="G65" s="179" t="s">
        <v>89</v>
      </c>
      <c r="H65" s="179"/>
      <c r="I65" s="179"/>
      <c r="J65" s="179"/>
      <c r="K65" s="179"/>
      <c r="L65" s="161"/>
      <c r="M65" s="161"/>
      <c r="N65" s="161"/>
      <c r="O65" s="161"/>
      <c r="P65" s="161"/>
      <c r="Q65" s="161"/>
    </row>
    <row r="66" spans="1:17" ht="18.75" customHeight="1" x14ac:dyDescent="0.3">
      <c r="A66" s="161"/>
      <c r="B66" s="161"/>
      <c r="C66" s="179" t="s">
        <v>90</v>
      </c>
      <c r="D66" s="179"/>
      <c r="E66" s="179"/>
      <c r="F66" s="179"/>
      <c r="G66" s="179" t="s">
        <v>90</v>
      </c>
      <c r="H66" s="179"/>
      <c r="I66" s="179"/>
      <c r="J66" s="179"/>
      <c r="K66" s="179"/>
      <c r="L66" s="161"/>
      <c r="M66" s="161"/>
      <c r="N66" s="161"/>
      <c r="O66" s="161"/>
      <c r="P66" s="161"/>
      <c r="Q66" s="161"/>
    </row>
    <row r="67" spans="1:17" ht="18.75" customHeight="1" x14ac:dyDescent="0.3">
      <c r="A67" s="161"/>
      <c r="B67" s="161"/>
      <c r="C67" s="179"/>
      <c r="D67" s="179"/>
      <c r="E67" s="179"/>
      <c r="F67" s="179"/>
      <c r="G67" s="179"/>
      <c r="H67" s="179"/>
      <c r="I67" s="179"/>
      <c r="J67" s="179"/>
      <c r="K67" s="179"/>
      <c r="L67" s="161"/>
      <c r="M67" s="161"/>
      <c r="N67" s="161"/>
      <c r="O67" s="161"/>
      <c r="P67" s="161"/>
      <c r="Q67" s="161"/>
    </row>
    <row r="68" spans="1:17" ht="18.75" customHeight="1" x14ac:dyDescent="0.3">
      <c r="A68" s="161"/>
      <c r="B68" s="161"/>
      <c r="C68" s="179"/>
      <c r="D68" s="179"/>
      <c r="E68" s="179"/>
      <c r="F68" s="179"/>
      <c r="G68" s="179"/>
      <c r="H68" s="179"/>
      <c r="I68" s="179"/>
      <c r="J68" s="179"/>
      <c r="K68" s="179"/>
      <c r="L68" s="161"/>
      <c r="M68" s="161"/>
      <c r="N68" s="161"/>
      <c r="O68" s="161"/>
      <c r="P68" s="161"/>
      <c r="Q68" s="161"/>
    </row>
    <row r="69" spans="1:17" ht="18.75" customHeight="1" x14ac:dyDescent="0.3">
      <c r="A69" s="161"/>
      <c r="B69" s="161"/>
      <c r="C69" s="179"/>
      <c r="D69" s="179"/>
      <c r="E69" s="179"/>
      <c r="F69" s="179"/>
      <c r="G69" s="179"/>
      <c r="H69" s="179"/>
      <c r="I69" s="179"/>
      <c r="J69" s="179"/>
      <c r="K69" s="179"/>
      <c r="L69" s="161"/>
      <c r="M69" s="161"/>
      <c r="N69" s="161"/>
      <c r="O69" s="161"/>
      <c r="P69" s="161"/>
      <c r="Q69" s="161"/>
    </row>
    <row r="70" spans="1:17" ht="18.75" customHeight="1" x14ac:dyDescent="0.3">
      <c r="A70" s="161"/>
      <c r="B70" s="161"/>
      <c r="C70" s="179"/>
      <c r="D70" s="179"/>
      <c r="E70" s="179"/>
      <c r="F70" s="179"/>
      <c r="G70" s="179"/>
      <c r="H70" s="179"/>
      <c r="I70" s="179"/>
      <c r="J70" s="179"/>
      <c r="K70" s="179"/>
      <c r="L70" s="161"/>
      <c r="M70" s="161"/>
      <c r="N70" s="161"/>
      <c r="O70" s="161"/>
      <c r="P70" s="161"/>
      <c r="Q70" s="161"/>
    </row>
    <row r="71" spans="1:17" ht="18.75" customHeight="1" x14ac:dyDescent="0.3">
      <c r="A71" s="161"/>
      <c r="B71" s="161"/>
      <c r="C71" s="179"/>
      <c r="D71" s="179"/>
      <c r="E71" s="179"/>
      <c r="F71" s="179"/>
      <c r="G71" s="179"/>
      <c r="H71" s="179"/>
      <c r="I71" s="179"/>
      <c r="J71" s="179"/>
      <c r="K71" s="179"/>
      <c r="L71" s="161"/>
      <c r="M71" s="161"/>
      <c r="N71" s="161"/>
      <c r="O71" s="161"/>
      <c r="P71" s="161"/>
      <c r="Q71" s="161"/>
    </row>
    <row r="72" spans="1:17" ht="18.75" customHeight="1" x14ac:dyDescent="0.3">
      <c r="A72" s="161"/>
      <c r="B72" s="161"/>
      <c r="C72" s="179"/>
      <c r="D72" s="179"/>
      <c r="E72" s="179"/>
      <c r="F72" s="179"/>
      <c r="G72" s="179"/>
      <c r="H72" s="179"/>
      <c r="I72" s="179"/>
      <c r="J72" s="179"/>
      <c r="K72" s="179"/>
      <c r="L72" s="161"/>
      <c r="M72" s="161"/>
      <c r="N72" s="161"/>
      <c r="O72" s="161"/>
      <c r="P72" s="161"/>
      <c r="Q72" s="161"/>
    </row>
    <row r="73" spans="1:17" ht="18.75" customHeight="1" x14ac:dyDescent="0.3">
      <c r="A73" s="161"/>
      <c r="B73" s="161"/>
      <c r="C73" s="179"/>
      <c r="D73" s="179"/>
      <c r="E73" s="179"/>
      <c r="F73" s="179"/>
      <c r="G73" s="179"/>
      <c r="H73" s="179"/>
      <c r="I73" s="179"/>
      <c r="J73" s="179"/>
      <c r="K73" s="179"/>
      <c r="L73" s="161"/>
      <c r="M73" s="161"/>
      <c r="N73" s="161"/>
      <c r="O73" s="161"/>
      <c r="P73" s="161"/>
      <c r="Q73" s="161"/>
    </row>
    <row r="74" spans="1:17" ht="18.75" customHeight="1" x14ac:dyDescent="0.25">
      <c r="A74" s="161"/>
      <c r="B74" s="192"/>
      <c r="C74" s="280" t="str">
        <f>VLOOKUP('[1]Feuille Diags'!D50,[1]BDD1!B4:M6,3,TRUE)</f>
        <v>Siège social : 18 rue du haut Lessis, 57420 MARIEULLES</v>
      </c>
      <c r="D74" s="280"/>
      <c r="E74" s="280"/>
      <c r="F74" s="280"/>
      <c r="G74" s="280"/>
      <c r="H74" s="280"/>
      <c r="I74" s="280"/>
      <c r="J74" s="280"/>
      <c r="K74" s="280"/>
      <c r="L74" s="192"/>
      <c r="M74" s="161"/>
      <c r="N74" s="161"/>
      <c r="O74" s="161"/>
      <c r="P74" s="161"/>
      <c r="Q74" s="161"/>
    </row>
    <row r="75" spans="1:17" ht="18.75" customHeight="1" x14ac:dyDescent="0.25">
      <c r="A75" s="161"/>
      <c r="B75" s="192"/>
      <c r="C75" s="280" t="str">
        <f>VLOOKUP('[1]Feuille Diags'!D50,[1]BDD1!B4:M6,4,TRUE)</f>
        <v>SIRET : 503 171 951 0000 18 / Code APE : 7120B / CIC 30087 33309 00020017401 63 / TVA intra FR22503171951 / SARL capital 30 100€</v>
      </c>
      <c r="D75" s="280"/>
      <c r="E75" s="280"/>
      <c r="F75" s="280"/>
      <c r="G75" s="280"/>
      <c r="H75" s="280"/>
      <c r="I75" s="280"/>
      <c r="J75" s="280"/>
      <c r="K75" s="280"/>
      <c r="L75" s="192"/>
      <c r="M75" s="161"/>
      <c r="N75" s="161"/>
      <c r="O75" s="161"/>
      <c r="P75" s="161"/>
      <c r="Q75" s="161"/>
    </row>
    <row r="76" spans="1:17" x14ac:dyDescent="0.25">
      <c r="A76" s="161"/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</row>
    <row r="77" spans="1:17" x14ac:dyDescent="0.25">
      <c r="A77" s="161"/>
      <c r="B77" s="161"/>
      <c r="C77" s="161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</row>
    <row r="78" spans="1:17" x14ac:dyDescent="0.25">
      <c r="A78" s="161"/>
      <c r="B78" s="161"/>
      <c r="C78" s="161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</row>
    <row r="79" spans="1:17" x14ac:dyDescent="0.25">
      <c r="A79" s="161"/>
      <c r="B79" s="161"/>
      <c r="C79" s="161"/>
      <c r="D79" s="161"/>
      <c r="E79" s="161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</row>
    <row r="80" spans="1:17" x14ac:dyDescent="0.25">
      <c r="A80" s="161"/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</row>
    <row r="81" spans="1:17" x14ac:dyDescent="0.25">
      <c r="A81" s="161"/>
      <c r="B81" s="161"/>
      <c r="C81" s="161"/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</row>
    <row r="82" spans="1:17" x14ac:dyDescent="0.25">
      <c r="A82" s="161"/>
      <c r="B82" s="161"/>
      <c r="C82" s="161"/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</row>
    <row r="83" spans="1:17" x14ac:dyDescent="0.25">
      <c r="A83" s="161"/>
      <c r="B83" s="161"/>
      <c r="C83" s="161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</row>
    <row r="84" spans="1:17" x14ac:dyDescent="0.25">
      <c r="A84" s="161"/>
      <c r="B84" s="161"/>
      <c r="C84" s="161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</row>
    <row r="85" spans="1:17" x14ac:dyDescent="0.25">
      <c r="A85" s="161"/>
      <c r="B85" s="161"/>
      <c r="C85" s="161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</row>
    <row r="86" spans="1:17" x14ac:dyDescent="0.25">
      <c r="A86" s="161"/>
      <c r="B86" s="161"/>
      <c r="C86" s="161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61"/>
    </row>
    <row r="87" spans="1:17" x14ac:dyDescent="0.25">
      <c r="A87" s="161"/>
      <c r="B87" s="161"/>
      <c r="C87" s="161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</row>
    <row r="88" spans="1:17" x14ac:dyDescent="0.25">
      <c r="A88" s="161"/>
      <c r="B88" s="161"/>
      <c r="C88" s="161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</row>
    <row r="89" spans="1:17" x14ac:dyDescent="0.25">
      <c r="A89" s="161"/>
      <c r="B89" s="161"/>
      <c r="C89" s="161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</row>
    <row r="90" spans="1:17" x14ac:dyDescent="0.25">
      <c r="A90" s="161"/>
      <c r="B90" s="161"/>
      <c r="C90" s="161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61"/>
    </row>
    <row r="91" spans="1:17" x14ac:dyDescent="0.25">
      <c r="A91" s="161"/>
      <c r="B91" s="161"/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</row>
    <row r="92" spans="1:17" x14ac:dyDescent="0.25">
      <c r="A92" s="161"/>
      <c r="B92" s="161"/>
      <c r="C92" s="161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</row>
    <row r="93" spans="1:17" x14ac:dyDescent="0.25">
      <c r="A93" s="161"/>
      <c r="B93" s="161"/>
      <c r="C93" s="161"/>
      <c r="D93" s="161"/>
      <c r="E93" s="161"/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</row>
    <row r="94" spans="1:17" x14ac:dyDescent="0.25">
      <c r="A94" s="161"/>
      <c r="B94" s="161"/>
      <c r="C94" s="161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</row>
    <row r="95" spans="1:17" x14ac:dyDescent="0.25">
      <c r="A95" s="161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</row>
    <row r="96" spans="1:17" x14ac:dyDescent="0.25">
      <c r="B96" s="161"/>
      <c r="C96" s="161"/>
      <c r="D96" s="161"/>
      <c r="E96" s="161"/>
      <c r="F96" s="161"/>
      <c r="G96" s="161"/>
      <c r="H96" s="161"/>
      <c r="I96" s="161"/>
      <c r="J96" s="161"/>
      <c r="K96" s="161"/>
      <c r="L96" s="161"/>
    </row>
    <row r="97" spans="2:12" x14ac:dyDescent="0.25">
      <c r="B97" s="161"/>
      <c r="C97" s="161"/>
      <c r="D97" s="161"/>
      <c r="E97" s="161"/>
      <c r="F97" s="161"/>
      <c r="G97" s="161"/>
      <c r="H97" s="161"/>
      <c r="I97" s="161"/>
      <c r="J97" s="161"/>
      <c r="K97" s="161"/>
      <c r="L97" s="161"/>
    </row>
    <row r="98" spans="2:12" x14ac:dyDescent="0.25">
      <c r="B98" s="161"/>
      <c r="C98" s="161"/>
      <c r="D98" s="161"/>
      <c r="E98" s="161"/>
      <c r="F98" s="161"/>
      <c r="G98" s="161"/>
      <c r="H98" s="161"/>
      <c r="I98" s="161"/>
      <c r="J98" s="161"/>
      <c r="K98" s="161"/>
      <c r="L98" s="161"/>
    </row>
    <row r="99" spans="2:12" x14ac:dyDescent="0.25">
      <c r="C99" s="161"/>
      <c r="D99" s="161"/>
      <c r="E99" s="161"/>
      <c r="F99" s="161"/>
      <c r="G99" s="161"/>
      <c r="H99" s="161"/>
      <c r="I99" s="161"/>
      <c r="J99" s="161"/>
      <c r="K99" s="161"/>
    </row>
    <row r="100" spans="2:12" x14ac:dyDescent="0.25">
      <c r="C100" s="161"/>
      <c r="D100" s="161"/>
      <c r="E100" s="161"/>
      <c r="F100" s="161"/>
      <c r="G100" s="161"/>
      <c r="H100" s="161"/>
      <c r="I100" s="161"/>
      <c r="J100" s="161"/>
      <c r="K100" s="161"/>
    </row>
    <row r="101" spans="2:12" x14ac:dyDescent="0.25">
      <c r="C101" s="161"/>
      <c r="D101" s="161"/>
      <c r="E101" s="161"/>
      <c r="F101" s="161"/>
      <c r="G101" s="161"/>
      <c r="H101" s="161"/>
      <c r="I101" s="161"/>
      <c r="J101" s="161"/>
      <c r="K101" s="161"/>
    </row>
    <row r="102" spans="2:12" x14ac:dyDescent="0.25">
      <c r="C102" s="161"/>
      <c r="D102" s="161"/>
      <c r="E102" s="161"/>
      <c r="F102" s="161"/>
      <c r="G102" s="161"/>
      <c r="H102" s="161"/>
      <c r="I102" s="161"/>
      <c r="J102" s="161"/>
      <c r="K102" s="161"/>
    </row>
    <row r="103" spans="2:12" x14ac:dyDescent="0.25">
      <c r="C103" s="161"/>
      <c r="D103" s="161"/>
      <c r="E103" s="161"/>
      <c r="F103" s="161"/>
      <c r="G103" s="161"/>
      <c r="H103" s="161"/>
      <c r="I103" s="161"/>
      <c r="J103" s="161"/>
      <c r="K103" s="161"/>
    </row>
    <row r="104" spans="2:12" x14ac:dyDescent="0.25">
      <c r="C104" s="161"/>
      <c r="D104" s="161"/>
      <c r="E104" s="161"/>
      <c r="F104" s="161"/>
      <c r="G104" s="161"/>
      <c r="H104" s="161"/>
      <c r="I104" s="161"/>
      <c r="J104" s="161"/>
      <c r="K104" s="161"/>
    </row>
    <row r="105" spans="2:12" x14ac:dyDescent="0.25">
      <c r="C105" s="161"/>
      <c r="D105" s="161"/>
      <c r="E105" s="161"/>
      <c r="F105" s="161"/>
      <c r="G105" s="161"/>
      <c r="H105" s="161"/>
      <c r="I105" s="161"/>
      <c r="J105" s="161"/>
      <c r="K105" s="161"/>
    </row>
    <row r="106" spans="2:12" x14ac:dyDescent="0.25">
      <c r="C106" s="161"/>
      <c r="D106" s="161"/>
      <c r="E106" s="161"/>
      <c r="F106" s="161"/>
      <c r="G106" s="161"/>
      <c r="H106" s="161"/>
      <c r="I106" s="161"/>
      <c r="J106" s="161"/>
      <c r="K106" s="161"/>
    </row>
    <row r="107" spans="2:12" x14ac:dyDescent="0.25">
      <c r="C107" s="161"/>
      <c r="D107" s="161"/>
      <c r="E107" s="161"/>
      <c r="F107" s="161"/>
      <c r="G107" s="161"/>
      <c r="H107" s="161"/>
      <c r="I107" s="161"/>
      <c r="J107" s="161"/>
      <c r="K107" s="161"/>
    </row>
    <row r="108" spans="2:12" x14ac:dyDescent="0.25">
      <c r="C108" s="161"/>
      <c r="D108" s="161"/>
      <c r="E108" s="161"/>
      <c r="F108" s="161"/>
      <c r="G108" s="161"/>
      <c r="H108" s="161"/>
      <c r="I108" s="161"/>
      <c r="J108" s="161"/>
      <c r="K108" s="161"/>
    </row>
    <row r="109" spans="2:12" x14ac:dyDescent="0.25">
      <c r="C109" s="161"/>
      <c r="D109" s="161"/>
      <c r="E109" s="161"/>
      <c r="F109" s="161"/>
      <c r="G109" s="161"/>
      <c r="H109" s="161"/>
      <c r="I109" s="161"/>
      <c r="J109" s="161"/>
      <c r="K109" s="161"/>
    </row>
    <row r="110" spans="2:12" x14ac:dyDescent="0.25">
      <c r="C110" s="161"/>
      <c r="D110" s="161"/>
      <c r="E110" s="161"/>
      <c r="F110" s="161"/>
      <c r="G110" s="161"/>
      <c r="H110" s="161"/>
      <c r="I110" s="161"/>
      <c r="J110" s="161"/>
      <c r="K110" s="161"/>
    </row>
    <row r="111" spans="2:12" x14ac:dyDescent="0.25">
      <c r="C111" s="161"/>
      <c r="D111" s="161"/>
      <c r="E111" s="161"/>
      <c r="F111" s="161"/>
      <c r="G111" s="161"/>
      <c r="H111" s="161"/>
      <c r="I111" s="161"/>
      <c r="J111" s="161"/>
      <c r="K111" s="161"/>
    </row>
    <row r="112" spans="2:12" x14ac:dyDescent="0.25">
      <c r="C112" s="161"/>
      <c r="D112" s="161"/>
      <c r="E112" s="161"/>
      <c r="F112" s="161"/>
      <c r="G112" s="161"/>
      <c r="H112" s="161"/>
      <c r="I112" s="161"/>
      <c r="J112" s="161"/>
      <c r="K112" s="161"/>
    </row>
  </sheetData>
  <mergeCells count="38">
    <mergeCell ref="C18:K18"/>
    <mergeCell ref="D12:E12"/>
    <mergeCell ref="D13:E13"/>
    <mergeCell ref="D14:E14"/>
    <mergeCell ref="I14:J14"/>
    <mergeCell ref="D15:E15"/>
    <mergeCell ref="J34:K35"/>
    <mergeCell ref="C19:K19"/>
    <mergeCell ref="I23:J23"/>
    <mergeCell ref="I24:J24"/>
    <mergeCell ref="I27:J27"/>
    <mergeCell ref="I28:J28"/>
    <mergeCell ref="C74:K74"/>
    <mergeCell ref="C75:K75"/>
    <mergeCell ref="J33:K33"/>
    <mergeCell ref="H33:I33"/>
    <mergeCell ref="E33:G33"/>
    <mergeCell ref="D34:D35"/>
    <mergeCell ref="E34:G35"/>
    <mergeCell ref="G42:I42"/>
    <mergeCell ref="G44:I44"/>
    <mergeCell ref="G40:I40"/>
    <mergeCell ref="G41:I41"/>
    <mergeCell ref="G38:I38"/>
    <mergeCell ref="G39:I39"/>
    <mergeCell ref="G36:I36"/>
    <mergeCell ref="G37:I37"/>
    <mergeCell ref="H34:I35"/>
    <mergeCell ref="G45:I45"/>
    <mergeCell ref="J36:K36"/>
    <mergeCell ref="J37:K37"/>
    <mergeCell ref="J38:K38"/>
    <mergeCell ref="J39:K39"/>
    <mergeCell ref="J40:K40"/>
    <mergeCell ref="J41:K41"/>
    <mergeCell ref="J42:K42"/>
    <mergeCell ref="J44:K44"/>
    <mergeCell ref="J45:K45"/>
  </mergeCells>
  <pageMargins left="7.874015748031496E-2" right="7.874015748031496E-2" top="7.874015748031496E-2" bottom="7.874015748031496E-2" header="0.31496062992125984" footer="0.31496062992125984"/>
  <pageSetup paperSize="9" scale="5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:G4"/>
  <sheetViews>
    <sheetView workbookViewId="0">
      <selection activeCell="F18" sqref="F18"/>
    </sheetView>
  </sheetViews>
  <sheetFormatPr baseColWidth="10" defaultRowHeight="15" x14ac:dyDescent="0.25"/>
  <sheetData>
    <row r="4" spans="2:7" x14ac:dyDescent="0.25">
      <c r="B4" t="s">
        <v>112</v>
      </c>
      <c r="C4" t="s">
        <v>8</v>
      </c>
      <c r="D4" t="s">
        <v>11</v>
      </c>
      <c r="E4" t="s">
        <v>76</v>
      </c>
      <c r="F4" t="s">
        <v>77</v>
      </c>
      <c r="G4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M68"/>
  <sheetViews>
    <sheetView workbookViewId="0">
      <selection activeCell="D29" sqref="D29"/>
    </sheetView>
  </sheetViews>
  <sheetFormatPr baseColWidth="10" defaultRowHeight="15" x14ac:dyDescent="0.25"/>
  <cols>
    <col min="2" max="2" width="14.140625" bestFit="1" customWidth="1"/>
    <col min="4" max="4" width="49" bestFit="1" customWidth="1"/>
    <col min="5" max="5" width="108.42578125" bestFit="1" customWidth="1"/>
  </cols>
  <sheetData>
    <row r="3" spans="2:13" x14ac:dyDescent="0.25">
      <c r="B3" t="s">
        <v>91</v>
      </c>
    </row>
    <row r="4" spans="2:13" x14ac:dyDescent="0.25">
      <c r="B4" t="s">
        <v>209</v>
      </c>
      <c r="D4" s="73" t="s">
        <v>93</v>
      </c>
      <c r="E4" t="s">
        <v>214</v>
      </c>
      <c r="F4" s="73"/>
      <c r="G4" s="73"/>
      <c r="H4" s="73"/>
      <c r="I4" s="73"/>
      <c r="J4" s="73"/>
      <c r="K4" s="73"/>
      <c r="L4" s="73"/>
      <c r="M4" s="73"/>
    </row>
    <row r="5" spans="2:13" x14ac:dyDescent="0.25">
      <c r="B5" t="s">
        <v>210</v>
      </c>
      <c r="D5" s="73" t="s">
        <v>93</v>
      </c>
      <c r="E5" s="73" t="s">
        <v>94</v>
      </c>
    </row>
    <row r="6" spans="2:13" x14ac:dyDescent="0.25">
      <c r="B6" t="s">
        <v>211</v>
      </c>
      <c r="D6" s="73" t="s">
        <v>213</v>
      </c>
      <c r="E6" t="s">
        <v>215</v>
      </c>
    </row>
    <row r="7" spans="2:13" x14ac:dyDescent="0.25">
      <c r="B7" t="s">
        <v>92</v>
      </c>
      <c r="D7" s="73" t="s">
        <v>93</v>
      </c>
      <c r="E7" t="s">
        <v>214</v>
      </c>
    </row>
    <row r="8" spans="2:13" x14ac:dyDescent="0.25">
      <c r="B8" t="s">
        <v>104</v>
      </c>
      <c r="D8" s="73" t="s">
        <v>93</v>
      </c>
      <c r="E8" s="73" t="s">
        <v>94</v>
      </c>
    </row>
    <row r="9" spans="2:13" x14ac:dyDescent="0.25">
      <c r="B9" t="s">
        <v>212</v>
      </c>
      <c r="D9" s="73" t="s">
        <v>213</v>
      </c>
      <c r="E9" t="s">
        <v>215</v>
      </c>
    </row>
    <row r="18" spans="2:5" x14ac:dyDescent="0.25">
      <c r="D18" s="75">
        <v>0</v>
      </c>
      <c r="E18">
        <v>0</v>
      </c>
    </row>
    <row r="19" spans="2:5" x14ac:dyDescent="0.25">
      <c r="B19" t="s">
        <v>109</v>
      </c>
      <c r="C19" t="s">
        <v>109</v>
      </c>
      <c r="D19" s="75">
        <v>0.01</v>
      </c>
      <c r="E19">
        <v>1</v>
      </c>
    </row>
    <row r="20" spans="2:5" x14ac:dyDescent="0.25">
      <c r="B20" t="s">
        <v>110</v>
      </c>
      <c r="C20" t="s">
        <v>110</v>
      </c>
      <c r="D20" s="75">
        <v>0.02</v>
      </c>
      <c r="E20">
        <v>2</v>
      </c>
    </row>
    <row r="21" spans="2:5" x14ac:dyDescent="0.25">
      <c r="D21" s="75">
        <v>0.03</v>
      </c>
      <c r="E21">
        <v>3</v>
      </c>
    </row>
    <row r="22" spans="2:5" x14ac:dyDescent="0.25">
      <c r="B22" t="s">
        <v>219</v>
      </c>
      <c r="D22" s="75">
        <v>0.04</v>
      </c>
      <c r="E22">
        <v>4</v>
      </c>
    </row>
    <row r="23" spans="2:5" x14ac:dyDescent="0.25">
      <c r="B23" t="s">
        <v>220</v>
      </c>
      <c r="D23" s="75">
        <v>0.05</v>
      </c>
      <c r="E23">
        <v>5</v>
      </c>
    </row>
    <row r="24" spans="2:5" x14ac:dyDescent="0.25">
      <c r="B24" t="s">
        <v>221</v>
      </c>
      <c r="D24" s="75">
        <v>0.06</v>
      </c>
      <c r="E24">
        <v>6</v>
      </c>
    </row>
    <row r="25" spans="2:5" x14ac:dyDescent="0.25">
      <c r="B25" t="s">
        <v>222</v>
      </c>
      <c r="D25" s="75">
        <v>7.0000000000000007E-2</v>
      </c>
      <c r="E25">
        <v>7</v>
      </c>
    </row>
    <row r="26" spans="2:5" x14ac:dyDescent="0.25">
      <c r="B26" t="s">
        <v>223</v>
      </c>
      <c r="D26" s="75">
        <v>0.08</v>
      </c>
      <c r="E26">
        <v>8</v>
      </c>
    </row>
    <row r="27" spans="2:5" x14ac:dyDescent="0.25">
      <c r="B27" t="s">
        <v>224</v>
      </c>
      <c r="D27" s="75">
        <v>0.09</v>
      </c>
      <c r="E27">
        <v>9</v>
      </c>
    </row>
    <row r="28" spans="2:5" x14ac:dyDescent="0.25">
      <c r="B28" t="s">
        <v>225</v>
      </c>
      <c r="D28" s="75">
        <v>0.1</v>
      </c>
      <c r="E28">
        <v>10</v>
      </c>
    </row>
    <row r="29" spans="2:5" x14ac:dyDescent="0.25">
      <c r="D29" s="75">
        <v>0.11</v>
      </c>
      <c r="E29">
        <v>11</v>
      </c>
    </row>
    <row r="30" spans="2:5" x14ac:dyDescent="0.25">
      <c r="D30" s="75">
        <v>0.12</v>
      </c>
      <c r="E30">
        <v>12</v>
      </c>
    </row>
    <row r="31" spans="2:5" x14ac:dyDescent="0.25">
      <c r="D31" s="75">
        <v>0.13</v>
      </c>
      <c r="E31">
        <v>13</v>
      </c>
    </row>
    <row r="32" spans="2:5" x14ac:dyDescent="0.25">
      <c r="D32" s="75">
        <v>0.14000000000000001</v>
      </c>
      <c r="E32">
        <v>14</v>
      </c>
    </row>
    <row r="33" spans="4:5" x14ac:dyDescent="0.25">
      <c r="D33" s="75">
        <v>0.15</v>
      </c>
      <c r="E33">
        <v>15</v>
      </c>
    </row>
    <row r="34" spans="4:5" x14ac:dyDescent="0.25">
      <c r="D34" s="75">
        <v>0.16</v>
      </c>
      <c r="E34">
        <v>16</v>
      </c>
    </row>
    <row r="35" spans="4:5" x14ac:dyDescent="0.25">
      <c r="D35" s="75">
        <v>0.17</v>
      </c>
      <c r="E35">
        <v>17</v>
      </c>
    </row>
    <row r="36" spans="4:5" x14ac:dyDescent="0.25">
      <c r="D36" s="75">
        <v>0.18</v>
      </c>
      <c r="E36">
        <v>18</v>
      </c>
    </row>
    <row r="37" spans="4:5" x14ac:dyDescent="0.25">
      <c r="D37" s="75">
        <v>0.19</v>
      </c>
      <c r="E37">
        <v>19</v>
      </c>
    </row>
    <row r="38" spans="4:5" x14ac:dyDescent="0.25">
      <c r="D38" s="75">
        <v>0.2</v>
      </c>
      <c r="E38">
        <v>20</v>
      </c>
    </row>
    <row r="39" spans="4:5" x14ac:dyDescent="0.25">
      <c r="D39" s="75">
        <v>0.21</v>
      </c>
      <c r="E39">
        <v>21</v>
      </c>
    </row>
    <row r="40" spans="4:5" x14ac:dyDescent="0.25">
      <c r="D40" s="75">
        <v>0.22</v>
      </c>
      <c r="E40">
        <v>22</v>
      </c>
    </row>
    <row r="41" spans="4:5" x14ac:dyDescent="0.25">
      <c r="D41" s="75">
        <v>0.23</v>
      </c>
      <c r="E41">
        <v>23</v>
      </c>
    </row>
    <row r="42" spans="4:5" x14ac:dyDescent="0.25">
      <c r="D42" s="75">
        <v>0.24</v>
      </c>
      <c r="E42">
        <v>24</v>
      </c>
    </row>
    <row r="43" spans="4:5" x14ac:dyDescent="0.25">
      <c r="D43" s="75">
        <v>0.25</v>
      </c>
      <c r="E43">
        <v>25</v>
      </c>
    </row>
    <row r="44" spans="4:5" x14ac:dyDescent="0.25">
      <c r="D44" s="75">
        <v>0.26</v>
      </c>
      <c r="E44">
        <v>26</v>
      </c>
    </row>
    <row r="45" spans="4:5" x14ac:dyDescent="0.25">
      <c r="D45" s="75">
        <v>0.27</v>
      </c>
      <c r="E45">
        <v>27</v>
      </c>
    </row>
    <row r="46" spans="4:5" x14ac:dyDescent="0.25">
      <c r="D46" s="75">
        <v>0.28000000000000003</v>
      </c>
      <c r="E46">
        <v>28</v>
      </c>
    </row>
    <row r="47" spans="4:5" x14ac:dyDescent="0.25">
      <c r="D47" s="75">
        <v>0.28999999999999998</v>
      </c>
      <c r="E47">
        <v>29</v>
      </c>
    </row>
    <row r="48" spans="4:5" x14ac:dyDescent="0.25">
      <c r="D48" s="75">
        <v>0.3</v>
      </c>
      <c r="E48">
        <v>30</v>
      </c>
    </row>
    <row r="49" spans="4:5" x14ac:dyDescent="0.25">
      <c r="D49" s="75">
        <v>0.31</v>
      </c>
      <c r="E49">
        <v>31</v>
      </c>
    </row>
    <row r="50" spans="4:5" x14ac:dyDescent="0.25">
      <c r="D50" s="75">
        <v>0.32</v>
      </c>
      <c r="E50">
        <v>32</v>
      </c>
    </row>
    <row r="51" spans="4:5" x14ac:dyDescent="0.25">
      <c r="D51" s="75">
        <v>0.33</v>
      </c>
      <c r="E51">
        <v>33</v>
      </c>
    </row>
    <row r="52" spans="4:5" x14ac:dyDescent="0.25">
      <c r="D52" s="75">
        <v>0.34</v>
      </c>
      <c r="E52">
        <v>34</v>
      </c>
    </row>
    <row r="53" spans="4:5" x14ac:dyDescent="0.25">
      <c r="D53" s="75">
        <v>0.35</v>
      </c>
      <c r="E53">
        <v>35</v>
      </c>
    </row>
    <row r="54" spans="4:5" x14ac:dyDescent="0.25">
      <c r="D54" s="75">
        <v>0.36</v>
      </c>
      <c r="E54">
        <v>36</v>
      </c>
    </row>
    <row r="55" spans="4:5" x14ac:dyDescent="0.25">
      <c r="D55" s="75">
        <v>0.37</v>
      </c>
      <c r="E55">
        <v>37</v>
      </c>
    </row>
    <row r="56" spans="4:5" x14ac:dyDescent="0.25">
      <c r="D56" s="75">
        <v>0.38</v>
      </c>
      <c r="E56">
        <v>38</v>
      </c>
    </row>
    <row r="57" spans="4:5" x14ac:dyDescent="0.25">
      <c r="D57" s="75">
        <v>0.39</v>
      </c>
      <c r="E57">
        <v>39</v>
      </c>
    </row>
    <row r="58" spans="4:5" x14ac:dyDescent="0.25">
      <c r="D58" s="75">
        <v>0.4</v>
      </c>
      <c r="E58">
        <v>40</v>
      </c>
    </row>
    <row r="59" spans="4:5" x14ac:dyDescent="0.25">
      <c r="D59" s="75">
        <v>0.41</v>
      </c>
      <c r="E59">
        <v>41</v>
      </c>
    </row>
    <row r="60" spans="4:5" x14ac:dyDescent="0.25">
      <c r="D60" s="75">
        <v>0.42</v>
      </c>
      <c r="E60">
        <v>42</v>
      </c>
    </row>
    <row r="61" spans="4:5" x14ac:dyDescent="0.25">
      <c r="D61" s="75">
        <v>0.43</v>
      </c>
      <c r="E61">
        <v>43</v>
      </c>
    </row>
    <row r="62" spans="4:5" x14ac:dyDescent="0.25">
      <c r="D62" s="75">
        <v>0.44</v>
      </c>
      <c r="E62">
        <v>44</v>
      </c>
    </row>
    <row r="63" spans="4:5" x14ac:dyDescent="0.25">
      <c r="D63" s="75">
        <v>0.45</v>
      </c>
      <c r="E63">
        <v>45</v>
      </c>
    </row>
    <row r="64" spans="4:5" x14ac:dyDescent="0.25">
      <c r="D64" s="75">
        <v>0.46</v>
      </c>
      <c r="E64">
        <v>46</v>
      </c>
    </row>
    <row r="65" spans="4:5" x14ac:dyDescent="0.25">
      <c r="D65" s="75">
        <v>0.47</v>
      </c>
      <c r="E65">
        <v>47</v>
      </c>
    </row>
    <row r="66" spans="4:5" x14ac:dyDescent="0.25">
      <c r="D66" s="75">
        <v>0.48</v>
      </c>
      <c r="E66">
        <v>48</v>
      </c>
    </row>
    <row r="67" spans="4:5" x14ac:dyDescent="0.25">
      <c r="D67" s="75">
        <v>0.49</v>
      </c>
      <c r="E67">
        <v>49</v>
      </c>
    </row>
    <row r="68" spans="4:5" x14ac:dyDescent="0.25">
      <c r="D68" s="75">
        <v>0.5</v>
      </c>
      <c r="E68">
        <v>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52"/>
  <sheetViews>
    <sheetView topLeftCell="B1" zoomScaleNormal="100" workbookViewId="0">
      <selection activeCell="U16" sqref="U16"/>
    </sheetView>
  </sheetViews>
  <sheetFormatPr baseColWidth="10" defaultRowHeight="15" x14ac:dyDescent="0.25"/>
  <cols>
    <col min="1" max="1" width="11.42578125" hidden="1" customWidth="1"/>
    <col min="3" max="3" width="12.5703125" bestFit="1" customWidth="1"/>
    <col min="4" max="4" width="11.42578125" hidden="1" customWidth="1"/>
    <col min="6" max="6" width="11.42578125" hidden="1" customWidth="1"/>
    <col min="8" max="8" width="11.42578125" hidden="1" customWidth="1"/>
    <col min="10" max="10" width="11.42578125" hidden="1" customWidth="1"/>
    <col min="12" max="12" width="11.42578125" hidden="1" customWidth="1"/>
    <col min="14" max="14" width="11.42578125" hidden="1" customWidth="1"/>
    <col min="16" max="16" width="11.42578125" hidden="1" customWidth="1"/>
    <col min="18" max="18" width="11.42578125" hidden="1" customWidth="1"/>
    <col min="20" max="20" width="11.42578125" hidden="1" customWidth="1"/>
    <col min="22" max="22" width="11.42578125" hidden="1" customWidth="1"/>
    <col min="24" max="24" width="11.42578125" hidden="1" customWidth="1"/>
    <col min="26" max="26" width="0" hidden="1" customWidth="1"/>
  </cols>
  <sheetData>
    <row r="2" spans="1:25" ht="15.75" thickBot="1" x14ac:dyDescent="0.3">
      <c r="B2" s="177">
        <f>'Feuille Diags'!E18</f>
        <v>0</v>
      </c>
      <c r="U2" s="1"/>
      <c r="V2" s="35"/>
      <c r="W2" s="2"/>
      <c r="X2" s="2"/>
    </row>
    <row r="3" spans="1:25" ht="15.75" thickBot="1" x14ac:dyDescent="0.3">
      <c r="B3" s="164">
        <f>IF('Feuille Diags'!E16=1,1,0)</f>
        <v>0</v>
      </c>
      <c r="C3" s="301" t="s">
        <v>57</v>
      </c>
      <c r="D3" s="302"/>
      <c r="E3" s="302"/>
      <c r="F3" s="302"/>
      <c r="G3" s="302"/>
      <c r="H3" s="302"/>
      <c r="I3" s="302"/>
      <c r="J3" s="302"/>
      <c r="K3" s="302"/>
      <c r="L3" s="302"/>
      <c r="M3" s="303"/>
      <c r="T3" s="110"/>
      <c r="U3" s="110"/>
      <c r="V3" s="123"/>
      <c r="W3" s="123"/>
    </row>
    <row r="4" spans="1:25" ht="15" customHeight="1" x14ac:dyDescent="0.25">
      <c r="A4" s="300">
        <f>'Feuille Diags'!F9</f>
        <v>0</v>
      </c>
      <c r="B4" s="308" t="s">
        <v>59</v>
      </c>
      <c r="C4" s="120" t="s">
        <v>4</v>
      </c>
      <c r="D4" s="116">
        <f>'Feuille Diags'!H10</f>
        <v>0</v>
      </c>
      <c r="E4" s="208" t="s">
        <v>6</v>
      </c>
      <c r="F4" s="208"/>
      <c r="G4" s="208"/>
      <c r="H4" s="40">
        <f>'Feuille Diags'!F10</f>
        <v>0</v>
      </c>
      <c r="I4" s="208" t="s">
        <v>5</v>
      </c>
      <c r="J4" s="208"/>
      <c r="K4" s="208"/>
      <c r="L4" s="208"/>
      <c r="M4" s="209"/>
      <c r="N4" s="111"/>
      <c r="O4" s="111"/>
      <c r="P4" s="111"/>
      <c r="Q4" s="111"/>
      <c r="R4" s="111"/>
      <c r="S4" s="111"/>
      <c r="T4" s="111"/>
      <c r="U4" s="111"/>
      <c r="V4" s="123"/>
      <c r="W4" s="123"/>
      <c r="X4" s="111"/>
    </row>
    <row r="5" spans="1:25" x14ac:dyDescent="0.25">
      <c r="A5" s="300"/>
      <c r="B5" s="309"/>
      <c r="C5" s="121" t="s">
        <v>3</v>
      </c>
      <c r="D5" s="115">
        <f>IF('Feuille Diags'!E13=1,1,IF('Feuille Diags'!F13=1,1,IF('Feuille Diags'!G13=1,1,IF('Feuille Diags'!H13=1,1,0))))</f>
        <v>0</v>
      </c>
      <c r="E5" s="60" t="s">
        <v>14</v>
      </c>
      <c r="F5" s="39">
        <f>IF('Feuille Diags'!I13=1,1,IF('Feuille Diags'!J13=1,1,IF('Feuille Diags'!K13=1,1,IF('Feuille Diags'!L13=1,1,0))))</f>
        <v>0</v>
      </c>
      <c r="G5" s="60" t="s">
        <v>15</v>
      </c>
      <c r="H5" s="39">
        <f>IF('Feuille Diags'!F13=1,1,IF('Feuille Diags'!G13=1,1,IF('Feuille Diags'!H13=1,1,IF('Feuille Diags'!I13=1,1,0))))</f>
        <v>0</v>
      </c>
      <c r="I5" s="60" t="s">
        <v>18</v>
      </c>
      <c r="J5" s="39">
        <f>IF('Feuille Diags'!J13=1,1,IF('Feuille Diags'!K13=1,1,0))</f>
        <v>0</v>
      </c>
      <c r="K5" s="60" t="s">
        <v>19</v>
      </c>
      <c r="L5" s="39">
        <f>IF('Feuille Diags'!L13=1,1,IF('Feuille Diags'!M13=1,1,0))</f>
        <v>0</v>
      </c>
      <c r="M5" s="61" t="s">
        <v>62</v>
      </c>
      <c r="N5" s="20"/>
      <c r="O5" s="111"/>
      <c r="P5" s="111"/>
      <c r="Q5" s="111"/>
      <c r="R5" s="111"/>
      <c r="S5" s="111"/>
      <c r="T5" s="111"/>
      <c r="U5" s="111"/>
      <c r="V5" s="111"/>
      <c r="W5" s="123"/>
      <c r="X5" s="123"/>
    </row>
    <row r="6" spans="1:25" x14ac:dyDescent="0.25">
      <c r="A6" s="300"/>
      <c r="B6" s="309"/>
      <c r="C6" s="121" t="s">
        <v>16</v>
      </c>
      <c r="D6" s="115">
        <f>IF('Feuille Diags'!$E$25=1,1,IF('Feuille Diags'!$E$28=1,1,IF('Feuille Diags'!$E$29=1,1,IF('Feuille Diags'!$E$30=1,1,IF('Feuille Diags'!$E$31=1,1,IF('Feuille Diags'!$E$32=1,1,IF('Feuille Diags'!$E$33=1,1,0)))))))</f>
        <v>0</v>
      </c>
      <c r="E6" s="60">
        <v>85</v>
      </c>
      <c r="F6" s="115">
        <f>IF('Feuille Diags'!$E$25=1,1,IF('Feuille Diags'!$E$28=1,1,IF('Feuille Diags'!$E$29=1,1,IF('Feuille Diags'!$E$30=1,1,IF('Feuille Diags'!$E$31=1,1,IF('Feuille Diags'!$E$32=1,1,IF('Feuille Diags'!$E$33=1,1,0)))))))</f>
        <v>0</v>
      </c>
      <c r="G6" s="60">
        <v>105</v>
      </c>
      <c r="H6" s="115">
        <f>IF('Feuille Diags'!$E$25=1,1,IF('Feuille Diags'!$E$28=1,1,IF('Feuille Diags'!$E$29=1,1,IF('Feuille Diags'!$E$30=1,1,IF('Feuille Diags'!$E$31=1,1,IF('Feuille Diags'!$E$32=1,1,IF('Feuille Diags'!$E$33=1,1,0)))))))</f>
        <v>0</v>
      </c>
      <c r="I6" s="60">
        <v>95</v>
      </c>
      <c r="J6" s="115">
        <f>IF('Feuille Diags'!$E$25=1,1,IF('Feuille Diags'!$E$28=1,1,IF('Feuille Diags'!$E$29=1,1,IF('Feuille Diags'!$E$30=1,1,IF('Feuille Diags'!$E$31=1,1,IF('Feuille Diags'!$E$32=1,1,IF('Feuille Diags'!$E$33=1,1,0)))))))</f>
        <v>0</v>
      </c>
      <c r="K6" s="60">
        <v>115</v>
      </c>
      <c r="L6" s="115">
        <f>IF('Feuille Diags'!$E$25=1,1,IF('Feuille Diags'!$E$28=1,1,IF('Feuille Diags'!$E$29=1,1,IF('Feuille Diags'!$E$30=1,1,IF('Feuille Diags'!$E$31=1,1,IF('Feuille Diags'!$E$32=1,1,IF('Feuille Diags'!$E$33=1,1,0)))))))</f>
        <v>0</v>
      </c>
      <c r="M6" s="61">
        <v>135</v>
      </c>
      <c r="N6" s="20"/>
      <c r="O6" s="111"/>
      <c r="P6" s="111"/>
      <c r="Q6" s="111"/>
      <c r="R6" s="111"/>
      <c r="S6" s="110"/>
      <c r="T6" s="110"/>
      <c r="U6" s="111"/>
      <c r="V6" s="111"/>
      <c r="W6" s="111"/>
      <c r="X6" s="111"/>
    </row>
    <row r="7" spans="1:25" x14ac:dyDescent="0.25">
      <c r="A7" s="300"/>
      <c r="B7" s="309"/>
      <c r="C7" s="121" t="s">
        <v>22</v>
      </c>
      <c r="D7" s="115">
        <f>'Feuille Diags'!$E$24</f>
        <v>0</v>
      </c>
      <c r="E7" s="60">
        <v>150</v>
      </c>
      <c r="F7" s="115">
        <f>'Feuille Diags'!$E$24</f>
        <v>0</v>
      </c>
      <c r="G7" s="60">
        <v>170</v>
      </c>
      <c r="H7" s="115">
        <f>'Feuille Diags'!$E$24</f>
        <v>0</v>
      </c>
      <c r="I7" s="60">
        <v>200</v>
      </c>
      <c r="J7" s="115">
        <f>'Feuille Diags'!$E$24</f>
        <v>0</v>
      </c>
      <c r="K7" s="60">
        <v>210</v>
      </c>
      <c r="L7" s="115">
        <f>'Feuille Diags'!$E$24</f>
        <v>0</v>
      </c>
      <c r="M7" s="61">
        <v>220</v>
      </c>
      <c r="N7" s="20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</row>
    <row r="8" spans="1:25" x14ac:dyDescent="0.25">
      <c r="A8" s="300"/>
      <c r="B8" s="309"/>
      <c r="C8" s="121" t="s">
        <v>17</v>
      </c>
      <c r="D8" s="115">
        <f>'Feuille Diags'!$E26</f>
        <v>0</v>
      </c>
      <c r="E8" s="60">
        <v>95</v>
      </c>
      <c r="F8" s="115">
        <f>'Feuille Diags'!$E26</f>
        <v>0</v>
      </c>
      <c r="G8" s="60">
        <v>115</v>
      </c>
      <c r="H8" s="115">
        <f>'Feuille Diags'!$E26</f>
        <v>0</v>
      </c>
      <c r="I8" s="60">
        <v>115</v>
      </c>
      <c r="J8" s="115">
        <f>'Feuille Diags'!$E26</f>
        <v>0</v>
      </c>
      <c r="K8" s="60">
        <v>120</v>
      </c>
      <c r="L8" s="115">
        <f>'Feuille Diags'!$E26</f>
        <v>0</v>
      </c>
      <c r="M8" s="61">
        <v>140</v>
      </c>
      <c r="N8" s="20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</row>
    <row r="9" spans="1:25" x14ac:dyDescent="0.25">
      <c r="A9" s="300"/>
      <c r="B9" s="309"/>
      <c r="C9" s="121" t="s">
        <v>25</v>
      </c>
      <c r="D9" s="115">
        <f>'Feuille Diags'!$E$27</f>
        <v>0</v>
      </c>
      <c r="E9" s="60">
        <v>30</v>
      </c>
      <c r="F9" s="115">
        <f>'Feuille Diags'!$E$27</f>
        <v>0</v>
      </c>
      <c r="G9" s="60">
        <v>30</v>
      </c>
      <c r="H9" s="115">
        <f>'Feuille Diags'!$E$27</f>
        <v>0</v>
      </c>
      <c r="I9" s="60">
        <v>30</v>
      </c>
      <c r="J9" s="115">
        <f>'Feuille Diags'!$E$27</f>
        <v>0</v>
      </c>
      <c r="K9" s="60">
        <v>30</v>
      </c>
      <c r="L9" s="115">
        <f>'Feuille Diags'!$E$27</f>
        <v>0</v>
      </c>
      <c r="M9" s="61">
        <v>30</v>
      </c>
      <c r="N9" s="20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</row>
    <row r="10" spans="1:25" x14ac:dyDescent="0.25">
      <c r="A10" s="300"/>
      <c r="B10" s="309"/>
      <c r="C10" s="121" t="s">
        <v>61</v>
      </c>
      <c r="D10" s="115">
        <f>'Feuille Diags'!$E$34</f>
        <v>0</v>
      </c>
      <c r="E10" s="60">
        <v>60</v>
      </c>
      <c r="F10" s="115">
        <f>'Feuille Diags'!$E$34</f>
        <v>0</v>
      </c>
      <c r="G10" s="60">
        <v>80</v>
      </c>
      <c r="H10" s="115">
        <f>'Feuille Diags'!$E$34</f>
        <v>0</v>
      </c>
      <c r="I10" s="60">
        <v>80</v>
      </c>
      <c r="J10" s="115">
        <f>'Feuille Diags'!$E$34</f>
        <v>0</v>
      </c>
      <c r="K10" s="60">
        <v>110</v>
      </c>
      <c r="L10" s="115">
        <f>'Feuille Diags'!$E$34</f>
        <v>0</v>
      </c>
      <c r="M10" s="61">
        <v>140</v>
      </c>
      <c r="N10" s="20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</row>
    <row r="11" spans="1:25" ht="15.75" thickBot="1" x14ac:dyDescent="0.3">
      <c r="A11" s="113"/>
      <c r="B11" s="310"/>
      <c r="C11" s="122" t="s">
        <v>135</v>
      </c>
      <c r="D11" s="118">
        <f>'Feuille Diags'!K33+'Feuille Diags'!K34</f>
        <v>0</v>
      </c>
      <c r="E11" s="67">
        <v>70</v>
      </c>
      <c r="F11" s="118">
        <f>'Feuille Diags'!$K$33+'Feuille Diags'!$K$34</f>
        <v>0</v>
      </c>
      <c r="G11" s="67">
        <v>70</v>
      </c>
      <c r="H11" s="118">
        <f>'Feuille Diags'!$K$33+'Feuille Diags'!$K$34</f>
        <v>0</v>
      </c>
      <c r="I11" s="67">
        <v>70</v>
      </c>
      <c r="J11" s="118">
        <f>'Feuille Diags'!$K$33+'Feuille Diags'!$K$34</f>
        <v>0</v>
      </c>
      <c r="K11" s="67">
        <v>70</v>
      </c>
      <c r="L11" s="118">
        <f>'Feuille Diags'!$K$33+'Feuille Diags'!$K$34</f>
        <v>0</v>
      </c>
      <c r="M11" s="68">
        <v>70</v>
      </c>
      <c r="N11" s="20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</row>
    <row r="12" spans="1:25" hidden="1" x14ac:dyDescent="0.25">
      <c r="B12" s="111"/>
      <c r="C12" s="111"/>
      <c r="D12" s="43">
        <f>B3*A4*D4*D5</f>
        <v>0</v>
      </c>
      <c r="E12" s="43">
        <f>D6*E6+D7*E7+D8*E8+D9*E9+D10*E10</f>
        <v>0</v>
      </c>
      <c r="F12" s="43">
        <f>B3*A4*D4*F5</f>
        <v>0</v>
      </c>
      <c r="G12" s="43">
        <f>F6*G6+F7*G7+F8*G8+F9*G9+F10*G10</f>
        <v>0</v>
      </c>
      <c r="H12" s="43">
        <f>H5*H4*A4*B3</f>
        <v>0</v>
      </c>
      <c r="I12" s="43">
        <f>H6*I6+H7*I7+H8*I8+H9*I9+H10*I10</f>
        <v>0</v>
      </c>
      <c r="J12" s="43">
        <f>J5*H4*A4*B3</f>
        <v>0</v>
      </c>
      <c r="K12" s="43">
        <f>J6*K6+J7*K7+J8*K8+J9*K9+J10*K10</f>
        <v>0</v>
      </c>
      <c r="L12" s="38">
        <f>L5*H4*A4*B3</f>
        <v>0</v>
      </c>
      <c r="M12" s="43">
        <f>L6*M6+L7*M7+L8*M8+L9*M9+L10*M10</f>
        <v>0</v>
      </c>
      <c r="N12" s="38">
        <f>D12*D11*E11+F12*F11*G11+H12*H11*I11+J12*J11*K11+L12*L11*M11</f>
        <v>0</v>
      </c>
    </row>
    <row r="13" spans="1:25" ht="15.75" hidden="1" thickBot="1" x14ac:dyDescent="0.3">
      <c r="B13" s="111"/>
      <c r="C13" s="111"/>
      <c r="D13" s="111"/>
      <c r="E13" s="43">
        <f>E12*D12</f>
        <v>0</v>
      </c>
      <c r="F13" s="111"/>
      <c r="G13" s="43">
        <f>G12*F12</f>
        <v>0</v>
      </c>
      <c r="H13" s="111"/>
      <c r="I13" s="43">
        <f>I12*H12</f>
        <v>0</v>
      </c>
      <c r="J13" s="111"/>
      <c r="K13" s="43">
        <f>K12*J12</f>
        <v>0</v>
      </c>
      <c r="M13" s="43">
        <f>M12*L12</f>
        <v>0</v>
      </c>
      <c r="N13" s="38">
        <f>M13+K13+I13+G13+E13</f>
        <v>0</v>
      </c>
    </row>
    <row r="14" spans="1:25" ht="15" customHeight="1" x14ac:dyDescent="0.25">
      <c r="A14" s="300">
        <f>'Feuille Diags'!H9</f>
        <v>0</v>
      </c>
      <c r="B14" s="308" t="s">
        <v>60</v>
      </c>
      <c r="C14" s="120" t="s">
        <v>4</v>
      </c>
      <c r="D14" s="116">
        <f>'Feuille Diags'!H10</f>
        <v>0</v>
      </c>
      <c r="E14" s="208" t="s">
        <v>6</v>
      </c>
      <c r="F14" s="208"/>
      <c r="G14" s="208"/>
      <c r="H14" s="40">
        <f>'Feuille Diags'!F10</f>
        <v>0</v>
      </c>
      <c r="I14" s="208" t="s">
        <v>5</v>
      </c>
      <c r="J14" s="208"/>
      <c r="K14" s="208"/>
      <c r="L14" s="208"/>
      <c r="M14" s="209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0"/>
    </row>
    <row r="15" spans="1:25" x14ac:dyDescent="0.25">
      <c r="A15" s="300"/>
      <c r="B15" s="309"/>
      <c r="C15" s="121" t="s">
        <v>3</v>
      </c>
      <c r="D15" s="115">
        <f>IF('Feuille Diags'!E13=1,1,IF('Feuille Diags'!F13=1,1,IF('Feuille Diags'!G13=1,1,IF('Feuille Diags'!H13=1,1,0))))</f>
        <v>0</v>
      </c>
      <c r="E15" s="60" t="s">
        <v>14</v>
      </c>
      <c r="F15" s="39">
        <f>IF('Feuille Diags'!I13=1,1,IF('Feuille Diags'!J13=1,1,IF('Feuille Diags'!K13=1,1,IF('Feuille Diags'!L13=1,1,0))))</f>
        <v>0</v>
      </c>
      <c r="G15" s="60" t="s">
        <v>15</v>
      </c>
      <c r="H15" s="39">
        <f>IF('Feuille Diags'!G13=1,1,IF('Feuille Diags'!H13=1,1,IF('Feuille Diags'!I13=1,1,0)))</f>
        <v>0</v>
      </c>
      <c r="I15" s="60" t="s">
        <v>18</v>
      </c>
      <c r="J15" s="39">
        <f>IF('Feuille Diags'!J13=1,1,IF('Feuille Diags'!K13=1,1,0))</f>
        <v>0</v>
      </c>
      <c r="K15" s="60" t="s">
        <v>19</v>
      </c>
      <c r="L15" s="39">
        <f>IF('Feuille Diags'!L13=1,1,IF('Feuille Diags'!M13=1,1,0))</f>
        <v>0</v>
      </c>
      <c r="M15" s="61" t="s">
        <v>62</v>
      </c>
      <c r="N15" s="20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</row>
    <row r="16" spans="1:25" x14ac:dyDescent="0.25">
      <c r="A16" s="300"/>
      <c r="B16" s="309"/>
      <c r="C16" s="121" t="s">
        <v>16</v>
      </c>
      <c r="D16" s="115">
        <f>IF('Feuille Diags'!G25=1,1,IF('Feuille Diags'!G28=1,1,0))</f>
        <v>0</v>
      </c>
      <c r="E16" s="60">
        <v>70</v>
      </c>
      <c r="F16" s="39">
        <f>IF('Feuille Diags'!G25=1,1,IF('Feuille Diags'!G28=1,1,0))</f>
        <v>0</v>
      </c>
      <c r="G16" s="60">
        <v>80</v>
      </c>
      <c r="H16" s="39">
        <f>IF('Feuille Diags'!G25=1,1,IF('Feuille Diags'!G28=1,1,0))</f>
        <v>0</v>
      </c>
      <c r="I16" s="60">
        <v>95</v>
      </c>
      <c r="J16" s="39">
        <f>IF('Feuille Diags'!G25=1,1,IF('Feuille Diags'!G28=1,1,0))</f>
        <v>0</v>
      </c>
      <c r="K16" s="60">
        <v>110</v>
      </c>
      <c r="L16" s="39">
        <f>IF('Feuille Diags'!G25=1,1,IF('Feuille Diags'!G28=1,1,0))</f>
        <v>0</v>
      </c>
      <c r="M16" s="61">
        <v>125</v>
      </c>
      <c r="N16" s="20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</row>
    <row r="17" spans="1:25" x14ac:dyDescent="0.25">
      <c r="A17" s="300"/>
      <c r="B17" s="309"/>
      <c r="C17" s="121" t="s">
        <v>22</v>
      </c>
      <c r="D17" s="115">
        <f>'Feuille Diags'!G24</f>
        <v>0</v>
      </c>
      <c r="E17" s="60">
        <v>110</v>
      </c>
      <c r="F17" s="39">
        <f>'Feuille Diags'!G24</f>
        <v>0</v>
      </c>
      <c r="G17" s="60">
        <v>130</v>
      </c>
      <c r="H17" s="39">
        <f>'Feuille Diags'!G24</f>
        <v>0</v>
      </c>
      <c r="I17" s="60">
        <v>140</v>
      </c>
      <c r="J17" s="39">
        <f>'Feuille Diags'!G24</f>
        <v>0</v>
      </c>
      <c r="K17" s="60">
        <v>150</v>
      </c>
      <c r="L17" s="39">
        <f>'Feuille Diags'!G24</f>
        <v>0</v>
      </c>
      <c r="M17" s="61">
        <v>160</v>
      </c>
      <c r="N17" s="20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</row>
    <row r="18" spans="1:25" x14ac:dyDescent="0.25">
      <c r="A18" s="300"/>
      <c r="B18" s="309"/>
      <c r="C18" s="121" t="s">
        <v>17</v>
      </c>
      <c r="D18" s="115">
        <f>'Feuille Diags'!G26</f>
        <v>0</v>
      </c>
      <c r="E18" s="60">
        <v>75</v>
      </c>
      <c r="F18" s="39">
        <f>'Feuille Diags'!G26</f>
        <v>0</v>
      </c>
      <c r="G18" s="60">
        <v>95</v>
      </c>
      <c r="H18" s="39">
        <f>'Feuille Diags'!G26</f>
        <v>0</v>
      </c>
      <c r="I18" s="60">
        <v>115</v>
      </c>
      <c r="J18" s="39">
        <f>'Feuille Diags'!G26</f>
        <v>0</v>
      </c>
      <c r="K18" s="60">
        <v>125</v>
      </c>
      <c r="L18" s="39">
        <f>'Feuille Diags'!G26</f>
        <v>0</v>
      </c>
      <c r="M18" s="61">
        <v>135</v>
      </c>
      <c r="N18" s="20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</row>
    <row r="19" spans="1:25" x14ac:dyDescent="0.25">
      <c r="A19" s="300"/>
      <c r="B19" s="309"/>
      <c r="C19" s="121" t="s">
        <v>25</v>
      </c>
      <c r="D19" s="115">
        <f>'Feuille Diags'!G27</f>
        <v>0</v>
      </c>
      <c r="E19" s="60">
        <v>30</v>
      </c>
      <c r="F19" s="39">
        <f>'Feuille Diags'!G27</f>
        <v>0</v>
      </c>
      <c r="G19" s="60">
        <v>30</v>
      </c>
      <c r="H19" s="39">
        <f>'Feuille Diags'!G27</f>
        <v>0</v>
      </c>
      <c r="I19" s="60">
        <v>30</v>
      </c>
      <c r="J19" s="39">
        <f>'Feuille Diags'!G27</f>
        <v>0</v>
      </c>
      <c r="K19" s="60">
        <v>30</v>
      </c>
      <c r="L19" s="39">
        <f>'Feuille Diags'!G27</f>
        <v>0</v>
      </c>
      <c r="M19" s="61">
        <v>30</v>
      </c>
      <c r="N19" s="20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</row>
    <row r="20" spans="1:25" x14ac:dyDescent="0.25">
      <c r="A20" s="300"/>
      <c r="B20" s="309"/>
      <c r="C20" s="121" t="s">
        <v>61</v>
      </c>
      <c r="D20" s="115">
        <f>'Feuille Diags'!G29</f>
        <v>0</v>
      </c>
      <c r="E20" s="60">
        <v>50</v>
      </c>
      <c r="F20" s="39">
        <f>'Feuille Diags'!G29</f>
        <v>0</v>
      </c>
      <c r="G20" s="60">
        <v>70</v>
      </c>
      <c r="H20" s="39">
        <f>'Feuille Diags'!G29</f>
        <v>0</v>
      </c>
      <c r="I20" s="60">
        <v>70</v>
      </c>
      <c r="J20" s="39">
        <f>'Feuille Diags'!G29</f>
        <v>0</v>
      </c>
      <c r="K20" s="60">
        <v>100</v>
      </c>
      <c r="L20" s="39">
        <f>'Feuille Diags'!G29</f>
        <v>0</v>
      </c>
      <c r="M20" s="61">
        <v>130</v>
      </c>
      <c r="N20" s="20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</row>
    <row r="21" spans="1:25" ht="13.5" customHeight="1" thickBot="1" x14ac:dyDescent="0.3">
      <c r="A21" s="113"/>
      <c r="B21" s="310"/>
      <c r="C21" s="122" t="s">
        <v>135</v>
      </c>
      <c r="D21" s="118">
        <f>'Feuille Diags'!$K$33+'Feuille Diags'!$K$34</f>
        <v>0</v>
      </c>
      <c r="E21" s="67">
        <v>70</v>
      </c>
      <c r="F21" s="118">
        <f>'Feuille Diags'!$K$33+'Feuille Diags'!$K$34</f>
        <v>0</v>
      </c>
      <c r="G21" s="67">
        <v>70</v>
      </c>
      <c r="H21" s="118">
        <f>'Feuille Diags'!$K$33+'Feuille Diags'!$K$34</f>
        <v>0</v>
      </c>
      <c r="I21" s="67">
        <v>70</v>
      </c>
      <c r="J21" s="118">
        <f>'Feuille Diags'!$K$33+'Feuille Diags'!$K$34</f>
        <v>0</v>
      </c>
      <c r="K21" s="67">
        <v>70</v>
      </c>
      <c r="L21" s="118">
        <f>'Feuille Diags'!$K$33+'Feuille Diags'!$K$34</f>
        <v>0</v>
      </c>
      <c r="M21" s="68">
        <v>70</v>
      </c>
      <c r="N21" s="20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</row>
    <row r="22" spans="1:25" hidden="1" x14ac:dyDescent="0.25">
      <c r="D22" s="38">
        <f>D15*D14*A14*B3</f>
        <v>0</v>
      </c>
      <c r="E22" s="43">
        <f>D16*E16+D17*E17+D18*E18+D19*E19+D20*E20</f>
        <v>0</v>
      </c>
      <c r="F22" s="43">
        <f>F15*D14*A14*B3</f>
        <v>0</v>
      </c>
      <c r="G22" s="43">
        <f>F16*G16+F17*G17+F18*G18+F19*G19+F20*G20</f>
        <v>0</v>
      </c>
      <c r="H22" s="43">
        <f>H15*H14*A14*B3</f>
        <v>0</v>
      </c>
      <c r="I22" s="43">
        <f>H16*I16+H17*I17+H18*I18+H19*I19+H20*I20</f>
        <v>0</v>
      </c>
      <c r="J22" s="119">
        <f>J15*H14*A14*B3</f>
        <v>0</v>
      </c>
      <c r="K22" s="43">
        <f>J16*K16+J17*K17+J18*K18+J19*K19+J20*K20</f>
        <v>0</v>
      </c>
      <c r="L22" s="119">
        <f>L15*H14*A14*B3</f>
        <v>0</v>
      </c>
      <c r="M22" s="43">
        <f>L16*M16+L17*M17+L18*M18+L19*M19+L20*M20</f>
        <v>0</v>
      </c>
      <c r="N22" s="43">
        <f>D22*D21*E21+F22*F21*G21+H22*H21*I21+J22*J21*K21+L22*L21*M21</f>
        <v>0</v>
      </c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</row>
    <row r="23" spans="1:25" hidden="1" x14ac:dyDescent="0.25">
      <c r="E23" s="43">
        <f>E22*D22</f>
        <v>0</v>
      </c>
      <c r="F23" s="111"/>
      <c r="G23" s="43">
        <f>G22*F22</f>
        <v>0</v>
      </c>
      <c r="H23" s="111"/>
      <c r="I23" s="43">
        <f>I22*H22</f>
        <v>0</v>
      </c>
      <c r="J23" s="111"/>
      <c r="K23" s="43">
        <f>K22*J22</f>
        <v>0</v>
      </c>
      <c r="L23" s="111"/>
      <c r="M23" s="43">
        <f>M22*L22</f>
        <v>0</v>
      </c>
      <c r="N23" s="43">
        <f>I23+G23+E23+K23+M23</f>
        <v>0</v>
      </c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</row>
    <row r="24" spans="1:25" ht="15.75" thickBot="1" x14ac:dyDescent="0.3">
      <c r="E24" s="44"/>
      <c r="F24" s="111"/>
      <c r="G24" s="44"/>
      <c r="H24" s="111"/>
      <c r="I24" s="44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</row>
    <row r="25" spans="1:25" ht="15.75" thickBot="1" x14ac:dyDescent="0.3">
      <c r="B25" s="164">
        <f>IF('Feuille Diags'!E16&gt;1,1,0)</f>
        <v>0</v>
      </c>
      <c r="C25" s="301" t="s">
        <v>58</v>
      </c>
      <c r="D25" s="302"/>
      <c r="E25" s="302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3"/>
    </row>
    <row r="26" spans="1:25" ht="15" customHeight="1" x14ac:dyDescent="0.25">
      <c r="B26" s="305" t="s">
        <v>97</v>
      </c>
      <c r="C26" s="201" t="s">
        <v>4</v>
      </c>
      <c r="D26" s="40">
        <f>'Feuille Diags'!H10</f>
        <v>0</v>
      </c>
      <c r="E26" s="208" t="s">
        <v>6</v>
      </c>
      <c r="F26" s="208"/>
      <c r="G26" s="208"/>
      <c r="H26" s="208"/>
      <c r="I26" s="208"/>
      <c r="J26" s="208"/>
      <c r="K26" s="208"/>
      <c r="L26" s="208"/>
      <c r="M26" s="208"/>
      <c r="N26" s="40">
        <f>'Feuille Diags'!F10</f>
        <v>0</v>
      </c>
      <c r="O26" s="208" t="s">
        <v>5</v>
      </c>
      <c r="P26" s="208"/>
      <c r="Q26" s="208"/>
      <c r="R26" s="208"/>
      <c r="S26" s="208"/>
      <c r="T26" s="208"/>
      <c r="U26" s="208"/>
      <c r="V26" s="208"/>
      <c r="W26" s="208"/>
      <c r="X26" s="208"/>
      <c r="Y26" s="209"/>
    </row>
    <row r="27" spans="1:25" x14ac:dyDescent="0.25">
      <c r="B27" s="306"/>
      <c r="C27" s="5" t="s">
        <v>3</v>
      </c>
      <c r="D27" s="39">
        <f>'Feuille Diags'!E13</f>
        <v>0</v>
      </c>
      <c r="E27" s="60" t="s">
        <v>34</v>
      </c>
      <c r="F27" s="39">
        <f>'Feuille Diags'!F13</f>
        <v>0</v>
      </c>
      <c r="G27" s="60" t="s">
        <v>35</v>
      </c>
      <c r="H27" s="39">
        <f>'Feuille Diags'!G13</f>
        <v>0</v>
      </c>
      <c r="I27" s="60" t="s">
        <v>36</v>
      </c>
      <c r="J27" s="39">
        <f>'Feuille Diags'!H13</f>
        <v>0</v>
      </c>
      <c r="K27" s="60" t="s">
        <v>37</v>
      </c>
      <c r="L27" s="39">
        <f>'Feuille Diags'!I13</f>
        <v>0</v>
      </c>
      <c r="M27" s="60" t="s">
        <v>38</v>
      </c>
      <c r="N27" s="39">
        <f>'Feuille Diags'!H13</f>
        <v>0</v>
      </c>
      <c r="O27" s="60" t="s">
        <v>39</v>
      </c>
      <c r="P27" s="39">
        <f>'Feuille Diags'!I13</f>
        <v>0</v>
      </c>
      <c r="Q27" s="60" t="s">
        <v>40</v>
      </c>
      <c r="R27" s="39">
        <f>'Feuille Diags'!J13</f>
        <v>0</v>
      </c>
      <c r="S27" s="60" t="s">
        <v>41</v>
      </c>
      <c r="T27" s="39">
        <f>'Feuille Diags'!K13</f>
        <v>0</v>
      </c>
      <c r="U27" s="60" t="s">
        <v>42</v>
      </c>
      <c r="V27" s="39">
        <f>'Feuille Diags'!L13</f>
        <v>0</v>
      </c>
      <c r="W27" s="60" t="s">
        <v>43</v>
      </c>
      <c r="X27" s="39">
        <f>'Feuille Diags'!M13</f>
        <v>0</v>
      </c>
      <c r="Y27" s="61" t="s">
        <v>44</v>
      </c>
    </row>
    <row r="28" spans="1:25" x14ac:dyDescent="0.25">
      <c r="B28" s="306"/>
      <c r="C28" s="114">
        <v>1</v>
      </c>
      <c r="D28" s="115">
        <f>IF('Feuille Diags'!$E$35=1,1,IF('Feuille Diags'!$G$35=1,1,IF('Feuille Diags'!$I$35=1,1,IF('Feuille Diags'!$K$35=1,1,0))))</f>
        <v>0</v>
      </c>
      <c r="E28" s="60">
        <v>75</v>
      </c>
      <c r="F28" s="115">
        <f>IF('Feuille Diags'!$E$35=1,1,IF('Feuille Diags'!$G$35=1,1,IF('Feuille Diags'!$I$35=1,1,IF('Feuille Diags'!$K$35=1,1,0))))</f>
        <v>0</v>
      </c>
      <c r="G28" s="60">
        <v>80</v>
      </c>
      <c r="H28" s="115">
        <f>IF('Feuille Diags'!$E$35=1,1,IF('Feuille Diags'!$G$35=1,1,IF('Feuille Diags'!$I$35=1,1,IF('Feuille Diags'!$K$35=1,1,0))))</f>
        <v>0</v>
      </c>
      <c r="I28" s="60">
        <v>80</v>
      </c>
      <c r="J28" s="115">
        <f>IF('Feuille Diags'!$E$35=1,1,IF('Feuille Diags'!$G$35=1,1,IF('Feuille Diags'!$I$35=1,1,IF('Feuille Diags'!$K$35=1,1,0))))</f>
        <v>0</v>
      </c>
      <c r="K28" s="60">
        <v>85</v>
      </c>
      <c r="L28" s="115">
        <f>IF('Feuille Diags'!$E$35=1,1,IF('Feuille Diags'!$G$35=1,1,IF('Feuille Diags'!$I$35=1,1,IF('Feuille Diags'!$K$35=1,1,0))))</f>
        <v>0</v>
      </c>
      <c r="M28" s="60">
        <v>95</v>
      </c>
      <c r="N28" s="115">
        <f>IF('Feuille Diags'!$E$35=1,1,IF('Feuille Diags'!$G$35=1,1,IF('Feuille Diags'!$I$35=1,1,IF('Feuille Diags'!$K$35=1,1,0))))</f>
        <v>0</v>
      </c>
      <c r="O28" s="60">
        <v>90</v>
      </c>
      <c r="P28" s="115">
        <f>IF('Feuille Diags'!$E$35=1,1,IF('Feuille Diags'!$G$35=1,1,IF('Feuille Diags'!$I$35=1,1,IF('Feuille Diags'!$K$35=1,1,0))))</f>
        <v>0</v>
      </c>
      <c r="Q28" s="60">
        <v>105</v>
      </c>
      <c r="R28" s="115">
        <f>IF('Feuille Diags'!$E$35=1,1,IF('Feuille Diags'!$G$35=1,1,IF('Feuille Diags'!$I$35=1,1,IF('Feuille Diags'!$K$35=1,1,0))))</f>
        <v>0</v>
      </c>
      <c r="S28" s="60">
        <v>110</v>
      </c>
      <c r="T28" s="115">
        <f>IF('Feuille Diags'!$E$35=1,1,IF('Feuille Diags'!$G$35=1,1,IF('Feuille Diags'!$I$35=1,1,IF('Feuille Diags'!$K$35=1,1,0))))</f>
        <v>0</v>
      </c>
      <c r="U28" s="60">
        <v>115</v>
      </c>
      <c r="V28" s="115">
        <f>IF('Feuille Diags'!$E$35=1,1,IF('Feuille Diags'!$G$35=1,1,IF('Feuille Diags'!$I$35=1,1,IF('Feuille Diags'!$K$35=1,1,0))))</f>
        <v>0</v>
      </c>
      <c r="W28" s="60">
        <v>125</v>
      </c>
      <c r="X28" s="115">
        <f>IF('Feuille Diags'!$E$35=1,1,IF('Feuille Diags'!$G$35=1,1,IF('Feuille Diags'!$I$35=1,1,IF('Feuille Diags'!$K$35=1,1,0))))</f>
        <v>0</v>
      </c>
      <c r="Y28" s="61">
        <v>130</v>
      </c>
    </row>
    <row r="29" spans="1:25" x14ac:dyDescent="0.25">
      <c r="B29" s="306"/>
      <c r="C29" s="114">
        <v>2</v>
      </c>
      <c r="D29" s="115">
        <f>IF('Feuille Diags'!$E$35=2,1,IF('Feuille Diags'!$G$35=2,1,IF('Feuille Diags'!$I$35=2,1,IF('Feuille Diags'!$K$35=2,1,0))))</f>
        <v>0</v>
      </c>
      <c r="E29" s="60">
        <f>E28*2*0.9</f>
        <v>135</v>
      </c>
      <c r="F29" s="115">
        <f>IF('Feuille Diags'!$E$35=2,1,IF('Feuille Diags'!$G$35=2,1,IF('Feuille Diags'!$I$35=2,1,IF('Feuille Diags'!$K$35=2,1,0))))</f>
        <v>0</v>
      </c>
      <c r="G29" s="60">
        <f>$E29+(($M29-$E29)/5*2)</f>
        <v>149.4</v>
      </c>
      <c r="H29" s="115">
        <f>IF('Feuille Diags'!$E$35=2,1,IF('Feuille Diags'!$G$35=2,1,IF('Feuille Diags'!$I$35=2,1,IF('Feuille Diags'!$K$35=2,1,0))))</f>
        <v>0</v>
      </c>
      <c r="I29" s="60">
        <f>$E29+(($M29-$E29)/5*3)</f>
        <v>156.6</v>
      </c>
      <c r="J29" s="115">
        <f>IF('Feuille Diags'!$E$35=2,1,IF('Feuille Diags'!$G$35=2,1,IF('Feuille Diags'!$I$35=2,1,IF('Feuille Diags'!$K$35=2,1,0))))</f>
        <v>0</v>
      </c>
      <c r="K29" s="60">
        <f>$E29+(($M29-$E29)/5*4)</f>
        <v>163.80000000000001</v>
      </c>
      <c r="L29" s="115">
        <f>IF('Feuille Diags'!$E$35=2,1,IF('Feuille Diags'!$G$35=2,1,IF('Feuille Diags'!$I$35=2,1,IF('Feuille Diags'!$K$35=2,1,0))))</f>
        <v>0</v>
      </c>
      <c r="M29" s="60">
        <f>M28*2*0.9</f>
        <v>171</v>
      </c>
      <c r="N29" s="115">
        <f>IF('Feuille Diags'!$E$35=2,1,IF('Feuille Diags'!$G$35=2,1,IF('Feuille Diags'!$I$35=2,1,IF('Feuille Diags'!$K$35=2,1,0))))</f>
        <v>0</v>
      </c>
      <c r="O29" s="60">
        <f>O28*2*0.9</f>
        <v>162</v>
      </c>
      <c r="P29" s="115">
        <f>IF('Feuille Diags'!$E$35=2,1,IF('Feuille Diags'!$G$35=2,1,IF('Feuille Diags'!$I$35=2,1,IF('Feuille Diags'!$K$35=2,1,0))))</f>
        <v>0</v>
      </c>
      <c r="Q29" s="60">
        <f>$O29+(($Y29-$O29)/6*2)</f>
        <v>186</v>
      </c>
      <c r="R29" s="115">
        <f>IF('Feuille Diags'!$E$35=2,1,IF('Feuille Diags'!$G$35=2,1,IF('Feuille Diags'!$I$35=2,1,IF('Feuille Diags'!$K$35=2,1,0))))</f>
        <v>0</v>
      </c>
      <c r="S29" s="60">
        <f>$O29+(($Y29-$O29)/6*3)</f>
        <v>198</v>
      </c>
      <c r="T29" s="115">
        <f>IF('Feuille Diags'!$E$35=2,1,IF('Feuille Diags'!$G$35=2,1,IF('Feuille Diags'!$I$35=2,1,IF('Feuille Diags'!$K$35=2,1,0))))</f>
        <v>0</v>
      </c>
      <c r="U29" s="60">
        <f>$O29+(($Y29-$O29)/6*4)</f>
        <v>210</v>
      </c>
      <c r="V29" s="115">
        <f>IF('Feuille Diags'!$E$35=2,1,IF('Feuille Diags'!$G$35=2,1,IF('Feuille Diags'!$I$35=2,1,IF('Feuille Diags'!$K$35=2,1,0))))</f>
        <v>0</v>
      </c>
      <c r="W29" s="60">
        <f>$O29+(($Y29-$O29)/6*5)</f>
        <v>222</v>
      </c>
      <c r="X29" s="115">
        <f>IF('Feuille Diags'!$E$35=2,1,IF('Feuille Diags'!$G$35=2,1,IF('Feuille Diags'!$I$35=2,1,IF('Feuille Diags'!$K$35=2,1,0))))</f>
        <v>0</v>
      </c>
      <c r="Y29" s="61">
        <f>Y28*2*0.9</f>
        <v>234</v>
      </c>
    </row>
    <row r="30" spans="1:25" x14ac:dyDescent="0.25">
      <c r="B30" s="306"/>
      <c r="C30" s="114">
        <v>3</v>
      </c>
      <c r="D30" s="115">
        <f>IF('Feuille Diags'!$E$35=3,1,IF('Feuille Diags'!$G$35=3,1,IF('Feuille Diags'!$I$35=3,1,IF('Feuille Diags'!$K$35=3,1,0))))</f>
        <v>0</v>
      </c>
      <c r="E30" s="60">
        <f>E28*3*0.88</f>
        <v>198</v>
      </c>
      <c r="F30" s="115">
        <f>IF('Feuille Diags'!$E$35=3,1,IF('Feuille Diags'!$G$35=3,1,IF('Feuille Diags'!$I$35=3,1,IF('Feuille Diags'!$K$35=3,1,0))))</f>
        <v>0</v>
      </c>
      <c r="G30" s="60">
        <f t="shared" ref="G30:G32" si="0">$E30+(($M30-$E30)/5*2)</f>
        <v>219.12</v>
      </c>
      <c r="H30" s="115">
        <f>IF('Feuille Diags'!$E$35=3,1,IF('Feuille Diags'!$G$35=3,1,IF('Feuille Diags'!$I$35=3,1,IF('Feuille Diags'!$K$35=3,1,0))))</f>
        <v>0</v>
      </c>
      <c r="I30" s="60">
        <f t="shared" ref="I30:I32" si="1">$E30+(($M30-$E30)/5*3)</f>
        <v>229.68</v>
      </c>
      <c r="J30" s="115">
        <f>IF('Feuille Diags'!$E$35=3,1,IF('Feuille Diags'!$G$35=3,1,IF('Feuille Diags'!$I$35=3,1,IF('Feuille Diags'!$K$35=3,1,0))))</f>
        <v>0</v>
      </c>
      <c r="K30" s="60">
        <f t="shared" ref="K30:K32" si="2">$E30+(($M30-$E30)/5*4)</f>
        <v>240.24</v>
      </c>
      <c r="L30" s="115">
        <f>IF('Feuille Diags'!$E$35=3,1,IF('Feuille Diags'!$G$35=3,1,IF('Feuille Diags'!$I$35=3,1,IF('Feuille Diags'!$K$35=3,1,0))))</f>
        <v>0</v>
      </c>
      <c r="M30" s="60">
        <f>M28*3*0.88</f>
        <v>250.8</v>
      </c>
      <c r="N30" s="115">
        <f>IF('Feuille Diags'!$E$35=3,1,IF('Feuille Diags'!$G$35=3,1,IF('Feuille Diags'!$I$35=3,1,IF('Feuille Diags'!$K$35=3,1,0))))</f>
        <v>0</v>
      </c>
      <c r="O30" s="60">
        <f>O28*3*0.88</f>
        <v>237.6</v>
      </c>
      <c r="P30" s="115">
        <f>IF('Feuille Diags'!$E$35=3,1,IF('Feuille Diags'!$G$35=3,1,IF('Feuille Diags'!$I$35=3,1,IF('Feuille Diags'!$K$35=3,1,0))))</f>
        <v>0</v>
      </c>
      <c r="Q30" s="60">
        <f>$O30+(($Y30-$O30)/6*2)</f>
        <v>272.8</v>
      </c>
      <c r="R30" s="115">
        <f>IF('Feuille Diags'!$E$35=2,1,IF('Feuille Diags'!$G$35=2,1,IF('Feuille Diags'!$I$35=2,1,IF('Feuille Diags'!$K$35=2,1,0))))</f>
        <v>0</v>
      </c>
      <c r="S30" s="60">
        <f>$O30+(($Y30-$O30)/6*3)</f>
        <v>290.39999999999998</v>
      </c>
      <c r="T30" s="115">
        <f>IF('Feuille Diags'!$E$35=2,1,IF('Feuille Diags'!$G$35=2,1,IF('Feuille Diags'!$I$35=2,1,IF('Feuille Diags'!$K$35=2,1,0))))</f>
        <v>0</v>
      </c>
      <c r="U30" s="60">
        <f>$O30+(($Y30-$O30)/6*4)</f>
        <v>308</v>
      </c>
      <c r="V30" s="115">
        <f>IF('Feuille Diags'!$E$35=2,1,IF('Feuille Diags'!$G$35=2,1,IF('Feuille Diags'!$I$35=2,1,IF('Feuille Diags'!$K$35=2,1,0))))</f>
        <v>0</v>
      </c>
      <c r="W30" s="60">
        <f>$O30+(($Y30-$O30)/6*5)</f>
        <v>325.59999999999997</v>
      </c>
      <c r="X30" s="115">
        <f>IF('Feuille Diags'!$E$35=3,1,IF('Feuille Diags'!$G$35=3,1,IF('Feuille Diags'!$I$35=3,1,IF('Feuille Diags'!$K$35=3,1,0))))</f>
        <v>0</v>
      </c>
      <c r="Y30" s="61">
        <f>Y28*3*0.88</f>
        <v>343.2</v>
      </c>
    </row>
    <row r="31" spans="1:25" x14ac:dyDescent="0.25">
      <c r="B31" s="306"/>
      <c r="C31" s="114">
        <v>4</v>
      </c>
      <c r="D31" s="115">
        <f>IF('Feuille Diags'!$E$35=4,1,IF('Feuille Diags'!$G$35=4,1,IF('Feuille Diags'!$I$35=4,1,IF('Feuille Diags'!$K$35=4,1,0))))</f>
        <v>0</v>
      </c>
      <c r="E31" s="60">
        <f>E28*4*0.86</f>
        <v>258</v>
      </c>
      <c r="F31" s="115">
        <f>IF('Feuille Diags'!$E$35=4,1,IF('Feuille Diags'!$G$35=4,1,IF('Feuille Diags'!$I$35=4,1,IF('Feuille Diags'!$K$35=4,1,0))))</f>
        <v>0</v>
      </c>
      <c r="G31" s="60">
        <f t="shared" si="0"/>
        <v>285.52</v>
      </c>
      <c r="H31" s="115">
        <f>IF('Feuille Diags'!$E$35=4,1,IF('Feuille Diags'!$G$35=4,1,IF('Feuille Diags'!$I$35=4,1,IF('Feuille Diags'!$K$35=4,1,0))))</f>
        <v>0</v>
      </c>
      <c r="I31" s="60">
        <f t="shared" si="1"/>
        <v>299.27999999999997</v>
      </c>
      <c r="J31" s="115">
        <f>IF('Feuille Diags'!$E$35=4,1,IF('Feuille Diags'!$G$35=4,1,IF('Feuille Diags'!$I$35=4,1,IF('Feuille Diags'!$K$35=4,1,0))))</f>
        <v>0</v>
      </c>
      <c r="K31" s="60">
        <f t="shared" si="2"/>
        <v>313.04000000000002</v>
      </c>
      <c r="L31" s="115">
        <f>IF('Feuille Diags'!$E$35=4,1,IF('Feuille Diags'!$G$35=4,1,IF('Feuille Diags'!$I$35=4,1,IF('Feuille Diags'!$K$35=4,1,0))))</f>
        <v>0</v>
      </c>
      <c r="M31" s="60">
        <f>M28*4*0.86</f>
        <v>326.8</v>
      </c>
      <c r="N31" s="115">
        <f>IF('Feuille Diags'!$E$35=4,1,IF('Feuille Diags'!$G$35=4,1,IF('Feuille Diags'!$I$35=4,1,IF('Feuille Diags'!$K$35=4,1,0))))</f>
        <v>0</v>
      </c>
      <c r="O31" s="60">
        <f>O28*4*0.86</f>
        <v>309.60000000000002</v>
      </c>
      <c r="P31" s="115">
        <f>IF('Feuille Diags'!$E$35=4,1,IF('Feuille Diags'!$G$35=4,1,IF('Feuille Diags'!$I$35=4,1,IF('Feuille Diags'!$K$35=4,1,0))))</f>
        <v>0</v>
      </c>
      <c r="Q31" s="202">
        <f>$O31+(($Y31-$O31)/6*2)</f>
        <v>355.4666666666667</v>
      </c>
      <c r="R31" s="203">
        <f>IF('Feuille Diags'!$E$35=2,1,IF('Feuille Diags'!$G$35=2,1,IF('Feuille Diags'!$I$35=2,1,IF('Feuille Diags'!$K$35=2,1,0))))</f>
        <v>0</v>
      </c>
      <c r="S31" s="202">
        <f>$O31+(($Y31-$O31)/6*3)</f>
        <v>378.4</v>
      </c>
      <c r="T31" s="203">
        <f>IF('Feuille Diags'!$E$35=2,1,IF('Feuille Diags'!$G$35=2,1,IF('Feuille Diags'!$I$35=2,1,IF('Feuille Diags'!$K$35=2,1,0))))</f>
        <v>0</v>
      </c>
      <c r="U31" s="202">
        <f>$O31+(($Y31-$O31)/6*4)</f>
        <v>401.33333333333331</v>
      </c>
      <c r="V31" s="203">
        <f>IF('Feuille Diags'!$E$35=2,1,IF('Feuille Diags'!$G$35=2,1,IF('Feuille Diags'!$I$35=2,1,IF('Feuille Diags'!$K$35=2,1,0))))</f>
        <v>0</v>
      </c>
      <c r="W31" s="202">
        <f>$O31+(($Y31-$O31)/6*5)</f>
        <v>424.26666666666665</v>
      </c>
      <c r="X31" s="115">
        <f>IF('Feuille Diags'!$E$35=4,1,IF('Feuille Diags'!$G$35=4,1,IF('Feuille Diags'!$I$35=4,1,IF('Feuille Diags'!$K$35=4,1,0))))</f>
        <v>0</v>
      </c>
      <c r="Y31" s="61">
        <f>Y28*4*0.86</f>
        <v>447.2</v>
      </c>
    </row>
    <row r="32" spans="1:25" x14ac:dyDescent="0.25">
      <c r="B32" s="306"/>
      <c r="C32" s="114">
        <v>5</v>
      </c>
      <c r="D32" s="115">
        <f>IF('Feuille Diags'!$E$35=5,1,IF('Feuille Diags'!$G$35=5,1,IF('Feuille Diags'!$I$35=5,1,IF('Feuille Diags'!$K$35=5,1,0))))</f>
        <v>0</v>
      </c>
      <c r="E32" s="60">
        <f>E28*5*0.85</f>
        <v>318.75</v>
      </c>
      <c r="F32" s="115">
        <f>IF('Feuille Diags'!$E$35=5,1,IF('Feuille Diags'!$G$35=5,1,IF('Feuille Diags'!$I$35=5,1,IF('Feuille Diags'!$K$35=5,1,0))))</f>
        <v>0</v>
      </c>
      <c r="G32" s="60">
        <f t="shared" si="0"/>
        <v>352.75</v>
      </c>
      <c r="H32" s="115">
        <f>IF('Feuille Diags'!$E$35=5,1,IF('Feuille Diags'!$G$35=5,1,IF('Feuille Diags'!$I$35=5,1,IF('Feuille Diags'!$K$35=5,1,0))))</f>
        <v>0</v>
      </c>
      <c r="I32" s="60">
        <f t="shared" si="1"/>
        <v>369.75</v>
      </c>
      <c r="J32" s="115">
        <f>IF('Feuille Diags'!$E$35=5,1,IF('Feuille Diags'!$G$35=5,1,IF('Feuille Diags'!$I$35=5,1,IF('Feuille Diags'!$K$35=5,1,0))))</f>
        <v>0</v>
      </c>
      <c r="K32" s="60">
        <f t="shared" si="2"/>
        <v>386.75</v>
      </c>
      <c r="L32" s="115">
        <f>IF('Feuille Diags'!$E$35=5,1,IF('Feuille Diags'!$G$35=5,1,IF('Feuille Diags'!$I$35=5,1,IF('Feuille Diags'!$K$35=5,1,0))))</f>
        <v>0</v>
      </c>
      <c r="M32" s="60">
        <f>M28*5*0.85</f>
        <v>403.75</v>
      </c>
      <c r="N32" s="115">
        <f>IF('Feuille Diags'!$E$35=5,1,IF('Feuille Diags'!$G$35=5,1,IF('Feuille Diags'!$I$35=5,1,IF('Feuille Diags'!$K$35=5,1,0))))</f>
        <v>0</v>
      </c>
      <c r="O32" s="60">
        <f>O28*5*0.85</f>
        <v>382.5</v>
      </c>
      <c r="P32" s="115">
        <f>IF('Feuille Diags'!$E$35=5,1,IF('Feuille Diags'!$G$35=5,1,IF('Feuille Diags'!$I$35=5,1,IF('Feuille Diags'!$K$35=5,1,0))))</f>
        <v>0</v>
      </c>
      <c r="Q32" s="202">
        <f>$O32+(($Y32-$O32)/6*2)</f>
        <v>439.16666666666669</v>
      </c>
      <c r="R32" s="203">
        <f>IF('Feuille Diags'!$E$35=2,1,IF('Feuille Diags'!$G$35=2,1,IF('Feuille Diags'!$I$35=2,1,IF('Feuille Diags'!$K$35=2,1,0))))</f>
        <v>0</v>
      </c>
      <c r="S32" s="202">
        <f>$O32+(($Y32-$O32)/6*3)</f>
        <v>467.5</v>
      </c>
      <c r="T32" s="203">
        <f>IF('Feuille Diags'!$E$35=2,1,IF('Feuille Diags'!$G$35=2,1,IF('Feuille Diags'!$I$35=2,1,IF('Feuille Diags'!$K$35=2,1,0))))</f>
        <v>0</v>
      </c>
      <c r="U32" s="202">
        <f>$O32+(($Y32-$O32)/6*4)</f>
        <v>495.83333333333331</v>
      </c>
      <c r="V32" s="203">
        <f>IF('Feuille Diags'!$E$35=2,1,IF('Feuille Diags'!$G$35=2,1,IF('Feuille Diags'!$I$35=2,1,IF('Feuille Diags'!$K$35=2,1,0))))</f>
        <v>0</v>
      </c>
      <c r="W32" s="202">
        <f>$O32+(($Y32-$O32)/6*5)</f>
        <v>524.16666666666663</v>
      </c>
      <c r="X32" s="115">
        <f>IF('Feuille Diags'!$E$35=5,1,IF('Feuille Diags'!$G$35=5,1,IF('Feuille Diags'!$I$35=5,1,IF('Feuille Diags'!$K$35=5,1,0))))</f>
        <v>0</v>
      </c>
      <c r="Y32" s="61">
        <f>Y28*5*0.85</f>
        <v>552.5</v>
      </c>
    </row>
    <row r="33" spans="2:26" x14ac:dyDescent="0.25">
      <c r="B33" s="306"/>
      <c r="C33" s="114" t="str">
        <f xml:space="preserve"> "+DPE"</f>
        <v>+DPE</v>
      </c>
      <c r="D33" s="115">
        <f>IF('Feuille Diags'!$E$26=1,1,IF('Feuille Diags'!$G$26=1,1,0))</f>
        <v>0</v>
      </c>
      <c r="E33" s="60">
        <f>E34*0.6</f>
        <v>72</v>
      </c>
      <c r="F33" s="115">
        <f>IF('Feuille Diags'!$E$26=1,1,IF('Feuille Diags'!$G$26=1,1,0))</f>
        <v>0</v>
      </c>
      <c r="G33" s="60">
        <f t="shared" ref="G33:Y33" si="3">G34*0.6</f>
        <v>75</v>
      </c>
      <c r="H33" s="115">
        <f>IF('Feuille Diags'!$E$26=1,1,IF('Feuille Diags'!$G$26=1,1,0))</f>
        <v>0</v>
      </c>
      <c r="I33" s="60">
        <f t="shared" si="3"/>
        <v>78</v>
      </c>
      <c r="J33" s="115">
        <f>IF('Feuille Diags'!$E$26=1,1,IF('Feuille Diags'!$G$26=1,1,0))</f>
        <v>0</v>
      </c>
      <c r="K33" s="60">
        <f t="shared" si="3"/>
        <v>81</v>
      </c>
      <c r="L33" s="115">
        <f>IF('Feuille Diags'!$E$26=1,1,IF('Feuille Diags'!$G$26=1,1,0))</f>
        <v>0</v>
      </c>
      <c r="M33" s="60">
        <f t="shared" si="3"/>
        <v>84</v>
      </c>
      <c r="N33" s="115">
        <f>IF('Feuille Diags'!$E$26=1,1,IF('Feuille Diags'!$G$26=1,1,0))</f>
        <v>0</v>
      </c>
      <c r="O33" s="60">
        <f t="shared" si="3"/>
        <v>90</v>
      </c>
      <c r="P33" s="115">
        <f>IF('Feuille Diags'!$E$26=1,1,IF('Feuille Diags'!$G$26=1,1,0))</f>
        <v>0</v>
      </c>
      <c r="Q33" s="60">
        <f t="shared" si="3"/>
        <v>93</v>
      </c>
      <c r="R33" s="115">
        <f>IF('Feuille Diags'!$E$26=1,1,IF('Feuille Diags'!$G$26=1,1,0))</f>
        <v>0</v>
      </c>
      <c r="S33" s="60">
        <f t="shared" si="3"/>
        <v>96</v>
      </c>
      <c r="T33" s="115">
        <f>IF('Feuille Diags'!$E$26=1,1,IF('Feuille Diags'!$G$26=1,1,0))</f>
        <v>0</v>
      </c>
      <c r="U33" s="60">
        <f t="shared" si="3"/>
        <v>99</v>
      </c>
      <c r="V33" s="115">
        <f>IF('Feuille Diags'!$E$26=1,1,IF('Feuille Diags'!$G$26=1,1,0))</f>
        <v>0</v>
      </c>
      <c r="W33" s="60">
        <f t="shared" si="3"/>
        <v>102</v>
      </c>
      <c r="X33" s="115">
        <f>IF('Feuille Diags'!$E$26=1,1,IF('Feuille Diags'!$G$26=1,1,0))</f>
        <v>0</v>
      </c>
      <c r="Y33" s="61">
        <f t="shared" si="3"/>
        <v>105</v>
      </c>
    </row>
    <row r="34" spans="2:26" x14ac:dyDescent="0.25">
      <c r="B34" s="306"/>
      <c r="C34" s="114" t="str">
        <f xml:space="preserve"> "+Plomb"</f>
        <v>+Plomb</v>
      </c>
      <c r="D34" s="115">
        <f>IF('Feuille Diags'!$E$24=1,1,IF('Feuille Diags'!$G$24=1,1,IF('Feuille Diags'!$I$24=1,1,IF('Feuille Diags'!$K$24=1,1,0))))</f>
        <v>0</v>
      </c>
      <c r="E34" s="60">
        <v>120</v>
      </c>
      <c r="F34" s="115">
        <f>IF('Feuille Diags'!$E$24=1,1,IF('Feuille Diags'!$G$24=1,1,IF('Feuille Diags'!$I$24=1,1,IF('Feuille Diags'!$K$24=1,1,0))))</f>
        <v>0</v>
      </c>
      <c r="G34" s="60">
        <v>125</v>
      </c>
      <c r="H34" s="115">
        <f>IF('Feuille Diags'!$E$24=1,1,IF('Feuille Diags'!$G$24=1,1,IF('Feuille Diags'!$I$24=1,1,IF('Feuille Diags'!$K$24=1,1,0))))</f>
        <v>0</v>
      </c>
      <c r="I34" s="60">
        <v>130</v>
      </c>
      <c r="J34" s="115">
        <f>IF('Feuille Diags'!$E$24=1,1,IF('Feuille Diags'!$G$24=1,1,IF('Feuille Diags'!$I$24=1,1,IF('Feuille Diags'!$K$24=1,1,0))))</f>
        <v>0</v>
      </c>
      <c r="K34" s="60">
        <v>135</v>
      </c>
      <c r="L34" s="115">
        <f>IF('Feuille Diags'!$E$24=1,1,IF('Feuille Diags'!$G$24=1,1,IF('Feuille Diags'!$I$24=1,1,IF('Feuille Diags'!$K$24=1,1,0))))</f>
        <v>0</v>
      </c>
      <c r="M34" s="60">
        <v>140</v>
      </c>
      <c r="N34" s="115">
        <f>IF('Feuille Diags'!$E$24=1,1,IF('Feuille Diags'!$G$24=1,1,IF('Feuille Diags'!$I$24=1,1,IF('Feuille Diags'!$K$24=1,1,0))))</f>
        <v>0</v>
      </c>
      <c r="O34" s="60">
        <v>150</v>
      </c>
      <c r="P34" s="115">
        <f>IF('Feuille Diags'!$E$24=1,1,IF('Feuille Diags'!$G$24=1,1,IF('Feuille Diags'!$I$24=1,1,IF('Feuille Diags'!$K$24=1,1,0))))</f>
        <v>0</v>
      </c>
      <c r="Q34" s="60">
        <v>155</v>
      </c>
      <c r="R34" s="115">
        <f>IF('Feuille Diags'!$E$24=1,1,IF('Feuille Diags'!$G$24=1,1,IF('Feuille Diags'!$I$24=1,1,IF('Feuille Diags'!$K$24=1,1,0))))</f>
        <v>0</v>
      </c>
      <c r="S34" s="60">
        <v>160</v>
      </c>
      <c r="T34" s="115">
        <f>IF('Feuille Diags'!$E$24=1,1,IF('Feuille Diags'!$G$24=1,1,IF('Feuille Diags'!$I$24=1,1,IF('Feuille Diags'!$K$24=1,1,0))))</f>
        <v>0</v>
      </c>
      <c r="U34" s="60">
        <v>165</v>
      </c>
      <c r="V34" s="115">
        <f>IF('Feuille Diags'!$E$24=1,1,IF('Feuille Diags'!$G$24=1,1,IF('Feuille Diags'!$I$24=1,1,IF('Feuille Diags'!$K$24=1,1,0))))</f>
        <v>0</v>
      </c>
      <c r="W34" s="60">
        <v>170</v>
      </c>
      <c r="X34" s="115">
        <f>IF('Feuille Diags'!$E$24=1,1,IF('Feuille Diags'!$G$24=1,1,IF('Feuille Diags'!$I$24=1,1,IF('Feuille Diags'!$K$24=1,1,0))))</f>
        <v>0</v>
      </c>
      <c r="Y34" s="61">
        <v>175</v>
      </c>
    </row>
    <row r="35" spans="2:26" x14ac:dyDescent="0.25">
      <c r="B35" s="306"/>
      <c r="C35" s="114" t="str">
        <f>"+ERNT"</f>
        <v>+ERNT</v>
      </c>
      <c r="D35" s="115">
        <f>IF('Feuille Diags'!$E$27=1,1,IF('Feuille Diags'!$G$27=1,1,0))</f>
        <v>0</v>
      </c>
      <c r="E35" s="60">
        <v>30</v>
      </c>
      <c r="F35" s="115">
        <f>IF('Feuille Diags'!$E$27=1,1,IF('Feuille Diags'!$G$27=1,1,0))</f>
        <v>0</v>
      </c>
      <c r="G35" s="27">
        <v>30</v>
      </c>
      <c r="H35" s="115">
        <f>IF('Feuille Diags'!$E$27=1,1,IF('Feuille Diags'!$G$27=1,1,0))</f>
        <v>0</v>
      </c>
      <c r="I35" s="27">
        <v>30</v>
      </c>
      <c r="J35" s="115">
        <f>IF('Feuille Diags'!$E$27=1,1,IF('Feuille Diags'!$G$27=1,1,0))</f>
        <v>0</v>
      </c>
      <c r="K35" s="27">
        <v>30</v>
      </c>
      <c r="L35" s="115">
        <f>IF('Feuille Diags'!$E$27=1,1,IF('Feuille Diags'!$G$27=1,1,0))</f>
        <v>0</v>
      </c>
      <c r="M35" s="60">
        <v>30</v>
      </c>
      <c r="N35" s="115">
        <f>IF('Feuille Diags'!$E$27=1,1,IF('Feuille Diags'!$G$27=1,1,0))</f>
        <v>0</v>
      </c>
      <c r="O35" s="27">
        <v>30</v>
      </c>
      <c r="P35" s="115">
        <f>IF('Feuille Diags'!$E$27=1,1,IF('Feuille Diags'!$G$27=1,1,0))</f>
        <v>0</v>
      </c>
      <c r="Q35" s="27">
        <v>30</v>
      </c>
      <c r="R35" s="115">
        <f>IF('Feuille Diags'!$E$27=1,1,IF('Feuille Diags'!$G$27=1,1,0))</f>
        <v>0</v>
      </c>
      <c r="S35" s="27">
        <v>30</v>
      </c>
      <c r="T35" s="115">
        <f>IF('Feuille Diags'!$E$27=1,1,IF('Feuille Diags'!$G$27=1,1,0))</f>
        <v>0</v>
      </c>
      <c r="U35" s="27">
        <v>30</v>
      </c>
      <c r="V35" s="115">
        <f>IF('Feuille Diags'!$E$27=1,1,IF('Feuille Diags'!$G$27=1,1,0))</f>
        <v>0</v>
      </c>
      <c r="W35" s="27">
        <v>30</v>
      </c>
      <c r="X35" s="115">
        <f>IF('Feuille Diags'!$E$27=1,1,IF('Feuille Diags'!$G$27=1,1,0))</f>
        <v>0</v>
      </c>
      <c r="Y35" s="57">
        <v>30</v>
      </c>
    </row>
    <row r="36" spans="2:26" x14ac:dyDescent="0.25">
      <c r="B36" s="306"/>
      <c r="C36" s="114" t="str">
        <f>"+CI"</f>
        <v>+CI</v>
      </c>
      <c r="D36" s="115">
        <f>IF('Feuille Diags'!$E$34=1,1,IF('Feuille Diags'!$G$29=1,1,0))</f>
        <v>0</v>
      </c>
      <c r="E36" s="60">
        <v>45</v>
      </c>
      <c r="F36" s="115">
        <f>IF('Feuille Diags'!$E$34=1,1,IF('Feuille Diags'!$G$29=1,1,0))</f>
        <v>0</v>
      </c>
      <c r="G36" s="27">
        <v>50</v>
      </c>
      <c r="H36" s="115">
        <f>IF('Feuille Diags'!$E$34=1,1,IF('Feuille Diags'!$G$29=1,1,0))</f>
        <v>0</v>
      </c>
      <c r="I36" s="27">
        <v>75</v>
      </c>
      <c r="J36" s="115">
        <f>IF('Feuille Diags'!$E$34=1,1,IF('Feuille Diags'!$G$29=1,1,0))</f>
        <v>0</v>
      </c>
      <c r="K36" s="27">
        <v>80</v>
      </c>
      <c r="L36" s="115">
        <f>IF('Feuille Diags'!$E$34=1,1,IF('Feuille Diags'!$G$29=1,1,0))</f>
        <v>0</v>
      </c>
      <c r="M36" s="60">
        <v>105</v>
      </c>
      <c r="N36" s="115">
        <f>IF('Feuille Diags'!$E$34=1,1,IF('Feuille Diags'!$G$29=1,1,0))</f>
        <v>0</v>
      </c>
      <c r="O36" s="27">
        <v>75</v>
      </c>
      <c r="P36" s="115">
        <f>IF('Feuille Diags'!$E$34=1,1,IF('Feuille Diags'!$G$29=1,1,0))</f>
        <v>0</v>
      </c>
      <c r="Q36" s="27">
        <v>95</v>
      </c>
      <c r="R36" s="115">
        <f>IF('Feuille Diags'!$E$34=1,1,IF('Feuille Diags'!$G$29=1,1,0))</f>
        <v>0</v>
      </c>
      <c r="S36" s="27">
        <v>100</v>
      </c>
      <c r="T36" s="115">
        <f>IF('Feuille Diags'!$E$34=1,1,IF('Feuille Diags'!$G$29=1,1,0))</f>
        <v>0</v>
      </c>
      <c r="U36" s="27">
        <v>105</v>
      </c>
      <c r="V36" s="115">
        <f>IF('Feuille Diags'!$E$34=1,1,IF('Feuille Diags'!$G$29=1,1,0))</f>
        <v>0</v>
      </c>
      <c r="W36" s="27">
        <v>110</v>
      </c>
      <c r="X36" s="115">
        <f>IF('Feuille Diags'!$E$34=1,1,IF('Feuille Diags'!$G$29=1,1,0))</f>
        <v>0</v>
      </c>
      <c r="Y36" s="57">
        <v>130</v>
      </c>
    </row>
    <row r="37" spans="2:26" ht="15.75" thickBot="1" x14ac:dyDescent="0.3">
      <c r="B37" s="307"/>
      <c r="C37" s="117" t="s">
        <v>135</v>
      </c>
      <c r="D37" s="118">
        <f>'Feuille Diags'!$K$33+'Feuille Diags'!$K$34</f>
        <v>0</v>
      </c>
      <c r="E37" s="67">
        <v>70</v>
      </c>
      <c r="F37" s="118">
        <f>'Feuille Diags'!$K$33+'Feuille Diags'!$K$34</f>
        <v>0</v>
      </c>
      <c r="G37" s="67">
        <v>70</v>
      </c>
      <c r="H37" s="118">
        <f>'Feuille Diags'!$K$33+'Feuille Diags'!$K$34</f>
        <v>0</v>
      </c>
      <c r="I37" s="67">
        <v>70</v>
      </c>
      <c r="J37" s="118">
        <f>'Feuille Diags'!$K$33+'Feuille Diags'!$K$34</f>
        <v>0</v>
      </c>
      <c r="K37" s="67">
        <v>70</v>
      </c>
      <c r="L37" s="118">
        <f>'Feuille Diags'!$K$33+'Feuille Diags'!$K$34</f>
        <v>0</v>
      </c>
      <c r="M37" s="67">
        <v>70</v>
      </c>
      <c r="N37" s="118">
        <f>'Feuille Diags'!$K$33+'Feuille Diags'!$K$34</f>
        <v>0</v>
      </c>
      <c r="O37" s="67">
        <v>70</v>
      </c>
      <c r="P37" s="118">
        <f>'Feuille Diags'!$K$33+'Feuille Diags'!$K$34</f>
        <v>0</v>
      </c>
      <c r="Q37" s="67">
        <v>70</v>
      </c>
      <c r="R37" s="118">
        <f>'Feuille Diags'!$K$33+'Feuille Diags'!$K$34</f>
        <v>0</v>
      </c>
      <c r="S37" s="67">
        <v>70</v>
      </c>
      <c r="T37" s="118">
        <f>'Feuille Diags'!$K$33+'Feuille Diags'!$K$34</f>
        <v>0</v>
      </c>
      <c r="U37" s="67">
        <v>70</v>
      </c>
      <c r="V37" s="118">
        <f>'Feuille Diags'!$K$33+'Feuille Diags'!$K$34</f>
        <v>0</v>
      </c>
      <c r="W37" s="67">
        <v>70</v>
      </c>
      <c r="X37" s="118">
        <f>'Feuille Diags'!$K$33+'Feuille Diags'!$K$34</f>
        <v>0</v>
      </c>
      <c r="Y37" s="68">
        <v>70</v>
      </c>
    </row>
    <row r="38" spans="2:26" hidden="1" x14ac:dyDescent="0.25">
      <c r="C38" s="22"/>
      <c r="D38" s="46">
        <f>D27*$D$26*$B$25</f>
        <v>0</v>
      </c>
      <c r="E38" s="46">
        <f>D28*E28+D29*E29+D30*E30+D31*E31+D32*E32+D33*E33+D34*E34+D35*E35+D36*E36</f>
        <v>0</v>
      </c>
      <c r="F38" s="46">
        <f>F27*$D$26*$B$25</f>
        <v>0</v>
      </c>
      <c r="G38" s="46">
        <f>F28*G28+F29*G29+F30*G30+F31*G31+F32*G32+F33*G33+F34*G34+F35*G35+F36*G36</f>
        <v>0</v>
      </c>
      <c r="H38" s="46">
        <f>H27*$D$26*$B$25</f>
        <v>0</v>
      </c>
      <c r="I38" s="46">
        <f>H28*I28+H29*I29+H30*I30+H31*I31+H32*I32+H33*I33+H34*I34+H35*I35+H36*I36</f>
        <v>0</v>
      </c>
      <c r="J38" s="46">
        <f>J27*$D$26*$B$25</f>
        <v>0</v>
      </c>
      <c r="K38" s="46">
        <f>J28*K28+J29*K29+J30*K30+J31*K31+J32*K32+J33*K33+J34*K34+J35*K35+J36*K36</f>
        <v>0</v>
      </c>
      <c r="L38" s="46">
        <f>L27*$D$26*$B$25</f>
        <v>0</v>
      </c>
      <c r="M38" s="46">
        <f>L28*M28+L29*M29+L30*M30+L31*M31+L32*M32+L33*M33+L34*M34+L35*M35+L36*M36</f>
        <v>0</v>
      </c>
      <c r="N38" s="46">
        <f>N27*$N$26*$B$25</f>
        <v>0</v>
      </c>
      <c r="O38" s="46">
        <f>N28*O28+N29*O29+N30*O30+N31*O31+N32*O32+N33*O33+N34*O34+N35*O35+N36*O36</f>
        <v>0</v>
      </c>
      <c r="P38" s="46">
        <f>P27*$N$26*$B$25</f>
        <v>0</v>
      </c>
      <c r="Q38" s="46">
        <f>P28*Q28+P29*Q29+P30*Q30+P31*Q31+P32*Q32+P33*Q33+P34*Q34+P35*Q35+P36*Q36</f>
        <v>0</v>
      </c>
      <c r="R38" s="46">
        <f>R27*$N$26*$B$25</f>
        <v>0</v>
      </c>
      <c r="S38" s="46">
        <f>R28*S28+R29*S29+R30*S30+R31*S31+R32*S32+R33*S33+R34*S34+R35*S35+R36*S36</f>
        <v>0</v>
      </c>
      <c r="T38" s="46">
        <f>T27*$N$26*$B$25</f>
        <v>0</v>
      </c>
      <c r="U38" s="46">
        <f>T28*U28+T29*U29+T30*U30+T31*U31+T32*U32+T33*U33+T34*U34+T35*U35+T36*U36</f>
        <v>0</v>
      </c>
      <c r="V38" s="46">
        <f>V27*$N$26*$B$25</f>
        <v>0</v>
      </c>
      <c r="W38" s="46">
        <f>V28*W28+V29*W29+V30*W30+V31*W31+V32*W32+V33*W33+V34*W34+V35*W35+V36*W36</f>
        <v>0</v>
      </c>
      <c r="X38" s="46">
        <f>X27*$N$26*$B$25</f>
        <v>0</v>
      </c>
      <c r="Y38" s="46">
        <f>X28*Y28+X29*Y29+X30*Y30+X31*Y31+X32*Y32+X33*Y33+X34*Y34+X35*Y35+X36*Y36</f>
        <v>0</v>
      </c>
      <c r="Z38" s="38">
        <f>X38*X37*Y37+V38*V37*W37+T38*T37*U37+R38*R37*S37+P38*P37*Q37+N38*N37*O37+L38*L37*M37+J38*J37*K37+H38*H37*I37+F38*F37*G37+D38*D37*E37</f>
        <v>0</v>
      </c>
    </row>
    <row r="39" spans="2:26" hidden="1" x14ac:dyDescent="0.25">
      <c r="C39" s="22"/>
      <c r="D39" s="22"/>
      <c r="E39" s="46">
        <f>E38*D38</f>
        <v>0</v>
      </c>
      <c r="F39" s="22"/>
      <c r="G39" s="46">
        <f>G38*F38</f>
        <v>0</v>
      </c>
      <c r="H39" s="22"/>
      <c r="I39" s="46">
        <f>I38*H38</f>
        <v>0</v>
      </c>
      <c r="J39" s="22"/>
      <c r="K39" s="46">
        <f>K38*J38</f>
        <v>0</v>
      </c>
      <c r="L39" s="22"/>
      <c r="M39" s="46">
        <f>M38*L38</f>
        <v>0</v>
      </c>
      <c r="N39" s="22"/>
      <c r="O39" s="46">
        <f>O38*N38</f>
        <v>0</v>
      </c>
      <c r="P39" s="22"/>
      <c r="Q39" s="46">
        <f>Q38*P38</f>
        <v>0</v>
      </c>
      <c r="R39" s="22"/>
      <c r="S39" s="46">
        <f>S38*R38</f>
        <v>0</v>
      </c>
      <c r="T39" s="22"/>
      <c r="U39" s="46">
        <f>U38*T38</f>
        <v>0</v>
      </c>
      <c r="V39" s="22"/>
      <c r="W39" s="46">
        <f>W38*V38</f>
        <v>0</v>
      </c>
      <c r="X39" s="22"/>
      <c r="Y39" s="46">
        <f>Y38*X38</f>
        <v>0</v>
      </c>
      <c r="Z39" s="38">
        <f>Y39+W39+U39+S39+Q39+O39+M39+K39+I39+G39+E39</f>
        <v>0</v>
      </c>
    </row>
    <row r="40" spans="2:26" ht="14.25" customHeight="1" x14ac:dyDescent="0.25">
      <c r="C40" s="22"/>
      <c r="D40" s="22"/>
      <c r="E40" s="22"/>
      <c r="F40" s="22"/>
      <c r="G40" s="22"/>
      <c r="H40" s="22"/>
      <c r="I40" s="22"/>
      <c r="J40" s="22"/>
      <c r="K40" s="22"/>
      <c r="L40" s="109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spans="2:26" ht="14.25" customHeight="1" x14ac:dyDescent="0.25">
      <c r="C41" s="22"/>
      <c r="D41" s="22"/>
      <c r="E41" s="22"/>
      <c r="F41" s="22"/>
      <c r="G41" s="22"/>
      <c r="H41" s="22"/>
      <c r="I41" s="22"/>
      <c r="J41" s="22"/>
      <c r="K41" s="22"/>
      <c r="L41" s="45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38">
        <f>(Z39+N23+N13)*B2</f>
        <v>0</v>
      </c>
    </row>
    <row r="42" spans="2:26" x14ac:dyDescent="0.25">
      <c r="Z42" s="38">
        <f>(N12+N22+Z38)*B2</f>
        <v>0</v>
      </c>
    </row>
    <row r="50" spans="3:11" x14ac:dyDescent="0.25">
      <c r="C50" s="19"/>
      <c r="D50" s="22"/>
      <c r="E50" s="304" t="s">
        <v>51</v>
      </c>
      <c r="F50" s="304"/>
      <c r="G50" s="304"/>
      <c r="H50" s="304"/>
      <c r="I50" s="304"/>
      <c r="J50" s="304"/>
      <c r="K50" s="304"/>
    </row>
    <row r="51" spans="3:11" x14ac:dyDescent="0.25">
      <c r="C51" s="19" t="s">
        <v>53</v>
      </c>
      <c r="D51" s="22"/>
      <c r="E51" s="20">
        <v>2</v>
      </c>
      <c r="F51" s="20"/>
      <c r="G51" s="21">
        <v>3</v>
      </c>
      <c r="H51" s="36"/>
      <c r="I51" s="21">
        <v>4</v>
      </c>
      <c r="J51" s="36"/>
      <c r="K51" s="21" t="s">
        <v>52</v>
      </c>
    </row>
    <row r="52" spans="3:11" ht="15.75" thickBot="1" x14ac:dyDescent="0.3">
      <c r="C52" s="23" t="s">
        <v>54</v>
      </c>
      <c r="D52" s="26"/>
      <c r="E52" s="24">
        <v>0</v>
      </c>
      <c r="F52" s="24"/>
      <c r="G52" s="25">
        <v>0.05</v>
      </c>
      <c r="H52" s="25"/>
      <c r="I52" s="25">
        <v>0.1</v>
      </c>
      <c r="J52" s="25"/>
      <c r="K52" s="25">
        <v>0.15</v>
      </c>
    </row>
  </sheetData>
  <mergeCells count="14">
    <mergeCell ref="E50:K50"/>
    <mergeCell ref="E26:M26"/>
    <mergeCell ref="B26:B37"/>
    <mergeCell ref="B4:B11"/>
    <mergeCell ref="B14:B21"/>
    <mergeCell ref="A4:A10"/>
    <mergeCell ref="A14:A20"/>
    <mergeCell ref="O26:Y26"/>
    <mergeCell ref="C3:M3"/>
    <mergeCell ref="C25:Y25"/>
    <mergeCell ref="E4:G4"/>
    <mergeCell ref="I4:M4"/>
    <mergeCell ref="E14:G14"/>
    <mergeCell ref="I14:M1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D288"/>
  <sheetViews>
    <sheetView zoomScaleNormal="100" workbookViewId="0">
      <selection activeCell="B20" sqref="B20:Q20"/>
    </sheetView>
  </sheetViews>
  <sheetFormatPr baseColWidth="10" defaultRowHeight="15" x14ac:dyDescent="0.25"/>
  <sheetData>
    <row r="1" spans="4:8" ht="15.75" thickBot="1" x14ac:dyDescent="0.3"/>
    <row r="2" spans="4:8" x14ac:dyDescent="0.25">
      <c r="D2" s="54" t="s">
        <v>22</v>
      </c>
      <c r="E2" s="82">
        <f>IF('Feuille Diags'!E24=1,1,IF('Feuille Diags'!G24=1,1,0))</f>
        <v>0</v>
      </c>
      <c r="G2" s="54" t="s">
        <v>155</v>
      </c>
      <c r="H2" s="6">
        <f>'Feuille Diags'!K33</f>
        <v>0</v>
      </c>
    </row>
    <row r="3" spans="4:8" ht="15.75" thickBot="1" x14ac:dyDescent="0.3">
      <c r="D3" s="7" t="s">
        <v>21</v>
      </c>
      <c r="E3" s="83">
        <f>IF('Feuille Diags'!E25=1,1,IF('Feuille Diags'!G25=1,1,0))</f>
        <v>0</v>
      </c>
      <c r="G3" s="8" t="s">
        <v>156</v>
      </c>
      <c r="H3" s="51">
        <f>'Feuille Diags'!K34</f>
        <v>0</v>
      </c>
    </row>
    <row r="4" spans="4:8" ht="15.75" thickBot="1" x14ac:dyDescent="0.3">
      <c r="D4" s="7" t="s">
        <v>17</v>
      </c>
      <c r="E4" s="83">
        <f>IF('Feuille Diags'!E26=1,1,IF('Feuille Diags'!G26=1,1,0))</f>
        <v>0</v>
      </c>
    </row>
    <row r="5" spans="4:8" x14ac:dyDescent="0.25">
      <c r="D5" s="7" t="s">
        <v>25</v>
      </c>
      <c r="E5" s="83">
        <f>IF('Feuille Diags'!E27=1,1,IF('Feuille Diags'!G27=1,1,0))</f>
        <v>0</v>
      </c>
      <c r="G5" s="104" t="s">
        <v>197</v>
      </c>
      <c r="H5" s="105">
        <f>'Feuille Diags'!I30</f>
        <v>0</v>
      </c>
    </row>
    <row r="6" spans="4:8" x14ac:dyDescent="0.25">
      <c r="D6" s="7" t="s">
        <v>23</v>
      </c>
      <c r="E6" s="83">
        <f>'Feuille Diags'!E28</f>
        <v>0</v>
      </c>
      <c r="G6" s="106" t="s">
        <v>205</v>
      </c>
      <c r="H6" s="53">
        <f>'Feuille Diags'!I31</f>
        <v>0</v>
      </c>
    </row>
    <row r="7" spans="4:8" x14ac:dyDescent="0.25">
      <c r="D7" s="7" t="s">
        <v>24</v>
      </c>
      <c r="E7" s="83">
        <f>'Feuille Diags'!E29</f>
        <v>0</v>
      </c>
      <c r="G7" s="106" t="s">
        <v>206</v>
      </c>
      <c r="H7" s="53">
        <f>'Feuille Diags'!I32</f>
        <v>0</v>
      </c>
    </row>
    <row r="8" spans="4:8" x14ac:dyDescent="0.25">
      <c r="D8" s="7" t="s">
        <v>26</v>
      </c>
      <c r="E8" s="83">
        <f>'Feuille Diags'!E30</f>
        <v>0</v>
      </c>
      <c r="G8" s="106" t="s">
        <v>174</v>
      </c>
      <c r="H8" s="53">
        <f>'Feuille Diags'!I33</f>
        <v>0</v>
      </c>
    </row>
    <row r="9" spans="4:8" ht="15.75" thickBot="1" x14ac:dyDescent="0.3">
      <c r="D9" s="7" t="s">
        <v>30</v>
      </c>
      <c r="E9" s="83">
        <f>'Feuille Diags'!G28</f>
        <v>0</v>
      </c>
      <c r="G9" s="107" t="s">
        <v>207</v>
      </c>
      <c r="H9" s="28">
        <f>'Feuille Diags'!I34</f>
        <v>0</v>
      </c>
    </row>
    <row r="10" spans="4:8" x14ac:dyDescent="0.25">
      <c r="D10" s="7" t="s">
        <v>27</v>
      </c>
      <c r="E10" s="83">
        <f>'Feuille Diags'!E31</f>
        <v>0</v>
      </c>
    </row>
    <row r="11" spans="4:8" x14ac:dyDescent="0.25">
      <c r="D11" s="7" t="s">
        <v>28</v>
      </c>
      <c r="E11" s="83">
        <f>'Feuille Diags'!E32</f>
        <v>0</v>
      </c>
    </row>
    <row r="12" spans="4:8" x14ac:dyDescent="0.25">
      <c r="D12" s="106" t="s">
        <v>29</v>
      </c>
      <c r="E12" s="83">
        <f>'Feuille Diags'!E33</f>
        <v>0</v>
      </c>
    </row>
    <row r="13" spans="4:8" x14ac:dyDescent="0.25">
      <c r="D13" s="7" t="s">
        <v>61</v>
      </c>
      <c r="E13" s="83">
        <f>IF('Feuille Diags'!E34=1,1,IF('Feuille Diags'!G29=1,1,0))</f>
        <v>0</v>
      </c>
    </row>
    <row r="14" spans="4:8" x14ac:dyDescent="0.25">
      <c r="D14" s="7" t="s">
        <v>138</v>
      </c>
      <c r="E14" s="83">
        <f>'Feuille Diags'!I24</f>
        <v>0</v>
      </c>
    </row>
    <row r="15" spans="4:8" x14ac:dyDescent="0.25">
      <c r="D15" s="7" t="s">
        <v>200</v>
      </c>
      <c r="E15" s="83">
        <f>'Feuille Diags'!I25</f>
        <v>0</v>
      </c>
    </row>
    <row r="16" spans="4:8" x14ac:dyDescent="0.25">
      <c r="D16" s="7" t="s">
        <v>201</v>
      </c>
      <c r="E16" s="83">
        <f>'Feuille Diags'!I26</f>
        <v>0</v>
      </c>
    </row>
    <row r="17" spans="1:18" x14ac:dyDescent="0.25">
      <c r="D17" s="7" t="s">
        <v>202</v>
      </c>
      <c r="E17" s="83">
        <f>'Feuille Diags'!K24</f>
        <v>0</v>
      </c>
    </row>
    <row r="18" spans="1:18" ht="15.75" thickBot="1" x14ac:dyDescent="0.3">
      <c r="D18" s="8" t="s">
        <v>203</v>
      </c>
      <c r="E18" s="98">
        <f>'Feuille Diags'!K25</f>
        <v>0</v>
      </c>
    </row>
    <row r="19" spans="1:18" ht="15.75" thickBot="1" x14ac:dyDescent="0.3"/>
    <row r="20" spans="1:18" x14ac:dyDescent="0.25">
      <c r="A20">
        <f>'Feuille Diags'!F18</f>
        <v>0</v>
      </c>
      <c r="B20" s="312" t="s">
        <v>113</v>
      </c>
      <c r="C20" s="313"/>
      <c r="D20" s="313"/>
      <c r="E20" s="313"/>
      <c r="F20" s="313"/>
      <c r="G20" s="313"/>
      <c r="H20" s="313"/>
      <c r="I20" s="313"/>
      <c r="J20" s="313"/>
      <c r="K20" s="313"/>
      <c r="L20" s="313"/>
      <c r="M20" s="313"/>
      <c r="N20" s="313"/>
      <c r="O20" s="313"/>
      <c r="P20" s="313"/>
      <c r="Q20" s="314"/>
      <c r="R20" s="55"/>
    </row>
    <row r="21" spans="1:18" x14ac:dyDescent="0.25">
      <c r="B21" s="19"/>
      <c r="C21" s="22"/>
      <c r="D21" s="22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11"/>
      <c r="R21" s="55"/>
    </row>
    <row r="22" spans="1:18" x14ac:dyDescent="0.25">
      <c r="B22" s="19"/>
      <c r="C22" s="22"/>
      <c r="D22" s="22">
        <f>'Feuille Diags'!$H$10</f>
        <v>0</v>
      </c>
      <c r="E22" s="304" t="s">
        <v>6</v>
      </c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55">
        <f>'Feuille Diags'!$F$10</f>
        <v>0</v>
      </c>
      <c r="Q22" s="90" t="s">
        <v>5</v>
      </c>
      <c r="R22" s="74"/>
    </row>
    <row r="23" spans="1:18" x14ac:dyDescent="0.25">
      <c r="B23" s="19"/>
      <c r="C23" s="22"/>
      <c r="D23" s="22">
        <f>'Feuille Diags'!$E$13</f>
        <v>0</v>
      </c>
      <c r="E23" s="22" t="s">
        <v>128</v>
      </c>
      <c r="F23" s="22">
        <f>'Feuille Diags'!$F$13</f>
        <v>0</v>
      </c>
      <c r="G23" s="22" t="s">
        <v>35</v>
      </c>
      <c r="H23" s="22">
        <f>'Feuille Diags'!$G$13</f>
        <v>0</v>
      </c>
      <c r="I23" s="22" t="s">
        <v>36</v>
      </c>
      <c r="J23" s="22">
        <f>'Feuille Diags'!$H$13</f>
        <v>0</v>
      </c>
      <c r="K23" s="22" t="s">
        <v>37</v>
      </c>
      <c r="L23" s="22">
        <f>'Feuille Diags'!$I$13</f>
        <v>0</v>
      </c>
      <c r="M23" s="22" t="s">
        <v>38</v>
      </c>
      <c r="N23" s="22">
        <f>'Feuille Diags'!$J$13</f>
        <v>0</v>
      </c>
      <c r="O23" s="22" t="s">
        <v>129</v>
      </c>
      <c r="P23" s="22"/>
      <c r="Q23" s="81"/>
      <c r="R23" s="22"/>
    </row>
    <row r="24" spans="1:18" x14ac:dyDescent="0.25">
      <c r="B24" s="19">
        <f>E4</f>
        <v>0</v>
      </c>
      <c r="C24" s="86" t="s">
        <v>17</v>
      </c>
      <c r="D24" s="86"/>
      <c r="E24" s="22">
        <v>60</v>
      </c>
      <c r="F24" s="22"/>
      <c r="G24" s="22">
        <v>65</v>
      </c>
      <c r="H24" s="22"/>
      <c r="I24" s="22">
        <v>65</v>
      </c>
      <c r="J24" s="22"/>
      <c r="K24" s="22">
        <v>65</v>
      </c>
      <c r="L24" s="22"/>
      <c r="M24" s="22">
        <v>65</v>
      </c>
      <c r="N24" s="22"/>
      <c r="O24" s="22">
        <v>65</v>
      </c>
      <c r="P24" s="22"/>
      <c r="Q24" s="81">
        <v>70</v>
      </c>
      <c r="R24" s="22"/>
    </row>
    <row r="25" spans="1:18" x14ac:dyDescent="0.25">
      <c r="B25" s="19">
        <f>E4*E3</f>
        <v>0</v>
      </c>
      <c r="C25" s="86" t="s">
        <v>130</v>
      </c>
      <c r="D25" s="86"/>
      <c r="E25" s="22">
        <v>90</v>
      </c>
      <c r="F25" s="22"/>
      <c r="G25" s="22">
        <v>95</v>
      </c>
      <c r="H25" s="22"/>
      <c r="I25" s="22">
        <v>95</v>
      </c>
      <c r="J25" s="22"/>
      <c r="K25" s="22">
        <v>95</v>
      </c>
      <c r="L25" s="22"/>
      <c r="M25" s="22">
        <v>95</v>
      </c>
      <c r="N25" s="22"/>
      <c r="O25" s="22">
        <v>95</v>
      </c>
      <c r="P25" s="22"/>
      <c r="Q25" s="81">
        <v>100</v>
      </c>
      <c r="R25" s="22"/>
    </row>
    <row r="26" spans="1:18" x14ac:dyDescent="0.25">
      <c r="B26" s="19">
        <f>E4*E2</f>
        <v>0</v>
      </c>
      <c r="C26" s="86" t="s">
        <v>131</v>
      </c>
      <c r="D26" s="86"/>
      <c r="E26" s="22">
        <v>110</v>
      </c>
      <c r="F26" s="22"/>
      <c r="G26" s="22">
        <v>115</v>
      </c>
      <c r="H26" s="22"/>
      <c r="I26" s="22">
        <v>115</v>
      </c>
      <c r="J26" s="22"/>
      <c r="K26" s="22">
        <v>115</v>
      </c>
      <c r="L26" s="22"/>
      <c r="M26" s="22">
        <v>115</v>
      </c>
      <c r="N26" s="22"/>
      <c r="O26" s="22">
        <v>115</v>
      </c>
      <c r="P26" s="22"/>
      <c r="Q26" s="81">
        <v>120</v>
      </c>
      <c r="R26" s="22"/>
    </row>
    <row r="27" spans="1:18" x14ac:dyDescent="0.25">
      <c r="B27" s="19">
        <f>E4*E3*E2</f>
        <v>0</v>
      </c>
      <c r="C27" s="86" t="s">
        <v>132</v>
      </c>
      <c r="D27" s="86"/>
      <c r="E27" s="22">
        <v>140</v>
      </c>
      <c r="F27" s="22"/>
      <c r="G27" s="22">
        <v>145</v>
      </c>
      <c r="H27" s="22"/>
      <c r="I27" s="22">
        <v>145</v>
      </c>
      <c r="J27" s="22"/>
      <c r="K27" s="22">
        <v>145</v>
      </c>
      <c r="L27" s="22"/>
      <c r="M27" s="22">
        <v>145</v>
      </c>
      <c r="N27" s="22"/>
      <c r="O27" s="22">
        <v>145</v>
      </c>
      <c r="P27" s="22"/>
      <c r="Q27" s="81">
        <v>150</v>
      </c>
      <c r="R27" s="22"/>
    </row>
    <row r="28" spans="1:18" x14ac:dyDescent="0.25">
      <c r="B28" s="19">
        <f>(B24+B25+B26+B27)*H6</f>
        <v>0</v>
      </c>
      <c r="C28" s="86" t="s">
        <v>133</v>
      </c>
      <c r="D28" s="86"/>
      <c r="E28" s="22">
        <v>30</v>
      </c>
      <c r="F28" s="22"/>
      <c r="G28" s="22">
        <v>30</v>
      </c>
      <c r="H28" s="22"/>
      <c r="I28" s="22">
        <v>30</v>
      </c>
      <c r="J28" s="22"/>
      <c r="K28" s="22">
        <v>30</v>
      </c>
      <c r="L28" s="22"/>
      <c r="M28" s="22">
        <v>30</v>
      </c>
      <c r="N28" s="22"/>
      <c r="O28" s="22">
        <v>30</v>
      </c>
      <c r="P28" s="22"/>
      <c r="Q28" s="81">
        <v>30</v>
      </c>
      <c r="R28" s="22"/>
    </row>
    <row r="29" spans="1:18" x14ac:dyDescent="0.25">
      <c r="B29" s="19">
        <f>IF(B28=1,0,H6)</f>
        <v>0</v>
      </c>
      <c r="C29" s="86" t="s">
        <v>134</v>
      </c>
      <c r="D29" s="86"/>
      <c r="E29" s="22">
        <v>70</v>
      </c>
      <c r="F29" s="22"/>
      <c r="G29" s="22">
        <v>70</v>
      </c>
      <c r="H29" s="22"/>
      <c r="I29" s="22">
        <v>70</v>
      </c>
      <c r="J29" s="22"/>
      <c r="K29" s="22">
        <v>70</v>
      </c>
      <c r="L29" s="22"/>
      <c r="M29" s="22">
        <v>70</v>
      </c>
      <c r="N29" s="22"/>
      <c r="O29" s="22">
        <v>70</v>
      </c>
      <c r="P29" s="22"/>
      <c r="Q29" s="81">
        <v>70</v>
      </c>
      <c r="R29" s="22"/>
    </row>
    <row r="30" spans="1:18" ht="15.75" thickBot="1" x14ac:dyDescent="0.3">
      <c r="B30" s="23">
        <f>H2+H3</f>
        <v>0</v>
      </c>
      <c r="C30" s="87" t="s">
        <v>135</v>
      </c>
      <c r="D30" s="87"/>
      <c r="E30" s="26">
        <v>70</v>
      </c>
      <c r="F30" s="26"/>
      <c r="G30" s="26">
        <v>70</v>
      </c>
      <c r="H30" s="26"/>
      <c r="I30" s="26">
        <v>70</v>
      </c>
      <c r="J30" s="26"/>
      <c r="K30" s="26">
        <v>70</v>
      </c>
      <c r="L30" s="26"/>
      <c r="M30" s="26">
        <v>70</v>
      </c>
      <c r="N30" s="26"/>
      <c r="O30" s="26">
        <v>70</v>
      </c>
      <c r="P30" s="26"/>
      <c r="Q30" s="26">
        <v>70</v>
      </c>
      <c r="R30" s="22">
        <f>A20*D22*(D23*B30*E30+F23*B30*G30+H23*B30*I30+J23*B30*K30+L23*B30*M30+N23*B30*O30)+A20*P22*B30*Q30</f>
        <v>0</v>
      </c>
    </row>
    <row r="31" spans="1:18" x14ac:dyDescent="0.25">
      <c r="E31">
        <f>$A$20*$D$22*$D$23*($B$24*E24+$B$25*E25+$B$26*E26+$B$27*E27+$B$28*E28+$B$29*E29)</f>
        <v>0</v>
      </c>
      <c r="G31">
        <f>$A$20*$D$22*$F$23*($B$24*G24+$B$25*G25+$B$26*G26+$B$27*G27+$B$28*G28+$B$29*G29)</f>
        <v>0</v>
      </c>
      <c r="I31">
        <f>$A$20*$D$22*$H$23*($B$24*I24+$B$25*I25+$B$26*I26+$B$27*I27+$B$28*I28+$B$29*I29)</f>
        <v>0</v>
      </c>
      <c r="K31">
        <f>$A$20*$D$22*$J$23*($B$24*K24+$B$25*K25+$B$26*K26+$B$27*K27+$B$28*K28+$B$29*K29)</f>
        <v>0</v>
      </c>
      <c r="M31">
        <f>$A$20*$D$22*$L$23*($B$24*M24+$B$25*M25+$B$26*M26+$B$27*M27+$B$28*M28+$B$29*M29)</f>
        <v>0</v>
      </c>
      <c r="O31">
        <f>$A$20*$D$22*$N$23*($B$24*O24+$B$25*O25+$B$26*O26+$B$27*O27+$B$28*O28+$B$29*O29)</f>
        <v>0</v>
      </c>
      <c r="Q31">
        <f>$A$20*$P$22*($B$24*Q24+$B$25*Q25+$B$26*Q26+$B$27*Q27+$B$28*Q28+$B$29*Q29)</f>
        <v>0</v>
      </c>
      <c r="R31">
        <f>E31+G31+I31+K31+M31+O31+Q31</f>
        <v>0</v>
      </c>
    </row>
    <row r="32" spans="1:18" ht="15.75" thickBot="1" x14ac:dyDescent="0.3"/>
    <row r="33" spans="1:18" x14ac:dyDescent="0.25">
      <c r="A33">
        <f>'Feuille Diags'!G18</f>
        <v>0</v>
      </c>
      <c r="B33" s="312" t="s">
        <v>114</v>
      </c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4"/>
      <c r="R33" s="55"/>
    </row>
    <row r="34" spans="1:18" x14ac:dyDescent="0.25">
      <c r="B34" s="19"/>
      <c r="C34" s="22"/>
      <c r="D34" s="22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11"/>
      <c r="R34" s="55"/>
    </row>
    <row r="35" spans="1:18" x14ac:dyDescent="0.25">
      <c r="B35" s="19"/>
      <c r="C35" s="22"/>
      <c r="D35" s="22">
        <f>'Feuille Diags'!$H$10</f>
        <v>0</v>
      </c>
      <c r="E35" s="304" t="s">
        <v>6</v>
      </c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55">
        <f>'Feuille Diags'!$F$10</f>
        <v>0</v>
      </c>
      <c r="Q35" s="90" t="s">
        <v>5</v>
      </c>
      <c r="R35" s="74"/>
    </row>
    <row r="36" spans="1:18" x14ac:dyDescent="0.25">
      <c r="B36" s="19"/>
      <c r="C36" s="22"/>
      <c r="D36" s="22">
        <f>'Feuille Diags'!$E$13</f>
        <v>0</v>
      </c>
      <c r="E36" s="22" t="s">
        <v>128</v>
      </c>
      <c r="F36" s="22">
        <f>'Feuille Diags'!$F$13</f>
        <v>0</v>
      </c>
      <c r="G36" s="22" t="s">
        <v>35</v>
      </c>
      <c r="H36" s="22">
        <f>'Feuille Diags'!$G$13</f>
        <v>0</v>
      </c>
      <c r="I36" s="22" t="s">
        <v>36</v>
      </c>
      <c r="J36" s="22">
        <f>'Feuille Diags'!$H$13</f>
        <v>0</v>
      </c>
      <c r="K36" s="22" t="s">
        <v>37</v>
      </c>
      <c r="L36" s="22">
        <f>'Feuille Diags'!$I$13</f>
        <v>0</v>
      </c>
      <c r="M36" s="22" t="s">
        <v>38</v>
      </c>
      <c r="N36" s="22">
        <f>'Feuille Diags'!$J$13</f>
        <v>0</v>
      </c>
      <c r="O36" s="22" t="s">
        <v>129</v>
      </c>
      <c r="P36" s="22"/>
      <c r="Q36" s="81"/>
      <c r="R36" s="22"/>
    </row>
    <row r="37" spans="1:18" x14ac:dyDescent="0.25">
      <c r="B37" s="19">
        <f>E4</f>
        <v>0</v>
      </c>
      <c r="C37" s="22" t="s">
        <v>17</v>
      </c>
      <c r="D37" s="22"/>
      <c r="E37" s="22">
        <v>90</v>
      </c>
      <c r="F37" s="22"/>
      <c r="G37" s="22">
        <v>90</v>
      </c>
      <c r="H37" s="22"/>
      <c r="I37" s="22">
        <v>90</v>
      </c>
      <c r="J37" s="22"/>
      <c r="K37" s="22">
        <v>90</v>
      </c>
      <c r="L37" s="22"/>
      <c r="M37" s="22">
        <v>90</v>
      </c>
      <c r="N37" s="22"/>
      <c r="O37" s="22">
        <v>90</v>
      </c>
      <c r="P37" s="22"/>
      <c r="Q37" s="81">
        <v>100</v>
      </c>
      <c r="R37" s="22"/>
    </row>
    <row r="38" spans="1:18" ht="15.75" thickBot="1" x14ac:dyDescent="0.3">
      <c r="B38" s="23">
        <f>E2</f>
        <v>0</v>
      </c>
      <c r="C38" s="26" t="s">
        <v>22</v>
      </c>
      <c r="D38" s="26"/>
      <c r="E38" s="26">
        <v>130</v>
      </c>
      <c r="F38" s="26"/>
      <c r="G38" s="26">
        <v>130</v>
      </c>
      <c r="H38" s="26"/>
      <c r="I38" s="26">
        <v>130</v>
      </c>
      <c r="J38" s="26"/>
      <c r="K38" s="26">
        <v>130</v>
      </c>
      <c r="L38" s="26"/>
      <c r="M38" s="26">
        <v>130</v>
      </c>
      <c r="N38" s="26"/>
      <c r="O38" s="26">
        <v>130</v>
      </c>
      <c r="P38" s="26"/>
      <c r="Q38" s="88">
        <v>140</v>
      </c>
      <c r="R38" s="22">
        <f>A33*B30*E30</f>
        <v>0</v>
      </c>
    </row>
    <row r="39" spans="1:18" x14ac:dyDescent="0.25">
      <c r="E39">
        <f>$A$33*$D$35*D36*($B$37*E37+$B$38*E38)</f>
        <v>0</v>
      </c>
      <c r="G39">
        <f>$A$33*$D$35*F36*($B$37*G37+$B$38*G38)</f>
        <v>0</v>
      </c>
      <c r="I39">
        <f>$A$33*$D$35*H36*($B$37*I37+$B$38*I38)</f>
        <v>0</v>
      </c>
      <c r="K39">
        <f>$A$33*$D$35*J36*($B$37*K37+$B$38*K38)</f>
        <v>0</v>
      </c>
      <c r="M39">
        <f>$A$33*$D$35*L36*($B$37*M37+$B$38*M38)</f>
        <v>0</v>
      </c>
      <c r="O39">
        <f>$A$33*$D$35*N36*($B$37*O37+$B$38*O38)</f>
        <v>0</v>
      </c>
      <c r="Q39">
        <f>$A$33*$P$35*($B$37*Q37+$B$38*Q38)</f>
        <v>0</v>
      </c>
      <c r="R39">
        <f>E39+G39+I39+K39+M39+O39+Q39</f>
        <v>0</v>
      </c>
    </row>
    <row r="40" spans="1:18" ht="15.75" thickBot="1" x14ac:dyDescent="0.3"/>
    <row r="41" spans="1:18" x14ac:dyDescent="0.25">
      <c r="A41">
        <f>'Feuille Diags'!H18</f>
        <v>0</v>
      </c>
      <c r="B41" s="312" t="s">
        <v>115</v>
      </c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4"/>
      <c r="R41" s="55"/>
    </row>
    <row r="42" spans="1:18" x14ac:dyDescent="0.25">
      <c r="B42" s="19"/>
      <c r="C42" s="22"/>
      <c r="D42" s="22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11"/>
      <c r="R42" s="55"/>
    </row>
    <row r="43" spans="1:18" x14ac:dyDescent="0.25">
      <c r="B43" s="19"/>
      <c r="C43" s="22"/>
      <c r="D43" s="22">
        <f>'Feuille Diags'!$H$10</f>
        <v>0</v>
      </c>
      <c r="E43" s="304" t="s">
        <v>6</v>
      </c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55">
        <f>'Feuille Diags'!$F$10</f>
        <v>0</v>
      </c>
      <c r="Q43" s="90" t="s">
        <v>5</v>
      </c>
      <c r="R43" s="74"/>
    </row>
    <row r="44" spans="1:18" x14ac:dyDescent="0.25">
      <c r="B44" s="19"/>
      <c r="C44" s="22"/>
      <c r="D44" s="22">
        <f>'Feuille Diags'!$E$13</f>
        <v>0</v>
      </c>
      <c r="E44" s="22" t="s">
        <v>128</v>
      </c>
      <c r="F44" s="22">
        <f>'Feuille Diags'!$F$13</f>
        <v>0</v>
      </c>
      <c r="G44" s="22" t="s">
        <v>35</v>
      </c>
      <c r="H44" s="22">
        <f>'Feuille Diags'!$G$13</f>
        <v>0</v>
      </c>
      <c r="I44" s="22" t="s">
        <v>36</v>
      </c>
      <c r="J44" s="22">
        <f>'Feuille Diags'!$H$13</f>
        <v>0</v>
      </c>
      <c r="K44" s="22" t="s">
        <v>37</v>
      </c>
      <c r="L44" s="22">
        <f>'Feuille Diags'!$I$13</f>
        <v>0</v>
      </c>
      <c r="M44" s="22" t="s">
        <v>38</v>
      </c>
      <c r="N44" s="22">
        <f>'Feuille Diags'!$J$13</f>
        <v>0</v>
      </c>
      <c r="O44" s="22" t="s">
        <v>129</v>
      </c>
      <c r="P44" s="22"/>
      <c r="Q44" s="81"/>
      <c r="R44" s="22"/>
    </row>
    <row r="45" spans="1:18" x14ac:dyDescent="0.25">
      <c r="B45" s="19">
        <f>E4</f>
        <v>0</v>
      </c>
      <c r="C45" s="86" t="s">
        <v>17</v>
      </c>
      <c r="D45" s="86"/>
      <c r="E45" s="22">
        <v>51</v>
      </c>
      <c r="F45" s="22"/>
      <c r="G45" s="22">
        <v>61</v>
      </c>
      <c r="H45" s="22"/>
      <c r="I45" s="22">
        <v>66</v>
      </c>
      <c r="J45" s="22"/>
      <c r="K45" s="22">
        <v>71</v>
      </c>
      <c r="L45" s="22"/>
      <c r="M45" s="22">
        <v>76</v>
      </c>
      <c r="N45" s="22"/>
      <c r="O45" s="22">
        <v>91</v>
      </c>
      <c r="P45" s="22"/>
      <c r="Q45" s="81">
        <v>106</v>
      </c>
      <c r="R45" s="22"/>
    </row>
    <row r="46" spans="1:18" x14ac:dyDescent="0.25">
      <c r="B46" s="19">
        <f>E3</f>
        <v>0</v>
      </c>
      <c r="C46" s="86" t="s">
        <v>21</v>
      </c>
      <c r="D46" s="86"/>
      <c r="E46" s="22">
        <v>39</v>
      </c>
      <c r="F46" s="22"/>
      <c r="G46" s="22">
        <v>49</v>
      </c>
      <c r="H46" s="22"/>
      <c r="I46" s="22">
        <v>54</v>
      </c>
      <c r="J46" s="22"/>
      <c r="K46" s="22">
        <v>59</v>
      </c>
      <c r="L46" s="22"/>
      <c r="M46" s="22">
        <v>64</v>
      </c>
      <c r="N46" s="22"/>
      <c r="O46" s="22">
        <v>79</v>
      </c>
      <c r="P46" s="22"/>
      <c r="Q46" s="81">
        <v>94</v>
      </c>
      <c r="R46" s="22"/>
    </row>
    <row r="47" spans="1:18" x14ac:dyDescent="0.25">
      <c r="B47" s="19">
        <f>E2</f>
        <v>0</v>
      </c>
      <c r="C47" s="86" t="s">
        <v>22</v>
      </c>
      <c r="D47" s="86"/>
      <c r="E47" s="22">
        <v>64</v>
      </c>
      <c r="F47" s="22"/>
      <c r="G47" s="22">
        <v>69</v>
      </c>
      <c r="H47" s="22"/>
      <c r="I47" s="22">
        <v>89</v>
      </c>
      <c r="J47" s="22"/>
      <c r="K47" s="22">
        <v>109</v>
      </c>
      <c r="L47" s="22"/>
      <c r="M47" s="22">
        <v>129</v>
      </c>
      <c r="N47" s="22"/>
      <c r="O47" s="22">
        <v>149</v>
      </c>
      <c r="P47" s="22"/>
      <c r="Q47" s="81">
        <v>164</v>
      </c>
      <c r="R47" s="22"/>
    </row>
    <row r="48" spans="1:18" x14ac:dyDescent="0.25">
      <c r="B48" s="19">
        <f>IF(E8=1,1,IF(E9=1,1,0))</f>
        <v>0</v>
      </c>
      <c r="C48" s="86" t="s">
        <v>136</v>
      </c>
      <c r="D48" s="86"/>
      <c r="E48" s="22">
        <v>39</v>
      </c>
      <c r="F48" s="22"/>
      <c r="G48" s="22">
        <v>49</v>
      </c>
      <c r="H48" s="22"/>
      <c r="I48" s="22">
        <v>54</v>
      </c>
      <c r="J48" s="22"/>
      <c r="K48" s="22">
        <v>59</v>
      </c>
      <c r="L48" s="22"/>
      <c r="M48" s="22">
        <v>64</v>
      </c>
      <c r="N48" s="22"/>
      <c r="O48" s="22">
        <v>79</v>
      </c>
      <c r="P48" s="22"/>
      <c r="Q48" s="81">
        <v>94</v>
      </c>
      <c r="R48" s="22"/>
    </row>
    <row r="49" spans="1:18" x14ac:dyDescent="0.25">
      <c r="B49" s="19">
        <f>E6</f>
        <v>0</v>
      </c>
      <c r="C49" s="86" t="s">
        <v>23</v>
      </c>
      <c r="D49" s="86"/>
      <c r="E49" s="22">
        <v>64</v>
      </c>
      <c r="F49" s="22"/>
      <c r="G49" s="22">
        <v>69</v>
      </c>
      <c r="H49" s="22"/>
      <c r="I49" s="22">
        <v>79</v>
      </c>
      <c r="J49" s="22"/>
      <c r="K49" s="22">
        <v>89</v>
      </c>
      <c r="L49" s="22"/>
      <c r="M49" s="22">
        <v>99</v>
      </c>
      <c r="N49" s="22"/>
      <c r="O49" s="22">
        <v>99</v>
      </c>
      <c r="P49" s="22"/>
      <c r="Q49" s="81">
        <v>119</v>
      </c>
      <c r="R49" s="22"/>
    </row>
    <row r="50" spans="1:18" x14ac:dyDescent="0.25">
      <c r="B50" s="19">
        <f>E7</f>
        <v>0</v>
      </c>
      <c r="C50" s="86" t="s">
        <v>24</v>
      </c>
      <c r="D50" s="86"/>
      <c r="E50" s="22">
        <v>54</v>
      </c>
      <c r="F50" s="22"/>
      <c r="G50" s="22">
        <v>54</v>
      </c>
      <c r="H50" s="22"/>
      <c r="I50" s="22">
        <v>54</v>
      </c>
      <c r="J50" s="22"/>
      <c r="K50" s="22">
        <v>54</v>
      </c>
      <c r="L50" s="22"/>
      <c r="M50" s="22">
        <v>54</v>
      </c>
      <c r="N50" s="22"/>
      <c r="O50" s="22">
        <v>54</v>
      </c>
      <c r="P50" s="22"/>
      <c r="Q50" s="81">
        <v>74</v>
      </c>
      <c r="R50" s="22"/>
    </row>
    <row r="51" spans="1:18" x14ac:dyDescent="0.25">
      <c r="B51" s="19">
        <f>E12</f>
        <v>0</v>
      </c>
      <c r="C51" s="86" t="s">
        <v>29</v>
      </c>
      <c r="D51" s="86"/>
      <c r="E51" s="22">
        <v>90</v>
      </c>
      <c r="F51" s="22"/>
      <c r="G51" s="22">
        <v>90</v>
      </c>
      <c r="H51" s="22"/>
      <c r="I51" s="22">
        <v>90</v>
      </c>
      <c r="J51" s="22"/>
      <c r="K51" s="22">
        <v>90</v>
      </c>
      <c r="L51" s="22"/>
      <c r="M51" s="22">
        <v>90</v>
      </c>
      <c r="N51" s="22"/>
      <c r="O51" s="22">
        <v>90</v>
      </c>
      <c r="P51" s="22"/>
      <c r="Q51" s="81">
        <v>105</v>
      </c>
      <c r="R51" s="22"/>
    </row>
    <row r="52" spans="1:18" ht="15.75" thickBot="1" x14ac:dyDescent="0.3">
      <c r="B52" s="23">
        <f>E10</f>
        <v>0</v>
      </c>
      <c r="C52" s="87" t="s">
        <v>137</v>
      </c>
      <c r="D52" s="87"/>
      <c r="E52" s="26">
        <v>175</v>
      </c>
      <c r="F52" s="26"/>
      <c r="G52" s="26">
        <v>175</v>
      </c>
      <c r="H52" s="26"/>
      <c r="I52" s="26">
        <v>175</v>
      </c>
      <c r="J52" s="26"/>
      <c r="K52" s="26">
        <v>175</v>
      </c>
      <c r="L52" s="26"/>
      <c r="M52" s="26">
        <v>175</v>
      </c>
      <c r="N52" s="26"/>
      <c r="O52" s="26">
        <v>175</v>
      </c>
      <c r="P52" s="26"/>
      <c r="Q52" s="88">
        <v>175</v>
      </c>
      <c r="R52" s="22">
        <f>A41*B30*E30</f>
        <v>0</v>
      </c>
    </row>
    <row r="53" spans="1:18" x14ac:dyDescent="0.25">
      <c r="E53">
        <f>$A$41*$D$43*D44*($B$45*$E$45+$B$46*E46+$B$47*E47+$B$48*E48+$B$49*E49+$B$50*E50+$B$51*E51+$B$52*E52)</f>
        <v>0</v>
      </c>
      <c r="G53">
        <f>$A$41*$D$43*F44*($B$45*G45+$B$46*G46+$B$47*G47+$B$48*G48+$B$49*G49+$B$50*G50+$B$51*G51+$B$52*G52)</f>
        <v>0</v>
      </c>
      <c r="I53">
        <f>$A$41*$D$43*H44*($B$45*I45+$B$46*I46+$B$47*I47+$B$48*I48+$B$49*I49+$B$50*I50+$B$51*I51+$B$52*I52)</f>
        <v>0</v>
      </c>
      <c r="K53">
        <f>$A$41*$D$43*J44*($B$45*K45+$B$46*K46+$B$47*K47+$B$48*K48+$B$49*K49+$B$50*K50+$B$51*K51+$B$52*K52)</f>
        <v>0</v>
      </c>
      <c r="M53">
        <f>$A$41*$D$43*L44*($B$45*M45+$B$46*M46+$B$47*M47+$B$48*M48+$B$49*M49+$B$50*M50+$B$51*M51+$B$52*M52)</f>
        <v>0</v>
      </c>
      <c r="O53">
        <f>$A$41*$D$43*N44*($B$45*O45+$B$46*O46+$B$47*O47+$B$48*O48+$B$49*O49+$B$50*O50+$B$51*O51+$B$52*O52)</f>
        <v>0</v>
      </c>
      <c r="Q53">
        <f>$A$41*P43*($B$45*Q45+$B$46*Q46+$B$47*Q47+$B$48*Q48+$B$49*Q49+$B$50*Q50+$B$51*Q51+$B$52*Q52)</f>
        <v>0</v>
      </c>
      <c r="R53">
        <f>E53+G53+I53+K53+M53+O53+Q53</f>
        <v>0</v>
      </c>
    </row>
    <row r="54" spans="1:18" ht="15.75" thickBot="1" x14ac:dyDescent="0.3"/>
    <row r="55" spans="1:18" x14ac:dyDescent="0.25">
      <c r="A55">
        <f>'Feuille Diags'!I18</f>
        <v>0</v>
      </c>
      <c r="B55" s="312" t="s">
        <v>140</v>
      </c>
      <c r="C55" s="313"/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4"/>
      <c r="R55" s="55"/>
    </row>
    <row r="56" spans="1:18" x14ac:dyDescent="0.25">
      <c r="B56" s="19"/>
      <c r="C56" s="22"/>
      <c r="D56" s="22"/>
      <c r="E56" s="304"/>
      <c r="F56" s="304"/>
      <c r="G56" s="304"/>
      <c r="H56" s="304"/>
      <c r="I56" s="304"/>
      <c r="J56" s="304"/>
      <c r="K56" s="304"/>
      <c r="L56" s="304"/>
      <c r="M56" s="304"/>
      <c r="N56" s="304"/>
      <c r="O56" s="304"/>
      <c r="P56" s="304"/>
      <c r="Q56" s="311"/>
      <c r="R56" s="55"/>
    </row>
    <row r="57" spans="1:18" x14ac:dyDescent="0.25">
      <c r="B57" s="19"/>
      <c r="C57" s="22"/>
      <c r="D57" s="22">
        <f>'Feuille Diags'!$H$10</f>
        <v>0</v>
      </c>
      <c r="E57" s="304" t="s">
        <v>6</v>
      </c>
      <c r="F57" s="304"/>
      <c r="G57" s="304"/>
      <c r="H57" s="304"/>
      <c r="I57" s="304"/>
      <c r="J57" s="304"/>
      <c r="K57" s="304"/>
      <c r="L57" s="304"/>
      <c r="M57" s="304"/>
      <c r="N57" s="304"/>
      <c r="O57" s="304"/>
      <c r="P57" s="55">
        <f>'Feuille Diags'!$F$10</f>
        <v>0</v>
      </c>
      <c r="Q57" s="90" t="s">
        <v>5</v>
      </c>
      <c r="R57" s="74"/>
    </row>
    <row r="58" spans="1:18" x14ac:dyDescent="0.25">
      <c r="B58" s="19"/>
      <c r="C58" s="22"/>
      <c r="D58" s="22">
        <f>'Feuille Diags'!$E$13</f>
        <v>0</v>
      </c>
      <c r="E58" s="22" t="s">
        <v>128</v>
      </c>
      <c r="F58" s="22">
        <f>'Feuille Diags'!$F$13</f>
        <v>0</v>
      </c>
      <c r="G58" s="22" t="s">
        <v>35</v>
      </c>
      <c r="H58" s="22">
        <f>'Feuille Diags'!$G$13</f>
        <v>0</v>
      </c>
      <c r="I58" s="22" t="s">
        <v>36</v>
      </c>
      <c r="J58" s="22">
        <f>'Feuille Diags'!$H$13</f>
        <v>0</v>
      </c>
      <c r="K58" s="22" t="s">
        <v>37</v>
      </c>
      <c r="L58" s="22">
        <f>'Feuille Diags'!$I$13</f>
        <v>0</v>
      </c>
      <c r="M58" s="22" t="s">
        <v>38</v>
      </c>
      <c r="N58" s="22">
        <f>'Feuille Diags'!$J$13</f>
        <v>0</v>
      </c>
      <c r="O58" s="22" t="s">
        <v>129</v>
      </c>
      <c r="P58" s="22"/>
      <c r="Q58" s="81"/>
      <c r="R58" s="22"/>
    </row>
    <row r="59" spans="1:18" x14ac:dyDescent="0.25">
      <c r="B59" s="19">
        <f>E4</f>
        <v>0</v>
      </c>
      <c r="C59" s="86" t="s">
        <v>17</v>
      </c>
      <c r="D59" s="86"/>
      <c r="E59" s="22">
        <v>39</v>
      </c>
      <c r="F59" s="22"/>
      <c r="G59" s="22">
        <v>49</v>
      </c>
      <c r="H59" s="22"/>
      <c r="I59" s="22">
        <v>49</v>
      </c>
      <c r="J59" s="22"/>
      <c r="K59" s="22">
        <v>59</v>
      </c>
      <c r="L59" s="22"/>
      <c r="M59" s="22">
        <v>64</v>
      </c>
      <c r="N59" s="22"/>
      <c r="O59" s="22">
        <v>69</v>
      </c>
      <c r="P59" s="22"/>
      <c r="Q59" s="81">
        <v>89</v>
      </c>
      <c r="R59" s="22"/>
    </row>
    <row r="60" spans="1:18" x14ac:dyDescent="0.25">
      <c r="B60" s="19">
        <f>E3</f>
        <v>0</v>
      </c>
      <c r="C60" s="86" t="s">
        <v>21</v>
      </c>
      <c r="D60" s="86"/>
      <c r="E60" s="22">
        <v>39</v>
      </c>
      <c r="F60" s="22"/>
      <c r="G60" s="22">
        <v>49</v>
      </c>
      <c r="H60" s="22"/>
      <c r="I60" s="22">
        <v>54</v>
      </c>
      <c r="J60" s="22"/>
      <c r="K60" s="22">
        <v>59</v>
      </c>
      <c r="L60" s="22"/>
      <c r="M60" s="22">
        <v>64</v>
      </c>
      <c r="N60" s="22"/>
      <c r="O60" s="22">
        <v>79</v>
      </c>
      <c r="P60" s="22"/>
      <c r="Q60" s="81">
        <v>94</v>
      </c>
      <c r="R60" s="22"/>
    </row>
    <row r="61" spans="1:18" x14ac:dyDescent="0.25">
      <c r="B61" s="19">
        <f>E2</f>
        <v>0</v>
      </c>
      <c r="C61" s="86" t="s">
        <v>22</v>
      </c>
      <c r="D61" s="86"/>
      <c r="E61" s="22">
        <v>64</v>
      </c>
      <c r="F61" s="22"/>
      <c r="G61" s="22">
        <v>69</v>
      </c>
      <c r="H61" s="22"/>
      <c r="I61" s="22">
        <v>79</v>
      </c>
      <c r="J61" s="22"/>
      <c r="K61" s="22">
        <v>89</v>
      </c>
      <c r="L61" s="22"/>
      <c r="M61" s="22">
        <v>129</v>
      </c>
      <c r="N61" s="22"/>
      <c r="O61" s="22">
        <v>149</v>
      </c>
      <c r="P61" s="22"/>
      <c r="Q61" s="81">
        <v>159</v>
      </c>
      <c r="R61" s="22"/>
    </row>
    <row r="62" spans="1:18" x14ac:dyDescent="0.25">
      <c r="B62" s="19">
        <f>IF(E8=1,1,IF(E9=1,1,0))</f>
        <v>0</v>
      </c>
      <c r="C62" s="86" t="s">
        <v>136</v>
      </c>
      <c r="D62" s="86"/>
      <c r="E62" s="22">
        <v>39</v>
      </c>
      <c r="F62" s="22"/>
      <c r="G62" s="22">
        <v>49</v>
      </c>
      <c r="H62" s="22"/>
      <c r="I62" s="22">
        <v>49</v>
      </c>
      <c r="J62" s="22"/>
      <c r="K62" s="22">
        <v>59</v>
      </c>
      <c r="L62" s="22"/>
      <c r="M62" s="22">
        <v>64</v>
      </c>
      <c r="N62" s="22"/>
      <c r="O62" s="22">
        <v>79</v>
      </c>
      <c r="P62" s="22"/>
      <c r="Q62" s="81">
        <v>89</v>
      </c>
      <c r="R62" s="22"/>
    </row>
    <row r="63" spans="1:18" x14ac:dyDescent="0.25">
      <c r="B63" s="19">
        <f>E6</f>
        <v>0</v>
      </c>
      <c r="C63" s="86" t="s">
        <v>23</v>
      </c>
      <c r="D63" s="86"/>
      <c r="E63" s="22">
        <v>64</v>
      </c>
      <c r="F63" s="22"/>
      <c r="G63" s="22">
        <v>69</v>
      </c>
      <c r="H63" s="22"/>
      <c r="I63" s="22">
        <v>79</v>
      </c>
      <c r="J63" s="22"/>
      <c r="K63" s="22">
        <v>89</v>
      </c>
      <c r="L63" s="22"/>
      <c r="M63" s="22">
        <v>99</v>
      </c>
      <c r="N63" s="22"/>
      <c r="O63" s="22">
        <v>99</v>
      </c>
      <c r="P63" s="22"/>
      <c r="Q63" s="81">
        <v>119</v>
      </c>
      <c r="R63" s="22"/>
    </row>
    <row r="64" spans="1:18" x14ac:dyDescent="0.25">
      <c r="B64" s="19">
        <f>E7</f>
        <v>0</v>
      </c>
      <c r="C64" s="86" t="s">
        <v>24</v>
      </c>
      <c r="D64" s="86"/>
      <c r="E64" s="22">
        <v>54</v>
      </c>
      <c r="F64" s="22"/>
      <c r="G64" s="22">
        <v>54</v>
      </c>
      <c r="H64" s="22"/>
      <c r="I64" s="22">
        <v>54</v>
      </c>
      <c r="J64" s="22"/>
      <c r="K64" s="22">
        <v>54</v>
      </c>
      <c r="L64" s="22"/>
      <c r="M64" s="22">
        <v>54</v>
      </c>
      <c r="N64" s="22"/>
      <c r="O64" s="22">
        <v>54</v>
      </c>
      <c r="P64" s="22"/>
      <c r="Q64" s="81">
        <v>74</v>
      </c>
      <c r="R64" s="22"/>
    </row>
    <row r="65" spans="1:18" x14ac:dyDescent="0.25">
      <c r="B65" s="19">
        <f>E12</f>
        <v>0</v>
      </c>
      <c r="C65" s="86" t="s">
        <v>29</v>
      </c>
      <c r="D65" s="86"/>
      <c r="E65" s="22">
        <v>90</v>
      </c>
      <c r="F65" s="22"/>
      <c r="G65" s="22">
        <v>90</v>
      </c>
      <c r="H65" s="22"/>
      <c r="I65" s="22">
        <v>90</v>
      </c>
      <c r="J65" s="22"/>
      <c r="K65" s="22">
        <v>90</v>
      </c>
      <c r="L65" s="22"/>
      <c r="M65" s="22">
        <v>90</v>
      </c>
      <c r="N65" s="22"/>
      <c r="O65" s="22">
        <v>90</v>
      </c>
      <c r="P65" s="22"/>
      <c r="Q65" s="81">
        <v>105</v>
      </c>
      <c r="R65" s="22"/>
    </row>
    <row r="66" spans="1:18" x14ac:dyDescent="0.25">
      <c r="B66" s="19">
        <f>E10</f>
        <v>0</v>
      </c>
      <c r="C66" s="86" t="s">
        <v>139</v>
      </c>
      <c r="D66" s="86"/>
      <c r="E66" s="22">
        <v>59</v>
      </c>
      <c r="F66" s="22"/>
      <c r="G66" s="22">
        <v>69</v>
      </c>
      <c r="H66" s="22"/>
      <c r="I66" s="22">
        <v>79</v>
      </c>
      <c r="J66" s="22"/>
      <c r="K66" s="22">
        <v>89</v>
      </c>
      <c r="L66" s="22"/>
      <c r="M66" s="22">
        <v>109</v>
      </c>
      <c r="N66" s="22"/>
      <c r="O66" s="22">
        <v>119</v>
      </c>
      <c r="P66" s="22"/>
      <c r="Q66" s="81">
        <v>139</v>
      </c>
      <c r="R66" s="22"/>
    </row>
    <row r="67" spans="1:18" x14ac:dyDescent="0.25">
      <c r="B67" s="19">
        <f>H2</f>
        <v>0</v>
      </c>
      <c r="C67" s="86" t="s">
        <v>155</v>
      </c>
      <c r="D67" s="86"/>
      <c r="E67" s="92">
        <v>34</v>
      </c>
      <c r="F67" s="92"/>
      <c r="G67" s="92">
        <v>34</v>
      </c>
      <c r="H67" s="22"/>
      <c r="I67" s="92">
        <v>34</v>
      </c>
      <c r="J67" s="22"/>
      <c r="K67" s="92">
        <v>34</v>
      </c>
      <c r="L67" s="22"/>
      <c r="M67" s="92">
        <v>34</v>
      </c>
      <c r="N67" s="22"/>
      <c r="O67" s="92">
        <v>34</v>
      </c>
      <c r="P67" s="22"/>
      <c r="Q67" s="92">
        <v>34</v>
      </c>
      <c r="R67" s="22">
        <f>A55*D57*(D58*(B67*E67+B68*E68)+F58*(B67*G67+B68*G68)+H58*(B67*I67+B68*I68)+J58*(B67*K67+B68*K68)+L58*(M67*B67+B68*M68)+N58*(B67*O67+B68*O68))+A55*P57*(B67*Q67+B68*Q68)</f>
        <v>0</v>
      </c>
    </row>
    <row r="68" spans="1:18" ht="15.75" thickBot="1" x14ac:dyDescent="0.3">
      <c r="B68" s="23">
        <f>H3</f>
        <v>0</v>
      </c>
      <c r="C68" s="91" t="s">
        <v>156</v>
      </c>
      <c r="D68" s="91"/>
      <c r="E68" s="93">
        <v>59</v>
      </c>
      <c r="F68" s="93"/>
      <c r="G68" s="93">
        <v>59</v>
      </c>
      <c r="H68" s="26"/>
      <c r="I68" s="93">
        <v>59</v>
      </c>
      <c r="J68" s="26"/>
      <c r="K68" s="93">
        <v>59</v>
      </c>
      <c r="L68" s="26"/>
      <c r="M68" s="93">
        <v>59</v>
      </c>
      <c r="N68" s="26"/>
      <c r="O68" s="93">
        <v>59</v>
      </c>
      <c r="P68" s="26"/>
      <c r="Q68" s="93">
        <v>59</v>
      </c>
      <c r="R68" s="22"/>
    </row>
    <row r="69" spans="1:18" x14ac:dyDescent="0.25">
      <c r="C69" s="89"/>
      <c r="D69" s="89"/>
      <c r="E69">
        <f>$A$55*$D$57*D58*($B$59*E59+$B$60*E60+$B$61*$E$61+$B$62*E62+$B$63*E63+$B$64*E64+$B$65*E65+$B$66*E66+$B$67*E67+$B$68*E68)</f>
        <v>0</v>
      </c>
      <c r="F69" s="92"/>
      <c r="G69">
        <f>$A$55*$D$57*F58*($B$59*G59+$B$60*G60+$B$61*G61+$B$62*G62+$B$63*G63+$B$64*G64+$B$65*G65+$B$66*G66+$B$67*G67+$B$68*G68)</f>
        <v>0</v>
      </c>
      <c r="I69">
        <f>$A$55*$D$57*H58*($B$59*I59+$B$60*I60+$B$61*I61+$B$62*I62+$B$63*I63+$B$64*I64+$B$65*I65+$B$66*I66+$B$67*I67+$B$68*I68)</f>
        <v>0</v>
      </c>
      <c r="K69">
        <f>$A$55*$D$57*J58*($B$59*K59+$B$60*K60+$B$61*K61+$B$62*K62+$B$63*K63+$B$64*K64+$B$65*K65+$B$66*K66+$B$67*K67+$B$68*K68)</f>
        <v>0</v>
      </c>
      <c r="M69">
        <f>$A$55*$D$57*L58*($B$59*M59+$B$60*M60+$B$61*M61+$B$62*M62+$B$63*M63+$B$64*M64+$B$65*M65+$B$66*M66+$B$67*M67+$B$68*M68)</f>
        <v>0</v>
      </c>
      <c r="O69">
        <f>$A$55*$D$57*N58*($B$59*O59+$B$60*O60+$B$61*O61+$B$62*O62+$B$63*O63+$B$64*O64+$B$65*O65+$B$66*O66+$B$67*O67+$B$68*O68)</f>
        <v>0</v>
      </c>
      <c r="Q69">
        <f>$A$55*P57*($B$59*Q59+$B$60*Q60+$B$61*Q61+$B$62*Q62+$B$63*Q63+$B$64*Q64+$B$65*Q65+$B$66*Q66+$B$67*Q67+$B$68*Q68)</f>
        <v>0</v>
      </c>
      <c r="R69">
        <f>E69+G69+I69+K69+M69+O69+Q69</f>
        <v>0</v>
      </c>
    </row>
    <row r="70" spans="1:18" ht="15.75" thickBot="1" x14ac:dyDescent="0.3"/>
    <row r="71" spans="1:18" x14ac:dyDescent="0.25">
      <c r="A71">
        <f>'Feuille Diags'!I18</f>
        <v>0</v>
      </c>
      <c r="B71" s="312" t="s">
        <v>141</v>
      </c>
      <c r="C71" s="313"/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4"/>
      <c r="R71" s="55"/>
    </row>
    <row r="72" spans="1:18" x14ac:dyDescent="0.25">
      <c r="B72" s="19"/>
      <c r="C72" s="22"/>
      <c r="D72" s="22"/>
      <c r="E72" s="304"/>
      <c r="F72" s="304"/>
      <c r="G72" s="304"/>
      <c r="H72" s="304"/>
      <c r="I72" s="304"/>
      <c r="J72" s="304"/>
      <c r="K72" s="304"/>
      <c r="L72" s="304"/>
      <c r="M72" s="304"/>
      <c r="N72" s="304"/>
      <c r="O72" s="304"/>
      <c r="P72" s="304"/>
      <c r="Q72" s="311"/>
      <c r="R72" s="55"/>
    </row>
    <row r="73" spans="1:18" x14ac:dyDescent="0.25">
      <c r="B73" s="19"/>
      <c r="C73" s="22"/>
      <c r="D73" s="22">
        <f>'Feuille Diags'!$H$10</f>
        <v>0</v>
      </c>
      <c r="E73" s="304" t="s">
        <v>6</v>
      </c>
      <c r="F73" s="304"/>
      <c r="G73" s="304"/>
      <c r="H73" s="304"/>
      <c r="I73" s="304"/>
      <c r="J73" s="304"/>
      <c r="K73" s="304"/>
      <c r="L73" s="304"/>
      <c r="M73" s="304"/>
      <c r="N73" s="304"/>
      <c r="O73" s="304"/>
      <c r="P73" s="55">
        <f>'Feuille Diags'!$F$10</f>
        <v>0</v>
      </c>
      <c r="Q73" s="90" t="s">
        <v>5</v>
      </c>
      <c r="R73" s="74"/>
    </row>
    <row r="74" spans="1:18" x14ac:dyDescent="0.25">
      <c r="B74" s="19"/>
      <c r="C74" s="22"/>
      <c r="D74" s="22">
        <f>'Feuille Diags'!$E$13</f>
        <v>0</v>
      </c>
      <c r="E74" s="22" t="s">
        <v>128</v>
      </c>
      <c r="F74" s="22">
        <f>'Feuille Diags'!$F$13</f>
        <v>0</v>
      </c>
      <c r="G74" s="22" t="s">
        <v>35</v>
      </c>
      <c r="H74" s="22">
        <f>'Feuille Diags'!$G$13</f>
        <v>0</v>
      </c>
      <c r="I74" s="22" t="s">
        <v>36</v>
      </c>
      <c r="J74" s="22">
        <f>'Feuille Diags'!$H$13</f>
        <v>0</v>
      </c>
      <c r="K74" s="22" t="s">
        <v>37</v>
      </c>
      <c r="L74" s="22">
        <f>'Feuille Diags'!$I$13</f>
        <v>0</v>
      </c>
      <c r="M74" s="22" t="s">
        <v>38</v>
      </c>
      <c r="N74" s="22">
        <f>'Feuille Diags'!$J$13</f>
        <v>0</v>
      </c>
      <c r="O74" s="22" t="s">
        <v>129</v>
      </c>
      <c r="P74" s="22"/>
      <c r="Q74" s="81"/>
      <c r="R74" s="22"/>
    </row>
    <row r="75" spans="1:18" x14ac:dyDescent="0.25">
      <c r="B75" s="19">
        <f>E4*E3</f>
        <v>0</v>
      </c>
      <c r="C75" s="99" t="s">
        <v>130</v>
      </c>
      <c r="D75" s="86"/>
      <c r="E75" s="22">
        <v>69</v>
      </c>
      <c r="F75" s="22"/>
      <c r="G75" s="22">
        <v>89</v>
      </c>
      <c r="H75" s="22"/>
      <c r="I75" s="22">
        <v>99</v>
      </c>
      <c r="J75" s="22"/>
      <c r="K75" s="92">
        <v>109</v>
      </c>
      <c r="L75" s="92"/>
      <c r="M75" s="92">
        <v>119</v>
      </c>
      <c r="N75" s="92"/>
      <c r="O75" s="92">
        <v>139</v>
      </c>
      <c r="P75" s="92"/>
      <c r="Q75" s="81">
        <v>174</v>
      </c>
      <c r="R75" s="22"/>
    </row>
    <row r="76" spans="1:18" x14ac:dyDescent="0.25">
      <c r="B76" s="19">
        <f>IF(E8=1,1,IF(E9=1,1,0))*E4</f>
        <v>0</v>
      </c>
      <c r="C76" s="99" t="s">
        <v>142</v>
      </c>
      <c r="D76" s="86"/>
      <c r="E76" s="22">
        <v>69</v>
      </c>
      <c r="F76" s="22"/>
      <c r="G76" s="22">
        <v>89</v>
      </c>
      <c r="H76" s="22"/>
      <c r="I76" s="22">
        <v>99</v>
      </c>
      <c r="J76" s="22"/>
      <c r="K76" s="92">
        <v>109</v>
      </c>
      <c r="L76" s="92"/>
      <c r="M76" s="92">
        <v>119</v>
      </c>
      <c r="N76" s="92"/>
      <c r="O76" s="92">
        <v>139</v>
      </c>
      <c r="P76" s="92"/>
      <c r="Q76" s="81">
        <v>174</v>
      </c>
      <c r="R76" s="22"/>
    </row>
    <row r="77" spans="1:18" x14ac:dyDescent="0.25">
      <c r="B77" s="19">
        <f>E4*E2</f>
        <v>0</v>
      </c>
      <c r="C77" s="99" t="s">
        <v>143</v>
      </c>
      <c r="D77" s="86"/>
      <c r="E77" s="22">
        <v>94</v>
      </c>
      <c r="F77" s="22"/>
      <c r="G77" s="22">
        <v>109</v>
      </c>
      <c r="H77" s="22"/>
      <c r="I77" s="22">
        <v>119</v>
      </c>
      <c r="J77" s="22"/>
      <c r="K77" s="92">
        <v>159</v>
      </c>
      <c r="L77" s="92"/>
      <c r="M77" s="92">
        <v>184</v>
      </c>
      <c r="N77" s="92"/>
      <c r="O77" s="92">
        <v>209</v>
      </c>
      <c r="P77" s="92"/>
      <c r="Q77" s="81">
        <v>244</v>
      </c>
      <c r="R77" s="22"/>
    </row>
    <row r="78" spans="1:18" x14ac:dyDescent="0.25">
      <c r="B78" s="19">
        <f>E2*E3</f>
        <v>0</v>
      </c>
      <c r="C78" s="99" t="s">
        <v>144</v>
      </c>
      <c r="D78" s="86"/>
      <c r="E78" s="92">
        <v>94</v>
      </c>
      <c r="F78" s="92"/>
      <c r="G78" s="92">
        <v>109</v>
      </c>
      <c r="H78" s="92"/>
      <c r="I78" s="92">
        <v>134</v>
      </c>
      <c r="J78" s="92"/>
      <c r="K78" s="92">
        <v>144</v>
      </c>
      <c r="L78" s="92"/>
      <c r="M78" s="92">
        <v>184</v>
      </c>
      <c r="N78" s="92"/>
      <c r="O78" s="92">
        <v>219</v>
      </c>
      <c r="P78" s="92"/>
      <c r="Q78" s="81">
        <v>239</v>
      </c>
      <c r="R78" s="22"/>
    </row>
    <row r="79" spans="1:18" x14ac:dyDescent="0.25">
      <c r="B79" s="19">
        <f>E4*E6</f>
        <v>0</v>
      </c>
      <c r="C79" s="99" t="s">
        <v>145</v>
      </c>
      <c r="D79" s="86"/>
      <c r="E79" s="92">
        <v>94</v>
      </c>
      <c r="F79" s="92"/>
      <c r="G79" s="92">
        <v>109</v>
      </c>
      <c r="H79" s="92"/>
      <c r="I79" s="92">
        <v>124</v>
      </c>
      <c r="J79" s="92"/>
      <c r="K79" s="92">
        <v>139</v>
      </c>
      <c r="L79" s="92"/>
      <c r="M79" s="92">
        <v>154</v>
      </c>
      <c r="N79" s="92"/>
      <c r="O79" s="92">
        <v>159</v>
      </c>
      <c r="P79" s="92"/>
      <c r="Q79" s="81">
        <v>199</v>
      </c>
      <c r="R79" s="22"/>
    </row>
    <row r="80" spans="1:18" x14ac:dyDescent="0.25">
      <c r="B80" s="19">
        <f>E3*E4*E8</f>
        <v>0</v>
      </c>
      <c r="C80" s="99" t="s">
        <v>146</v>
      </c>
      <c r="D80" s="86"/>
      <c r="E80" s="92">
        <v>99</v>
      </c>
      <c r="F80" s="92"/>
      <c r="G80" s="92">
        <v>129</v>
      </c>
      <c r="H80" s="92"/>
      <c r="I80" s="92">
        <v>144</v>
      </c>
      <c r="J80" s="92"/>
      <c r="K80" s="92">
        <v>159</v>
      </c>
      <c r="L80" s="92"/>
      <c r="M80" s="92">
        <v>174</v>
      </c>
      <c r="N80" s="92"/>
      <c r="O80" s="92">
        <v>209</v>
      </c>
      <c r="P80" s="92"/>
      <c r="Q80" s="81">
        <v>259</v>
      </c>
      <c r="R80" s="22"/>
    </row>
    <row r="81" spans="1:18" x14ac:dyDescent="0.25">
      <c r="B81" s="19">
        <f>E4*E3*E2</f>
        <v>0</v>
      </c>
      <c r="C81" s="99" t="s">
        <v>147</v>
      </c>
      <c r="D81" s="86"/>
      <c r="E81" s="92">
        <v>114</v>
      </c>
      <c r="F81" s="92"/>
      <c r="G81" s="92">
        <v>134</v>
      </c>
      <c r="H81" s="92"/>
      <c r="I81" s="92">
        <v>144</v>
      </c>
      <c r="J81" s="92"/>
      <c r="K81" s="92">
        <v>154</v>
      </c>
      <c r="L81" s="92"/>
      <c r="M81" s="92">
        <v>164</v>
      </c>
      <c r="N81" s="92"/>
      <c r="O81" s="92">
        <v>184</v>
      </c>
      <c r="P81" s="92"/>
      <c r="Q81" s="81">
        <v>239</v>
      </c>
      <c r="R81" s="22"/>
    </row>
    <row r="82" spans="1:18" x14ac:dyDescent="0.25">
      <c r="B82" s="19">
        <f>E4*E3*E7</f>
        <v>0</v>
      </c>
      <c r="C82" s="99" t="s">
        <v>148</v>
      </c>
      <c r="D82" s="86"/>
      <c r="E82" s="92">
        <v>114</v>
      </c>
      <c r="F82" s="92"/>
      <c r="G82" s="92">
        <v>134</v>
      </c>
      <c r="H82" s="92"/>
      <c r="I82" s="92">
        <v>144</v>
      </c>
      <c r="J82" s="92"/>
      <c r="K82" s="92">
        <v>154</v>
      </c>
      <c r="L82" s="92"/>
      <c r="M82" s="92">
        <v>164</v>
      </c>
      <c r="N82" s="92"/>
      <c r="O82" s="92">
        <v>184</v>
      </c>
      <c r="P82" s="92"/>
      <c r="Q82" s="81">
        <v>239</v>
      </c>
      <c r="R82" s="22"/>
    </row>
    <row r="83" spans="1:18" x14ac:dyDescent="0.25">
      <c r="B83" s="19">
        <f>E4*E7*E6</f>
        <v>0</v>
      </c>
      <c r="C83" s="100" t="s">
        <v>149</v>
      </c>
      <c r="D83" s="89"/>
      <c r="E83" s="92">
        <v>139</v>
      </c>
      <c r="F83" s="92"/>
      <c r="G83" s="92">
        <v>154</v>
      </c>
      <c r="H83" s="92"/>
      <c r="I83" s="92">
        <v>169</v>
      </c>
      <c r="J83" s="92"/>
      <c r="K83" s="92">
        <v>184</v>
      </c>
      <c r="L83" s="92"/>
      <c r="M83" s="92">
        <v>199</v>
      </c>
      <c r="N83" s="92"/>
      <c r="O83" s="92">
        <v>204</v>
      </c>
      <c r="P83" s="92"/>
      <c r="Q83" s="81">
        <v>264</v>
      </c>
      <c r="R83" s="22"/>
    </row>
    <row r="84" spans="1:18" x14ac:dyDescent="0.25">
      <c r="B84" s="19">
        <f>E3*E7*E8*E4</f>
        <v>0</v>
      </c>
      <c r="C84" s="100" t="s">
        <v>150</v>
      </c>
      <c r="D84" s="89"/>
      <c r="E84" s="92">
        <v>144</v>
      </c>
      <c r="F84" s="92"/>
      <c r="G84" s="92">
        <v>174</v>
      </c>
      <c r="H84" s="92"/>
      <c r="I84" s="92">
        <v>189</v>
      </c>
      <c r="J84" s="92"/>
      <c r="K84" s="92">
        <v>204</v>
      </c>
      <c r="L84" s="92"/>
      <c r="M84" s="92">
        <v>219</v>
      </c>
      <c r="N84" s="92"/>
      <c r="O84" s="92">
        <v>254</v>
      </c>
      <c r="P84" s="92"/>
      <c r="Q84" s="81">
        <v>324</v>
      </c>
      <c r="R84" s="22"/>
    </row>
    <row r="85" spans="1:18" x14ac:dyDescent="0.25">
      <c r="B85" s="19">
        <f>E2*E3*E7*E8</f>
        <v>0</v>
      </c>
      <c r="C85" s="100" t="s">
        <v>151</v>
      </c>
      <c r="D85" s="89"/>
      <c r="E85" s="92">
        <v>169</v>
      </c>
      <c r="F85" s="92"/>
      <c r="G85" s="92">
        <v>194</v>
      </c>
      <c r="H85" s="92"/>
      <c r="I85" s="92">
        <v>224</v>
      </c>
      <c r="J85" s="92"/>
      <c r="K85" s="92">
        <v>254</v>
      </c>
      <c r="L85" s="92"/>
      <c r="M85" s="92">
        <v>284</v>
      </c>
      <c r="N85" s="92"/>
      <c r="O85" s="92">
        <v>334</v>
      </c>
      <c r="P85" s="92"/>
      <c r="Q85" s="81">
        <v>399</v>
      </c>
      <c r="R85" s="22"/>
    </row>
    <row r="86" spans="1:18" x14ac:dyDescent="0.25">
      <c r="B86" s="19">
        <f>E4*E2*E3*E7</f>
        <v>0</v>
      </c>
      <c r="C86" s="100" t="s">
        <v>152</v>
      </c>
      <c r="D86" s="89"/>
      <c r="E86" s="92">
        <v>169</v>
      </c>
      <c r="F86" s="92"/>
      <c r="G86" s="92">
        <v>194</v>
      </c>
      <c r="H86" s="92"/>
      <c r="I86" s="92">
        <v>224</v>
      </c>
      <c r="J86" s="92"/>
      <c r="K86" s="92">
        <v>254</v>
      </c>
      <c r="L86" s="92"/>
      <c r="M86" s="92">
        <v>284</v>
      </c>
      <c r="N86" s="92"/>
      <c r="O86" s="92">
        <v>324</v>
      </c>
      <c r="P86" s="92"/>
      <c r="Q86" s="81">
        <v>394</v>
      </c>
      <c r="R86" s="22"/>
    </row>
    <row r="87" spans="1:18" x14ac:dyDescent="0.25">
      <c r="B87" s="19">
        <f>E6*E4*E3*E7</f>
        <v>0</v>
      </c>
      <c r="C87" s="100" t="s">
        <v>153</v>
      </c>
      <c r="D87" s="89"/>
      <c r="E87" s="92">
        <v>169</v>
      </c>
      <c r="F87" s="92"/>
      <c r="G87" s="92">
        <v>194</v>
      </c>
      <c r="H87" s="92"/>
      <c r="I87" s="92">
        <v>214</v>
      </c>
      <c r="J87" s="92"/>
      <c r="K87" s="92">
        <v>234</v>
      </c>
      <c r="L87" s="92"/>
      <c r="M87" s="92">
        <v>254</v>
      </c>
      <c r="N87" s="92"/>
      <c r="O87" s="92">
        <v>274</v>
      </c>
      <c r="P87" s="92"/>
      <c r="Q87" s="81">
        <v>349</v>
      </c>
      <c r="R87" s="22"/>
    </row>
    <row r="88" spans="1:18" x14ac:dyDescent="0.25">
      <c r="B88" s="19">
        <f>E2*E6*E7*E4</f>
        <v>0</v>
      </c>
      <c r="C88" s="100" t="s">
        <v>154</v>
      </c>
      <c r="D88" s="89"/>
      <c r="E88" s="22">
        <v>194</v>
      </c>
      <c r="F88" s="22"/>
      <c r="G88" s="22">
        <v>214</v>
      </c>
      <c r="H88" s="22"/>
      <c r="I88" s="22">
        <v>249</v>
      </c>
      <c r="J88" s="22"/>
      <c r="K88" s="22">
        <v>284</v>
      </c>
      <c r="L88" s="22"/>
      <c r="M88" s="22">
        <v>319</v>
      </c>
      <c r="N88" s="22"/>
      <c r="O88" s="22">
        <v>344</v>
      </c>
      <c r="P88" s="22"/>
      <c r="Q88" s="81">
        <v>419</v>
      </c>
      <c r="R88" s="22"/>
    </row>
    <row r="89" spans="1:18" x14ac:dyDescent="0.25">
      <c r="B89" s="19">
        <f>H2</f>
        <v>0</v>
      </c>
      <c r="C89" s="99" t="s">
        <v>155</v>
      </c>
      <c r="D89" s="86"/>
      <c r="E89" s="92">
        <v>34</v>
      </c>
      <c r="F89" s="92"/>
      <c r="G89" s="92">
        <v>34</v>
      </c>
      <c r="H89" s="22"/>
      <c r="I89" s="92">
        <v>34</v>
      </c>
      <c r="J89" s="22"/>
      <c r="K89" s="92">
        <v>34</v>
      </c>
      <c r="L89" s="22"/>
      <c r="M89" s="92">
        <v>34</v>
      </c>
      <c r="N89" s="22"/>
      <c r="O89" s="92">
        <v>34</v>
      </c>
      <c r="P89" s="22"/>
      <c r="Q89" s="92">
        <v>34</v>
      </c>
      <c r="R89" s="22">
        <f>A71*D73*(D74*(B89*E89+B90*E90)+F74*(B89*G89+B90*G90)+H74*(B89*I89+B90*I90)+J74*(B89*K89+B90*K90)+L74*(M89*B89+B90*M90)+N74*(B89*O89+B90*O90))+A71*P73*(B89*Q89+B90*Q90)</f>
        <v>0</v>
      </c>
    </row>
    <row r="90" spans="1:18" ht="15.75" thickBot="1" x14ac:dyDescent="0.3">
      <c r="B90" s="23">
        <f>H3</f>
        <v>0</v>
      </c>
      <c r="C90" s="101" t="s">
        <v>156</v>
      </c>
      <c r="D90" s="91"/>
      <c r="E90" s="93">
        <v>59</v>
      </c>
      <c r="F90" s="93"/>
      <c r="G90" s="93">
        <v>59</v>
      </c>
      <c r="H90" s="26"/>
      <c r="I90" s="93">
        <v>59</v>
      </c>
      <c r="J90" s="26"/>
      <c r="K90" s="93">
        <v>59</v>
      </c>
      <c r="L90" s="26"/>
      <c r="M90" s="93">
        <v>59</v>
      </c>
      <c r="N90" s="26"/>
      <c r="O90" s="93">
        <v>59</v>
      </c>
      <c r="P90" s="26"/>
      <c r="Q90" s="93">
        <v>59</v>
      </c>
      <c r="R90" s="22"/>
    </row>
    <row r="91" spans="1:18" x14ac:dyDescent="0.25">
      <c r="E91">
        <f>$A$71*$D$73*D74*($B$75*E75+$B$76*E76+$B$77*E77+$B$78*E78+$B$79*E79+$B$80*E80+$B$81*E81+$B$82*E82+$B$83*E83+$B$84*E84+$B$85*E85+$B$86*E86+$B$87*E87+$B$88*E88+$B$89*E89+$B$90*E90)</f>
        <v>0</v>
      </c>
      <c r="G91">
        <f>$A$71*$D$73*F74*($B$75*G75+$B$76*G76+$B$77*G77+$B$78*G78+$B$79*G79+$B$80*G80+$B$81*G81+$B$82*G82+$B$83*G83+$B$84*G84+$B$85*G85+$B$86*G86+$B$87*G87+$B$88*G88+$B$89*G89+$B$90*G90)</f>
        <v>0</v>
      </c>
      <c r="I91">
        <f>$A$71*$D$73*H74*($B$75*I75+$B$76*I76+$B$77*I77+$B$78*I78+$B$79*I79+$B$80*I80+$B$81*I81+$B$82*I82+$B$83*I83+$B$84*I84+$B$85*I85+$B$86*I86+$B$87*I87+$B$88*I88+$B$89*I89+$B$90*I90)</f>
        <v>0</v>
      </c>
      <c r="K91">
        <f>$A$71*$D$73*J74*($B$75*K75+$B$76*K76+$B$77*K77+$B$78*K78+$B$79*K79+$B$80*K80+$B$81*K81+$B$82*K82+$B$83*K83+$B$84*K84+$B$85*K85+$B$86*K86+$B$87*K87+$B$88*K88+$B$89*K89+$B$90*K90)</f>
        <v>0</v>
      </c>
      <c r="M91">
        <f>$A$71*$D$73*L74*($B$75*M75+$B$76*M76+$B$77*M77+$B$78*M78+$B$79*M79+$B$80*M80+$B$81*M81+$B$82*M82+$B$83*M83+$B$84*M84+$B$85*M85+$B$86*M86+$B$87*M87+$B$88*M88+$B$89*M89+$B$90*M90)</f>
        <v>0</v>
      </c>
      <c r="O91">
        <f>$A$71*$D$73*N74*($B$75*O75+$B$76*O76+$B$77*O77+$B$78*O78+$B$79*O79+$B$80*O80+$B$81*O81+$B$82*O82+$B$83*O83+$B$84*O84+$B$85*O85+$B$86*O86+$B$87*O87+$B$88*O88+$B$89*O89+$B$90*O90)</f>
        <v>0</v>
      </c>
      <c r="Q91">
        <f>$A$71*P73*($B$75*Q75+$B$76*Q76+$B$77*Q77+$B$78*Q78+$B$79*Q79+$B$80*Q80+$B$81*Q81+$B$82*Q82+$B$83*Q83+$B$84*Q84+$B$85*Q85+$B$86*Q86+$B$87*Q87+$B$88*Q88+$B$89*Q89+$B$90*Q90)</f>
        <v>0</v>
      </c>
      <c r="R91">
        <f>E91+G91+I91+K91+M91+O91+Q91</f>
        <v>0</v>
      </c>
    </row>
    <row r="92" spans="1:18" ht="15.75" thickBot="1" x14ac:dyDescent="0.3"/>
    <row r="93" spans="1:18" x14ac:dyDescent="0.25">
      <c r="A93">
        <f>'Feuille Diags'!J18</f>
        <v>0</v>
      </c>
      <c r="B93" s="312" t="s">
        <v>117</v>
      </c>
      <c r="C93" s="313"/>
      <c r="D93" s="313"/>
      <c r="E93" s="313"/>
      <c r="F93" s="313"/>
      <c r="G93" s="313"/>
      <c r="H93" s="313"/>
      <c r="I93" s="313"/>
      <c r="J93" s="313"/>
      <c r="K93" s="313"/>
      <c r="L93" s="313"/>
      <c r="M93" s="313"/>
      <c r="N93" s="313"/>
      <c r="O93" s="313"/>
      <c r="P93" s="313"/>
      <c r="Q93" s="314"/>
      <c r="R93" s="55"/>
    </row>
    <row r="94" spans="1:18" x14ac:dyDescent="0.25">
      <c r="B94" s="19"/>
      <c r="C94" s="22"/>
      <c r="D94" s="22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304"/>
      <c r="P94" s="304"/>
      <c r="Q94" s="311"/>
      <c r="R94" s="55"/>
    </row>
    <row r="95" spans="1:18" x14ac:dyDescent="0.25">
      <c r="B95" s="19"/>
      <c r="C95" s="22"/>
      <c r="D95" s="22">
        <f>'Feuille Diags'!$H$10</f>
        <v>0</v>
      </c>
      <c r="E95" s="304" t="s">
        <v>6</v>
      </c>
      <c r="F95" s="304"/>
      <c r="G95" s="304"/>
      <c r="H95" s="304"/>
      <c r="I95" s="304"/>
      <c r="J95" s="304"/>
      <c r="K95" s="304"/>
      <c r="L95" s="304"/>
      <c r="M95" s="304"/>
      <c r="N95" s="304"/>
      <c r="O95" s="304"/>
      <c r="P95" s="55">
        <f>'Feuille Diags'!$F$10</f>
        <v>0</v>
      </c>
      <c r="Q95" s="90" t="s">
        <v>5</v>
      </c>
      <c r="R95" s="74"/>
    </row>
    <row r="96" spans="1:18" x14ac:dyDescent="0.25">
      <c r="B96" s="19"/>
      <c r="C96" s="22"/>
      <c r="D96" s="22">
        <f>'Feuille Diags'!$E$13</f>
        <v>0</v>
      </c>
      <c r="E96" s="22" t="s">
        <v>128</v>
      </c>
      <c r="F96" s="22">
        <f>'Feuille Diags'!$F$13</f>
        <v>0</v>
      </c>
      <c r="G96" s="22" t="s">
        <v>35</v>
      </c>
      <c r="H96" s="22">
        <f>'Feuille Diags'!$G$13</f>
        <v>0</v>
      </c>
      <c r="I96" s="22" t="s">
        <v>36</v>
      </c>
      <c r="J96" s="22">
        <f>'Feuille Diags'!$H$13</f>
        <v>0</v>
      </c>
      <c r="K96" s="22" t="s">
        <v>37</v>
      </c>
      <c r="L96" s="22">
        <f>'Feuille Diags'!$I$13</f>
        <v>0</v>
      </c>
      <c r="M96" s="22" t="s">
        <v>38</v>
      </c>
      <c r="N96" s="22">
        <f>'Feuille Diags'!$J$13</f>
        <v>0</v>
      </c>
      <c r="O96" s="22" t="s">
        <v>129</v>
      </c>
      <c r="P96" s="22"/>
      <c r="Q96" s="81"/>
      <c r="R96" s="22"/>
    </row>
    <row r="97" spans="1:18" x14ac:dyDescent="0.25">
      <c r="B97" s="19">
        <f>IF('Feuille Diags'!E26=1,1,IF('Feuille Diags'!G26=1,1,0))</f>
        <v>0</v>
      </c>
      <c r="C97" s="86" t="s">
        <v>17</v>
      </c>
      <c r="D97" s="86"/>
      <c r="E97" s="22">
        <v>61</v>
      </c>
      <c r="F97" s="22"/>
      <c r="G97" s="22">
        <v>69</v>
      </c>
      <c r="H97" s="22"/>
      <c r="I97" s="22">
        <v>77</v>
      </c>
      <c r="J97" s="22"/>
      <c r="K97" s="92">
        <v>85</v>
      </c>
      <c r="L97" s="92"/>
      <c r="M97" s="92">
        <v>85</v>
      </c>
      <c r="N97" s="92"/>
      <c r="O97" s="92">
        <v>90</v>
      </c>
      <c r="P97" s="92"/>
      <c r="Q97" s="81">
        <v>100</v>
      </c>
      <c r="R97" s="22"/>
    </row>
    <row r="98" spans="1:18" x14ac:dyDescent="0.25">
      <c r="B98" s="19">
        <f>IF('Feuille Diags'!E24=1,1,IF('Feuille Diags'!G24=1,1,IF('Feuille Diags'!I24=1,1,IF('Feuille Diags'!K24=1,1,0))))</f>
        <v>0</v>
      </c>
      <c r="C98" s="86" t="s">
        <v>157</v>
      </c>
      <c r="D98" s="86"/>
      <c r="E98" s="22">
        <v>90</v>
      </c>
      <c r="F98" s="22"/>
      <c r="G98" s="22">
        <v>105</v>
      </c>
      <c r="H98" s="22"/>
      <c r="I98" s="22">
        <v>109</v>
      </c>
      <c r="J98" s="22"/>
      <c r="K98" s="92">
        <v>109</v>
      </c>
      <c r="L98" s="92"/>
      <c r="M98" s="92">
        <v>109</v>
      </c>
      <c r="N98" s="92"/>
      <c r="O98" s="92">
        <v>109.6</v>
      </c>
      <c r="P98" s="92"/>
      <c r="Q98" s="81">
        <v>145</v>
      </c>
      <c r="R98" s="22"/>
    </row>
    <row r="99" spans="1:18" x14ac:dyDescent="0.25">
      <c r="B99" s="19">
        <f>E4*H6</f>
        <v>0</v>
      </c>
      <c r="C99" s="86" t="s">
        <v>158</v>
      </c>
      <c r="D99" s="86"/>
      <c r="E99" s="22">
        <v>80</v>
      </c>
      <c r="F99" s="22"/>
      <c r="G99" s="22">
        <v>88</v>
      </c>
      <c r="H99" s="22"/>
      <c r="I99" s="22">
        <v>96</v>
      </c>
      <c r="J99" s="22"/>
      <c r="K99" s="92">
        <v>104</v>
      </c>
      <c r="L99" s="92"/>
      <c r="M99" s="92">
        <v>104</v>
      </c>
      <c r="N99" s="92"/>
      <c r="O99" s="92">
        <v>109</v>
      </c>
      <c r="P99" s="92"/>
      <c r="Q99" s="81">
        <v>119</v>
      </c>
      <c r="R99" s="22"/>
    </row>
    <row r="100" spans="1:18" ht="15.75" thickBot="1" x14ac:dyDescent="0.3">
      <c r="B100" s="23">
        <f>E4*E13</f>
        <v>0</v>
      </c>
      <c r="C100" s="87" t="s">
        <v>159</v>
      </c>
      <c r="D100" s="87"/>
      <c r="E100" s="26">
        <v>120</v>
      </c>
      <c r="F100" s="26"/>
      <c r="G100" s="26">
        <v>125</v>
      </c>
      <c r="H100" s="26"/>
      <c r="I100" s="26">
        <v>136</v>
      </c>
      <c r="J100" s="26"/>
      <c r="K100" s="26">
        <v>144</v>
      </c>
      <c r="L100" s="26"/>
      <c r="M100" s="26">
        <v>144</v>
      </c>
      <c r="N100" s="26"/>
      <c r="O100" s="26">
        <v>149</v>
      </c>
      <c r="P100" s="26"/>
      <c r="Q100" s="88">
        <v>159</v>
      </c>
      <c r="R100" s="22">
        <f>A93*$B$30*$E$30</f>
        <v>0</v>
      </c>
    </row>
    <row r="101" spans="1:18" x14ac:dyDescent="0.25">
      <c r="E101">
        <f>$A$93*$D$95*D96*($B$97*E97+$B$98*E98+$B$99*E99+$B$100*E100)</f>
        <v>0</v>
      </c>
      <c r="G101">
        <f>$A$93*$D$95*F96*($B$97*G97+$B$98*G98+$B$99*G99+$B$100*G100)</f>
        <v>0</v>
      </c>
      <c r="I101">
        <f>$A$93*$D$95*H96*($B$97*I97+$B$98*I98+$B$99*I99+$B$100*I100)</f>
        <v>0</v>
      </c>
      <c r="K101">
        <f>$A$93*$D$95*J96*($B$97*K97+$B$98*K98+$B$99*K99+$B$100*K100)</f>
        <v>0</v>
      </c>
      <c r="M101">
        <f>$A$93*$D$95*L96*($B$97*M97+$B$98*M98+$B$99*M99+$B$100*M100)</f>
        <v>0</v>
      </c>
      <c r="O101">
        <f>$A$93*$D$95*N96*($B$97*O97+$B$98*O98+$B$99*O99+$B$100*O100)</f>
        <v>0</v>
      </c>
      <c r="Q101">
        <f>$A$93*P95*($B$97*Q97+$B$98*Q98+$B$99*Q99+$B$100*Q100)</f>
        <v>0</v>
      </c>
      <c r="R101">
        <f>E101+G101+I101+K101+M101+O101+Q101</f>
        <v>0</v>
      </c>
    </row>
    <row r="102" spans="1:18" ht="15.75" thickBot="1" x14ac:dyDescent="0.3"/>
    <row r="103" spans="1:18" x14ac:dyDescent="0.25">
      <c r="A103">
        <f>'Feuille Diags'!K18</f>
        <v>0</v>
      </c>
      <c r="B103" s="312" t="s">
        <v>163</v>
      </c>
      <c r="C103" s="313"/>
      <c r="D103" s="313"/>
      <c r="E103" s="313"/>
      <c r="F103" s="313"/>
      <c r="G103" s="313"/>
      <c r="H103" s="313"/>
      <c r="I103" s="313"/>
      <c r="J103" s="313"/>
      <c r="K103" s="313"/>
      <c r="L103" s="313"/>
      <c r="M103" s="313"/>
      <c r="N103" s="313"/>
      <c r="O103" s="313"/>
      <c r="P103" s="313"/>
      <c r="Q103" s="314"/>
      <c r="R103" s="55"/>
    </row>
    <row r="104" spans="1:18" x14ac:dyDescent="0.25">
      <c r="B104" s="19"/>
      <c r="C104" s="22"/>
      <c r="D104" s="22"/>
      <c r="E104" s="304"/>
      <c r="F104" s="304"/>
      <c r="G104" s="304"/>
      <c r="H104" s="304"/>
      <c r="I104" s="304"/>
      <c r="J104" s="304"/>
      <c r="K104" s="304"/>
      <c r="L104" s="304"/>
      <c r="M104" s="304"/>
      <c r="N104" s="304"/>
      <c r="O104" s="304"/>
      <c r="P104" s="304"/>
      <c r="Q104" s="311"/>
      <c r="R104" s="55"/>
    </row>
    <row r="105" spans="1:18" x14ac:dyDescent="0.25">
      <c r="B105" s="19"/>
      <c r="C105" s="22"/>
      <c r="D105" s="22">
        <f>'Feuille Diags'!$H$10</f>
        <v>0</v>
      </c>
      <c r="E105" s="304" t="s">
        <v>6</v>
      </c>
      <c r="F105" s="304"/>
      <c r="G105" s="304"/>
      <c r="H105" s="304"/>
      <c r="I105" s="304"/>
      <c r="J105" s="304"/>
      <c r="K105" s="304"/>
      <c r="L105" s="304"/>
      <c r="M105" s="304"/>
      <c r="N105" s="304"/>
      <c r="O105" s="304"/>
      <c r="P105" s="55">
        <f>'Feuille Diags'!$F$10</f>
        <v>0</v>
      </c>
      <c r="Q105" s="90" t="s">
        <v>5</v>
      </c>
      <c r="R105" s="74"/>
    </row>
    <row r="106" spans="1:18" x14ac:dyDescent="0.25">
      <c r="B106" s="19"/>
      <c r="C106" s="22"/>
      <c r="D106" s="22">
        <f>'Feuille Diags'!$E$13</f>
        <v>0</v>
      </c>
      <c r="E106" s="22" t="s">
        <v>128</v>
      </c>
      <c r="F106" s="22">
        <f>'Feuille Diags'!$F$13</f>
        <v>0</v>
      </c>
      <c r="G106" s="22" t="s">
        <v>35</v>
      </c>
      <c r="H106" s="22">
        <f>'Feuille Diags'!$G$13</f>
        <v>0</v>
      </c>
      <c r="I106" s="22" t="s">
        <v>36</v>
      </c>
      <c r="J106" s="22">
        <f>'Feuille Diags'!$H$13</f>
        <v>0</v>
      </c>
      <c r="K106" s="22" t="s">
        <v>37</v>
      </c>
      <c r="L106" s="22">
        <f>'Feuille Diags'!$I$13</f>
        <v>0</v>
      </c>
      <c r="M106" s="22" t="s">
        <v>38</v>
      </c>
      <c r="N106" s="22">
        <f>'Feuille Diags'!$J$13</f>
        <v>0</v>
      </c>
      <c r="O106" s="22" t="s">
        <v>129</v>
      </c>
      <c r="P106" s="22"/>
      <c r="Q106" s="81"/>
      <c r="R106" s="22"/>
    </row>
    <row r="107" spans="1:18" x14ac:dyDescent="0.25">
      <c r="B107" s="19">
        <f>E4</f>
        <v>0</v>
      </c>
      <c r="C107" s="99" t="s">
        <v>17</v>
      </c>
      <c r="D107" s="86"/>
      <c r="E107" s="22">
        <v>60</v>
      </c>
      <c r="F107" s="22"/>
      <c r="G107" s="22">
        <v>70</v>
      </c>
      <c r="H107" s="22"/>
      <c r="I107" s="22">
        <v>81</v>
      </c>
      <c r="J107" s="22"/>
      <c r="K107" s="92">
        <v>92</v>
      </c>
      <c r="L107" s="92"/>
      <c r="M107" s="92">
        <v>103</v>
      </c>
      <c r="N107" s="92"/>
      <c r="O107" s="92">
        <v>114</v>
      </c>
      <c r="P107" s="92"/>
      <c r="Q107" s="81">
        <v>130</v>
      </c>
      <c r="R107" s="22"/>
    </row>
    <row r="108" spans="1:18" x14ac:dyDescent="0.25">
      <c r="B108" s="19">
        <f>E4*E8</f>
        <v>0</v>
      </c>
      <c r="C108" s="99" t="s">
        <v>164</v>
      </c>
      <c r="D108" s="86"/>
      <c r="E108" s="22">
        <v>103</v>
      </c>
      <c r="F108" s="22"/>
      <c r="G108" s="22">
        <v>119</v>
      </c>
      <c r="H108" s="22"/>
      <c r="I108" s="22">
        <v>130</v>
      </c>
      <c r="J108" s="22"/>
      <c r="K108" s="92">
        <v>140</v>
      </c>
      <c r="L108" s="92"/>
      <c r="M108" s="92">
        <v>157</v>
      </c>
      <c r="N108" s="92"/>
      <c r="O108" s="92">
        <v>168</v>
      </c>
      <c r="P108" s="92"/>
      <c r="Q108" s="81">
        <v>211</v>
      </c>
      <c r="R108" s="22"/>
    </row>
    <row r="109" spans="1:18" x14ac:dyDescent="0.25">
      <c r="B109" s="19">
        <f>E4*E3</f>
        <v>0</v>
      </c>
      <c r="C109" s="99" t="s">
        <v>130</v>
      </c>
      <c r="D109" s="86"/>
      <c r="E109" s="22">
        <v>103</v>
      </c>
      <c r="F109" s="22"/>
      <c r="G109" s="22">
        <v>119</v>
      </c>
      <c r="H109" s="22"/>
      <c r="I109" s="22">
        <v>130</v>
      </c>
      <c r="J109" s="22"/>
      <c r="K109" s="92">
        <v>140</v>
      </c>
      <c r="L109" s="92"/>
      <c r="M109" s="92">
        <v>157</v>
      </c>
      <c r="N109" s="92"/>
      <c r="O109" s="92">
        <v>168</v>
      </c>
      <c r="P109" s="92"/>
      <c r="Q109" s="81">
        <v>211</v>
      </c>
      <c r="R109" s="22"/>
    </row>
    <row r="110" spans="1:18" x14ac:dyDescent="0.25">
      <c r="B110" s="19">
        <f>E2*E4</f>
        <v>0</v>
      </c>
      <c r="C110" s="99" t="s">
        <v>131</v>
      </c>
      <c r="D110" s="86"/>
      <c r="E110" s="92">
        <v>168</v>
      </c>
      <c r="F110" s="92"/>
      <c r="G110" s="92">
        <v>184</v>
      </c>
      <c r="H110" s="92"/>
      <c r="I110" s="92">
        <v>216</v>
      </c>
      <c r="J110" s="92"/>
      <c r="K110" s="92">
        <v>249</v>
      </c>
      <c r="L110" s="92"/>
      <c r="M110" s="92">
        <v>292</v>
      </c>
      <c r="N110" s="92"/>
      <c r="O110" s="92">
        <v>324</v>
      </c>
      <c r="P110" s="92"/>
      <c r="Q110" s="81">
        <v>357</v>
      </c>
      <c r="R110" s="22"/>
    </row>
    <row r="111" spans="1:18" x14ac:dyDescent="0.25">
      <c r="B111" s="19">
        <f>E4*E3*E2</f>
        <v>0</v>
      </c>
      <c r="C111" s="99" t="s">
        <v>132</v>
      </c>
      <c r="D111" s="86"/>
      <c r="E111" s="92">
        <v>205</v>
      </c>
      <c r="F111" s="92"/>
      <c r="G111" s="92">
        <v>227</v>
      </c>
      <c r="H111" s="92"/>
      <c r="I111" s="92">
        <v>260</v>
      </c>
      <c r="J111" s="92"/>
      <c r="K111" s="92">
        <v>292</v>
      </c>
      <c r="L111" s="92"/>
      <c r="M111" s="92">
        <v>346</v>
      </c>
      <c r="N111" s="92"/>
      <c r="O111" s="92">
        <v>367</v>
      </c>
      <c r="P111" s="92"/>
      <c r="Q111" s="81">
        <v>389</v>
      </c>
      <c r="R111" s="22"/>
    </row>
    <row r="112" spans="1:18" x14ac:dyDescent="0.25">
      <c r="B112" s="19">
        <f>E8*E3*E4</f>
        <v>0</v>
      </c>
      <c r="C112" s="99" t="s">
        <v>146</v>
      </c>
      <c r="D112" s="86"/>
      <c r="E112" s="92">
        <v>152</v>
      </c>
      <c r="F112" s="92"/>
      <c r="G112" s="92">
        <v>162</v>
      </c>
      <c r="H112" s="92"/>
      <c r="I112" s="92">
        <v>173</v>
      </c>
      <c r="J112" s="92"/>
      <c r="K112" s="92">
        <v>184</v>
      </c>
      <c r="L112" s="92"/>
      <c r="M112" s="92">
        <v>216</v>
      </c>
      <c r="N112" s="92"/>
      <c r="O112" s="92">
        <v>238</v>
      </c>
      <c r="P112" s="92"/>
      <c r="Q112" s="81">
        <v>281</v>
      </c>
      <c r="R112" s="22"/>
    </row>
    <row r="113" spans="1:30" x14ac:dyDescent="0.25">
      <c r="B113" s="19">
        <f>E4*E2*E8</f>
        <v>0</v>
      </c>
      <c r="C113" s="99" t="s">
        <v>165</v>
      </c>
      <c r="D113" s="86"/>
      <c r="E113" s="92">
        <v>205</v>
      </c>
      <c r="F113" s="92"/>
      <c r="G113" s="92">
        <v>227</v>
      </c>
      <c r="H113" s="92"/>
      <c r="I113" s="92">
        <v>259</v>
      </c>
      <c r="J113" s="92"/>
      <c r="K113" s="92">
        <v>292</v>
      </c>
      <c r="L113" s="92"/>
      <c r="M113" s="92">
        <v>334</v>
      </c>
      <c r="N113" s="92"/>
      <c r="O113" s="92">
        <v>360</v>
      </c>
      <c r="P113" s="92"/>
      <c r="Q113" s="81">
        <v>410</v>
      </c>
      <c r="R113" s="22"/>
    </row>
    <row r="114" spans="1:30" x14ac:dyDescent="0.25">
      <c r="B114" s="19">
        <f>E8*E2*E3*E4</f>
        <v>0</v>
      </c>
      <c r="C114" s="99" t="s">
        <v>166</v>
      </c>
      <c r="D114" s="86"/>
      <c r="E114" s="92">
        <v>238</v>
      </c>
      <c r="F114" s="92"/>
      <c r="G114" s="92">
        <v>270</v>
      </c>
      <c r="H114" s="92"/>
      <c r="I114" s="92">
        <v>303</v>
      </c>
      <c r="J114" s="92"/>
      <c r="K114" s="92">
        <v>324</v>
      </c>
      <c r="L114" s="92"/>
      <c r="M114" s="92">
        <v>389</v>
      </c>
      <c r="N114" s="92"/>
      <c r="O114" s="92">
        <v>422</v>
      </c>
      <c r="P114" s="92"/>
      <c r="Q114" s="81">
        <v>454</v>
      </c>
      <c r="R114" s="22"/>
    </row>
    <row r="115" spans="1:30" x14ac:dyDescent="0.25">
      <c r="B115" s="19">
        <f>E7</f>
        <v>0</v>
      </c>
      <c r="C115" s="99" t="s">
        <v>24</v>
      </c>
      <c r="D115" s="86"/>
      <c r="E115" s="92">
        <v>100</v>
      </c>
      <c r="F115" s="92"/>
      <c r="G115" s="92">
        <v>100</v>
      </c>
      <c r="H115" s="92"/>
      <c r="I115" s="92">
        <v>100</v>
      </c>
      <c r="J115" s="92"/>
      <c r="K115" s="92">
        <v>100</v>
      </c>
      <c r="L115" s="92"/>
      <c r="M115" s="92">
        <v>100</v>
      </c>
      <c r="N115" s="92"/>
      <c r="O115" s="92">
        <v>100</v>
      </c>
      <c r="P115" s="92"/>
      <c r="Q115" s="81">
        <v>100</v>
      </c>
      <c r="R115" s="22"/>
    </row>
    <row r="116" spans="1:30" x14ac:dyDescent="0.25">
      <c r="B116" s="19">
        <f>E11</f>
        <v>0</v>
      </c>
      <c r="C116" s="99" t="s">
        <v>167</v>
      </c>
      <c r="D116" s="86"/>
      <c r="E116" s="92">
        <v>150</v>
      </c>
      <c r="F116" s="92"/>
      <c r="G116" s="92">
        <v>150</v>
      </c>
      <c r="H116" s="92"/>
      <c r="I116" s="92">
        <v>150</v>
      </c>
      <c r="J116" s="92"/>
      <c r="K116" s="92">
        <v>150</v>
      </c>
      <c r="L116" s="92"/>
      <c r="M116" s="92">
        <v>150</v>
      </c>
      <c r="N116" s="92"/>
      <c r="O116" s="92">
        <v>150</v>
      </c>
      <c r="P116" s="92"/>
      <c r="Q116" s="81">
        <v>150</v>
      </c>
      <c r="R116" s="22"/>
    </row>
    <row r="117" spans="1:30" x14ac:dyDescent="0.25">
      <c r="B117" s="19">
        <f>E6</f>
        <v>0</v>
      </c>
      <c r="C117" s="99" t="s">
        <v>168</v>
      </c>
      <c r="D117" s="86"/>
      <c r="E117" s="92">
        <v>90</v>
      </c>
      <c r="F117" s="92"/>
      <c r="G117" s="92">
        <v>100</v>
      </c>
      <c r="H117" s="92"/>
      <c r="I117" s="92">
        <v>110</v>
      </c>
      <c r="J117" s="92"/>
      <c r="K117" s="92">
        <v>120</v>
      </c>
      <c r="L117" s="92"/>
      <c r="M117" s="92">
        <v>130</v>
      </c>
      <c r="N117" s="92"/>
      <c r="O117" s="92">
        <v>130</v>
      </c>
      <c r="P117" s="92"/>
      <c r="Q117" s="81">
        <v>140</v>
      </c>
      <c r="R117" s="22"/>
    </row>
    <row r="118" spans="1:30" ht="15.75" thickBot="1" x14ac:dyDescent="0.3">
      <c r="B118" s="23">
        <f>H7</f>
        <v>0</v>
      </c>
      <c r="C118" s="102" t="s">
        <v>169</v>
      </c>
      <c r="D118" s="87"/>
      <c r="E118" s="26">
        <v>116</v>
      </c>
      <c r="F118" s="26"/>
      <c r="G118" s="26">
        <v>126</v>
      </c>
      <c r="H118" s="26"/>
      <c r="I118" s="26">
        <v>136</v>
      </c>
      <c r="J118" s="26"/>
      <c r="K118" s="26">
        <v>146</v>
      </c>
      <c r="L118" s="26"/>
      <c r="M118" s="26">
        <v>156</v>
      </c>
      <c r="N118" s="26"/>
      <c r="O118" s="26">
        <v>156</v>
      </c>
      <c r="P118" s="26"/>
      <c r="Q118" s="88">
        <v>176</v>
      </c>
      <c r="R118" s="22">
        <f>A103*$B$30*$E$30</f>
        <v>0</v>
      </c>
    </row>
    <row r="119" spans="1:30" x14ac:dyDescent="0.25">
      <c r="B119" s="19"/>
      <c r="C119" s="86"/>
      <c r="D119" s="86"/>
      <c r="E119">
        <f>$A$103*$D$105*D106*($B$108*E108+$B$107*E107+$B$109*E109+$B$110*E110+$B$111*E111+$B$112*E112+$B$113*E113+$B$114*E114+$B$115*E115+$B$116*E116+$B$117*E117+$B$118*E118)</f>
        <v>0</v>
      </c>
      <c r="F119" s="22"/>
      <c r="G119">
        <f>$A$103*$D$105*F106*($B$108*G108+$B$107*G107+$B$109*G109+$B$110*G110+$B$111*G111+$B$112*G112+$B$113*G113+$B$114*G114+$B$115*G115+$B$116*G116+$B$117*G117+$B$118*G118)</f>
        <v>0</v>
      </c>
      <c r="H119" s="22"/>
      <c r="I119">
        <f>$A$103*$D$105*H106*($B$108*I108+$B$107*I107+$B$109*I109+$B$110*I110+$B$111*I111+$B$112*I112+$B$113*I113+$B$114*I114+$B$115*I115+$B$116*I116+$B$117*I117+$B$118*I118)</f>
        <v>0</v>
      </c>
      <c r="J119" s="22"/>
      <c r="K119">
        <f>$A$103*$D$105*J106*($B$108*K108+$B$107*K107+$B$109*K109+$B$110*K110+$B$111*K111+$B$112*K112+$B$113*K113+$B$114*K114+$B$115*K115+$B$116*K116+$B$117*K117+$B$118*K118)</f>
        <v>0</v>
      </c>
      <c r="L119" s="22"/>
      <c r="M119">
        <f>$A$103*$D$105*L106*($B$108*M108+$B$107*M107+$B$109*M109+$B$110*M110+$B$111*M111+$B$112*M112+$B$113*M113+$B$114*M114+$B$115*M115+$B$116*M116+$B$117*M117+$B$118*M118)</f>
        <v>0</v>
      </c>
      <c r="N119" s="22"/>
      <c r="O119">
        <f>$A$103*$D$105*N106*($B$108*O108+$B$107*O107+$B$109*O109+$B$110*O110+$B$111*O111+$B$112*O112+$B$113*O113+$B$114*O114+$B$115*O115+$B$116*O116+$B$117*O117+$B$118*O118)</f>
        <v>0</v>
      </c>
      <c r="P119" s="22"/>
      <c r="Q119">
        <f>$A$103*P105*($B$108*Q108+$B$107*Q107+$B$109*Q109+$B$110*Q110+$B$111*Q111+$B$112*Q112+$B$113*Q113+$B$114*Q114+$B$115*Q115+$B$116*Q116+$B$117*Q117+$B$118*Q118)</f>
        <v>0</v>
      </c>
      <c r="R119">
        <f>E119+G119+I119+K119+M119+O119+Q119</f>
        <v>0</v>
      </c>
    </row>
    <row r="120" spans="1:30" ht="15.75" thickBot="1" x14ac:dyDescent="0.3"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</row>
    <row r="121" spans="1:30" x14ac:dyDescent="0.25">
      <c r="A121">
        <f>'Feuille Diags'!L18</f>
        <v>0</v>
      </c>
      <c r="B121" s="312" t="s">
        <v>127</v>
      </c>
      <c r="C121" s="313"/>
      <c r="D121" s="313"/>
      <c r="E121" s="313"/>
      <c r="F121" s="313"/>
      <c r="G121" s="313"/>
      <c r="H121" s="313"/>
      <c r="I121" s="313"/>
      <c r="J121" s="313"/>
      <c r="K121" s="313"/>
      <c r="L121" s="313"/>
      <c r="M121" s="313"/>
      <c r="N121" s="313"/>
      <c r="O121" s="313"/>
      <c r="P121" s="313"/>
      <c r="Q121" s="313"/>
      <c r="R121" s="313"/>
      <c r="S121" s="313"/>
      <c r="T121" s="313"/>
      <c r="U121" s="313"/>
      <c r="V121" s="313"/>
      <c r="W121" s="313"/>
      <c r="X121" s="313"/>
      <c r="Y121" s="313"/>
      <c r="Z121" s="313"/>
      <c r="AA121" s="314"/>
    </row>
    <row r="122" spans="1:30" x14ac:dyDescent="0.25">
      <c r="B122" s="19"/>
      <c r="C122" s="22"/>
      <c r="D122" s="22"/>
      <c r="E122" s="304"/>
      <c r="F122" s="304"/>
      <c r="G122" s="304"/>
      <c r="H122" s="304"/>
      <c r="I122" s="304"/>
      <c r="J122" s="304"/>
      <c r="K122" s="304"/>
      <c r="L122" s="304"/>
      <c r="M122" s="304"/>
      <c r="N122" s="304"/>
      <c r="O122" s="304"/>
      <c r="P122" s="304"/>
      <c r="Q122" s="304"/>
      <c r="R122" s="55"/>
      <c r="S122" s="22"/>
      <c r="T122" s="22"/>
      <c r="U122" s="22"/>
      <c r="V122" s="22"/>
      <c r="W122" s="22"/>
      <c r="X122" s="22"/>
      <c r="Y122" s="22"/>
      <c r="Z122" s="22"/>
      <c r="AA122" s="81"/>
    </row>
    <row r="123" spans="1:30" x14ac:dyDescent="0.25">
      <c r="B123" s="19"/>
      <c r="C123" s="22"/>
      <c r="D123" s="22">
        <f>'Feuille Diags'!$H$10</f>
        <v>0</v>
      </c>
      <c r="E123" s="304" t="s">
        <v>6</v>
      </c>
      <c r="F123" s="304"/>
      <c r="G123" s="304"/>
      <c r="H123" s="304"/>
      <c r="I123" s="304"/>
      <c r="J123" s="304"/>
      <c r="K123" s="304"/>
      <c r="L123" s="304"/>
      <c r="M123" s="304"/>
      <c r="N123" s="304"/>
      <c r="O123" s="304"/>
      <c r="P123" s="55">
        <f>'Feuille Diags'!F10</f>
        <v>0</v>
      </c>
      <c r="Q123" s="304" t="s">
        <v>5</v>
      </c>
      <c r="R123" s="304"/>
      <c r="S123" s="304"/>
      <c r="T123" s="304"/>
      <c r="U123" s="304"/>
      <c r="V123" s="304"/>
      <c r="W123" s="304"/>
      <c r="X123" s="304"/>
      <c r="Y123" s="304"/>
      <c r="Z123" s="304"/>
      <c r="AA123" s="311"/>
    </row>
    <row r="124" spans="1:30" x14ac:dyDescent="0.25">
      <c r="B124" s="19"/>
      <c r="C124" s="22"/>
      <c r="D124" s="22">
        <f>'Feuille Diags'!$E$13</f>
        <v>0</v>
      </c>
      <c r="E124" s="22" t="s">
        <v>128</v>
      </c>
      <c r="F124" s="22">
        <f>'Feuille Diags'!$F$13</f>
        <v>0</v>
      </c>
      <c r="G124" s="22" t="s">
        <v>35</v>
      </c>
      <c r="H124" s="22">
        <f>'Feuille Diags'!$G$13</f>
        <v>0</v>
      </c>
      <c r="I124" s="22" t="s">
        <v>36</v>
      </c>
      <c r="J124" s="22">
        <f>'Feuille Diags'!$H$13</f>
        <v>0</v>
      </c>
      <c r="K124" s="22" t="s">
        <v>37</v>
      </c>
      <c r="L124" s="22">
        <f>'Feuille Diags'!$I$13</f>
        <v>0</v>
      </c>
      <c r="M124" s="22" t="s">
        <v>38</v>
      </c>
      <c r="N124" s="22">
        <f>'Feuille Diags'!$J$13</f>
        <v>0</v>
      </c>
      <c r="O124" s="22" t="s">
        <v>129</v>
      </c>
      <c r="P124" s="22">
        <f>'Feuille Diags'!$H$13</f>
        <v>0</v>
      </c>
      <c r="Q124" s="22" t="s">
        <v>39</v>
      </c>
      <c r="R124" s="22">
        <f>'Feuille Diags'!$I$13</f>
        <v>0</v>
      </c>
      <c r="S124" s="92" t="s">
        <v>40</v>
      </c>
      <c r="T124" s="92">
        <f>'Feuille Diags'!$J$13</f>
        <v>0</v>
      </c>
      <c r="U124" s="92" t="s">
        <v>41</v>
      </c>
      <c r="V124" s="92">
        <f>'Feuille Diags'!$K$13</f>
        <v>0</v>
      </c>
      <c r="W124" s="92" t="s">
        <v>42</v>
      </c>
      <c r="X124" s="92">
        <f>'Feuille Diags'!$L$13</f>
        <v>0</v>
      </c>
      <c r="Y124" s="92" t="s">
        <v>43</v>
      </c>
      <c r="Z124" s="92">
        <f>'Feuille Diags'!$M$13</f>
        <v>0</v>
      </c>
      <c r="AA124" s="94" t="s">
        <v>44</v>
      </c>
    </row>
    <row r="125" spans="1:30" x14ac:dyDescent="0.25">
      <c r="B125" s="19">
        <f>E4</f>
        <v>0</v>
      </c>
      <c r="C125" s="86" t="s">
        <v>17</v>
      </c>
      <c r="D125" s="86"/>
      <c r="E125" s="22">
        <v>74.25</v>
      </c>
      <c r="F125" s="22"/>
      <c r="G125" s="22">
        <v>79.260000000000005</v>
      </c>
      <c r="H125" s="22"/>
      <c r="I125" s="22">
        <v>84.28</v>
      </c>
      <c r="J125" s="22"/>
      <c r="K125" s="92">
        <v>89.3</v>
      </c>
      <c r="L125" s="92"/>
      <c r="M125" s="92">
        <v>94.31</v>
      </c>
      <c r="N125" s="92"/>
      <c r="O125" s="92">
        <v>99.3</v>
      </c>
      <c r="P125" s="92"/>
      <c r="Q125" s="22">
        <v>108.36</v>
      </c>
      <c r="R125" s="22"/>
      <c r="S125" s="92">
        <v>118.39</v>
      </c>
      <c r="T125" s="92"/>
      <c r="U125" s="92">
        <v>138.46</v>
      </c>
      <c r="V125" s="92"/>
      <c r="W125" s="92">
        <v>148.49</v>
      </c>
      <c r="X125" s="92"/>
      <c r="Y125" s="92">
        <v>148.49</v>
      </c>
      <c r="Z125" s="92"/>
      <c r="AA125" s="94">
        <v>158.53</v>
      </c>
    </row>
    <row r="126" spans="1:30" x14ac:dyDescent="0.25">
      <c r="B126" s="19">
        <f>IF(E8=1,1,IF(E9=1,1,0))</f>
        <v>0</v>
      </c>
      <c r="C126" s="86" t="s">
        <v>136</v>
      </c>
      <c r="D126" s="86"/>
      <c r="E126" s="22">
        <v>60.2</v>
      </c>
      <c r="F126" s="22"/>
      <c r="G126" s="22">
        <v>70.23</v>
      </c>
      <c r="H126" s="22"/>
      <c r="I126" s="22">
        <v>80.27</v>
      </c>
      <c r="J126" s="22"/>
      <c r="K126" s="92">
        <v>90.3</v>
      </c>
      <c r="L126" s="92"/>
      <c r="M126" s="92">
        <v>100.33</v>
      </c>
      <c r="N126" s="92"/>
      <c r="O126" s="92">
        <v>110.37</v>
      </c>
      <c r="P126" s="92"/>
      <c r="Q126" s="22">
        <v>95.32</v>
      </c>
      <c r="R126" s="22"/>
      <c r="S126" s="92">
        <v>110.37</v>
      </c>
      <c r="T126" s="92"/>
      <c r="U126" s="92">
        <v>125.42</v>
      </c>
      <c r="V126" s="92"/>
      <c r="W126" s="92">
        <v>140.47</v>
      </c>
      <c r="X126" s="92"/>
      <c r="Y126" s="92">
        <v>140.47</v>
      </c>
      <c r="Z126" s="92"/>
      <c r="AA126" s="94">
        <v>169.57</v>
      </c>
      <c r="AB126" s="92"/>
      <c r="AC126" s="92"/>
      <c r="AD126" s="92"/>
    </row>
    <row r="127" spans="1:30" x14ac:dyDescent="0.25">
      <c r="B127" s="19">
        <f>E3</f>
        <v>0</v>
      </c>
      <c r="C127" s="86" t="s">
        <v>21</v>
      </c>
      <c r="D127" s="86"/>
      <c r="E127" s="22">
        <v>55.18</v>
      </c>
      <c r="F127" s="22"/>
      <c r="G127" s="22">
        <v>60.2</v>
      </c>
      <c r="H127" s="22"/>
      <c r="I127" s="22">
        <v>65.22</v>
      </c>
      <c r="J127" s="22"/>
      <c r="K127" s="92">
        <v>70.23</v>
      </c>
      <c r="L127" s="92"/>
      <c r="M127" s="92">
        <v>75.25</v>
      </c>
      <c r="N127" s="92"/>
      <c r="O127" s="92">
        <v>80.27</v>
      </c>
      <c r="P127" s="92"/>
      <c r="Q127" s="22">
        <v>70.23</v>
      </c>
      <c r="R127" s="22"/>
      <c r="S127" s="92">
        <v>80.27</v>
      </c>
      <c r="T127" s="92"/>
      <c r="U127" s="92">
        <v>90.3</v>
      </c>
      <c r="V127" s="92"/>
      <c r="W127" s="92">
        <v>100.33</v>
      </c>
      <c r="X127" s="92"/>
      <c r="Y127" s="92">
        <v>100.33</v>
      </c>
      <c r="Z127" s="92"/>
      <c r="AA127" s="94">
        <v>140.47</v>
      </c>
    </row>
    <row r="128" spans="1:30" x14ac:dyDescent="0.25">
      <c r="B128" s="19">
        <f>E2</f>
        <v>0</v>
      </c>
      <c r="C128" s="86" t="s">
        <v>157</v>
      </c>
      <c r="D128" s="86"/>
      <c r="E128" s="92">
        <v>130.43</v>
      </c>
      <c r="F128" s="92"/>
      <c r="G128" s="92">
        <v>150.5</v>
      </c>
      <c r="H128" s="92"/>
      <c r="I128" s="92">
        <v>170.57</v>
      </c>
      <c r="J128" s="92"/>
      <c r="K128" s="92">
        <v>190.64</v>
      </c>
      <c r="L128" s="92"/>
      <c r="M128" s="92">
        <v>220.74</v>
      </c>
      <c r="N128" s="92"/>
      <c r="O128" s="92">
        <v>250.84</v>
      </c>
      <c r="P128" s="92"/>
      <c r="Q128" s="22">
        <v>170.57</v>
      </c>
      <c r="R128" s="22"/>
      <c r="S128" s="92">
        <v>190.64</v>
      </c>
      <c r="T128" s="92"/>
      <c r="U128" s="92">
        <v>210.7</v>
      </c>
      <c r="V128" s="92"/>
      <c r="W128" s="92">
        <v>230.77</v>
      </c>
      <c r="X128" s="92"/>
      <c r="Y128" s="92">
        <v>230.77</v>
      </c>
      <c r="Z128" s="92"/>
      <c r="AA128" s="94">
        <v>280.94</v>
      </c>
    </row>
    <row r="129" spans="1:28" x14ac:dyDescent="0.25">
      <c r="B129" s="19">
        <f>E6</f>
        <v>0</v>
      </c>
      <c r="C129" s="86" t="s">
        <v>23</v>
      </c>
      <c r="D129" s="86"/>
      <c r="E129" s="92">
        <v>90.34</v>
      </c>
      <c r="F129" s="92"/>
      <c r="G129" s="92">
        <v>95.32</v>
      </c>
      <c r="H129" s="92"/>
      <c r="I129" s="92">
        <v>100.33</v>
      </c>
      <c r="J129" s="92"/>
      <c r="K129" s="92">
        <v>105.35</v>
      </c>
      <c r="L129" s="92"/>
      <c r="M129" s="92">
        <v>110.37</v>
      </c>
      <c r="N129" s="92"/>
      <c r="O129" s="92">
        <v>115.38</v>
      </c>
      <c r="P129" s="92"/>
      <c r="Q129" s="22">
        <v>100.33</v>
      </c>
      <c r="R129" s="22"/>
      <c r="S129" s="92">
        <v>110.37</v>
      </c>
      <c r="T129" s="92"/>
      <c r="U129" s="92">
        <v>120.4</v>
      </c>
      <c r="V129" s="92"/>
      <c r="W129" s="92">
        <v>130.43</v>
      </c>
      <c r="X129" s="92"/>
      <c r="Y129" s="92">
        <v>130.43</v>
      </c>
      <c r="Z129" s="92"/>
      <c r="AA129" s="94">
        <v>160.54</v>
      </c>
    </row>
    <row r="130" spans="1:28" x14ac:dyDescent="0.25">
      <c r="B130" s="19">
        <f>E7</f>
        <v>0</v>
      </c>
      <c r="C130" s="86" t="s">
        <v>24</v>
      </c>
      <c r="D130" s="86"/>
      <c r="E130" s="92">
        <v>95.32</v>
      </c>
      <c r="F130" s="92"/>
      <c r="G130" s="92">
        <v>95.32</v>
      </c>
      <c r="H130" s="92"/>
      <c r="I130" s="92">
        <v>95.32</v>
      </c>
      <c r="J130" s="92"/>
      <c r="K130" s="92">
        <v>95.32</v>
      </c>
      <c r="L130" s="92"/>
      <c r="M130" s="92">
        <v>95.32</v>
      </c>
      <c r="N130" s="92"/>
      <c r="O130" s="92">
        <v>95.32</v>
      </c>
      <c r="P130" s="92"/>
      <c r="Q130" s="22">
        <v>95.32</v>
      </c>
      <c r="R130" s="22"/>
      <c r="S130" s="92">
        <v>95.32</v>
      </c>
      <c r="T130" s="92"/>
      <c r="U130" s="92">
        <v>95.32</v>
      </c>
      <c r="V130" s="92"/>
      <c r="W130" s="92">
        <v>95.32</v>
      </c>
      <c r="X130" s="92"/>
      <c r="Y130" s="92">
        <v>95.32</v>
      </c>
      <c r="Z130" s="92"/>
      <c r="AA130" s="94">
        <v>95.32</v>
      </c>
    </row>
    <row r="131" spans="1:28" x14ac:dyDescent="0.25">
      <c r="B131" s="19">
        <f>E12</f>
        <v>0</v>
      </c>
      <c r="C131" s="86" t="s">
        <v>29</v>
      </c>
      <c r="D131" s="86"/>
      <c r="E131" s="92">
        <v>95.32</v>
      </c>
      <c r="F131" s="92"/>
      <c r="G131" s="92">
        <v>95.32</v>
      </c>
      <c r="H131" s="92"/>
      <c r="I131" s="92">
        <v>95.32</v>
      </c>
      <c r="J131" s="92"/>
      <c r="K131" s="92">
        <v>95.32</v>
      </c>
      <c r="L131" s="92"/>
      <c r="M131" s="92">
        <v>95.32</v>
      </c>
      <c r="N131" s="92"/>
      <c r="O131" s="92">
        <v>95.32</v>
      </c>
      <c r="P131" s="92"/>
      <c r="Q131" s="22">
        <v>145.47999999999999</v>
      </c>
      <c r="R131" s="22"/>
      <c r="S131" s="92">
        <v>145.47999999999999</v>
      </c>
      <c r="T131" s="92"/>
      <c r="U131" s="92">
        <v>145.47999999999999</v>
      </c>
      <c r="V131" s="92"/>
      <c r="W131" s="92">
        <v>145.47999999999999</v>
      </c>
      <c r="X131" s="92"/>
      <c r="Y131" s="92">
        <v>145.47999999999999</v>
      </c>
      <c r="Z131" s="92"/>
      <c r="AA131" s="94">
        <v>145.47999999999999</v>
      </c>
    </row>
    <row r="132" spans="1:28" x14ac:dyDescent="0.25">
      <c r="B132" s="19">
        <f>E5</f>
        <v>0</v>
      </c>
      <c r="C132" s="86" t="s">
        <v>25</v>
      </c>
      <c r="D132" s="86"/>
      <c r="E132" s="92">
        <v>10.029999999999999</v>
      </c>
      <c r="F132" s="92"/>
      <c r="G132" s="92">
        <v>10.029999999999999</v>
      </c>
      <c r="H132" s="92"/>
      <c r="I132" s="92">
        <v>10.029999999999999</v>
      </c>
      <c r="J132" s="92"/>
      <c r="K132" s="92">
        <v>10.029999999999999</v>
      </c>
      <c r="L132" s="92"/>
      <c r="M132" s="92">
        <v>10.029999999999999</v>
      </c>
      <c r="N132" s="92"/>
      <c r="O132" s="92">
        <v>10.029999999999999</v>
      </c>
      <c r="P132" s="92"/>
      <c r="Q132" s="22">
        <v>10.029999999999999</v>
      </c>
      <c r="R132" s="22"/>
      <c r="S132" s="92">
        <v>10.029999999999999</v>
      </c>
      <c r="T132" s="92"/>
      <c r="U132" s="92">
        <v>10.029999999999999</v>
      </c>
      <c r="V132" s="92"/>
      <c r="W132" s="92">
        <v>10.029999999999999</v>
      </c>
      <c r="X132" s="92"/>
      <c r="Y132" s="92">
        <v>10.029999999999999</v>
      </c>
      <c r="Z132" s="92"/>
      <c r="AA132" s="94">
        <v>10.029999999999999</v>
      </c>
    </row>
    <row r="133" spans="1:28" x14ac:dyDescent="0.25">
      <c r="B133" s="19">
        <f>(B125+B126+B127+B128+B129+B130+B131+B132+B135)*H9</f>
        <v>0</v>
      </c>
      <c r="C133" s="86" t="s">
        <v>172</v>
      </c>
      <c r="D133" s="86"/>
      <c r="E133" s="92">
        <v>30.1</v>
      </c>
      <c r="F133" s="92"/>
      <c r="G133" s="92">
        <v>35.119999999999997</v>
      </c>
      <c r="H133" s="92"/>
      <c r="I133" s="92">
        <v>40.130000000000003</v>
      </c>
      <c r="J133" s="92"/>
      <c r="K133" s="92">
        <v>45.15</v>
      </c>
      <c r="L133" s="92"/>
      <c r="M133" s="92">
        <v>50.17</v>
      </c>
      <c r="N133" s="92"/>
      <c r="O133" s="92">
        <v>55.18</v>
      </c>
      <c r="P133" s="92"/>
      <c r="Q133" s="22">
        <v>45.15</v>
      </c>
      <c r="R133" s="22"/>
      <c r="S133" s="92">
        <v>55.18</v>
      </c>
      <c r="T133" s="92"/>
      <c r="U133" s="92">
        <v>65.22</v>
      </c>
      <c r="V133" s="92"/>
      <c r="W133" s="92">
        <v>75.25</v>
      </c>
      <c r="X133" s="92"/>
      <c r="Y133" s="92">
        <v>75.25</v>
      </c>
      <c r="Z133" s="92"/>
      <c r="AA133" s="94">
        <v>85.28</v>
      </c>
    </row>
    <row r="134" spans="1:28" x14ac:dyDescent="0.25">
      <c r="B134" s="19">
        <f>IF(B133=1,0,H9)</f>
        <v>0</v>
      </c>
      <c r="C134" s="89" t="s">
        <v>173</v>
      </c>
      <c r="D134" s="89"/>
      <c r="E134" s="92">
        <v>45.15</v>
      </c>
      <c r="F134" s="92"/>
      <c r="G134" s="22">
        <v>50.17</v>
      </c>
      <c r="H134" s="22"/>
      <c r="I134" s="22">
        <v>55.18</v>
      </c>
      <c r="J134" s="22"/>
      <c r="K134" s="22">
        <v>60.2</v>
      </c>
      <c r="L134" s="22"/>
      <c r="M134" s="22">
        <v>65.22</v>
      </c>
      <c r="N134" s="22"/>
      <c r="O134" s="22">
        <v>70.23</v>
      </c>
      <c r="P134" s="22"/>
      <c r="Q134" s="22">
        <v>60.2</v>
      </c>
      <c r="R134" s="22"/>
      <c r="S134" s="92">
        <v>70.23</v>
      </c>
      <c r="T134" s="92"/>
      <c r="U134" s="92">
        <v>80.27</v>
      </c>
      <c r="V134" s="92"/>
      <c r="W134" s="92">
        <v>90.3</v>
      </c>
      <c r="X134" s="92"/>
      <c r="Y134" s="92">
        <v>90.3</v>
      </c>
      <c r="Z134" s="92"/>
      <c r="AA134" s="94">
        <v>110.37</v>
      </c>
    </row>
    <row r="135" spans="1:28" x14ac:dyDescent="0.25">
      <c r="B135" s="19">
        <f>E11</f>
        <v>0</v>
      </c>
      <c r="C135" s="89" t="s">
        <v>28</v>
      </c>
      <c r="D135" s="89"/>
      <c r="E135" s="92"/>
      <c r="F135" s="9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92">
        <v>150.5</v>
      </c>
      <c r="R135" s="92"/>
      <c r="S135" s="92">
        <v>150.5</v>
      </c>
      <c r="T135" s="92"/>
      <c r="U135" s="92">
        <v>150.5</v>
      </c>
      <c r="V135" s="92"/>
      <c r="W135" s="92">
        <v>150.5</v>
      </c>
      <c r="X135" s="92"/>
      <c r="Y135" s="92">
        <v>150.5</v>
      </c>
      <c r="Z135" s="92"/>
      <c r="AA135" s="94">
        <v>150.5</v>
      </c>
    </row>
    <row r="136" spans="1:28" x14ac:dyDescent="0.25">
      <c r="B136" s="19">
        <f>H8</f>
        <v>0</v>
      </c>
      <c r="C136" s="89" t="s">
        <v>174</v>
      </c>
      <c r="D136" s="89"/>
      <c r="E136" s="92">
        <v>135.44999999999999</v>
      </c>
      <c r="F136" s="92"/>
      <c r="G136" s="92">
        <v>150.5</v>
      </c>
      <c r="H136" s="92"/>
      <c r="I136" s="92">
        <v>165.55</v>
      </c>
      <c r="J136" s="92"/>
      <c r="K136" s="92">
        <v>180.6</v>
      </c>
      <c r="L136" s="92"/>
      <c r="M136" s="92">
        <v>205.69</v>
      </c>
      <c r="N136" s="92"/>
      <c r="O136" s="92">
        <v>220.74</v>
      </c>
      <c r="P136" s="92"/>
      <c r="Q136" s="92">
        <v>165.55</v>
      </c>
      <c r="R136" s="92"/>
      <c r="S136" s="92">
        <v>190.64</v>
      </c>
      <c r="T136" s="92"/>
      <c r="U136" s="92">
        <v>225.75</v>
      </c>
      <c r="V136" s="92"/>
      <c r="W136" s="92">
        <v>270.89999999999998</v>
      </c>
      <c r="X136" s="92"/>
      <c r="Y136" s="92">
        <v>270.89999999999998</v>
      </c>
      <c r="Z136" s="92"/>
      <c r="AA136" s="94">
        <v>316.05</v>
      </c>
    </row>
    <row r="137" spans="1:28" ht="15.75" thickBot="1" x14ac:dyDescent="0.3">
      <c r="B137" s="23">
        <f>H2+H3</f>
        <v>0</v>
      </c>
      <c r="C137" s="91" t="s">
        <v>175</v>
      </c>
      <c r="D137" s="91"/>
      <c r="E137" s="93">
        <v>70.23</v>
      </c>
      <c r="F137" s="93"/>
      <c r="G137" s="93">
        <v>70.23</v>
      </c>
      <c r="H137" s="93"/>
      <c r="I137" s="93">
        <v>70.23</v>
      </c>
      <c r="J137" s="93"/>
      <c r="K137" s="93">
        <v>70.23</v>
      </c>
      <c r="L137" s="93"/>
      <c r="M137" s="93">
        <v>70.23</v>
      </c>
      <c r="N137" s="93"/>
      <c r="O137" s="93">
        <v>70.23</v>
      </c>
      <c r="P137" s="93"/>
      <c r="Q137" s="93">
        <v>70.23</v>
      </c>
      <c r="R137" s="93"/>
      <c r="S137" s="93">
        <v>70.23</v>
      </c>
      <c r="T137" s="93"/>
      <c r="U137" s="93">
        <v>70.23</v>
      </c>
      <c r="V137" s="93"/>
      <c r="W137" s="93">
        <v>70.23</v>
      </c>
      <c r="X137" s="93"/>
      <c r="Y137" s="93">
        <v>70.23</v>
      </c>
      <c r="Z137" s="93"/>
      <c r="AA137" s="95">
        <v>70.23</v>
      </c>
      <c r="AB137">
        <f>A121*D123*(D124*B137*E137+F124*B137*G137+H124*B137*I137+J124*B137*K137+L124*B137*M137+N124*B137*O137)+A121*P123*(P124*B137*Q137+R124*B137*S137+T124*U137*B137+V124*W137*B137+X124*Y137*B137+Z124*AA137*B137)</f>
        <v>0</v>
      </c>
    </row>
    <row r="138" spans="1:28" x14ac:dyDescent="0.25">
      <c r="E138">
        <f>$A$121*$D$123*D124*($B$125*E125+$B$127*E127+$B$126*E126+$B$128*E128+$B$129*E129+$B$130*E130+$B$131*E131+$B$132*E132+$B$133*E133+$B$134*E134+$B$135*E135+$B$136*E136+$B$137*E137)</f>
        <v>0</v>
      </c>
      <c r="G138">
        <f>$A$121*$D$123*F124*($B$125*G125+$B$127*G127+$B$126*G126+$B$128*G128+$B$129*G129+$B$130*G130+$B$131*G131+$B$132*G132+$B$133*G133+$B$134*G134+$B$135*G135+$B$136*G136+$B$137*G137)</f>
        <v>0</v>
      </c>
      <c r="I138">
        <f>$A$121*$D$123*H124*($B$125*I125+$B$127*I127+$B$126*I126+$B$128*I128+$B$129*I129+$B$130*I130+$B$131*I131+$B$132*I132+$B$133*I133+$B$134*I134+$B$135*I135+$B$136*I136+$B$137*I137)</f>
        <v>0</v>
      </c>
      <c r="K138">
        <f>$A$121*$D$123*J124*($B$125*K125+$B$127*K127+$B$126*K126+$B$128*K128+$B$129*K129+$B$130*K130+$B$131*K131+$B$132*K132+$B$133*K133+$B$134*K134+$B$135*K135+$B$136*K136+$B$137*K137)</f>
        <v>0</v>
      </c>
      <c r="M138">
        <f>$A$121*$D$123*L124*($B$125*M125+$B$127*M127+$B$126*M126+$B$128*M128+$B$129*M129+$B$130*M130+$B$131*M131+$B$132*M132+$B$133*M133+$B$134*M134+$B$135*M135+$B$136*M136+$B$137*M137)</f>
        <v>0</v>
      </c>
      <c r="O138">
        <f>$A$121*$D$123*N124*($B$125*O125+$B$127*O127+$B$126*O126+$B$128*O128+$B$129*O129+$B$130*O130+$B$131*O131+$B$132*O132+$B$133*O133+$B$134*O134+$B$135*O135+$B$136*O136+$B$137*O137)</f>
        <v>0</v>
      </c>
      <c r="Q138">
        <f>$A$121*$P$123*P124*($B$125*Q125+$B$127*Q127+$B$126*Q126+$B$128*Q128+$B$129*Q129+$B$130*Q130+$B$131*Q131+$B$132*Q132+$B$133*Q133+$B$134*Q134+$B$135*Q135+$B$136*Q136+$B$137*Q137)</f>
        <v>0</v>
      </c>
      <c r="S138">
        <f>$A$121*$P$123*R124*($B$125*S125+$B$127*S127+$B$126*S126+$B$128*S128+$B$129*S129+$B$130*S130+$B$131*S131+$B$132*S132+$B$133*S133+$B$134*S134+$B$135*S135+$B$136*S136+$B$137*S137)</f>
        <v>0</v>
      </c>
      <c r="U138">
        <f>$A$121*$P$123*T124*($B$125*U125+$B$127*U127+$B$126*U126+$B$128*U128+$B$129*U129+$B$130*U130+$B$131*U131+$B$132*U132+$B$133*U133+$B$134*U134+$B$135*U135+$B$136*U136+$B$137*U137)</f>
        <v>0</v>
      </c>
      <c r="W138">
        <f>$A$121*$P$123*V124*($B$125*W125+$B$127*W127+$B$126*W126+$B$128*W128+$B$129*W129+$B$130*W130+$B$131*W131+$B$132*W132+$B$133*W133+$B$134*W134+$B$135*W135+$B$136*W136+$B$137*W137)</f>
        <v>0</v>
      </c>
      <c r="Y138">
        <f>$A$121*$P$123*X124*($B$125*Y125+$B$127*Y127+$B$126*Y126+$B$128*Y128+$B$129*Y129+$B$130*Y130+$B$131*Y131+$B$132*Y132+$B$133*Y133+$B$134*Y134+$B$135*Y135+$B$136*Y136+$B$137*Y137)</f>
        <v>0</v>
      </c>
      <c r="AA138">
        <f>$A$121*$P$123*Z124*($B$125*AA125+$B$127*AA127+$B$126*AA126+$B$128*AA128+$B$129*AA129+$B$130*AA130+$B$131*AA131+$B$132*AA132+$B$133*AA133+$B$134*AA134+$B$135*AA135+$B$136*AA136+$B$137*AA137)</f>
        <v>0</v>
      </c>
      <c r="AB138">
        <f>AA138+Y138+W138+U138+S138+Q138+O138+M138+K138+I138+G138+E138</f>
        <v>0</v>
      </c>
    </row>
    <row r="139" spans="1:28" ht="15.75" thickBot="1" x14ac:dyDescent="0.3"/>
    <row r="140" spans="1:28" x14ac:dyDescent="0.25">
      <c r="A140">
        <f>'Feuille Diags'!M18</f>
        <v>0</v>
      </c>
      <c r="B140" s="312" t="s">
        <v>125</v>
      </c>
      <c r="C140" s="313"/>
      <c r="D140" s="313"/>
      <c r="E140" s="313"/>
      <c r="F140" s="313"/>
      <c r="G140" s="313"/>
      <c r="H140" s="313"/>
      <c r="I140" s="313"/>
      <c r="J140" s="313"/>
      <c r="K140" s="313"/>
      <c r="L140" s="313"/>
      <c r="M140" s="313"/>
      <c r="N140" s="313"/>
      <c r="O140" s="313"/>
      <c r="P140" s="313"/>
      <c r="Q140" s="314"/>
      <c r="R140" s="55"/>
    </row>
    <row r="141" spans="1:28" x14ac:dyDescent="0.25">
      <c r="B141" s="19"/>
      <c r="C141" s="22"/>
      <c r="D141" s="22"/>
      <c r="E141" s="304" t="s">
        <v>2</v>
      </c>
      <c r="F141" s="304"/>
      <c r="G141" s="304"/>
      <c r="H141" s="304"/>
      <c r="I141" s="304"/>
      <c r="J141" s="304"/>
      <c r="K141" s="304"/>
      <c r="L141" s="304"/>
      <c r="M141" s="304"/>
      <c r="N141" s="304"/>
      <c r="O141" s="304"/>
      <c r="P141" s="304"/>
      <c r="Q141" s="311"/>
      <c r="R141" s="55"/>
    </row>
    <row r="142" spans="1:28" x14ac:dyDescent="0.25">
      <c r="B142" s="19"/>
      <c r="C142" s="22"/>
      <c r="D142" s="22">
        <f>'Feuille Diags'!$H$10</f>
        <v>0</v>
      </c>
      <c r="E142" s="304" t="s">
        <v>6</v>
      </c>
      <c r="F142" s="304"/>
      <c r="G142" s="304"/>
      <c r="H142" s="304"/>
      <c r="I142" s="304"/>
      <c r="J142" s="304"/>
      <c r="K142" s="304"/>
      <c r="L142" s="304"/>
      <c r="M142" s="304"/>
      <c r="N142" s="304"/>
      <c r="O142" s="304"/>
      <c r="P142" s="55">
        <f>'Feuille Diags'!$F$10</f>
        <v>0</v>
      </c>
      <c r="Q142" s="90" t="s">
        <v>5</v>
      </c>
      <c r="R142" s="74"/>
    </row>
    <row r="143" spans="1:28" x14ac:dyDescent="0.25">
      <c r="B143" s="19"/>
      <c r="C143" s="22"/>
      <c r="D143" s="22">
        <f>'Feuille Diags'!$E$13</f>
        <v>0</v>
      </c>
      <c r="E143" s="22" t="s">
        <v>128</v>
      </c>
      <c r="F143" s="22">
        <f>'Feuille Diags'!$F$13</f>
        <v>0</v>
      </c>
      <c r="G143" s="22" t="s">
        <v>35</v>
      </c>
      <c r="H143" s="22">
        <f>'Feuille Diags'!$G$13</f>
        <v>0</v>
      </c>
      <c r="I143" s="22" t="s">
        <v>36</v>
      </c>
      <c r="J143" s="22">
        <f>'Feuille Diags'!$H$13</f>
        <v>0</v>
      </c>
      <c r="K143" s="22" t="s">
        <v>37</v>
      </c>
      <c r="L143" s="22">
        <f>'Feuille Diags'!$I$13</f>
        <v>0</v>
      </c>
      <c r="M143" s="22" t="s">
        <v>38</v>
      </c>
      <c r="N143" s="22">
        <f>'Feuille Diags'!$J$13</f>
        <v>0</v>
      </c>
      <c r="O143" s="22" t="s">
        <v>129</v>
      </c>
      <c r="P143" s="22"/>
      <c r="Q143" s="81"/>
      <c r="R143" s="22"/>
    </row>
    <row r="144" spans="1:28" x14ac:dyDescent="0.25">
      <c r="B144" s="19">
        <f>E4</f>
        <v>0</v>
      </c>
      <c r="C144" s="86" t="s">
        <v>17</v>
      </c>
      <c r="D144" s="86"/>
      <c r="E144" s="22">
        <v>55</v>
      </c>
      <c r="F144" s="22"/>
      <c r="G144" s="22">
        <v>65</v>
      </c>
      <c r="H144" s="22"/>
      <c r="I144" s="22">
        <v>75</v>
      </c>
      <c r="J144" s="22"/>
      <c r="K144" s="92">
        <v>83.72</v>
      </c>
      <c r="L144" s="92"/>
      <c r="M144" s="92">
        <v>83.72</v>
      </c>
      <c r="N144" s="92"/>
      <c r="O144" s="92">
        <v>83.72</v>
      </c>
      <c r="P144" s="92"/>
      <c r="Q144" s="81">
        <v>120</v>
      </c>
      <c r="R144" s="22"/>
    </row>
    <row r="145" spans="1:18" x14ac:dyDescent="0.25">
      <c r="B145" s="19">
        <f>E2</f>
        <v>0</v>
      </c>
      <c r="C145" s="86" t="s">
        <v>157</v>
      </c>
      <c r="D145" s="86"/>
      <c r="E145" s="22">
        <v>90</v>
      </c>
      <c r="F145" s="22"/>
      <c r="G145" s="22">
        <v>105</v>
      </c>
      <c r="H145" s="22"/>
      <c r="I145" s="22">
        <v>119.6</v>
      </c>
      <c r="J145" s="22"/>
      <c r="K145" s="92">
        <v>119.6</v>
      </c>
      <c r="L145" s="92"/>
      <c r="M145" s="92">
        <v>119.6</v>
      </c>
      <c r="N145" s="92"/>
      <c r="O145" s="92">
        <v>119.6</v>
      </c>
      <c r="P145" s="92"/>
      <c r="Q145" s="81">
        <v>143.52000000000001</v>
      </c>
      <c r="R145" s="22"/>
    </row>
    <row r="146" spans="1:18" x14ac:dyDescent="0.25">
      <c r="B146" s="19">
        <f>E4*H6</f>
        <v>0</v>
      </c>
      <c r="C146" s="86" t="s">
        <v>158</v>
      </c>
      <c r="D146" s="86"/>
      <c r="E146" s="22">
        <v>70</v>
      </c>
      <c r="F146" s="22"/>
      <c r="G146" s="22">
        <v>80</v>
      </c>
      <c r="H146" s="22"/>
      <c r="I146" s="22">
        <v>95</v>
      </c>
      <c r="J146" s="22"/>
      <c r="K146" s="92">
        <v>103.72</v>
      </c>
      <c r="L146" s="92"/>
      <c r="M146" s="92">
        <v>113.72</v>
      </c>
      <c r="N146" s="92"/>
      <c r="O146" s="92">
        <v>113.72</v>
      </c>
      <c r="P146" s="92"/>
      <c r="Q146" s="81">
        <v>170</v>
      </c>
      <c r="R146" s="22"/>
    </row>
    <row r="147" spans="1:18" ht="15.75" thickBot="1" x14ac:dyDescent="0.3">
      <c r="B147" s="23">
        <f>E14</f>
        <v>0</v>
      </c>
      <c r="C147" s="87" t="s">
        <v>176</v>
      </c>
      <c r="D147" s="87"/>
      <c r="E147" s="26">
        <v>167.44</v>
      </c>
      <c r="F147" s="26"/>
      <c r="G147" s="26">
        <v>167.44</v>
      </c>
      <c r="H147" s="26"/>
      <c r="I147" s="26">
        <v>167.44</v>
      </c>
      <c r="J147" s="26"/>
      <c r="K147" s="26">
        <v>167.44</v>
      </c>
      <c r="L147" s="26"/>
      <c r="M147" s="26">
        <v>167.44</v>
      </c>
      <c r="N147" s="26"/>
      <c r="O147" s="26">
        <v>167.44</v>
      </c>
      <c r="P147" s="26"/>
      <c r="Q147" s="26">
        <v>167.44</v>
      </c>
      <c r="R147" s="22">
        <f>A140*$B$30*$E$30</f>
        <v>0</v>
      </c>
    </row>
    <row r="148" spans="1:18" x14ac:dyDescent="0.25">
      <c r="E148">
        <f>$A$140*$D$142*D143*($B$144*E144+$B$145*E145+$B$146*E146+$B$147*E147)</f>
        <v>0</v>
      </c>
      <c r="G148">
        <f>$A$140*$D$142*F143*($B$144*G144+$B$145*G145+$B$146*G146+$B$147*G147)</f>
        <v>0</v>
      </c>
      <c r="I148">
        <f>$A$140*$D$142*H143*($B$144*I144+$B$145*I145+$B$146*I146+$B$147*I147)</f>
        <v>0</v>
      </c>
      <c r="K148">
        <f>$A$140*$D$142*J143*($B$144*K144+$B$145*K145+$B$146*K146+$B$147*K147)</f>
        <v>0</v>
      </c>
      <c r="M148">
        <f>$A$140*$D$142*L143*($B$144*M144+$B$145*M145+$B$146*M146+$B$147*M147)</f>
        <v>0</v>
      </c>
      <c r="O148">
        <f>$A$140*$D$142*N143*($B$144*O144+$B$145*O145+$B$146*O146+$B$147*O147)</f>
        <v>0</v>
      </c>
      <c r="Q148">
        <f>$A$140*P142*($B$144*Q144+$B$145*Q145+$B$146*Q146+$B$147*Q147)</f>
        <v>0</v>
      </c>
      <c r="R148">
        <f>E148+G148+I148+K148+M148+O148+Q148</f>
        <v>0</v>
      </c>
    </row>
    <row r="149" spans="1:18" ht="15.75" thickBot="1" x14ac:dyDescent="0.3"/>
    <row r="150" spans="1:18" x14ac:dyDescent="0.25">
      <c r="A150">
        <f>'Feuille Diags'!E20</f>
        <v>0</v>
      </c>
      <c r="B150" s="312" t="s">
        <v>118</v>
      </c>
      <c r="C150" s="313"/>
      <c r="D150" s="313"/>
      <c r="E150" s="313"/>
      <c r="F150" s="313"/>
      <c r="G150" s="313"/>
      <c r="H150" s="313"/>
      <c r="I150" s="313"/>
      <c r="J150" s="313"/>
      <c r="K150" s="313"/>
      <c r="L150" s="313"/>
      <c r="M150" s="313"/>
      <c r="N150" s="313"/>
      <c r="O150" s="313"/>
      <c r="P150" s="313"/>
      <c r="Q150" s="314"/>
      <c r="R150" s="55"/>
    </row>
    <row r="151" spans="1:18" x14ac:dyDescent="0.25">
      <c r="B151" s="19"/>
      <c r="C151" s="22"/>
      <c r="D151" s="22"/>
      <c r="E151" s="304"/>
      <c r="F151" s="304"/>
      <c r="G151" s="304"/>
      <c r="H151" s="304"/>
      <c r="I151" s="304"/>
      <c r="J151" s="304"/>
      <c r="K151" s="304"/>
      <c r="L151" s="304"/>
      <c r="M151" s="304"/>
      <c r="N151" s="304"/>
      <c r="O151" s="304"/>
      <c r="P151" s="304"/>
      <c r="Q151" s="311"/>
      <c r="R151" s="55"/>
    </row>
    <row r="152" spans="1:18" x14ac:dyDescent="0.25">
      <c r="B152" s="19"/>
      <c r="C152" s="22"/>
      <c r="D152" s="22">
        <f>'Feuille Diags'!$H$10</f>
        <v>0</v>
      </c>
      <c r="E152" s="304" t="s">
        <v>6</v>
      </c>
      <c r="F152" s="304"/>
      <c r="G152" s="304"/>
      <c r="H152" s="304"/>
      <c r="I152" s="304"/>
      <c r="J152" s="304"/>
      <c r="K152" s="304"/>
      <c r="L152" s="304"/>
      <c r="M152" s="304"/>
      <c r="N152" s="304"/>
      <c r="O152" s="304"/>
      <c r="P152" s="55">
        <f>'Feuille Diags'!$F$10</f>
        <v>0</v>
      </c>
      <c r="Q152" s="90" t="s">
        <v>5</v>
      </c>
      <c r="R152" s="74"/>
    </row>
    <row r="153" spans="1:18" x14ac:dyDescent="0.25">
      <c r="B153" s="19"/>
      <c r="C153" s="22"/>
      <c r="D153" s="22">
        <f>'Feuille Diags'!$E$13</f>
        <v>0</v>
      </c>
      <c r="E153" s="22" t="s">
        <v>128</v>
      </c>
      <c r="F153" s="22">
        <f>'Feuille Diags'!$F$13</f>
        <v>0</v>
      </c>
      <c r="G153" s="22" t="s">
        <v>35</v>
      </c>
      <c r="H153" s="22">
        <f>'Feuille Diags'!$G$13</f>
        <v>0</v>
      </c>
      <c r="I153" s="22" t="s">
        <v>36</v>
      </c>
      <c r="J153" s="22">
        <f>'Feuille Diags'!$H$13</f>
        <v>0</v>
      </c>
      <c r="K153" s="22" t="s">
        <v>37</v>
      </c>
      <c r="L153" s="22">
        <f>'Feuille Diags'!$I$13</f>
        <v>0</v>
      </c>
      <c r="M153" s="22" t="s">
        <v>38</v>
      </c>
      <c r="N153" s="22">
        <f>'Feuille Diags'!$J$13</f>
        <v>0</v>
      </c>
      <c r="O153" s="22" t="s">
        <v>129</v>
      </c>
      <c r="P153" s="22"/>
      <c r="Q153" s="81"/>
      <c r="R153" s="22"/>
    </row>
    <row r="154" spans="1:18" x14ac:dyDescent="0.25">
      <c r="B154" s="19">
        <f>E4</f>
        <v>0</v>
      </c>
      <c r="C154" s="86" t="s">
        <v>17</v>
      </c>
      <c r="D154" s="86"/>
      <c r="E154" s="22">
        <v>69</v>
      </c>
      <c r="F154" s="22"/>
      <c r="G154" s="22">
        <v>74</v>
      </c>
      <c r="H154" s="22"/>
      <c r="I154" s="22">
        <v>79</v>
      </c>
      <c r="J154" s="22"/>
      <c r="K154" s="92">
        <v>84</v>
      </c>
      <c r="L154" s="92"/>
      <c r="M154" s="92">
        <v>89</v>
      </c>
      <c r="N154" s="92"/>
      <c r="O154" s="92">
        <v>94</v>
      </c>
      <c r="P154" s="92"/>
      <c r="Q154" s="81">
        <v>119</v>
      </c>
      <c r="R154" s="22"/>
    </row>
    <row r="155" spans="1:18" x14ac:dyDescent="0.25">
      <c r="B155" s="19">
        <f>E3</f>
        <v>0</v>
      </c>
      <c r="C155" s="86" t="s">
        <v>160</v>
      </c>
      <c r="D155" s="86"/>
      <c r="E155" s="22">
        <v>55</v>
      </c>
      <c r="F155" s="22"/>
      <c r="G155" s="22">
        <v>60</v>
      </c>
      <c r="H155" s="22"/>
      <c r="I155" s="22">
        <v>65</v>
      </c>
      <c r="J155" s="22"/>
      <c r="K155" s="92">
        <v>70</v>
      </c>
      <c r="L155" s="92"/>
      <c r="M155" s="92">
        <v>75</v>
      </c>
      <c r="N155" s="92"/>
      <c r="O155" s="92">
        <v>80</v>
      </c>
      <c r="P155" s="92"/>
      <c r="Q155" s="81">
        <v>90</v>
      </c>
      <c r="R155" s="22"/>
    </row>
    <row r="156" spans="1:18" x14ac:dyDescent="0.25">
      <c r="B156" s="19">
        <f>E4*E3</f>
        <v>0</v>
      </c>
      <c r="C156" s="86" t="s">
        <v>161</v>
      </c>
      <c r="D156" s="86"/>
      <c r="E156" s="22">
        <v>105</v>
      </c>
      <c r="F156" s="22"/>
      <c r="G156" s="22">
        <v>115</v>
      </c>
      <c r="H156" s="22"/>
      <c r="I156" s="22">
        <v>125</v>
      </c>
      <c r="J156" s="22"/>
      <c r="K156" s="92">
        <v>135</v>
      </c>
      <c r="L156" s="92"/>
      <c r="M156" s="92">
        <v>145</v>
      </c>
      <c r="N156" s="92"/>
      <c r="O156" s="92">
        <v>155</v>
      </c>
      <c r="P156" s="92"/>
      <c r="Q156" s="81">
        <v>180</v>
      </c>
      <c r="R156" s="22"/>
    </row>
    <row r="157" spans="1:18" x14ac:dyDescent="0.25">
      <c r="B157" s="19">
        <f>E2*E3*E4</f>
        <v>0</v>
      </c>
      <c r="C157" s="86" t="s">
        <v>162</v>
      </c>
      <c r="D157" s="86"/>
      <c r="E157" s="22">
        <v>175</v>
      </c>
      <c r="F157" s="22"/>
      <c r="G157" s="22">
        <v>195</v>
      </c>
      <c r="H157" s="22"/>
      <c r="I157" s="22">
        <v>215</v>
      </c>
      <c r="J157" s="22"/>
      <c r="K157" s="22">
        <v>235</v>
      </c>
      <c r="L157" s="22"/>
      <c r="M157" s="22">
        <v>255</v>
      </c>
      <c r="N157" s="22"/>
      <c r="O157" s="22">
        <v>255</v>
      </c>
      <c r="P157" s="22"/>
      <c r="Q157" s="81">
        <v>275</v>
      </c>
      <c r="R157" s="22"/>
    </row>
    <row r="158" spans="1:18" x14ac:dyDescent="0.25">
      <c r="B158" s="19"/>
      <c r="C158" s="86" t="s">
        <v>133</v>
      </c>
      <c r="D158" s="86"/>
      <c r="E158" s="22">
        <v>50</v>
      </c>
      <c r="F158" s="22"/>
      <c r="G158" s="22">
        <v>50</v>
      </c>
      <c r="H158" s="22"/>
      <c r="I158" s="22">
        <v>50</v>
      </c>
      <c r="J158" s="22"/>
      <c r="K158" s="22">
        <v>50</v>
      </c>
      <c r="L158" s="22"/>
      <c r="M158" s="22">
        <v>50</v>
      </c>
      <c r="N158" s="22"/>
      <c r="O158" s="22">
        <v>50</v>
      </c>
      <c r="P158" s="22"/>
      <c r="Q158" s="81">
        <v>50</v>
      </c>
      <c r="R158" s="22"/>
    </row>
    <row r="159" spans="1:18" x14ac:dyDescent="0.25">
      <c r="B159" s="19"/>
      <c r="C159" s="86" t="s">
        <v>134</v>
      </c>
      <c r="D159" s="86"/>
      <c r="E159" s="22">
        <v>70</v>
      </c>
      <c r="F159" s="22"/>
      <c r="G159" s="22">
        <v>70</v>
      </c>
      <c r="H159" s="22"/>
      <c r="I159" s="22">
        <v>70</v>
      </c>
      <c r="J159" s="22"/>
      <c r="K159" s="22">
        <v>70</v>
      </c>
      <c r="L159" s="22"/>
      <c r="M159" s="22">
        <v>70</v>
      </c>
      <c r="N159" s="22"/>
      <c r="O159" s="22">
        <v>70</v>
      </c>
      <c r="P159" s="22"/>
      <c r="Q159" s="81">
        <v>70</v>
      </c>
      <c r="R159" s="22"/>
    </row>
    <row r="160" spans="1:18" ht="15.75" thickBot="1" x14ac:dyDescent="0.3">
      <c r="B160" s="23">
        <f>H2+H3</f>
        <v>0</v>
      </c>
      <c r="C160" s="87" t="s">
        <v>135</v>
      </c>
      <c r="D160" s="87"/>
      <c r="E160" s="26">
        <v>70</v>
      </c>
      <c r="F160" s="26"/>
      <c r="G160" s="26">
        <v>70</v>
      </c>
      <c r="H160" s="26"/>
      <c r="I160" s="26">
        <v>70</v>
      </c>
      <c r="J160" s="26"/>
      <c r="K160" s="26">
        <v>70</v>
      </c>
      <c r="L160" s="26"/>
      <c r="M160" s="26">
        <v>70</v>
      </c>
      <c r="N160" s="26"/>
      <c r="O160" s="26">
        <v>70</v>
      </c>
      <c r="P160" s="26"/>
      <c r="Q160" s="26">
        <v>70</v>
      </c>
      <c r="R160" s="22">
        <f>A150*D152*(D153*B160*E160+F153*G160*B160+H153*B160*I160+J153*B160*K160+L153*B160*M160+N153*B160*O160)+A150*P152*B160*Q160</f>
        <v>0</v>
      </c>
    </row>
    <row r="161" spans="1:18" x14ac:dyDescent="0.25">
      <c r="E161">
        <f>$A$150*D153*$D$152*($B$154*E154+$B$155*E155+$B$156*E156+$B$157*E157+$B$158*E158+$B$159*E159+$B$160*E160)</f>
        <v>0</v>
      </c>
      <c r="G161">
        <f>$A$150*F153*$D$152*($B$154*G154+$B$155*G155+$B$156*G156+$B$157*G157+$B$158*G158+$B$159*G159+$B$160*G160)</f>
        <v>0</v>
      </c>
      <c r="I161">
        <f>$A$150*H153*$D$152*($B$154*I154+$B$155*I155+$B$156*I156+$B$157*I157+$B$158*I158+$B$159*I159+$B$160*I160)</f>
        <v>0</v>
      </c>
      <c r="K161">
        <f>$A$150*J153*$D$152*($B$154*K154+$B$155*K155+$B$156*K156+$B$157*K157+$B$158*K158+$B$159*K159+$B$160*K160)</f>
        <v>0</v>
      </c>
      <c r="M161">
        <f>$A$150*L153*$D$152*($B$154*M154+$B$155*M155+$B$156*M156+$B$157*M157+$B$158*M158+$B$159*M159+$B$160*M160)</f>
        <v>0</v>
      </c>
      <c r="O161">
        <f>$A$150*N153*$D$152*($B$154*O154+$B$155*O155+$B$156*O156+$B$157*O157+$B$158*O158+$B$159*O159+$B$160*O160)</f>
        <v>0</v>
      </c>
      <c r="Q161">
        <f>$A$150*P152*($B$154*Q154+$B$155*Q155+$B$156*Q156+$B$157*Q157+$B$158*Q158+$B$159*Q159+$B$160*Q160)</f>
        <v>0</v>
      </c>
      <c r="R161">
        <f>E161+G161+I161+K161+M161+O161+Q161</f>
        <v>0</v>
      </c>
    </row>
    <row r="162" spans="1:18" ht="15.75" thickBot="1" x14ac:dyDescent="0.3"/>
    <row r="163" spans="1:18" x14ac:dyDescent="0.25">
      <c r="A163">
        <f>'Feuille Diags'!F20</f>
        <v>0</v>
      </c>
      <c r="B163" s="312" t="s">
        <v>177</v>
      </c>
      <c r="C163" s="313"/>
      <c r="D163" s="313"/>
      <c r="E163" s="313"/>
      <c r="F163" s="313"/>
      <c r="G163" s="313"/>
      <c r="H163" s="313"/>
      <c r="I163" s="313"/>
      <c r="J163" s="313"/>
      <c r="K163" s="313"/>
      <c r="L163" s="313"/>
      <c r="M163" s="313"/>
      <c r="N163" s="313"/>
      <c r="O163" s="313"/>
      <c r="P163" s="313"/>
      <c r="Q163" s="314"/>
      <c r="R163" s="55"/>
    </row>
    <row r="164" spans="1:18" x14ac:dyDescent="0.25">
      <c r="B164" s="19"/>
      <c r="C164" s="22"/>
      <c r="D164" s="22"/>
      <c r="E164" s="304"/>
      <c r="F164" s="304"/>
      <c r="G164" s="304"/>
      <c r="H164" s="304"/>
      <c r="I164" s="304"/>
      <c r="J164" s="304"/>
      <c r="K164" s="304"/>
      <c r="L164" s="304"/>
      <c r="M164" s="304"/>
      <c r="N164" s="304"/>
      <c r="O164" s="304"/>
      <c r="P164" s="304"/>
      <c r="Q164" s="311"/>
      <c r="R164" s="55"/>
    </row>
    <row r="165" spans="1:18" x14ac:dyDescent="0.25">
      <c r="B165" s="19"/>
      <c r="C165" s="22"/>
      <c r="D165" s="22">
        <f>'Feuille Diags'!$H$10</f>
        <v>0</v>
      </c>
      <c r="E165" s="304" t="s">
        <v>6</v>
      </c>
      <c r="F165" s="304"/>
      <c r="G165" s="304"/>
      <c r="H165" s="304"/>
      <c r="I165" s="304"/>
      <c r="J165" s="304"/>
      <c r="K165" s="304"/>
      <c r="L165" s="304"/>
      <c r="M165" s="304"/>
      <c r="N165" s="304"/>
      <c r="O165" s="304"/>
      <c r="P165" s="55">
        <f>'Feuille Diags'!$F$10</f>
        <v>0</v>
      </c>
      <c r="Q165" s="90" t="s">
        <v>5</v>
      </c>
      <c r="R165" s="74"/>
    </row>
    <row r="166" spans="1:18" x14ac:dyDescent="0.25">
      <c r="B166" s="19"/>
      <c r="C166" s="22"/>
      <c r="D166" s="22">
        <f>'Feuille Diags'!$E$13</f>
        <v>0</v>
      </c>
      <c r="E166" s="22" t="s">
        <v>128</v>
      </c>
      <c r="F166" s="22">
        <f>'Feuille Diags'!$F$13</f>
        <v>0</v>
      </c>
      <c r="G166" s="22" t="s">
        <v>35</v>
      </c>
      <c r="H166" s="22">
        <f>'Feuille Diags'!$G$13</f>
        <v>0</v>
      </c>
      <c r="I166" s="22" t="s">
        <v>36</v>
      </c>
      <c r="J166" s="22">
        <f>'Feuille Diags'!$H$13</f>
        <v>0</v>
      </c>
      <c r="K166" s="22" t="s">
        <v>37</v>
      </c>
      <c r="L166" s="22">
        <f>'Feuille Diags'!$I$13</f>
        <v>0</v>
      </c>
      <c r="M166" s="22" t="s">
        <v>38</v>
      </c>
      <c r="N166" s="22">
        <f>'Feuille Diags'!$J$13</f>
        <v>0</v>
      </c>
      <c r="O166" s="22" t="s">
        <v>129</v>
      </c>
      <c r="P166" s="22"/>
      <c r="Q166" s="81"/>
      <c r="R166" s="22"/>
    </row>
    <row r="167" spans="1:18" x14ac:dyDescent="0.25">
      <c r="B167" s="19">
        <f>E4</f>
        <v>0</v>
      </c>
      <c r="C167" s="99" t="s">
        <v>17</v>
      </c>
      <c r="D167" s="86"/>
      <c r="E167" s="22">
        <v>76</v>
      </c>
      <c r="F167" s="22"/>
      <c r="G167" s="22">
        <v>76</v>
      </c>
      <c r="H167" s="22"/>
      <c r="I167" s="22">
        <v>96</v>
      </c>
      <c r="J167" s="22"/>
      <c r="K167" s="92">
        <v>96</v>
      </c>
      <c r="L167" s="92"/>
      <c r="M167" s="92">
        <v>96</v>
      </c>
      <c r="N167" s="92"/>
      <c r="O167" s="92">
        <v>96</v>
      </c>
      <c r="P167" s="92"/>
      <c r="Q167" s="81">
        <v>100</v>
      </c>
      <c r="R167" s="22"/>
    </row>
    <row r="168" spans="1:18" x14ac:dyDescent="0.25">
      <c r="B168" s="19">
        <f>E3*E4*E13</f>
        <v>0</v>
      </c>
      <c r="C168" s="99" t="s">
        <v>178</v>
      </c>
      <c r="D168" s="86"/>
      <c r="E168" s="22">
        <v>150</v>
      </c>
      <c r="F168" s="22"/>
      <c r="G168" s="22">
        <v>150</v>
      </c>
      <c r="H168" s="22"/>
      <c r="I168" s="22">
        <v>185</v>
      </c>
      <c r="J168" s="22"/>
      <c r="K168" s="92">
        <v>185</v>
      </c>
      <c r="L168" s="92"/>
      <c r="M168" s="92">
        <v>185</v>
      </c>
      <c r="N168" s="92"/>
      <c r="O168" s="92">
        <v>185</v>
      </c>
      <c r="P168" s="92"/>
      <c r="Q168" s="81">
        <v>200</v>
      </c>
      <c r="R168" s="22"/>
    </row>
    <row r="169" spans="1:18" x14ac:dyDescent="0.25">
      <c r="B169" s="19">
        <f>E4*E13</f>
        <v>0</v>
      </c>
      <c r="C169" s="99" t="s">
        <v>159</v>
      </c>
      <c r="D169" s="86"/>
      <c r="E169" s="22">
        <v>125</v>
      </c>
      <c r="F169" s="22"/>
      <c r="G169" s="22">
        <v>125</v>
      </c>
      <c r="H169" s="22"/>
      <c r="I169" s="22">
        <v>146</v>
      </c>
      <c r="J169" s="22"/>
      <c r="K169" s="92">
        <v>146</v>
      </c>
      <c r="L169" s="92"/>
      <c r="M169" s="92">
        <v>146</v>
      </c>
      <c r="N169" s="92"/>
      <c r="O169" s="92">
        <v>146</v>
      </c>
      <c r="P169" s="92"/>
      <c r="Q169" s="81">
        <v>150</v>
      </c>
      <c r="R169" s="22"/>
    </row>
    <row r="170" spans="1:18" x14ac:dyDescent="0.25">
      <c r="B170" s="19">
        <f>E4*E2</f>
        <v>0</v>
      </c>
      <c r="C170" s="99" t="s">
        <v>143</v>
      </c>
      <c r="D170" s="86"/>
      <c r="E170" s="92">
        <v>156</v>
      </c>
      <c r="F170" s="92"/>
      <c r="G170" s="92">
        <v>156</v>
      </c>
      <c r="H170" s="92"/>
      <c r="I170" s="92">
        <v>196</v>
      </c>
      <c r="J170" s="92"/>
      <c r="K170" s="92">
        <v>196</v>
      </c>
      <c r="L170" s="92"/>
      <c r="M170" s="92">
        <v>196</v>
      </c>
      <c r="N170" s="92"/>
      <c r="O170" s="92">
        <v>196</v>
      </c>
      <c r="P170" s="92"/>
      <c r="Q170" s="81">
        <v>196</v>
      </c>
      <c r="R170" s="22"/>
    </row>
    <row r="171" spans="1:18" x14ac:dyDescent="0.25">
      <c r="B171" s="19">
        <f>E2*E4*E13</f>
        <v>0</v>
      </c>
      <c r="C171" s="99" t="s">
        <v>179</v>
      </c>
      <c r="D171" s="86"/>
      <c r="E171" s="92">
        <v>175</v>
      </c>
      <c r="F171" s="92"/>
      <c r="G171" s="92">
        <v>175</v>
      </c>
      <c r="H171" s="92"/>
      <c r="I171" s="92">
        <v>215</v>
      </c>
      <c r="J171" s="92"/>
      <c r="K171" s="92">
        <v>215</v>
      </c>
      <c r="L171" s="92"/>
      <c r="M171" s="92">
        <v>215</v>
      </c>
      <c r="N171" s="92"/>
      <c r="O171" s="92">
        <v>215</v>
      </c>
      <c r="P171" s="92"/>
      <c r="Q171" s="81">
        <v>215</v>
      </c>
      <c r="R171" s="22"/>
    </row>
    <row r="172" spans="1:18" x14ac:dyDescent="0.25">
      <c r="B172" s="19">
        <f>E13*E3*E2*E4</f>
        <v>0</v>
      </c>
      <c r="C172" s="99" t="s">
        <v>180</v>
      </c>
      <c r="D172" s="86"/>
      <c r="E172" s="92">
        <v>190</v>
      </c>
      <c r="F172" s="92"/>
      <c r="G172" s="92">
        <v>190</v>
      </c>
      <c r="H172" s="92"/>
      <c r="I172" s="92">
        <v>230</v>
      </c>
      <c r="J172" s="92"/>
      <c r="K172" s="92">
        <v>230</v>
      </c>
      <c r="L172" s="92"/>
      <c r="M172" s="92">
        <v>230</v>
      </c>
      <c r="N172" s="92"/>
      <c r="O172" s="92">
        <v>230</v>
      </c>
      <c r="P172" s="92"/>
      <c r="Q172" s="81">
        <v>230</v>
      </c>
      <c r="R172" s="22"/>
    </row>
    <row r="173" spans="1:18" ht="15.75" thickBot="1" x14ac:dyDescent="0.3">
      <c r="B173" s="23">
        <f>E2</f>
        <v>0</v>
      </c>
      <c r="C173" s="102" t="s">
        <v>157</v>
      </c>
      <c r="D173" s="87"/>
      <c r="E173" s="26">
        <v>166</v>
      </c>
      <c r="F173" s="26"/>
      <c r="G173" s="26">
        <v>166</v>
      </c>
      <c r="H173" s="26"/>
      <c r="I173" s="26">
        <v>166</v>
      </c>
      <c r="J173" s="26"/>
      <c r="K173" s="26">
        <v>166</v>
      </c>
      <c r="L173" s="26"/>
      <c r="M173" s="26">
        <v>166</v>
      </c>
      <c r="N173" s="26"/>
      <c r="O173" s="26">
        <v>166</v>
      </c>
      <c r="P173" s="26"/>
      <c r="Q173" s="88">
        <v>166</v>
      </c>
      <c r="R173" s="22">
        <f>A163*$B$30*$E$30</f>
        <v>0</v>
      </c>
    </row>
    <row r="174" spans="1:18" x14ac:dyDescent="0.25">
      <c r="E174">
        <f>$A$163*D166*$D$165*($B$167*E167+$B$168*E168+$B$169*E169+$B$170*E170+$B$171*E171+$B$172*E172+$B$173*E173)</f>
        <v>0</v>
      </c>
      <c r="G174">
        <f>$A$163*F166*$D$165*($B$167*G167+$B$168*G168+$B$169*G169+$B$170*G170+$B$171*G171+$B$172*G172+$B$173*G173)</f>
        <v>0</v>
      </c>
      <c r="I174">
        <f>$A$163*H166*$D$165*($B$167*I167+$B$168*I168+$B$169*I169+$B$170*I170+$B$171*I171+$B$172*I172+$B$173*I173)</f>
        <v>0</v>
      </c>
      <c r="K174">
        <f>$A$163*J166*$D$165*($B$167*K167+$B$168*K168+$B$169*K169+$B$170*K170+$B$171*K171+$B$172*K172+$B$173*K173)</f>
        <v>0</v>
      </c>
      <c r="M174">
        <f>$A$163*L166*$D$165*($B$167*M167+$B$168*M168+$B$169*M169+$B$170*M170+$B$171*M171+$B$172*M172+$B$173*M173)</f>
        <v>0</v>
      </c>
      <c r="O174">
        <f>$A$163*N166*$D$165*($B$167*O167+$B$168*O168+$B$169*O169+$B$170*O170+$B$171*O171+$B$172*O172+$B$173*O173)</f>
        <v>0</v>
      </c>
      <c r="Q174">
        <f>$A$163*P165*($B$167*Q167+$B$168*Q168+$B$169*Q169+$B$170*Q170+$B$171*Q171+$B$172*Q172+$B$173*Q173)</f>
        <v>0</v>
      </c>
      <c r="R174">
        <f>E174+G174+I174+K174+M174+O174+Q174</f>
        <v>0</v>
      </c>
    </row>
    <row r="175" spans="1:18" ht="15.75" thickBot="1" x14ac:dyDescent="0.3"/>
    <row r="176" spans="1:18" x14ac:dyDescent="0.25">
      <c r="A176">
        <f>'Feuille Diags'!G20</f>
        <v>0</v>
      </c>
      <c r="B176" s="312" t="s">
        <v>120</v>
      </c>
      <c r="C176" s="313"/>
      <c r="D176" s="313"/>
      <c r="E176" s="313"/>
      <c r="F176" s="313"/>
      <c r="G176" s="313"/>
      <c r="H176" s="313"/>
      <c r="I176" s="313"/>
      <c r="J176" s="313"/>
      <c r="K176" s="313"/>
      <c r="L176" s="313"/>
      <c r="M176" s="313"/>
      <c r="N176" s="313"/>
      <c r="O176" s="313"/>
      <c r="P176" s="313"/>
      <c r="Q176" s="314"/>
      <c r="R176" s="55"/>
    </row>
    <row r="177" spans="1:18" x14ac:dyDescent="0.25">
      <c r="B177" s="19"/>
      <c r="C177" s="22"/>
      <c r="D177" s="22"/>
      <c r="E177" s="304"/>
      <c r="F177" s="304"/>
      <c r="G177" s="304"/>
      <c r="H177" s="304"/>
      <c r="I177" s="304"/>
      <c r="J177" s="304"/>
      <c r="K177" s="304"/>
      <c r="L177" s="304"/>
      <c r="M177" s="304"/>
      <c r="N177" s="304"/>
      <c r="O177" s="304"/>
      <c r="P177" s="304"/>
      <c r="Q177" s="311"/>
      <c r="R177" s="55"/>
    </row>
    <row r="178" spans="1:18" x14ac:dyDescent="0.25">
      <c r="B178" s="19"/>
      <c r="C178" s="22"/>
      <c r="D178" s="22">
        <f>'Feuille Diags'!$H$10</f>
        <v>0</v>
      </c>
      <c r="E178" s="304" t="s">
        <v>6</v>
      </c>
      <c r="F178" s="304"/>
      <c r="G178" s="304"/>
      <c r="H178" s="304"/>
      <c r="I178" s="304"/>
      <c r="J178" s="304"/>
      <c r="K178" s="304"/>
      <c r="L178" s="304"/>
      <c r="M178" s="304"/>
      <c r="N178" s="304"/>
      <c r="O178" s="304"/>
      <c r="P178" s="55">
        <f>'Feuille Diags'!$F$10</f>
        <v>0</v>
      </c>
      <c r="Q178" s="90" t="s">
        <v>5</v>
      </c>
      <c r="R178" s="74"/>
    </row>
    <row r="179" spans="1:18" x14ac:dyDescent="0.25">
      <c r="B179" s="19"/>
      <c r="C179" s="22"/>
      <c r="D179" s="22">
        <f>'Feuille Diags'!$E$13</f>
        <v>0</v>
      </c>
      <c r="E179" s="22" t="s">
        <v>128</v>
      </c>
      <c r="F179" s="22">
        <f>'Feuille Diags'!$F$13</f>
        <v>0</v>
      </c>
      <c r="G179" s="22" t="s">
        <v>35</v>
      </c>
      <c r="H179" s="22">
        <f>'Feuille Diags'!$G$13</f>
        <v>0</v>
      </c>
      <c r="I179" s="22" t="s">
        <v>36</v>
      </c>
      <c r="J179" s="22">
        <f>'Feuille Diags'!$H$13</f>
        <v>0</v>
      </c>
      <c r="K179" s="22" t="s">
        <v>37</v>
      </c>
      <c r="L179" s="22">
        <f>'Feuille Diags'!$I$13</f>
        <v>0</v>
      </c>
      <c r="M179" s="22" t="s">
        <v>38</v>
      </c>
      <c r="N179" s="22">
        <f>'Feuille Diags'!$J$13</f>
        <v>0</v>
      </c>
      <c r="O179" s="22" t="s">
        <v>129</v>
      </c>
      <c r="P179" s="22"/>
      <c r="Q179" s="81"/>
      <c r="R179" s="22"/>
    </row>
    <row r="180" spans="1:18" x14ac:dyDescent="0.25">
      <c r="B180" s="19">
        <f>IF('Feuille Diags'!E26=1,1,IF('Feuille Diags'!G26=1,1,0))</f>
        <v>0</v>
      </c>
      <c r="C180" s="99" t="s">
        <v>17</v>
      </c>
      <c r="D180" s="86"/>
      <c r="E180" s="22">
        <v>76</v>
      </c>
      <c r="F180" s="22"/>
      <c r="G180" s="22">
        <v>76</v>
      </c>
      <c r="H180" s="22"/>
      <c r="I180" s="22">
        <v>96</v>
      </c>
      <c r="J180" s="22"/>
      <c r="K180" s="92">
        <v>96</v>
      </c>
      <c r="L180" s="92"/>
      <c r="M180" s="92">
        <v>96</v>
      </c>
      <c r="N180" s="92"/>
      <c r="O180" s="92">
        <v>96</v>
      </c>
      <c r="P180" s="92"/>
      <c r="Q180" s="81">
        <v>100</v>
      </c>
      <c r="R180" s="22"/>
    </row>
    <row r="181" spans="1:18" x14ac:dyDescent="0.25">
      <c r="B181" s="19">
        <f>H6</f>
        <v>0</v>
      </c>
      <c r="C181" s="99" t="s">
        <v>181</v>
      </c>
      <c r="D181" s="86"/>
      <c r="E181" s="22">
        <v>50</v>
      </c>
      <c r="F181" s="22"/>
      <c r="G181" s="22">
        <v>50</v>
      </c>
      <c r="H181" s="22"/>
      <c r="I181" s="22">
        <v>50</v>
      </c>
      <c r="J181" s="22"/>
      <c r="K181" s="92">
        <v>50</v>
      </c>
      <c r="L181" s="92"/>
      <c r="M181" s="92">
        <v>50</v>
      </c>
      <c r="N181" s="92"/>
      <c r="O181" s="92">
        <v>50</v>
      </c>
      <c r="P181" s="92"/>
      <c r="Q181" s="81">
        <v>70</v>
      </c>
      <c r="R181" s="22"/>
    </row>
    <row r="182" spans="1:18" x14ac:dyDescent="0.25">
      <c r="B182" s="19">
        <f>E4*E13</f>
        <v>0</v>
      </c>
      <c r="C182" s="99" t="s">
        <v>159</v>
      </c>
      <c r="D182" s="86"/>
      <c r="E182" s="22">
        <v>210</v>
      </c>
      <c r="F182" s="22"/>
      <c r="G182" s="22">
        <v>210</v>
      </c>
      <c r="H182" s="22"/>
      <c r="I182" s="22">
        <v>250</v>
      </c>
      <c r="J182" s="22"/>
      <c r="K182" s="92">
        <v>250</v>
      </c>
      <c r="L182" s="92"/>
      <c r="M182" s="92">
        <v>250</v>
      </c>
      <c r="N182" s="92"/>
      <c r="O182" s="92">
        <v>250</v>
      </c>
      <c r="P182" s="92"/>
      <c r="Q182" s="81">
        <v>280</v>
      </c>
      <c r="R182" s="22"/>
    </row>
    <row r="183" spans="1:18" x14ac:dyDescent="0.25">
      <c r="B183" s="19">
        <f>E4*E2</f>
        <v>0</v>
      </c>
      <c r="C183" s="99" t="s">
        <v>143</v>
      </c>
      <c r="D183" s="86"/>
      <c r="E183" s="92">
        <v>156</v>
      </c>
      <c r="F183" s="92"/>
      <c r="G183" s="92">
        <v>156</v>
      </c>
      <c r="H183" s="92"/>
      <c r="I183" s="92">
        <v>196</v>
      </c>
      <c r="J183" s="92"/>
      <c r="K183" s="92">
        <v>196</v>
      </c>
      <c r="L183" s="92"/>
      <c r="M183" s="92">
        <v>196</v>
      </c>
      <c r="N183" s="92"/>
      <c r="O183" s="92">
        <v>196</v>
      </c>
      <c r="P183" s="92"/>
      <c r="Q183" s="81">
        <v>196</v>
      </c>
      <c r="R183" s="22"/>
    </row>
    <row r="184" spans="1:18" x14ac:dyDescent="0.25">
      <c r="B184" s="19">
        <f>E13*E2*E4</f>
        <v>0</v>
      </c>
      <c r="C184" s="99" t="s">
        <v>179</v>
      </c>
      <c r="D184" s="86"/>
      <c r="E184" s="92">
        <v>290</v>
      </c>
      <c r="F184" s="92"/>
      <c r="G184" s="92">
        <v>290</v>
      </c>
      <c r="H184" s="92"/>
      <c r="I184" s="92">
        <v>330</v>
      </c>
      <c r="J184" s="92"/>
      <c r="K184" s="92">
        <v>330</v>
      </c>
      <c r="L184" s="92"/>
      <c r="M184" s="92">
        <v>330</v>
      </c>
      <c r="N184" s="92"/>
      <c r="O184" s="92">
        <v>330</v>
      </c>
      <c r="P184" s="92"/>
      <c r="Q184" s="81">
        <v>400</v>
      </c>
      <c r="R184" s="22"/>
    </row>
    <row r="185" spans="1:18" x14ac:dyDescent="0.25">
      <c r="B185" s="19">
        <f>E3</f>
        <v>0</v>
      </c>
      <c r="C185" s="99" t="s">
        <v>21</v>
      </c>
      <c r="D185" s="86"/>
      <c r="E185" s="92">
        <v>50</v>
      </c>
      <c r="F185" s="92"/>
      <c r="G185" s="92">
        <v>50</v>
      </c>
      <c r="H185" s="92"/>
      <c r="I185" s="92">
        <v>60</v>
      </c>
      <c r="J185" s="92"/>
      <c r="K185" s="92">
        <v>60</v>
      </c>
      <c r="L185" s="92"/>
      <c r="M185" s="92">
        <v>60</v>
      </c>
      <c r="N185" s="92"/>
      <c r="O185" s="92">
        <v>60</v>
      </c>
      <c r="P185" s="92"/>
      <c r="Q185" s="81">
        <v>70</v>
      </c>
      <c r="R185" s="22"/>
    </row>
    <row r="186" spans="1:18" ht="15.75" thickBot="1" x14ac:dyDescent="0.3">
      <c r="B186" s="23">
        <f>E2</f>
        <v>0</v>
      </c>
      <c r="C186" s="102" t="s">
        <v>157</v>
      </c>
      <c r="D186" s="87"/>
      <c r="E186" s="26">
        <v>166</v>
      </c>
      <c r="F186" s="26"/>
      <c r="G186" s="26">
        <v>166</v>
      </c>
      <c r="H186" s="26"/>
      <c r="I186" s="26">
        <v>166</v>
      </c>
      <c r="J186" s="26"/>
      <c r="K186" s="26">
        <v>166</v>
      </c>
      <c r="L186" s="26"/>
      <c r="M186" s="26">
        <v>166</v>
      </c>
      <c r="N186" s="26"/>
      <c r="O186" s="26">
        <v>166</v>
      </c>
      <c r="P186" s="26"/>
      <c r="Q186" s="88">
        <v>166</v>
      </c>
      <c r="R186" s="22">
        <f>A176*$B$30*$E$30</f>
        <v>0</v>
      </c>
    </row>
    <row r="187" spans="1:18" x14ac:dyDescent="0.25">
      <c r="E187">
        <f>$A$176*D179*$D$178*($B$180*E180+$B$181*E181+$B$182*E182+$B$183*E183+$B$184*E184+$B$185*E185+$B$186*E186)</f>
        <v>0</v>
      </c>
      <c r="G187">
        <f>$A$176*F179*$D$178*($B$180*G180+$B$181*G181+$B$182*G182+$B$183*G183+$B$184*G184+$B$185*G185+$B$186*G186)</f>
        <v>0</v>
      </c>
      <c r="I187">
        <f>$A$176*H179*$D$178*($B$180*I180+$B$181*I181+$B$182*I182+$B$183*I183+$B$184*I184+$B$185*I185+$B$186*I186)</f>
        <v>0</v>
      </c>
      <c r="K187">
        <f>$A$176*J179*$D$178*($B$180*K180+$B$181*K181+$B$182*K182+$B$183*K183+$B$184*K184+$B$185*K185+$B$186*K186)</f>
        <v>0</v>
      </c>
      <c r="M187">
        <f>$A$176*L179*$D$178*($B$180*M180+$B$181*M181+$B$182*M182+$B$183*M183+$B$184*M184+$B$185*M185+$B$186*M186)</f>
        <v>0</v>
      </c>
      <c r="O187">
        <f>$A$176*N179*$D$178*($B$180*O180+$B$181*O181+$B$182*O182+$B$183*O183+$B$184*O184+$B$185*O185+$B$186*O186)</f>
        <v>0</v>
      </c>
      <c r="Q187">
        <f>$A$176*P178*($B$180*Q180+$B$181*Q181+$B$182*Q182+$B$183*Q183+$B$184*Q184+$B$185*Q185+$B$186*Q186)</f>
        <v>0</v>
      </c>
      <c r="R187">
        <f>E187+G187+I187+K187+M187+O187+Q187</f>
        <v>0</v>
      </c>
    </row>
    <row r="188" spans="1:18" ht="15.75" thickBot="1" x14ac:dyDescent="0.3"/>
    <row r="189" spans="1:18" x14ac:dyDescent="0.25">
      <c r="A189">
        <f>'Feuille Diags'!H20</f>
        <v>0</v>
      </c>
      <c r="B189" s="312" t="s">
        <v>182</v>
      </c>
      <c r="C189" s="313"/>
      <c r="D189" s="313"/>
      <c r="E189" s="313"/>
      <c r="F189" s="313"/>
      <c r="G189" s="313"/>
      <c r="H189" s="313"/>
      <c r="I189" s="313"/>
      <c r="J189" s="313"/>
      <c r="K189" s="313"/>
      <c r="L189" s="313"/>
      <c r="M189" s="313"/>
      <c r="N189" s="313"/>
      <c r="O189" s="313"/>
      <c r="P189" s="313"/>
      <c r="Q189" s="314"/>
      <c r="R189" s="55"/>
    </row>
    <row r="190" spans="1:18" x14ac:dyDescent="0.25">
      <c r="B190" s="19"/>
      <c r="C190" s="22"/>
      <c r="D190" s="22">
        <f>'Feuille Diags'!F9</f>
        <v>0</v>
      </c>
      <c r="E190" s="304" t="s">
        <v>189</v>
      </c>
      <c r="F190" s="304"/>
      <c r="G190" s="304"/>
      <c r="H190" s="304"/>
      <c r="I190" s="304"/>
      <c r="J190" s="304"/>
      <c r="K190" s="304"/>
      <c r="L190" s="304"/>
      <c r="M190" s="304"/>
      <c r="N190" s="304"/>
      <c r="O190" s="304"/>
      <c r="P190" s="304"/>
      <c r="Q190" s="311"/>
      <c r="R190" s="55"/>
    </row>
    <row r="191" spans="1:18" x14ac:dyDescent="0.25">
      <c r="B191" s="19"/>
      <c r="C191" s="22"/>
      <c r="D191" s="22">
        <f>'Feuille Diags'!$H$10</f>
        <v>0</v>
      </c>
      <c r="E191" s="304" t="s">
        <v>6</v>
      </c>
      <c r="F191" s="304"/>
      <c r="G191" s="304"/>
      <c r="H191" s="304"/>
      <c r="I191" s="304"/>
      <c r="J191" s="304"/>
      <c r="K191" s="304"/>
      <c r="L191" s="304"/>
      <c r="M191" s="304"/>
      <c r="N191" s="304"/>
      <c r="O191" s="304"/>
      <c r="P191" s="55">
        <f>'Feuille Diags'!$F$10</f>
        <v>0</v>
      </c>
      <c r="Q191" s="90" t="s">
        <v>5</v>
      </c>
      <c r="R191" s="74"/>
    </row>
    <row r="192" spans="1:18" x14ac:dyDescent="0.25">
      <c r="B192" s="19"/>
      <c r="C192" s="22"/>
      <c r="D192" s="22">
        <f>'Feuille Diags'!$E$13</f>
        <v>0</v>
      </c>
      <c r="E192" s="22" t="s">
        <v>128</v>
      </c>
      <c r="F192" s="22">
        <f>'Feuille Diags'!$F$13</f>
        <v>0</v>
      </c>
      <c r="G192" s="22" t="s">
        <v>35</v>
      </c>
      <c r="H192" s="22">
        <f>'Feuille Diags'!$G$13</f>
        <v>0</v>
      </c>
      <c r="I192" s="22" t="s">
        <v>36</v>
      </c>
      <c r="J192" s="22">
        <f>'Feuille Diags'!$H$13</f>
        <v>0</v>
      </c>
      <c r="K192" s="22" t="s">
        <v>37</v>
      </c>
      <c r="L192" s="22">
        <f>'Feuille Diags'!$I$13</f>
        <v>0</v>
      </c>
      <c r="M192" s="22" t="s">
        <v>38</v>
      </c>
      <c r="N192" s="22">
        <f>'Feuille Diags'!$J$13</f>
        <v>0</v>
      </c>
      <c r="O192" s="22" t="s">
        <v>129</v>
      </c>
      <c r="P192" s="22"/>
      <c r="Q192" s="81"/>
      <c r="R192" s="22"/>
    </row>
    <row r="193" spans="2:18" x14ac:dyDescent="0.25">
      <c r="B193" s="19">
        <f>E4</f>
        <v>0</v>
      </c>
      <c r="C193" s="99" t="s">
        <v>17</v>
      </c>
      <c r="D193" s="86"/>
      <c r="E193" s="22">
        <v>69</v>
      </c>
      <c r="F193" s="22"/>
      <c r="G193" s="22">
        <v>74</v>
      </c>
      <c r="H193" s="22"/>
      <c r="I193" s="22">
        <v>79</v>
      </c>
      <c r="J193" s="22"/>
      <c r="K193" s="92">
        <v>84</v>
      </c>
      <c r="L193" s="92"/>
      <c r="M193" s="92">
        <v>89</v>
      </c>
      <c r="N193" s="92"/>
      <c r="O193" s="92">
        <v>94</v>
      </c>
      <c r="P193" s="92"/>
      <c r="Q193" s="81">
        <v>119</v>
      </c>
      <c r="R193" s="22"/>
    </row>
    <row r="194" spans="2:18" x14ac:dyDescent="0.25">
      <c r="B194" s="19">
        <f>E3</f>
        <v>0</v>
      </c>
      <c r="C194" s="99" t="s">
        <v>21</v>
      </c>
      <c r="D194" s="86"/>
      <c r="E194" s="22">
        <v>55</v>
      </c>
      <c r="F194" s="22"/>
      <c r="G194" s="22">
        <v>60</v>
      </c>
      <c r="H194" s="22"/>
      <c r="I194" s="22">
        <v>65</v>
      </c>
      <c r="J194" s="22"/>
      <c r="K194" s="92">
        <v>70</v>
      </c>
      <c r="L194" s="92"/>
      <c r="M194" s="92">
        <v>75</v>
      </c>
      <c r="N194" s="92"/>
      <c r="O194" s="92">
        <v>80</v>
      </c>
      <c r="P194" s="92"/>
      <c r="Q194" s="81">
        <v>90</v>
      </c>
      <c r="R194" s="22"/>
    </row>
    <row r="195" spans="2:18" x14ac:dyDescent="0.25">
      <c r="B195" s="19">
        <f>E4*E3</f>
        <v>0</v>
      </c>
      <c r="C195" s="99" t="s">
        <v>130</v>
      </c>
      <c r="D195" s="86"/>
      <c r="E195" s="22">
        <v>105</v>
      </c>
      <c r="F195" s="22"/>
      <c r="G195" s="22">
        <v>115</v>
      </c>
      <c r="H195" s="22"/>
      <c r="I195" s="22">
        <v>125</v>
      </c>
      <c r="J195" s="22"/>
      <c r="K195" s="92">
        <v>135</v>
      </c>
      <c r="L195" s="92"/>
      <c r="M195" s="92">
        <v>145</v>
      </c>
      <c r="N195" s="92"/>
      <c r="O195" s="92">
        <v>155</v>
      </c>
      <c r="P195" s="92"/>
      <c r="Q195" s="81">
        <v>180</v>
      </c>
      <c r="R195" s="22"/>
    </row>
    <row r="196" spans="2:18" x14ac:dyDescent="0.25">
      <c r="B196" s="19">
        <f>E4*E3*E2</f>
        <v>0</v>
      </c>
      <c r="C196" s="99" t="s">
        <v>132</v>
      </c>
      <c r="D196" s="86"/>
      <c r="E196" s="92">
        <v>175</v>
      </c>
      <c r="F196" s="92"/>
      <c r="G196" s="92">
        <v>195</v>
      </c>
      <c r="H196" s="92"/>
      <c r="I196" s="92">
        <v>215</v>
      </c>
      <c r="J196" s="92"/>
      <c r="K196" s="92">
        <v>235</v>
      </c>
      <c r="L196" s="92"/>
      <c r="M196" s="92">
        <v>255</v>
      </c>
      <c r="N196" s="92"/>
      <c r="O196" s="92">
        <v>255</v>
      </c>
      <c r="P196" s="92"/>
      <c r="Q196" s="81">
        <v>275</v>
      </c>
      <c r="R196" s="22"/>
    </row>
    <row r="197" spans="2:18" x14ac:dyDescent="0.25">
      <c r="B197" s="19">
        <f>E4*E3*E6</f>
        <v>0</v>
      </c>
      <c r="C197" s="99" t="s">
        <v>183</v>
      </c>
      <c r="D197" s="86"/>
      <c r="E197" s="92">
        <v>175</v>
      </c>
      <c r="F197" s="92"/>
      <c r="G197" s="92">
        <v>195</v>
      </c>
      <c r="H197" s="92"/>
      <c r="I197" s="92">
        <v>215</v>
      </c>
      <c r="J197" s="92"/>
      <c r="K197" s="92">
        <v>235</v>
      </c>
      <c r="L197" s="92"/>
      <c r="M197" s="92">
        <v>255</v>
      </c>
      <c r="N197" s="92"/>
      <c r="O197" s="92">
        <v>255</v>
      </c>
      <c r="P197" s="92"/>
      <c r="Q197" s="81">
        <v>275</v>
      </c>
      <c r="R197" s="22"/>
    </row>
    <row r="198" spans="2:18" x14ac:dyDescent="0.25">
      <c r="B198" s="19">
        <f>E4*E3*E6*E7</f>
        <v>0</v>
      </c>
      <c r="C198" s="99" t="s">
        <v>184</v>
      </c>
      <c r="D198" s="86"/>
      <c r="E198" s="92">
        <v>250</v>
      </c>
      <c r="F198" s="92"/>
      <c r="G198" s="92">
        <v>270</v>
      </c>
      <c r="H198" s="92"/>
      <c r="I198" s="92">
        <v>290</v>
      </c>
      <c r="J198" s="92"/>
      <c r="K198" s="92">
        <v>310</v>
      </c>
      <c r="L198" s="92"/>
      <c r="M198" s="92">
        <v>330</v>
      </c>
      <c r="N198" s="92"/>
      <c r="O198" s="92">
        <v>350</v>
      </c>
      <c r="P198" s="92"/>
      <c r="Q198" s="81">
        <v>378</v>
      </c>
      <c r="R198" s="22"/>
    </row>
    <row r="199" spans="2:18" x14ac:dyDescent="0.25">
      <c r="B199" s="19">
        <f>E2*E7*E6*E3*E4</f>
        <v>0</v>
      </c>
      <c r="C199" s="99" t="s">
        <v>185</v>
      </c>
      <c r="D199" s="86"/>
      <c r="E199" s="92">
        <v>310</v>
      </c>
      <c r="F199" s="92"/>
      <c r="G199" s="92">
        <v>330</v>
      </c>
      <c r="H199" s="92"/>
      <c r="I199" s="92">
        <v>350</v>
      </c>
      <c r="J199" s="92"/>
      <c r="K199" s="92">
        <v>370</v>
      </c>
      <c r="L199" s="92"/>
      <c r="M199" s="92">
        <v>390</v>
      </c>
      <c r="N199" s="92"/>
      <c r="O199" s="92">
        <v>410</v>
      </c>
      <c r="P199" s="92"/>
      <c r="Q199" s="81">
        <v>430</v>
      </c>
      <c r="R199" s="22"/>
    </row>
    <row r="200" spans="2:18" x14ac:dyDescent="0.25">
      <c r="B200" s="19">
        <f>E4*E2</f>
        <v>0</v>
      </c>
      <c r="C200" s="99" t="s">
        <v>186</v>
      </c>
      <c r="D200" s="86"/>
      <c r="E200" s="22">
        <v>160</v>
      </c>
      <c r="F200" s="22"/>
      <c r="G200" s="22">
        <v>180</v>
      </c>
      <c r="H200" s="22"/>
      <c r="I200" s="22">
        <v>200</v>
      </c>
      <c r="J200" s="22"/>
      <c r="K200" s="22">
        <v>220</v>
      </c>
      <c r="L200" s="22"/>
      <c r="M200" s="22">
        <v>240</v>
      </c>
      <c r="N200" s="22"/>
      <c r="O200" s="22">
        <v>260</v>
      </c>
      <c r="P200" s="22"/>
      <c r="Q200" s="81">
        <v>280</v>
      </c>
      <c r="R200" s="22"/>
    </row>
    <row r="201" spans="2:18" x14ac:dyDescent="0.25">
      <c r="B201" s="19"/>
      <c r="C201" s="100" t="s">
        <v>187</v>
      </c>
      <c r="D201" s="89"/>
      <c r="E201" s="92">
        <v>50</v>
      </c>
      <c r="F201" s="92"/>
      <c r="G201" s="92">
        <v>50</v>
      </c>
      <c r="H201" s="92"/>
      <c r="I201" s="92">
        <v>50</v>
      </c>
      <c r="J201" s="92"/>
      <c r="K201" s="92">
        <v>50</v>
      </c>
      <c r="L201" s="92"/>
      <c r="M201" s="92">
        <v>50</v>
      </c>
      <c r="N201" s="92"/>
      <c r="O201" s="92">
        <v>50</v>
      </c>
      <c r="P201" s="92"/>
      <c r="Q201" s="94">
        <v>50</v>
      </c>
      <c r="R201" s="92"/>
    </row>
    <row r="202" spans="2:18" x14ac:dyDescent="0.25">
      <c r="B202" s="19"/>
      <c r="C202" s="100" t="s">
        <v>188</v>
      </c>
      <c r="D202" s="89"/>
      <c r="E202" s="92">
        <v>70</v>
      </c>
      <c r="F202" s="92"/>
      <c r="G202" s="92">
        <v>70</v>
      </c>
      <c r="H202" s="92"/>
      <c r="I202" s="92">
        <v>70</v>
      </c>
      <c r="J202" s="92"/>
      <c r="K202" s="92">
        <v>70</v>
      </c>
      <c r="L202" s="92"/>
      <c r="M202" s="92">
        <v>70</v>
      </c>
      <c r="N202" s="92"/>
      <c r="O202" s="92">
        <v>70</v>
      </c>
      <c r="P202" s="92"/>
      <c r="Q202" s="94">
        <v>70</v>
      </c>
      <c r="R202" s="92"/>
    </row>
    <row r="203" spans="2:18" x14ac:dyDescent="0.25">
      <c r="B203" s="19">
        <f>H2+H3</f>
        <v>0</v>
      </c>
      <c r="C203" s="99" t="s">
        <v>175</v>
      </c>
      <c r="D203" s="22"/>
      <c r="E203" s="92">
        <v>70</v>
      </c>
      <c r="F203" s="92"/>
      <c r="G203" s="92">
        <v>70</v>
      </c>
      <c r="H203" s="92"/>
      <c r="I203" s="92">
        <v>70</v>
      </c>
      <c r="J203" s="92"/>
      <c r="K203" s="92">
        <v>70</v>
      </c>
      <c r="L203" s="92"/>
      <c r="M203" s="92">
        <v>70</v>
      </c>
      <c r="N203" s="92"/>
      <c r="O203" s="92">
        <v>70</v>
      </c>
      <c r="P203" s="92"/>
      <c r="Q203" s="94">
        <v>70</v>
      </c>
      <c r="R203" s="22">
        <f>A189*D191*D190*(D192*B203*E203+F192*G203*B203+H192*B203*I203+J192*B203*K203+L192*B203*M203+N192*B203*O203)+A189*P191*B203*Q203</f>
        <v>0</v>
      </c>
    </row>
    <row r="204" spans="2:18" x14ac:dyDescent="0.25">
      <c r="B204" s="19"/>
      <c r="C204" s="99"/>
      <c r="D204" s="22"/>
      <c r="E204" s="92">
        <f>$A$189*$D$191*D192*($B$193*E193+$B$194*E194+$B$195*E195+$B$196*E196+$B$197*E197+$B$198*E198+$B$199*E199+$B$200*E200+$B$201*E201+$B$202*E202)</f>
        <v>0</v>
      </c>
      <c r="F204" s="92"/>
      <c r="G204" s="92">
        <f>$A$189*$D$191*F192*($B$193*G193+$B$194*G194+$B$195*G195+$B$196*G196+$B$197*G197+$B$198*G198+$B$199*G199+$B$200*G200+$B$201*G201+$B$202*G202)</f>
        <v>0</v>
      </c>
      <c r="H204" s="92"/>
      <c r="I204" s="92">
        <f>$A$189*$D$191*H192*($B$193*I193+$B$194*I194+$B$195*I195+$B$196*I196+$B$197*I197+$B$198*I198+$B$199*I199+$B$200*I200+$B$201*I201+$B$202*I202)</f>
        <v>0</v>
      </c>
      <c r="J204" s="92"/>
      <c r="K204" s="92">
        <f>$A$189*$D$191*J192*($B$193*K193+$B$194*K194+$B$195*K195+$B$196*K196+$B$197*K197+$B$198*K198+$B$199*K199+$B$200*K200+$B$201*K201+$B$202*K202)</f>
        <v>0</v>
      </c>
      <c r="L204" s="92"/>
      <c r="M204" s="92">
        <f>$A$189*$D$191*L192*($B$193*M193+$B$194*M194+$B$195*M195+$B$196*M196+$B$197*M197+$B$198*M198+$B$199*M199+$B$200*M200+$B$201*M201+$B$202*M202)</f>
        <v>0</v>
      </c>
      <c r="N204" s="92"/>
      <c r="O204" s="92">
        <f>$A$189*$D$191*N192*($B$193*O193+$B$194*O194+$B$195*O195+$B$196*O196+$B$197*O197+$B$198*O198+$B$199*O199+$B$200*O200+$B$201*O201+$B$202*O202)</f>
        <v>0</v>
      </c>
      <c r="P204" s="92"/>
      <c r="Q204" s="92">
        <f>$A$189*P191*($B$193*Q193+$B$194*Q194+$B$195*Q195+$B$196*Q196+$B$197*Q197+$B$198*Q198+$B$199*Q199+$B$200*Q200+$B$201*Q201+$B$202*Q202)</f>
        <v>0</v>
      </c>
      <c r="R204">
        <f>E204+G204+I204+K204+M204+O204+Q204</f>
        <v>0</v>
      </c>
    </row>
    <row r="205" spans="2:18" x14ac:dyDescent="0.25">
      <c r="B205" s="19"/>
      <c r="C205" s="99"/>
      <c r="D205" s="22">
        <f>'Feuille Diags'!H9</f>
        <v>0</v>
      </c>
      <c r="E205" s="304" t="s">
        <v>2</v>
      </c>
      <c r="F205" s="304"/>
      <c r="G205" s="304"/>
      <c r="H205" s="304"/>
      <c r="I205" s="304"/>
      <c r="J205" s="304"/>
      <c r="K205" s="304"/>
      <c r="L205" s="304"/>
      <c r="M205" s="304"/>
      <c r="N205" s="304"/>
      <c r="O205" s="304"/>
      <c r="P205" s="304"/>
      <c r="Q205" s="311"/>
      <c r="R205" s="55"/>
    </row>
    <row r="206" spans="2:18" x14ac:dyDescent="0.25">
      <c r="B206" s="19"/>
      <c r="C206" s="99"/>
      <c r="D206" s="22">
        <f>'Feuille Diags'!$H$10</f>
        <v>0</v>
      </c>
      <c r="E206" s="304" t="s">
        <v>6</v>
      </c>
      <c r="F206" s="304"/>
      <c r="G206" s="304"/>
      <c r="H206" s="304"/>
      <c r="I206" s="304"/>
      <c r="J206" s="304"/>
      <c r="K206" s="304"/>
      <c r="L206" s="304"/>
      <c r="M206" s="304"/>
      <c r="N206" s="304"/>
      <c r="O206" s="304"/>
      <c r="P206" s="55">
        <f>'Feuille Diags'!$F$10</f>
        <v>0</v>
      </c>
      <c r="Q206" s="90" t="s">
        <v>5</v>
      </c>
      <c r="R206" s="74"/>
    </row>
    <row r="207" spans="2:18" x14ac:dyDescent="0.25">
      <c r="B207" s="19"/>
      <c r="C207" s="99"/>
      <c r="D207" s="22">
        <f>'Feuille Diags'!$E$13</f>
        <v>0</v>
      </c>
      <c r="E207" s="22" t="s">
        <v>128</v>
      </c>
      <c r="F207" s="22">
        <f>'Feuille Diags'!$F$13</f>
        <v>0</v>
      </c>
      <c r="G207" s="22" t="s">
        <v>35</v>
      </c>
      <c r="H207" s="22">
        <f>'Feuille Diags'!$G$13</f>
        <v>0</v>
      </c>
      <c r="I207" s="22" t="s">
        <v>36</v>
      </c>
      <c r="J207" s="22">
        <f>'Feuille Diags'!$H$13</f>
        <v>0</v>
      </c>
      <c r="K207" s="22" t="s">
        <v>37</v>
      </c>
      <c r="L207" s="22">
        <f>'Feuille Diags'!$I$13</f>
        <v>0</v>
      </c>
      <c r="M207" s="22" t="s">
        <v>38</v>
      </c>
      <c r="N207" s="22">
        <f>'Feuille Diags'!$J$13</f>
        <v>0</v>
      </c>
      <c r="O207" s="22" t="s">
        <v>129</v>
      </c>
      <c r="P207" s="22"/>
      <c r="Q207" s="81"/>
      <c r="R207" s="22"/>
    </row>
    <row r="208" spans="2:18" x14ac:dyDescent="0.25">
      <c r="B208" s="19">
        <f>E4</f>
        <v>0</v>
      </c>
      <c r="C208" s="99" t="s">
        <v>17</v>
      </c>
      <c r="D208" s="22"/>
      <c r="E208" s="22">
        <v>75</v>
      </c>
      <c r="F208" s="22"/>
      <c r="G208" s="22">
        <v>75</v>
      </c>
      <c r="H208" s="22"/>
      <c r="I208" s="22">
        <v>75</v>
      </c>
      <c r="J208" s="22"/>
      <c r="K208" s="22">
        <v>75</v>
      </c>
      <c r="L208" s="22"/>
      <c r="M208" s="22">
        <v>75</v>
      </c>
      <c r="N208" s="22"/>
      <c r="O208" s="22">
        <v>75</v>
      </c>
      <c r="P208" s="22"/>
      <c r="Q208" s="81">
        <v>75</v>
      </c>
      <c r="R208" s="22"/>
    </row>
    <row r="209" spans="1:18" x14ac:dyDescent="0.25">
      <c r="B209" s="19">
        <f>E4*E3</f>
        <v>0</v>
      </c>
      <c r="C209" s="99" t="s">
        <v>130</v>
      </c>
      <c r="D209" s="22"/>
      <c r="E209" s="22">
        <v>110</v>
      </c>
      <c r="F209" s="22"/>
      <c r="G209" s="22">
        <v>110</v>
      </c>
      <c r="H209" s="22"/>
      <c r="I209" s="22">
        <v>110</v>
      </c>
      <c r="J209" s="22"/>
      <c r="K209" s="22">
        <v>110</v>
      </c>
      <c r="L209" s="22"/>
      <c r="M209" s="22">
        <v>110</v>
      </c>
      <c r="N209" s="22"/>
      <c r="O209" s="22">
        <v>110</v>
      </c>
      <c r="P209" s="22"/>
      <c r="Q209" s="81">
        <v>110</v>
      </c>
      <c r="R209" s="22"/>
    </row>
    <row r="210" spans="1:18" x14ac:dyDescent="0.25">
      <c r="B210" s="19">
        <f>E4*E2</f>
        <v>0</v>
      </c>
      <c r="C210" s="99" t="s">
        <v>131</v>
      </c>
      <c r="D210" s="22"/>
      <c r="E210" s="22">
        <v>130</v>
      </c>
      <c r="F210" s="22"/>
      <c r="G210" s="22">
        <v>130</v>
      </c>
      <c r="H210" s="22"/>
      <c r="I210" s="22">
        <v>130</v>
      </c>
      <c r="J210" s="22"/>
      <c r="K210" s="22">
        <v>130</v>
      </c>
      <c r="L210" s="22"/>
      <c r="M210" s="22">
        <v>130</v>
      </c>
      <c r="N210" s="22"/>
      <c r="O210" s="22">
        <v>130</v>
      </c>
      <c r="P210" s="22"/>
      <c r="Q210" s="81">
        <v>130</v>
      </c>
      <c r="R210" s="22"/>
    </row>
    <row r="211" spans="1:18" x14ac:dyDescent="0.25">
      <c r="B211" s="19">
        <f>E2*E3*E4</f>
        <v>0</v>
      </c>
      <c r="C211" s="99" t="s">
        <v>190</v>
      </c>
      <c r="D211" s="22"/>
      <c r="E211" s="22">
        <v>160</v>
      </c>
      <c r="F211" s="22"/>
      <c r="G211" s="22">
        <v>160</v>
      </c>
      <c r="H211" s="22"/>
      <c r="I211" s="22">
        <v>160</v>
      </c>
      <c r="J211" s="22"/>
      <c r="K211" s="22">
        <v>160</v>
      </c>
      <c r="L211" s="22"/>
      <c r="M211" s="22">
        <v>160</v>
      </c>
      <c r="N211" s="22"/>
      <c r="O211" s="22">
        <v>160</v>
      </c>
      <c r="P211" s="22"/>
      <c r="Q211" s="81">
        <v>160</v>
      </c>
      <c r="R211" s="22"/>
    </row>
    <row r="212" spans="1:18" x14ac:dyDescent="0.25">
      <c r="B212" s="19"/>
      <c r="C212" s="99" t="s">
        <v>187</v>
      </c>
      <c r="D212" s="22"/>
      <c r="E212" s="22">
        <v>35</v>
      </c>
      <c r="F212" s="22"/>
      <c r="G212" s="22">
        <v>35</v>
      </c>
      <c r="H212" s="22"/>
      <c r="I212" s="22">
        <v>35</v>
      </c>
      <c r="J212" s="22"/>
      <c r="K212" s="22">
        <v>35</v>
      </c>
      <c r="L212" s="22"/>
      <c r="M212" s="22">
        <v>35</v>
      </c>
      <c r="N212" s="22"/>
      <c r="O212" s="22">
        <v>35</v>
      </c>
      <c r="P212" s="22"/>
      <c r="Q212" s="81">
        <v>35</v>
      </c>
      <c r="R212" s="22"/>
    </row>
    <row r="213" spans="1:18" ht="15.75" thickBot="1" x14ac:dyDescent="0.3">
      <c r="B213" s="23"/>
      <c r="C213" s="102" t="s">
        <v>188</v>
      </c>
      <c r="D213" s="26"/>
      <c r="E213" s="26">
        <v>70</v>
      </c>
      <c r="F213" s="26"/>
      <c r="G213" s="26">
        <v>70</v>
      </c>
      <c r="H213" s="26"/>
      <c r="I213" s="26">
        <v>70</v>
      </c>
      <c r="J213" s="26"/>
      <c r="K213" s="26">
        <v>70</v>
      </c>
      <c r="L213" s="26"/>
      <c r="M213" s="26">
        <v>70</v>
      </c>
      <c r="N213" s="26"/>
      <c r="O213" s="26">
        <v>70</v>
      </c>
      <c r="P213" s="26"/>
      <c r="Q213" s="88">
        <v>70</v>
      </c>
      <c r="R213" s="22">
        <f>A189*$B$30*$E$30*D205</f>
        <v>0</v>
      </c>
    </row>
    <row r="214" spans="1:18" x14ac:dyDescent="0.25">
      <c r="E214">
        <f>$A$189*$D$206*D207*($B$208*E208+$B$209*E209+$B$210*E210+$B$211*E211+$B$212*E212+$B$213*E213)</f>
        <v>0</v>
      </c>
      <c r="G214">
        <f>$A$189*$D$206*F207*($B$208*G208+$B$209*G209+$B$210*G210+$B$211*G211+$B$212*G212+$B$213*G213)</f>
        <v>0</v>
      </c>
      <c r="I214">
        <f>$A$189*$D$206*H207*($B$208*I208+$B$209*I209+$B$210*I210+$B$211*I211+$B$212*I212+$B$213*I213)</f>
        <v>0</v>
      </c>
      <c r="K214">
        <f>$A$189*$D$206*J207*($B$208*K208+$B$209*K209+$B$210*K210+$B$211*K211+$B$212*K212+$B$213*K213)</f>
        <v>0</v>
      </c>
      <c r="M214">
        <f>$A$189*$D$206*L207*($B$208*M208+$B$209*M209+$B$210*M210+$B$211*M211+$B$212*M212+$B$213*M213)</f>
        <v>0</v>
      </c>
      <c r="O214">
        <f>$A$189*$D$206*N207*($B$208*O208+$B$209*O209+$B$210*O210+$B$211*O211+$B$212*O212+$B$213*O213)</f>
        <v>0</v>
      </c>
      <c r="Q214">
        <f>$A$189*P206*($B$208*Q208+$B$209*Q209+$B$210*Q210+$B$211*Q211+$B$212*Q212+$B$213*Q213)</f>
        <v>0</v>
      </c>
      <c r="R214">
        <f>E214+G214+I214+K214+M214+O214+Q214</f>
        <v>0</v>
      </c>
    </row>
    <row r="215" spans="1:18" ht="15.75" thickBot="1" x14ac:dyDescent="0.3"/>
    <row r="216" spans="1:18" x14ac:dyDescent="0.25">
      <c r="A216">
        <f>'Feuille Diags'!I20</f>
        <v>0</v>
      </c>
      <c r="B216" s="312" t="s">
        <v>191</v>
      </c>
      <c r="C216" s="313"/>
      <c r="D216" s="313"/>
      <c r="E216" s="313"/>
      <c r="F216" s="313"/>
      <c r="G216" s="313"/>
      <c r="H216" s="313"/>
      <c r="I216" s="313"/>
      <c r="J216" s="313"/>
      <c r="K216" s="313"/>
      <c r="L216" s="313"/>
      <c r="M216" s="313"/>
      <c r="N216" s="313"/>
      <c r="O216" s="313"/>
      <c r="P216" s="313"/>
      <c r="Q216" s="314"/>
      <c r="R216" s="55"/>
    </row>
    <row r="217" spans="1:18" x14ac:dyDescent="0.25">
      <c r="B217" s="19"/>
      <c r="C217" s="22"/>
      <c r="D217" s="22"/>
      <c r="E217" s="304"/>
      <c r="F217" s="304"/>
      <c r="G217" s="304"/>
      <c r="H217" s="304"/>
      <c r="I217" s="304"/>
      <c r="J217" s="304"/>
      <c r="K217" s="304"/>
      <c r="L217" s="304"/>
      <c r="M217" s="304"/>
      <c r="N217" s="304"/>
      <c r="O217" s="304"/>
      <c r="P217" s="304"/>
      <c r="Q217" s="311"/>
      <c r="R217" s="55"/>
    </row>
    <row r="218" spans="1:18" x14ac:dyDescent="0.25">
      <c r="B218" s="19"/>
      <c r="C218" s="22"/>
      <c r="D218" s="22">
        <f>'Feuille Diags'!$H$10</f>
        <v>0</v>
      </c>
      <c r="E218" s="304" t="s">
        <v>6</v>
      </c>
      <c r="F218" s="304"/>
      <c r="G218" s="304"/>
      <c r="H218" s="304"/>
      <c r="I218" s="304"/>
      <c r="J218" s="304"/>
      <c r="K218" s="304"/>
      <c r="L218" s="304"/>
      <c r="M218" s="304"/>
      <c r="N218" s="304"/>
      <c r="O218" s="304"/>
      <c r="P218" s="55">
        <f>'Feuille Diags'!$F$10</f>
        <v>0</v>
      </c>
      <c r="Q218" s="90" t="s">
        <v>5</v>
      </c>
      <c r="R218" s="74"/>
    </row>
    <row r="219" spans="1:18" x14ac:dyDescent="0.25">
      <c r="B219" s="19"/>
      <c r="C219" s="22"/>
      <c r="D219" s="22">
        <f>'Feuille Diags'!$E$13</f>
        <v>0</v>
      </c>
      <c r="E219" s="22" t="s">
        <v>128</v>
      </c>
      <c r="F219" s="22">
        <f>'Feuille Diags'!$F$13</f>
        <v>0</v>
      </c>
      <c r="G219" s="22" t="s">
        <v>35</v>
      </c>
      <c r="H219" s="22">
        <f>'Feuille Diags'!$G$13</f>
        <v>0</v>
      </c>
      <c r="I219" s="22" t="s">
        <v>36</v>
      </c>
      <c r="J219" s="22">
        <f>'Feuille Diags'!$H$13</f>
        <v>0</v>
      </c>
      <c r="K219" s="22" t="s">
        <v>37</v>
      </c>
      <c r="L219" s="22">
        <f>'Feuille Diags'!$I$13</f>
        <v>0</v>
      </c>
      <c r="M219" s="22" t="s">
        <v>38</v>
      </c>
      <c r="N219" s="22">
        <f>'Feuille Diags'!$J$13</f>
        <v>0</v>
      </c>
      <c r="O219" s="22" t="s">
        <v>129</v>
      </c>
      <c r="P219" s="22"/>
      <c r="Q219" s="81"/>
      <c r="R219" s="22"/>
    </row>
    <row r="220" spans="1:18" x14ac:dyDescent="0.25">
      <c r="B220" s="19">
        <f>E4</f>
        <v>0</v>
      </c>
      <c r="C220" s="99" t="s">
        <v>17</v>
      </c>
      <c r="D220" s="86"/>
      <c r="E220" s="22">
        <v>60</v>
      </c>
      <c r="F220" s="22"/>
      <c r="G220" s="22">
        <v>70</v>
      </c>
      <c r="H220" s="22"/>
      <c r="I220" s="22">
        <v>81</v>
      </c>
      <c r="J220" s="22"/>
      <c r="K220" s="92">
        <v>92</v>
      </c>
      <c r="L220" s="92"/>
      <c r="M220" s="92">
        <v>103</v>
      </c>
      <c r="N220" s="92"/>
      <c r="O220" s="92">
        <v>114</v>
      </c>
      <c r="P220" s="92"/>
      <c r="Q220" s="81">
        <v>130</v>
      </c>
      <c r="R220" s="22"/>
    </row>
    <row r="221" spans="1:18" x14ac:dyDescent="0.25">
      <c r="B221" s="19">
        <f>E4*E8</f>
        <v>0</v>
      </c>
      <c r="C221" s="99" t="s">
        <v>164</v>
      </c>
      <c r="D221" s="86"/>
      <c r="E221" s="22">
        <v>103</v>
      </c>
      <c r="F221" s="22"/>
      <c r="G221" s="22">
        <v>119</v>
      </c>
      <c r="H221" s="22"/>
      <c r="I221" s="22">
        <v>130</v>
      </c>
      <c r="J221" s="22"/>
      <c r="K221" s="92">
        <v>140</v>
      </c>
      <c r="L221" s="92"/>
      <c r="M221" s="92">
        <v>157</v>
      </c>
      <c r="N221" s="92"/>
      <c r="O221" s="92">
        <v>168</v>
      </c>
      <c r="P221" s="92"/>
      <c r="Q221" s="81">
        <v>211</v>
      </c>
      <c r="R221" s="22"/>
    </row>
    <row r="222" spans="1:18" x14ac:dyDescent="0.25">
      <c r="B222" s="19">
        <f>E4*E3</f>
        <v>0</v>
      </c>
      <c r="C222" s="99" t="s">
        <v>130</v>
      </c>
      <c r="D222" s="86"/>
      <c r="E222" s="22">
        <v>103</v>
      </c>
      <c r="F222" s="22"/>
      <c r="G222" s="22">
        <v>119</v>
      </c>
      <c r="H222" s="22"/>
      <c r="I222" s="22">
        <v>130</v>
      </c>
      <c r="J222" s="22"/>
      <c r="K222" s="92">
        <v>140</v>
      </c>
      <c r="L222" s="92"/>
      <c r="M222" s="92">
        <v>157</v>
      </c>
      <c r="N222" s="92"/>
      <c r="O222" s="92">
        <v>168</v>
      </c>
      <c r="P222" s="92"/>
      <c r="Q222" s="81">
        <v>211</v>
      </c>
      <c r="R222" s="22"/>
    </row>
    <row r="223" spans="1:18" x14ac:dyDescent="0.25">
      <c r="B223" s="19">
        <f>E4*E2</f>
        <v>0</v>
      </c>
      <c r="C223" s="99" t="s">
        <v>131</v>
      </c>
      <c r="D223" s="86"/>
      <c r="E223" s="92">
        <v>168</v>
      </c>
      <c r="F223" s="92"/>
      <c r="G223" s="92">
        <v>184</v>
      </c>
      <c r="H223" s="92"/>
      <c r="I223" s="92">
        <v>216</v>
      </c>
      <c r="J223" s="92"/>
      <c r="K223" s="92">
        <v>249</v>
      </c>
      <c r="L223" s="92"/>
      <c r="M223" s="92">
        <v>292</v>
      </c>
      <c r="N223" s="92"/>
      <c r="O223" s="92">
        <v>324</v>
      </c>
      <c r="P223" s="92"/>
      <c r="Q223" s="81">
        <v>357</v>
      </c>
      <c r="R223" s="22"/>
    </row>
    <row r="224" spans="1:18" x14ac:dyDescent="0.25">
      <c r="B224" s="19">
        <f>E4*E3*E2</f>
        <v>0</v>
      </c>
      <c r="C224" s="99" t="s">
        <v>190</v>
      </c>
      <c r="D224" s="86"/>
      <c r="E224" s="92">
        <v>205</v>
      </c>
      <c r="F224" s="92"/>
      <c r="G224" s="92">
        <v>227</v>
      </c>
      <c r="H224" s="92"/>
      <c r="I224" s="92">
        <v>260</v>
      </c>
      <c r="J224" s="92"/>
      <c r="K224" s="92">
        <v>292</v>
      </c>
      <c r="L224" s="92"/>
      <c r="M224" s="92">
        <v>346</v>
      </c>
      <c r="N224" s="92"/>
      <c r="O224" s="92">
        <v>367</v>
      </c>
      <c r="P224" s="92"/>
      <c r="Q224" s="81">
        <v>389</v>
      </c>
      <c r="R224" s="22"/>
    </row>
    <row r="225" spans="1:28" x14ac:dyDescent="0.25">
      <c r="B225" s="19">
        <f>E4*E3*E8</f>
        <v>0</v>
      </c>
      <c r="C225" s="99" t="s">
        <v>192</v>
      </c>
      <c r="D225" s="86"/>
      <c r="E225" s="92">
        <v>152</v>
      </c>
      <c r="F225" s="92"/>
      <c r="G225" s="92">
        <v>162</v>
      </c>
      <c r="H225" s="92"/>
      <c r="I225" s="92">
        <v>173</v>
      </c>
      <c r="J225" s="92"/>
      <c r="K225" s="92">
        <v>184</v>
      </c>
      <c r="L225" s="92"/>
      <c r="M225" s="92">
        <v>216</v>
      </c>
      <c r="N225" s="92"/>
      <c r="O225" s="92">
        <v>238</v>
      </c>
      <c r="P225" s="92"/>
      <c r="Q225" s="81">
        <v>281</v>
      </c>
      <c r="R225" s="22"/>
    </row>
    <row r="226" spans="1:28" x14ac:dyDescent="0.25">
      <c r="B226" s="19">
        <f>E4*E2*E8</f>
        <v>0</v>
      </c>
      <c r="C226" s="99" t="s">
        <v>193</v>
      </c>
      <c r="D226" s="86"/>
      <c r="E226" s="92">
        <v>205</v>
      </c>
      <c r="F226" s="92"/>
      <c r="G226" s="92">
        <v>227</v>
      </c>
      <c r="H226" s="92"/>
      <c r="I226" s="92">
        <v>259</v>
      </c>
      <c r="J226" s="92"/>
      <c r="K226" s="92">
        <v>292</v>
      </c>
      <c r="L226" s="92"/>
      <c r="M226" s="92">
        <v>334</v>
      </c>
      <c r="N226" s="92"/>
      <c r="O226" s="92">
        <v>360</v>
      </c>
      <c r="P226" s="92"/>
      <c r="Q226" s="81">
        <v>410</v>
      </c>
      <c r="R226" s="22"/>
    </row>
    <row r="227" spans="1:28" x14ac:dyDescent="0.25">
      <c r="B227" s="19">
        <f>E4*E3*E2*E8</f>
        <v>0</v>
      </c>
      <c r="C227" s="99" t="s">
        <v>194</v>
      </c>
      <c r="D227" s="86"/>
      <c r="E227" s="92">
        <v>238</v>
      </c>
      <c r="F227" s="92"/>
      <c r="G227" s="92">
        <v>270</v>
      </c>
      <c r="H227" s="92"/>
      <c r="I227" s="92">
        <v>303</v>
      </c>
      <c r="J227" s="92"/>
      <c r="K227" s="92">
        <v>324</v>
      </c>
      <c r="L227" s="92"/>
      <c r="M227" s="92">
        <v>389</v>
      </c>
      <c r="N227" s="92"/>
      <c r="O227" s="92">
        <v>422</v>
      </c>
      <c r="P227" s="92"/>
      <c r="Q227" s="81">
        <v>454</v>
      </c>
      <c r="R227" s="22"/>
    </row>
    <row r="228" spans="1:28" x14ac:dyDescent="0.25">
      <c r="B228" s="19">
        <f>E7</f>
        <v>0</v>
      </c>
      <c r="C228" s="100" t="s">
        <v>24</v>
      </c>
      <c r="D228" s="89"/>
      <c r="E228" s="92">
        <v>90</v>
      </c>
      <c r="F228" s="92"/>
      <c r="G228" s="92">
        <v>90</v>
      </c>
      <c r="H228" s="92"/>
      <c r="I228" s="92">
        <v>90</v>
      </c>
      <c r="J228" s="92"/>
      <c r="K228" s="92">
        <v>90</v>
      </c>
      <c r="L228" s="92"/>
      <c r="M228" s="92">
        <v>90</v>
      </c>
      <c r="N228" s="92"/>
      <c r="O228" s="92">
        <v>90</v>
      </c>
      <c r="P228" s="92"/>
      <c r="Q228" s="94">
        <v>90</v>
      </c>
      <c r="R228" s="92"/>
    </row>
    <row r="229" spans="1:28" x14ac:dyDescent="0.25">
      <c r="B229" s="19">
        <f>E8</f>
        <v>0</v>
      </c>
      <c r="C229" s="100" t="s">
        <v>195</v>
      </c>
      <c r="D229" s="89"/>
      <c r="E229" s="92">
        <v>68</v>
      </c>
      <c r="F229" s="92"/>
      <c r="G229" s="92">
        <v>79</v>
      </c>
      <c r="H229" s="92"/>
      <c r="I229" s="92">
        <v>86</v>
      </c>
      <c r="J229" s="92"/>
      <c r="K229" s="92">
        <v>93</v>
      </c>
      <c r="L229" s="92"/>
      <c r="M229" s="92">
        <v>104</v>
      </c>
      <c r="N229" s="92"/>
      <c r="O229" s="92">
        <v>112</v>
      </c>
      <c r="P229" s="92"/>
      <c r="Q229" s="94">
        <v>140</v>
      </c>
      <c r="R229" s="92"/>
    </row>
    <row r="230" spans="1:28" x14ac:dyDescent="0.25">
      <c r="B230" s="19">
        <f>E6</f>
        <v>0</v>
      </c>
      <c r="C230" s="99" t="s">
        <v>23</v>
      </c>
      <c r="D230" s="22"/>
      <c r="E230" s="92">
        <v>90</v>
      </c>
      <c r="F230" s="92"/>
      <c r="G230" s="92">
        <v>100</v>
      </c>
      <c r="H230" s="92"/>
      <c r="I230" s="92">
        <v>110</v>
      </c>
      <c r="J230" s="92"/>
      <c r="K230" s="92">
        <v>120</v>
      </c>
      <c r="L230" s="92"/>
      <c r="M230" s="92">
        <v>130</v>
      </c>
      <c r="N230" s="92"/>
      <c r="O230" s="92">
        <v>130</v>
      </c>
      <c r="P230" s="92"/>
      <c r="Q230" s="94">
        <v>140</v>
      </c>
      <c r="R230" s="92"/>
    </row>
    <row r="231" spans="1:28" x14ac:dyDescent="0.25">
      <c r="B231" s="19">
        <f>E11</f>
        <v>0</v>
      </c>
      <c r="C231" s="100" t="s">
        <v>28</v>
      </c>
      <c r="D231" s="89"/>
      <c r="E231" s="92">
        <v>150</v>
      </c>
      <c r="F231" s="92"/>
      <c r="G231" s="92">
        <v>150</v>
      </c>
      <c r="H231" s="92"/>
      <c r="I231" s="92">
        <v>150</v>
      </c>
      <c r="J231" s="92"/>
      <c r="K231" s="92">
        <v>150</v>
      </c>
      <c r="L231" s="92"/>
      <c r="M231" s="92">
        <v>150</v>
      </c>
      <c r="N231" s="92"/>
      <c r="O231" s="92">
        <v>150</v>
      </c>
      <c r="P231" s="92"/>
      <c r="Q231" s="94">
        <v>150</v>
      </c>
      <c r="R231" s="92"/>
    </row>
    <row r="232" spans="1:28" ht="15.75" thickBot="1" x14ac:dyDescent="0.3">
      <c r="B232" s="23">
        <f>E3</f>
        <v>0</v>
      </c>
      <c r="C232" s="101" t="s">
        <v>21</v>
      </c>
      <c r="D232" s="91"/>
      <c r="E232" s="93">
        <v>55</v>
      </c>
      <c r="F232" s="93"/>
      <c r="G232" s="26">
        <v>60</v>
      </c>
      <c r="H232" s="26"/>
      <c r="I232" s="26">
        <v>65</v>
      </c>
      <c r="J232" s="26"/>
      <c r="K232" s="26">
        <v>70</v>
      </c>
      <c r="L232" s="26"/>
      <c r="M232" s="26">
        <v>75</v>
      </c>
      <c r="N232" s="26"/>
      <c r="O232" s="26">
        <v>80</v>
      </c>
      <c r="P232" s="26"/>
      <c r="Q232" s="88">
        <v>100</v>
      </c>
      <c r="R232" s="22">
        <f>A216*$B$30*$E$30</f>
        <v>0</v>
      </c>
    </row>
    <row r="233" spans="1:28" x14ac:dyDescent="0.25">
      <c r="E233" s="92">
        <f>$A$216*$D$218*D219*($B$220*E220+$B$221*E221+$B$222*E222+$B$223*E223+$B$224*E224+$B$225*E225+$B$226*E226+$B$227*E227+$B$228*E228+$B$229*E229+$B$230*E230+$B$231*E231+$B$232*E232)</f>
        <v>0</v>
      </c>
      <c r="G233" s="92">
        <f>$A$216*$D$218*F219*($B$220*G220+$B$221*G221+$B$222*G222+$B$223*G223+$B$224*G224+$B$225*G225+$B$226*G226+$B$227*G227+$B$228*G228+$B$229*G229+$B$230*G230+$B$231*G231+$B$232*G232)</f>
        <v>0</v>
      </c>
      <c r="I233" s="92">
        <f>$A$216*$D$218*H219*($B$220*I220+$B$221*I221+$B$222*I222+$B$223*I223+$B$224*I224+$B$225*I225+$B$226*I226+$B$227*I227+$B$228*I228+$B$229*I229+$B$230*I230+$B$231*I231+$B$232*I232)</f>
        <v>0</v>
      </c>
      <c r="K233" s="92">
        <f>$A$216*$D$218*J219*($B$220*K220+$B$221*K221+$B$222*K222+$B$223*K223+$B$224*K224+$B$225*K225+$B$226*K226+$B$227*K227+$B$228*K228+$B$229*K229+$B$230*K230+$B$231*K231+$B$232*K232)</f>
        <v>0</v>
      </c>
      <c r="M233" s="92">
        <f>$A$216*$D$218*L219*($B$220*M220+$B$221*M221+$B$222*M222+$B$223*M223+$B$224*M224+$B$225*M225+$B$226*M226+$B$227*M227+$B$228*M228+$B$229*M229+$B$230*M230+$B$231*M231+$B$232*M232)</f>
        <v>0</v>
      </c>
      <c r="O233" s="92">
        <f>$A$216*$D$218*N219*($B$220*O220+$B$221*O221+$B$222*O222+$B$223*O223+$B$224*O224+$B$225*O225+$B$226*O226+$B$227*O227+$B$228*O228+$B$229*O229+$B$230*O230+$B$231*O231+$B$232*O232)</f>
        <v>0</v>
      </c>
      <c r="Q233" s="92">
        <f>$A$216*P218*($B$220*Q220+$B$221*Q221+$B$222*Q222+$B$223*Q223+$B$224*Q224+$B$225*Q225+$B$226*Q226+$B$227*Q227+$B$228*Q228+$B$229*Q229+$B$230*Q230+$B$231*Q231+$B$232*Q232)</f>
        <v>0</v>
      </c>
      <c r="R233">
        <f>E233+G233+I233+K233+M233+O233+Q233</f>
        <v>0</v>
      </c>
    </row>
    <row r="234" spans="1:28" ht="15.75" thickBot="1" x14ac:dyDescent="0.3"/>
    <row r="235" spans="1:28" x14ac:dyDescent="0.25">
      <c r="A235">
        <f>'Feuille Diags'!J20</f>
        <v>0</v>
      </c>
      <c r="B235" s="312" t="s">
        <v>123</v>
      </c>
      <c r="C235" s="313"/>
      <c r="D235" s="313"/>
      <c r="E235" s="313"/>
      <c r="F235" s="313"/>
      <c r="G235" s="313"/>
      <c r="H235" s="313"/>
      <c r="I235" s="313"/>
      <c r="J235" s="313"/>
      <c r="K235" s="313"/>
      <c r="L235" s="313"/>
      <c r="M235" s="313"/>
      <c r="N235" s="313"/>
      <c r="O235" s="313"/>
      <c r="P235" s="313"/>
      <c r="Q235" s="313"/>
      <c r="R235" s="313"/>
      <c r="S235" s="313"/>
      <c r="T235" s="313"/>
      <c r="U235" s="313"/>
      <c r="V235" s="313"/>
      <c r="W235" s="313"/>
      <c r="X235" s="313"/>
      <c r="Y235" s="313"/>
      <c r="Z235" s="313"/>
      <c r="AA235" s="314"/>
    </row>
    <row r="236" spans="1:28" x14ac:dyDescent="0.25">
      <c r="B236" s="19"/>
      <c r="C236" s="22"/>
      <c r="D236" s="22"/>
      <c r="E236" s="304"/>
      <c r="F236" s="304"/>
      <c r="G236" s="304"/>
      <c r="H236" s="304"/>
      <c r="I236" s="304"/>
      <c r="J236" s="304"/>
      <c r="K236" s="304"/>
      <c r="L236" s="304"/>
      <c r="M236" s="304"/>
      <c r="N236" s="304"/>
      <c r="O236" s="304"/>
      <c r="P236" s="304"/>
      <c r="Q236" s="304"/>
      <c r="R236" s="55"/>
      <c r="S236" s="22"/>
      <c r="T236" s="22"/>
      <c r="U236" s="22"/>
      <c r="V236" s="22"/>
      <c r="W236" s="22"/>
      <c r="X236" s="22"/>
      <c r="Y236" s="22"/>
      <c r="Z236" s="22"/>
      <c r="AA236" s="81"/>
    </row>
    <row r="237" spans="1:28" x14ac:dyDescent="0.25">
      <c r="B237" s="19"/>
      <c r="C237" s="22"/>
      <c r="D237" s="22">
        <f>'Feuille Diags'!$H$10</f>
        <v>0</v>
      </c>
      <c r="E237" s="304" t="s">
        <v>6</v>
      </c>
      <c r="F237" s="304"/>
      <c r="G237" s="304"/>
      <c r="H237" s="304"/>
      <c r="I237" s="304"/>
      <c r="J237" s="304"/>
      <c r="K237" s="304"/>
      <c r="L237" s="304"/>
      <c r="M237" s="304"/>
      <c r="N237" s="304"/>
      <c r="O237" s="304"/>
      <c r="P237" s="55">
        <f>'Feuille Diags'!F10</f>
        <v>0</v>
      </c>
      <c r="Q237" s="304" t="s">
        <v>5</v>
      </c>
      <c r="R237" s="304"/>
      <c r="S237" s="304"/>
      <c r="T237" s="304"/>
      <c r="U237" s="304"/>
      <c r="V237" s="304"/>
      <c r="W237" s="304"/>
      <c r="X237" s="304"/>
      <c r="Y237" s="304"/>
      <c r="Z237" s="304"/>
      <c r="AA237" s="311"/>
    </row>
    <row r="238" spans="1:28" x14ac:dyDescent="0.25">
      <c r="B238" s="19"/>
      <c r="C238" s="22"/>
      <c r="D238" s="22">
        <f>'Feuille Diags'!$E$13</f>
        <v>0</v>
      </c>
      <c r="E238" s="22" t="s">
        <v>128</v>
      </c>
      <c r="F238" s="22">
        <f>'Feuille Diags'!$F$13</f>
        <v>0</v>
      </c>
      <c r="G238" s="22" t="s">
        <v>35</v>
      </c>
      <c r="H238" s="22">
        <f>'Feuille Diags'!$G$13</f>
        <v>0</v>
      </c>
      <c r="I238" s="22" t="s">
        <v>36</v>
      </c>
      <c r="J238" s="22">
        <f>'Feuille Diags'!$H$13</f>
        <v>0</v>
      </c>
      <c r="K238" s="22" t="s">
        <v>37</v>
      </c>
      <c r="L238" s="22">
        <f>'Feuille Diags'!$I$13</f>
        <v>0</v>
      </c>
      <c r="M238" s="22" t="s">
        <v>38</v>
      </c>
      <c r="N238" s="22">
        <f>'Feuille Diags'!$J$13</f>
        <v>0</v>
      </c>
      <c r="O238" s="22" t="s">
        <v>129</v>
      </c>
      <c r="P238" s="22">
        <f>'Feuille Diags'!$H$13</f>
        <v>0</v>
      </c>
      <c r="Q238" s="22" t="s">
        <v>39</v>
      </c>
      <c r="R238" s="22">
        <f>'Feuille Diags'!$I$13</f>
        <v>0</v>
      </c>
      <c r="S238" s="92" t="s">
        <v>40</v>
      </c>
      <c r="T238" s="92">
        <f>'Feuille Diags'!$J$13</f>
        <v>0</v>
      </c>
      <c r="U238" s="92" t="s">
        <v>41</v>
      </c>
      <c r="V238" s="92">
        <f>'Feuille Diags'!$K$13</f>
        <v>0</v>
      </c>
      <c r="W238" s="92" t="s">
        <v>42</v>
      </c>
      <c r="X238" s="92">
        <f>'Feuille Diags'!$L$13</f>
        <v>0</v>
      </c>
      <c r="Y238" s="92" t="s">
        <v>43</v>
      </c>
      <c r="Z238" s="92">
        <f>'Feuille Diags'!$M$13</f>
        <v>0</v>
      </c>
      <c r="AA238" s="94" t="s">
        <v>44</v>
      </c>
    </row>
    <row r="239" spans="1:28" x14ac:dyDescent="0.25">
      <c r="B239" s="19">
        <f>E4</f>
        <v>0</v>
      </c>
      <c r="C239" s="86" t="s">
        <v>17</v>
      </c>
      <c r="D239" s="86"/>
      <c r="E239" s="22">
        <v>73</v>
      </c>
      <c r="F239" s="22"/>
      <c r="G239" s="22">
        <v>78</v>
      </c>
      <c r="H239" s="22"/>
      <c r="I239" s="22">
        <v>83</v>
      </c>
      <c r="J239" s="22"/>
      <c r="K239" s="92">
        <v>88</v>
      </c>
      <c r="L239" s="92"/>
      <c r="M239" s="92">
        <v>93</v>
      </c>
      <c r="N239" s="92"/>
      <c r="O239" s="92">
        <v>98</v>
      </c>
      <c r="P239" s="92"/>
      <c r="Q239" s="92">
        <v>111</v>
      </c>
      <c r="R239" s="92"/>
      <c r="S239" s="92">
        <v>122</v>
      </c>
      <c r="T239" s="92"/>
      <c r="U239" s="92">
        <v>144</v>
      </c>
      <c r="V239" s="92"/>
      <c r="W239" s="92">
        <v>155</v>
      </c>
      <c r="X239" s="92"/>
      <c r="Y239" s="92">
        <v>155</v>
      </c>
      <c r="Z239" s="92"/>
      <c r="AA239" s="94">
        <v>167</v>
      </c>
    </row>
    <row r="240" spans="1:28" x14ac:dyDescent="0.25">
      <c r="B240" s="19">
        <f>IF(E8=1,1,IF(E9=1,1,0))</f>
        <v>0</v>
      </c>
      <c r="C240" s="86" t="s">
        <v>136</v>
      </c>
      <c r="D240" s="86"/>
      <c r="E240" s="22">
        <v>65</v>
      </c>
      <c r="F240" s="22"/>
      <c r="G240" s="22">
        <v>76</v>
      </c>
      <c r="H240" s="22"/>
      <c r="I240" s="22">
        <v>87</v>
      </c>
      <c r="J240" s="22"/>
      <c r="K240" s="92">
        <v>99</v>
      </c>
      <c r="L240" s="92"/>
      <c r="M240" s="92">
        <v>110</v>
      </c>
      <c r="N240" s="92"/>
      <c r="O240" s="92">
        <v>121</v>
      </c>
      <c r="P240" s="92"/>
      <c r="Q240" s="92">
        <v>106</v>
      </c>
      <c r="R240" s="92"/>
      <c r="S240" s="92">
        <v>123</v>
      </c>
      <c r="T240" s="92"/>
      <c r="U240" s="92">
        <v>140</v>
      </c>
      <c r="V240" s="92"/>
      <c r="W240" s="92">
        <v>157</v>
      </c>
      <c r="X240" s="92"/>
      <c r="Y240" s="92">
        <v>157</v>
      </c>
      <c r="Z240" s="92"/>
      <c r="AA240" s="94">
        <v>189</v>
      </c>
      <c r="AB240" s="92"/>
    </row>
    <row r="241" spans="1:28" x14ac:dyDescent="0.25">
      <c r="B241" s="19">
        <f>E3</f>
        <v>0</v>
      </c>
      <c r="C241" s="86" t="s">
        <v>21</v>
      </c>
      <c r="D241" s="86"/>
      <c r="E241" s="22">
        <v>62</v>
      </c>
      <c r="F241" s="22"/>
      <c r="G241" s="22">
        <v>67</v>
      </c>
      <c r="H241" s="22"/>
      <c r="I241" s="22">
        <v>72</v>
      </c>
      <c r="J241" s="22"/>
      <c r="K241" s="92">
        <v>77</v>
      </c>
      <c r="L241" s="92"/>
      <c r="M241" s="92">
        <v>82</v>
      </c>
      <c r="N241" s="92"/>
      <c r="O241" s="92">
        <v>87</v>
      </c>
      <c r="P241" s="92"/>
      <c r="Q241" s="92">
        <v>78</v>
      </c>
      <c r="R241" s="92"/>
      <c r="S241" s="92">
        <v>88</v>
      </c>
      <c r="T241" s="92"/>
      <c r="U241" s="92">
        <v>98</v>
      </c>
      <c r="V241" s="92"/>
      <c r="W241" s="92">
        <v>108</v>
      </c>
      <c r="X241" s="92"/>
      <c r="Y241" s="92">
        <v>108</v>
      </c>
      <c r="Z241" s="92"/>
      <c r="AA241" s="94">
        <v>157</v>
      </c>
    </row>
    <row r="242" spans="1:28" x14ac:dyDescent="0.25">
      <c r="B242" s="19">
        <f>E2</f>
        <v>0</v>
      </c>
      <c r="C242" s="86" t="s">
        <v>157</v>
      </c>
      <c r="D242" s="86"/>
      <c r="E242" s="92">
        <v>145</v>
      </c>
      <c r="F242" s="92"/>
      <c r="G242" s="92">
        <v>150</v>
      </c>
      <c r="H242" s="92"/>
      <c r="I242" s="92">
        <v>170</v>
      </c>
      <c r="J242" s="92"/>
      <c r="K242" s="92">
        <v>190</v>
      </c>
      <c r="L242" s="92"/>
      <c r="M242" s="92">
        <v>220</v>
      </c>
      <c r="N242" s="92"/>
      <c r="O242" s="92">
        <v>250</v>
      </c>
      <c r="P242" s="92"/>
      <c r="Q242" s="92">
        <v>190</v>
      </c>
      <c r="R242" s="92"/>
      <c r="S242" s="92">
        <v>211</v>
      </c>
      <c r="T242" s="92"/>
      <c r="U242" s="92">
        <v>233</v>
      </c>
      <c r="V242" s="92"/>
      <c r="W242" s="92">
        <v>256</v>
      </c>
      <c r="X242" s="92"/>
      <c r="Y242" s="92">
        <v>256</v>
      </c>
      <c r="Z242" s="92"/>
      <c r="AA242" s="94">
        <v>314</v>
      </c>
    </row>
    <row r="243" spans="1:28" x14ac:dyDescent="0.25">
      <c r="B243" s="19">
        <f>E6</f>
        <v>0</v>
      </c>
      <c r="C243" s="86" t="s">
        <v>23</v>
      </c>
      <c r="D243" s="86"/>
      <c r="E243" s="92">
        <v>100</v>
      </c>
      <c r="F243" s="92"/>
      <c r="G243" s="92">
        <v>107</v>
      </c>
      <c r="H243" s="92"/>
      <c r="I243" s="92">
        <v>112</v>
      </c>
      <c r="J243" s="92"/>
      <c r="K243" s="92">
        <v>117</v>
      </c>
      <c r="L243" s="92"/>
      <c r="M243" s="92">
        <v>122</v>
      </c>
      <c r="N243" s="92"/>
      <c r="O243" s="92">
        <v>127</v>
      </c>
      <c r="P243" s="92"/>
      <c r="Q243" s="92">
        <v>112</v>
      </c>
      <c r="R243" s="92"/>
      <c r="S243" s="92">
        <v>123</v>
      </c>
      <c r="T243" s="92"/>
      <c r="U243" s="92">
        <v>135</v>
      </c>
      <c r="V243" s="92"/>
      <c r="W243" s="92">
        <v>148</v>
      </c>
      <c r="X243" s="92"/>
      <c r="Y243" s="92">
        <v>148</v>
      </c>
      <c r="Z243" s="92"/>
      <c r="AA243" s="94">
        <v>179</v>
      </c>
    </row>
    <row r="244" spans="1:28" x14ac:dyDescent="0.25">
      <c r="B244" s="19">
        <f>E7</f>
        <v>0</v>
      </c>
      <c r="C244" s="86" t="s">
        <v>24</v>
      </c>
      <c r="D244" s="86"/>
      <c r="E244" s="92">
        <v>105</v>
      </c>
      <c r="F244" s="92"/>
      <c r="G244" s="92">
        <v>105</v>
      </c>
      <c r="H244" s="92"/>
      <c r="I244" s="92">
        <v>105</v>
      </c>
      <c r="J244" s="92"/>
      <c r="K244" s="92">
        <v>105</v>
      </c>
      <c r="L244" s="92"/>
      <c r="M244" s="92">
        <v>105</v>
      </c>
      <c r="N244" s="92"/>
      <c r="O244" s="92">
        <v>105</v>
      </c>
      <c r="P244" s="92"/>
      <c r="Q244" s="92">
        <v>106</v>
      </c>
      <c r="R244" s="92"/>
      <c r="S244" s="92">
        <v>106</v>
      </c>
      <c r="T244" s="92"/>
      <c r="U244" s="92">
        <v>106</v>
      </c>
      <c r="V244" s="92"/>
      <c r="W244" s="92">
        <v>106</v>
      </c>
      <c r="X244" s="92"/>
      <c r="Y244" s="92">
        <v>106</v>
      </c>
      <c r="Z244" s="92"/>
      <c r="AA244" s="94">
        <v>106</v>
      </c>
    </row>
    <row r="245" spans="1:28" x14ac:dyDescent="0.25">
      <c r="B245" s="19">
        <f>E12</f>
        <v>0</v>
      </c>
      <c r="C245" s="86" t="s">
        <v>29</v>
      </c>
      <c r="D245" s="86"/>
      <c r="E245" s="92">
        <v>105</v>
      </c>
      <c r="F245" s="92"/>
      <c r="G245" s="92">
        <v>105</v>
      </c>
      <c r="H245" s="92"/>
      <c r="I245" s="92">
        <v>105</v>
      </c>
      <c r="J245" s="92"/>
      <c r="K245" s="92">
        <v>105</v>
      </c>
      <c r="L245" s="92"/>
      <c r="M245" s="92">
        <v>105</v>
      </c>
      <c r="N245" s="92"/>
      <c r="O245" s="92">
        <v>105</v>
      </c>
      <c r="P245" s="92"/>
      <c r="Q245" s="92">
        <v>140</v>
      </c>
      <c r="R245" s="92"/>
      <c r="S245" s="92">
        <v>140</v>
      </c>
      <c r="T245" s="92"/>
      <c r="U245" s="92">
        <v>140</v>
      </c>
      <c r="V245" s="92"/>
      <c r="W245" s="92">
        <v>140</v>
      </c>
      <c r="X245" s="92"/>
      <c r="Y245" s="92">
        <v>140</v>
      </c>
      <c r="Z245" s="92"/>
      <c r="AA245" s="94">
        <v>140</v>
      </c>
    </row>
    <row r="246" spans="1:28" x14ac:dyDescent="0.25">
      <c r="B246" s="19">
        <f>E5</f>
        <v>0</v>
      </c>
      <c r="C246" s="86" t="s">
        <v>25</v>
      </c>
      <c r="D246" s="86"/>
      <c r="E246" s="92">
        <v>10</v>
      </c>
      <c r="F246" s="92"/>
      <c r="G246" s="92">
        <v>10</v>
      </c>
      <c r="H246" s="92"/>
      <c r="I246" s="92">
        <v>10</v>
      </c>
      <c r="J246" s="92"/>
      <c r="K246" s="92">
        <v>10</v>
      </c>
      <c r="L246" s="92"/>
      <c r="M246" s="92">
        <v>10</v>
      </c>
      <c r="N246" s="92"/>
      <c r="O246" s="92">
        <v>10</v>
      </c>
      <c r="P246" s="92"/>
      <c r="Q246" s="92">
        <v>10</v>
      </c>
      <c r="R246" s="92"/>
      <c r="S246" s="92">
        <v>10</v>
      </c>
      <c r="T246" s="92"/>
      <c r="U246" s="92">
        <v>10</v>
      </c>
      <c r="V246" s="92"/>
      <c r="W246" s="92">
        <v>10</v>
      </c>
      <c r="X246" s="92"/>
      <c r="Y246" s="92">
        <v>10</v>
      </c>
      <c r="Z246" s="92"/>
      <c r="AA246" s="94">
        <v>10</v>
      </c>
    </row>
    <row r="247" spans="1:28" x14ac:dyDescent="0.25">
      <c r="B247" s="19">
        <f>(B239+B240+B241+B242+B243+B244+B245+B246+B249)*H9</f>
        <v>0</v>
      </c>
      <c r="C247" s="86" t="s">
        <v>172</v>
      </c>
      <c r="D247" s="86"/>
      <c r="E247" s="92">
        <v>34</v>
      </c>
      <c r="F247" s="92"/>
      <c r="G247" s="92">
        <v>39</v>
      </c>
      <c r="H247" s="92"/>
      <c r="I247" s="92">
        <v>45</v>
      </c>
      <c r="J247" s="92"/>
      <c r="K247" s="92">
        <v>50</v>
      </c>
      <c r="L247" s="92"/>
      <c r="M247" s="92">
        <v>56</v>
      </c>
      <c r="N247" s="92"/>
      <c r="O247" s="92">
        <v>62</v>
      </c>
      <c r="P247" s="92"/>
      <c r="Q247" s="92">
        <v>50</v>
      </c>
      <c r="R247" s="92"/>
      <c r="S247" s="92">
        <v>65</v>
      </c>
      <c r="T247" s="92"/>
      <c r="U247" s="92">
        <v>73</v>
      </c>
      <c r="V247" s="92"/>
      <c r="W247" s="92">
        <v>84</v>
      </c>
      <c r="X247" s="92"/>
      <c r="Y247" s="92">
        <v>84</v>
      </c>
      <c r="Z247" s="92"/>
      <c r="AA247" s="94">
        <v>95</v>
      </c>
    </row>
    <row r="248" spans="1:28" x14ac:dyDescent="0.25">
      <c r="B248" s="19">
        <f>H9</f>
        <v>0</v>
      </c>
      <c r="C248" s="89" t="s">
        <v>173</v>
      </c>
      <c r="D248" s="89"/>
      <c r="E248" s="92">
        <v>50</v>
      </c>
      <c r="F248" s="92"/>
      <c r="G248" s="22">
        <v>56</v>
      </c>
      <c r="H248" s="22"/>
      <c r="I248" s="22">
        <v>62</v>
      </c>
      <c r="J248" s="22"/>
      <c r="K248" s="92">
        <v>67</v>
      </c>
      <c r="L248" s="92"/>
      <c r="M248" s="92">
        <v>73</v>
      </c>
      <c r="N248" s="92"/>
      <c r="O248" s="92">
        <v>78</v>
      </c>
      <c r="P248" s="92"/>
      <c r="Q248" s="92">
        <v>84</v>
      </c>
      <c r="R248" s="92"/>
      <c r="S248" s="92">
        <v>95</v>
      </c>
      <c r="T248" s="92"/>
      <c r="U248" s="92">
        <v>106</v>
      </c>
      <c r="V248" s="92"/>
      <c r="W248" s="92">
        <v>118</v>
      </c>
      <c r="X248" s="92"/>
      <c r="Y248" s="92">
        <v>118</v>
      </c>
      <c r="Z248" s="92"/>
      <c r="AA248" s="94">
        <v>129</v>
      </c>
    </row>
    <row r="249" spans="1:28" x14ac:dyDescent="0.25">
      <c r="B249" s="19">
        <f>E11</f>
        <v>0</v>
      </c>
      <c r="C249" s="89" t="s">
        <v>28</v>
      </c>
      <c r="D249" s="89"/>
      <c r="E249" s="92"/>
      <c r="F249" s="92"/>
      <c r="G249" s="22"/>
      <c r="H249" s="22"/>
      <c r="I249" s="22"/>
      <c r="J249" s="22"/>
      <c r="K249" s="92"/>
      <c r="L249" s="92"/>
      <c r="M249" s="92"/>
      <c r="N249" s="92"/>
      <c r="O249" s="92"/>
      <c r="P249" s="92"/>
      <c r="Q249" s="92">
        <v>168</v>
      </c>
      <c r="R249" s="92"/>
      <c r="S249" s="92">
        <v>168</v>
      </c>
      <c r="T249" s="92"/>
      <c r="U249" s="92">
        <v>168</v>
      </c>
      <c r="V249" s="92"/>
      <c r="W249" s="92">
        <v>168</v>
      </c>
      <c r="X249" s="92"/>
      <c r="Y249" s="92">
        <v>168</v>
      </c>
      <c r="Z249" s="92"/>
      <c r="AA249" s="94">
        <v>168</v>
      </c>
    </row>
    <row r="250" spans="1:28" x14ac:dyDescent="0.25">
      <c r="B250" s="19">
        <f>H8</f>
        <v>0</v>
      </c>
      <c r="C250" s="89" t="s">
        <v>174</v>
      </c>
      <c r="D250" s="89"/>
      <c r="E250" s="92">
        <v>152</v>
      </c>
      <c r="F250" s="92"/>
      <c r="G250" s="22">
        <v>168</v>
      </c>
      <c r="H250" s="22"/>
      <c r="I250" s="22">
        <v>185</v>
      </c>
      <c r="J250" s="22"/>
      <c r="K250" s="92">
        <v>202</v>
      </c>
      <c r="L250" s="92"/>
      <c r="M250" s="92">
        <v>230</v>
      </c>
      <c r="N250" s="92"/>
      <c r="O250" s="92">
        <v>245</v>
      </c>
      <c r="P250" s="92"/>
      <c r="Q250" s="92">
        <v>185</v>
      </c>
      <c r="R250" s="92"/>
      <c r="S250" s="92">
        <v>213</v>
      </c>
      <c r="T250" s="92"/>
      <c r="U250" s="92">
        <v>252</v>
      </c>
      <c r="V250" s="92"/>
      <c r="W250" s="92">
        <v>302</v>
      </c>
      <c r="X250" s="92"/>
      <c r="Y250" s="92">
        <v>302</v>
      </c>
      <c r="Z250" s="92"/>
      <c r="AA250" s="94">
        <v>353</v>
      </c>
    </row>
    <row r="251" spans="1:28" ht="15.75" thickBot="1" x14ac:dyDescent="0.3">
      <c r="B251" s="23">
        <f>H2+H3</f>
        <v>0</v>
      </c>
      <c r="C251" s="91" t="s">
        <v>175</v>
      </c>
      <c r="D251" s="91"/>
      <c r="E251" s="93">
        <v>70</v>
      </c>
      <c r="F251" s="93"/>
      <c r="G251" s="93">
        <v>70</v>
      </c>
      <c r="H251" s="93"/>
      <c r="I251" s="93">
        <v>70</v>
      </c>
      <c r="J251" s="93"/>
      <c r="K251" s="93">
        <v>70</v>
      </c>
      <c r="L251" s="93"/>
      <c r="M251" s="93">
        <v>70</v>
      </c>
      <c r="N251" s="93"/>
      <c r="O251" s="93">
        <v>70</v>
      </c>
      <c r="P251" s="93"/>
      <c r="Q251" s="93">
        <v>70</v>
      </c>
      <c r="R251" s="93"/>
      <c r="S251" s="93">
        <v>70</v>
      </c>
      <c r="T251" s="93"/>
      <c r="U251" s="93">
        <v>70</v>
      </c>
      <c r="V251" s="93"/>
      <c r="W251" s="93">
        <v>70</v>
      </c>
      <c r="X251" s="93"/>
      <c r="Y251" s="93">
        <v>70</v>
      </c>
      <c r="Z251" s="93"/>
      <c r="AA251" s="95">
        <v>70</v>
      </c>
      <c r="AB251">
        <f>A235*D237*(D238*B251*E251+F238*B251*G251+H238*B251*I251+J238*B251*K251+L238*B251*M251+N238*B251*O251)+A235*P237*(P238*B251*Q251+R238*B251*S251+T238*U251*B251+V238*W251*B251+X238*Y251*B251+Z238*AA251*B251)</f>
        <v>0</v>
      </c>
    </row>
    <row r="252" spans="1:28" x14ac:dyDescent="0.25">
      <c r="E252" s="92">
        <f>$A$235*$D$237*D238*($B$239*E239+$B$240*E240+$B$241*E241+$B$242*E242+$B$243*E243+$B$244*E244+$B$245*E245+$B$246*E246+$B$247*E247+$B$248*E248+$B$249*E249+$B$250*E250+$B$251*E251)</f>
        <v>0</v>
      </c>
      <c r="G252" s="92">
        <f>$A$235*$D$237*F238*($B$239*G239+$B$240*G240+$B$241*G241+$B$242*G242+$B$243*G243+$B$244*G244+$B$245*G245+$B$246*G246+$B$247*G247+$B$248*G248+$B$249*G249+$B$250*G250+$B$251*G251)</f>
        <v>0</v>
      </c>
      <c r="I252" s="92">
        <f>$A$235*$D$237*H238*($B$239*I239+$B$240*I240+$B$241*I241+$B$242*I242+$B$243*I243+$B$244*I244+$B$245*I245+$B$246*I246+$B$247*I247+$B$248*I248+$B$249*I249+$B$250*I250+$B$251*I251)</f>
        <v>0</v>
      </c>
      <c r="K252" s="92">
        <f>$A$235*$D$237*J238*($B$239*K239+$B$240*K240+$B$241*K241+$B$242*K242+$B$243*K243+$B$244*K244+$B$245*K245+$B$246*K246+$B$247*K247+$B$248*K248+$B$249*K249+$B$250*K250+$B$251*K251)</f>
        <v>0</v>
      </c>
      <c r="M252" s="92">
        <f>$A$235*$D$237*L238*($B$239*M239+$B$240*M240+$B$241*M241+$B$242*M242+$B$243*M243+$B$244*M244+$B$245*M245+$B$246*M246+$B$247*M247+$B$248*M248+$B$249*M249+$B$250*M250+$B$251*M251)</f>
        <v>0</v>
      </c>
      <c r="O252" s="92">
        <f>$A$235*$D$237*N238*($B$239*O239+$B$240*O240+$B$241*O241+$B$242*O242+$B$243*O243+$B$244*O244+$B$245*O245+$B$246*O246+$B$247*O247+$B$248*O248+$B$249*O249+$B$250*O250+$B$251*O251)</f>
        <v>0</v>
      </c>
      <c r="Q252" s="92">
        <f>$A$235*$P$237*P238*($B$239*Q239+$B$240*Q240+$B$241*Q241+$B$242*Q242+$B$243*Q243+$B$244*Q244+$B$245*Q245+$B$246*Q246+$B$247*Q247+$B$248*Q248+$B$249*Q249+$B$250*Q250+$B$251*Q251)</f>
        <v>0</v>
      </c>
      <c r="S252" s="92">
        <f>$A$235*$P$237*R238*($B$239*S239+$B$240*S240+$B$241*S241+$B$242*S242+$B$243*S243+$B$244*S244+$B$245*S245+$B$246*S246+$B$247*S247+$B$248*S248+$B$249*S249+$B$250*S250+$B$251*S251)</f>
        <v>0</v>
      </c>
      <c r="U252" s="92">
        <f>$A$235*$P$237*T238*($B$239*U239+$B$240*U240+$B$241*U241+$B$242*U242+$B$243*U243+$B$244*U244+$B$245*U245+$B$246*U246+$B$247*U247+$B$248*U248+$B$249*U249+$B$250*U250+$B$251*U251)</f>
        <v>0</v>
      </c>
      <c r="W252" s="92">
        <f>$A$235*$P$237*V238*($B$239*W239+$B$240*W240+$B$241*W241+$B$242*W242+$B$243*W243+$B$244*W244+$B$245*W245+$B$246*W246+$B$247*W247+$B$248*W248+$B$249*W249+$B$250*W250+$B$251*W251)</f>
        <v>0</v>
      </c>
      <c r="Y252" s="92">
        <f>$A$235*$P$237*X238*($B$239*Y239+$B$240*Y240+$B$241*Y241+$B$242*Y242+$B$243*Y243+$B$244*Y244+$B$245*Y245+$B$246*Y246+$B$247*Y247+$B$248*Y248+$B$249*Y249+$B$250*Y250+$B$251*Y251)</f>
        <v>0</v>
      </c>
      <c r="AA252" s="92">
        <f>$A$235*$P$237*Z238*($B$239*AA239+$B$240*AA240+$B$241*AA241+$B$242*AA242+$B$243*AA243+$B$244*AA244+$B$245*AA245+$B$246*AA246+$B$247*AA247+$B$248*AA248+$B$249*AA249+$B$250*AA250+$B$251*AA251)</f>
        <v>0</v>
      </c>
      <c r="AB252">
        <f>AA252+Y252+W252+U252+S252+Q252+O252+M252+K252+I252+G252+E252</f>
        <v>0</v>
      </c>
    </row>
    <row r="253" spans="1:28" ht="15.75" thickBot="1" x14ac:dyDescent="0.3"/>
    <row r="254" spans="1:28" x14ac:dyDescent="0.25">
      <c r="A254">
        <f>'Feuille Diags'!K20</f>
        <v>0</v>
      </c>
      <c r="B254" s="312" t="s">
        <v>196</v>
      </c>
      <c r="C254" s="313"/>
      <c r="D254" s="313"/>
      <c r="E254" s="313"/>
      <c r="F254" s="313"/>
      <c r="G254" s="313"/>
      <c r="H254" s="313"/>
      <c r="I254" s="313"/>
      <c r="J254" s="313"/>
      <c r="K254" s="313"/>
      <c r="L254" s="313"/>
      <c r="M254" s="313"/>
      <c r="N254" s="313"/>
      <c r="O254" s="313"/>
      <c r="P254" s="313"/>
      <c r="Q254" s="314"/>
      <c r="R254" s="55"/>
    </row>
    <row r="255" spans="1:28" x14ac:dyDescent="0.25">
      <c r="B255" s="19"/>
      <c r="C255" s="22"/>
      <c r="D255" s="22"/>
      <c r="E255" s="304"/>
      <c r="F255" s="304"/>
      <c r="G255" s="304"/>
      <c r="H255" s="304"/>
      <c r="I255" s="304"/>
      <c r="J255" s="304"/>
      <c r="K255" s="304"/>
      <c r="L255" s="304"/>
      <c r="M255" s="304"/>
      <c r="N255" s="304"/>
      <c r="O255" s="304"/>
      <c r="P255" s="304"/>
      <c r="Q255" s="311"/>
      <c r="R255" s="55"/>
    </row>
    <row r="256" spans="1:28" x14ac:dyDescent="0.25">
      <c r="B256" s="19"/>
      <c r="C256" s="22"/>
      <c r="D256" s="22">
        <f>'Feuille Diags'!$H$10</f>
        <v>0</v>
      </c>
      <c r="E256" s="304" t="s">
        <v>6</v>
      </c>
      <c r="F256" s="304"/>
      <c r="G256" s="304"/>
      <c r="H256" s="304"/>
      <c r="I256" s="304"/>
      <c r="J256" s="304"/>
      <c r="K256" s="304"/>
      <c r="L256" s="304"/>
      <c r="M256" s="304"/>
      <c r="N256" s="304"/>
      <c r="O256" s="304"/>
      <c r="P256" s="55">
        <f>'Feuille Diags'!$F$10</f>
        <v>0</v>
      </c>
      <c r="Q256" s="90" t="s">
        <v>5</v>
      </c>
      <c r="R256" s="74"/>
    </row>
    <row r="257" spans="1:18" x14ac:dyDescent="0.25">
      <c r="B257" s="19"/>
      <c r="C257" s="22"/>
      <c r="D257" s="22">
        <f>'Feuille Diags'!$E$13</f>
        <v>0</v>
      </c>
      <c r="E257" s="22" t="s">
        <v>128</v>
      </c>
      <c r="F257" s="22">
        <f>'Feuille Diags'!$F$13</f>
        <v>0</v>
      </c>
      <c r="G257" s="22" t="s">
        <v>35</v>
      </c>
      <c r="H257" s="22">
        <f>'Feuille Diags'!$G$13</f>
        <v>0</v>
      </c>
      <c r="I257" s="22" t="s">
        <v>36</v>
      </c>
      <c r="J257" s="22">
        <f>'Feuille Diags'!$H$13</f>
        <v>0</v>
      </c>
      <c r="K257" s="22" t="s">
        <v>37</v>
      </c>
      <c r="L257" s="22">
        <f>'Feuille Diags'!$I$13</f>
        <v>0</v>
      </c>
      <c r="M257" s="22" t="s">
        <v>38</v>
      </c>
      <c r="N257" s="22">
        <f>'Feuille Diags'!$J$13</f>
        <v>0</v>
      </c>
      <c r="O257" s="22" t="s">
        <v>129</v>
      </c>
      <c r="P257" s="22"/>
      <c r="Q257" s="81"/>
      <c r="R257" s="22"/>
    </row>
    <row r="258" spans="1:18" x14ac:dyDescent="0.25">
      <c r="B258" s="19">
        <f>E4</f>
        <v>0</v>
      </c>
      <c r="C258" s="86" t="s">
        <v>17</v>
      </c>
      <c r="D258" s="86"/>
      <c r="E258" s="22">
        <v>65.78</v>
      </c>
      <c r="F258" s="22"/>
      <c r="G258" s="22">
        <v>65.78</v>
      </c>
      <c r="H258" s="22"/>
      <c r="I258" s="22">
        <v>65.78</v>
      </c>
      <c r="J258" s="22"/>
      <c r="K258" s="22">
        <v>65.78</v>
      </c>
      <c r="L258" s="22"/>
      <c r="M258" s="22">
        <v>65.78</v>
      </c>
      <c r="N258" s="22"/>
      <c r="O258" s="22">
        <v>65.78</v>
      </c>
      <c r="P258" s="22"/>
      <c r="Q258" s="81">
        <v>65.78</v>
      </c>
      <c r="R258" s="22"/>
    </row>
    <row r="259" spans="1:18" x14ac:dyDescent="0.25">
      <c r="B259" s="19">
        <f>E2</f>
        <v>0</v>
      </c>
      <c r="C259" s="86" t="s">
        <v>157</v>
      </c>
      <c r="D259" s="86"/>
      <c r="E259" s="22">
        <v>83.72</v>
      </c>
      <c r="F259" s="22"/>
      <c r="G259" s="22">
        <v>83.72</v>
      </c>
      <c r="H259" s="22"/>
      <c r="I259" s="22">
        <v>83.72</v>
      </c>
      <c r="J259" s="22"/>
      <c r="K259" s="22">
        <v>83.72</v>
      </c>
      <c r="L259" s="22"/>
      <c r="M259" s="22">
        <v>83.72</v>
      </c>
      <c r="N259" s="22"/>
      <c r="O259" s="22">
        <v>83.72</v>
      </c>
      <c r="P259" s="22"/>
      <c r="Q259" s="81">
        <v>83.72</v>
      </c>
      <c r="R259" s="22"/>
    </row>
    <row r="260" spans="1:18" x14ac:dyDescent="0.25">
      <c r="B260" s="19">
        <f>E13</f>
        <v>0</v>
      </c>
      <c r="C260" s="86" t="s">
        <v>61</v>
      </c>
      <c r="D260" s="86"/>
      <c r="E260" s="22">
        <v>95.68</v>
      </c>
      <c r="F260" s="22"/>
      <c r="G260" s="22">
        <v>95.68</v>
      </c>
      <c r="H260" s="22"/>
      <c r="I260" s="22">
        <v>95.68</v>
      </c>
      <c r="J260" s="22"/>
      <c r="K260" s="22">
        <v>95.68</v>
      </c>
      <c r="L260" s="22"/>
      <c r="M260" s="22">
        <v>95.68</v>
      </c>
      <c r="N260" s="22"/>
      <c r="O260" s="22">
        <v>95.68</v>
      </c>
      <c r="P260" s="22"/>
      <c r="Q260" s="81">
        <v>95.68</v>
      </c>
      <c r="R260" s="22"/>
    </row>
    <row r="261" spans="1:18" x14ac:dyDescent="0.25">
      <c r="B261" s="19">
        <f>E3</f>
        <v>0</v>
      </c>
      <c r="C261" s="86" t="s">
        <v>198</v>
      </c>
      <c r="D261" s="86"/>
      <c r="E261" s="92">
        <v>50</v>
      </c>
      <c r="F261" s="92"/>
      <c r="G261" s="22">
        <v>50</v>
      </c>
      <c r="H261" s="22"/>
      <c r="I261" s="22">
        <v>60</v>
      </c>
      <c r="J261" s="22"/>
      <c r="K261" s="92">
        <v>60</v>
      </c>
      <c r="L261" s="92"/>
      <c r="M261" s="92">
        <v>70</v>
      </c>
      <c r="N261" s="92"/>
      <c r="O261" s="92">
        <v>70</v>
      </c>
      <c r="P261" s="92"/>
      <c r="Q261" s="81">
        <v>70</v>
      </c>
      <c r="R261" s="22"/>
    </row>
    <row r="262" spans="1:18" x14ac:dyDescent="0.25">
      <c r="B262" s="19">
        <f>E14</f>
        <v>0</v>
      </c>
      <c r="C262" s="86" t="s">
        <v>176</v>
      </c>
      <c r="D262" s="86"/>
      <c r="E262" s="92">
        <v>143.52000000000001</v>
      </c>
      <c r="F262" s="92"/>
      <c r="G262" s="92">
        <v>143.52000000000001</v>
      </c>
      <c r="H262" s="92"/>
      <c r="I262" s="92">
        <v>143.52000000000001</v>
      </c>
      <c r="J262" s="92"/>
      <c r="K262" s="92">
        <v>143.52000000000001</v>
      </c>
      <c r="L262" s="92"/>
      <c r="M262" s="92">
        <v>143.52000000000001</v>
      </c>
      <c r="N262" s="92"/>
      <c r="O262" s="92">
        <v>143.52000000000001</v>
      </c>
      <c r="P262" s="92"/>
      <c r="Q262" s="94">
        <v>143.52000000000001</v>
      </c>
      <c r="R262" s="92"/>
    </row>
    <row r="263" spans="1:18" x14ac:dyDescent="0.25">
      <c r="B263" s="19">
        <f>E15</f>
        <v>0</v>
      </c>
      <c r="C263" s="86" t="s">
        <v>21</v>
      </c>
      <c r="D263" s="86"/>
      <c r="E263" s="92">
        <v>120</v>
      </c>
      <c r="F263" s="92"/>
      <c r="G263" s="92">
        <v>120</v>
      </c>
      <c r="H263" s="92"/>
      <c r="I263" s="92">
        <v>120</v>
      </c>
      <c r="J263" s="92"/>
      <c r="K263" s="92">
        <v>120</v>
      </c>
      <c r="L263" s="92"/>
      <c r="M263" s="92">
        <v>120</v>
      </c>
      <c r="N263" s="92"/>
      <c r="O263" s="92">
        <v>120</v>
      </c>
      <c r="P263" s="92"/>
      <c r="Q263" s="94">
        <v>120</v>
      </c>
      <c r="R263" s="92"/>
    </row>
    <row r="264" spans="1:18" ht="15.75" thickBot="1" x14ac:dyDescent="0.3">
      <c r="B264" s="23">
        <f>H5</f>
        <v>0</v>
      </c>
      <c r="C264" s="87" t="s">
        <v>197</v>
      </c>
      <c r="D264" s="87"/>
      <c r="E264" s="26">
        <v>90</v>
      </c>
      <c r="F264" s="26"/>
      <c r="G264" s="26">
        <v>90</v>
      </c>
      <c r="H264" s="26"/>
      <c r="I264" s="26">
        <v>90</v>
      </c>
      <c r="J264" s="26"/>
      <c r="K264" s="26">
        <v>90</v>
      </c>
      <c r="L264" s="26"/>
      <c r="M264" s="26">
        <v>90</v>
      </c>
      <c r="N264" s="26"/>
      <c r="O264" s="26">
        <v>90</v>
      </c>
      <c r="P264" s="26"/>
      <c r="Q264" s="88">
        <v>90</v>
      </c>
      <c r="R264" s="22">
        <f>A254*$B$30*$E$30</f>
        <v>0</v>
      </c>
    </row>
    <row r="265" spans="1:18" x14ac:dyDescent="0.25">
      <c r="E265">
        <f>$A$254*$D$256*D257*($B$258*E258+$B$259*E259+$B$260*E260+$B$261*E261+$B$262*E262+$B$263*E263+$B$264*E264)</f>
        <v>0</v>
      </c>
      <c r="G265">
        <f>$A$254*$D$256*F257*($B$258*G258+$B$259*G259+$B$260*G260+$B$261*G261+$B$262*G262+$B$263*G263+$B$264*G264)</f>
        <v>0</v>
      </c>
      <c r="I265">
        <f>$A$254*$D$256*H257*($B$258*I258+$B$259*I259+$B$260*I260+$B$261*I261+$B$262*I262+$B$263*I263+$B$264*I264)</f>
        <v>0</v>
      </c>
      <c r="K265">
        <f>$A$254*$D$256*J257*($B$258*K258+$B$259*K259+$B$260*K260+$B$261*K261+$B$262*K262+$B$263*K263+$B$264*K264)</f>
        <v>0</v>
      </c>
      <c r="M265">
        <f>$A$254*$D$256*L257*($B$258*M258+$B$259*M259+$B$260*M260+$B$261*M261+$B$262*M262+$B$263*M263+$B$264*M264)</f>
        <v>0</v>
      </c>
      <c r="O265">
        <f>$A$254*$D$256*N257*($B$258*O258+$B$259*O259+$B$260*O260+$B$261*O261+$B$262*O262+$B$263*O263+$B$264*O264)</f>
        <v>0</v>
      </c>
      <c r="Q265">
        <f>$A$254*P256*($B$258*Q258+$B$259*Q259+$B$260*Q260+$B$261*Q261+$B$262*Q262+$B$263*Q263+$B$264*Q264)</f>
        <v>0</v>
      </c>
      <c r="R265">
        <f>E265+G265+I265+K265+M265+O265+Q265</f>
        <v>0</v>
      </c>
    </row>
    <row r="266" spans="1:18" ht="15.75" thickBot="1" x14ac:dyDescent="0.3"/>
    <row r="267" spans="1:18" x14ac:dyDescent="0.25">
      <c r="A267">
        <f>'Feuille Diags'!L20</f>
        <v>0</v>
      </c>
      <c r="B267" s="312" t="s">
        <v>199</v>
      </c>
      <c r="C267" s="313"/>
      <c r="D267" s="313"/>
      <c r="E267" s="313"/>
      <c r="F267" s="313"/>
      <c r="G267" s="313"/>
      <c r="H267" s="313"/>
      <c r="I267" s="313"/>
      <c r="J267" s="313"/>
      <c r="K267" s="313"/>
      <c r="L267" s="313"/>
      <c r="M267" s="313"/>
      <c r="N267" s="313"/>
      <c r="O267" s="313"/>
      <c r="P267" s="313"/>
      <c r="Q267" s="314"/>
      <c r="R267" s="55"/>
    </row>
    <row r="268" spans="1:18" x14ac:dyDescent="0.25">
      <c r="B268" s="19"/>
      <c r="C268" s="22"/>
      <c r="D268" s="22"/>
      <c r="E268" s="304" t="s">
        <v>1</v>
      </c>
      <c r="F268" s="304"/>
      <c r="G268" s="304"/>
      <c r="H268" s="304"/>
      <c r="I268" s="304"/>
      <c r="J268" s="304"/>
      <c r="K268" s="304"/>
      <c r="L268" s="304"/>
      <c r="M268" s="304"/>
      <c r="N268" s="304"/>
      <c r="O268" s="304"/>
      <c r="P268" s="304"/>
      <c r="Q268" s="311"/>
      <c r="R268" s="55"/>
    </row>
    <row r="269" spans="1:18" x14ac:dyDescent="0.25">
      <c r="B269" s="19"/>
      <c r="C269" s="22"/>
      <c r="D269" s="22">
        <f>'Feuille Diags'!$H$10</f>
        <v>0</v>
      </c>
      <c r="E269" s="304" t="s">
        <v>6</v>
      </c>
      <c r="F269" s="304"/>
      <c r="G269" s="304"/>
      <c r="H269" s="304"/>
      <c r="I269" s="304"/>
      <c r="J269" s="304"/>
      <c r="K269" s="304"/>
      <c r="L269" s="304"/>
      <c r="M269" s="304"/>
      <c r="N269" s="304"/>
      <c r="O269" s="304"/>
      <c r="P269" s="55">
        <f>'Feuille Diags'!$F$10</f>
        <v>0</v>
      </c>
      <c r="Q269" s="90" t="s">
        <v>5</v>
      </c>
      <c r="R269" s="74"/>
    </row>
    <row r="270" spans="1:18" x14ac:dyDescent="0.25">
      <c r="B270" s="19"/>
      <c r="C270" s="22"/>
      <c r="D270" s="22">
        <f>'Feuille Diags'!$E$13</f>
        <v>0</v>
      </c>
      <c r="E270" s="22" t="s">
        <v>128</v>
      </c>
      <c r="F270" s="22">
        <f>'Feuille Diags'!$F$13</f>
        <v>0</v>
      </c>
      <c r="G270" s="22" t="s">
        <v>35</v>
      </c>
      <c r="H270" s="22">
        <f>'Feuille Diags'!$G$13</f>
        <v>0</v>
      </c>
      <c r="I270" s="22" t="s">
        <v>36</v>
      </c>
      <c r="J270" s="22">
        <f>'Feuille Diags'!$H$13</f>
        <v>0</v>
      </c>
      <c r="K270" s="22" t="s">
        <v>37</v>
      </c>
      <c r="L270" s="22">
        <f>'Feuille Diags'!$I$13</f>
        <v>0</v>
      </c>
      <c r="M270" s="22" t="s">
        <v>38</v>
      </c>
      <c r="N270" s="22">
        <f>'Feuille Diags'!$J$13</f>
        <v>0</v>
      </c>
      <c r="O270" s="22" t="s">
        <v>129</v>
      </c>
      <c r="P270" s="22"/>
      <c r="Q270" s="81"/>
      <c r="R270" s="22"/>
    </row>
    <row r="271" spans="1:18" x14ac:dyDescent="0.25">
      <c r="B271" s="19">
        <f>E4</f>
        <v>0</v>
      </c>
      <c r="C271" s="99" t="s">
        <v>17</v>
      </c>
      <c r="D271" s="86"/>
      <c r="E271" s="22">
        <v>55</v>
      </c>
      <c r="F271" s="22"/>
      <c r="G271" s="22">
        <v>65</v>
      </c>
      <c r="H271" s="22"/>
      <c r="I271" s="22">
        <v>75</v>
      </c>
      <c r="J271" s="22"/>
      <c r="K271" s="92">
        <v>85</v>
      </c>
      <c r="L271" s="92"/>
      <c r="M271" s="92">
        <v>95</v>
      </c>
      <c r="N271" s="92"/>
      <c r="O271" s="92">
        <v>105</v>
      </c>
      <c r="P271" s="92"/>
      <c r="Q271" s="81">
        <v>120</v>
      </c>
      <c r="R271" s="22"/>
    </row>
    <row r="272" spans="1:18" x14ac:dyDescent="0.25">
      <c r="B272" s="19">
        <f>E4*E8</f>
        <v>0</v>
      </c>
      <c r="C272" s="99" t="s">
        <v>164</v>
      </c>
      <c r="D272" s="86"/>
      <c r="E272" s="22">
        <v>95</v>
      </c>
      <c r="F272" s="22"/>
      <c r="G272" s="22">
        <v>110</v>
      </c>
      <c r="H272" s="22"/>
      <c r="I272" s="22">
        <v>120</v>
      </c>
      <c r="J272" s="22"/>
      <c r="K272" s="92">
        <v>130</v>
      </c>
      <c r="L272" s="92"/>
      <c r="M272" s="92">
        <v>145</v>
      </c>
      <c r="N272" s="92"/>
      <c r="O272" s="92">
        <v>155</v>
      </c>
      <c r="P272" s="92"/>
      <c r="Q272" s="81">
        <v>195</v>
      </c>
      <c r="R272" s="22"/>
    </row>
    <row r="273" spans="2:18" x14ac:dyDescent="0.25">
      <c r="B273" s="19">
        <f>E4*E3</f>
        <v>0</v>
      </c>
      <c r="C273" s="99" t="s">
        <v>130</v>
      </c>
      <c r="D273" s="86"/>
      <c r="E273" s="22">
        <v>95</v>
      </c>
      <c r="F273" s="22"/>
      <c r="G273" s="22">
        <v>110</v>
      </c>
      <c r="H273" s="22"/>
      <c r="I273" s="22">
        <v>120</v>
      </c>
      <c r="J273" s="22"/>
      <c r="K273" s="92">
        <v>130</v>
      </c>
      <c r="L273" s="92"/>
      <c r="M273" s="92">
        <v>145</v>
      </c>
      <c r="N273" s="92"/>
      <c r="O273" s="92">
        <v>155</v>
      </c>
      <c r="P273" s="92"/>
      <c r="Q273" s="81">
        <v>195</v>
      </c>
      <c r="R273" s="22"/>
    </row>
    <row r="274" spans="2:18" x14ac:dyDescent="0.25">
      <c r="B274" s="19">
        <f>E4*E2</f>
        <v>0</v>
      </c>
      <c r="C274" s="99" t="s">
        <v>131</v>
      </c>
      <c r="D274" s="86"/>
      <c r="E274" s="92">
        <v>155</v>
      </c>
      <c r="F274" s="92"/>
      <c r="G274" s="92">
        <v>170</v>
      </c>
      <c r="H274" s="92"/>
      <c r="I274" s="92">
        <v>200</v>
      </c>
      <c r="J274" s="92"/>
      <c r="K274" s="92">
        <v>230</v>
      </c>
      <c r="L274" s="92"/>
      <c r="M274" s="92">
        <v>270</v>
      </c>
      <c r="N274" s="92"/>
      <c r="O274" s="92">
        <v>300</v>
      </c>
      <c r="P274" s="92"/>
      <c r="Q274" s="81">
        <v>330</v>
      </c>
      <c r="R274" s="22"/>
    </row>
    <row r="275" spans="2:18" x14ac:dyDescent="0.25">
      <c r="B275" s="19">
        <f>E2*E3*E4</f>
        <v>0</v>
      </c>
      <c r="C275" s="99" t="s">
        <v>132</v>
      </c>
      <c r="D275" s="86"/>
      <c r="E275" s="92">
        <v>235</v>
      </c>
      <c r="F275" s="92"/>
      <c r="G275" s="92">
        <v>255</v>
      </c>
      <c r="H275" s="92"/>
      <c r="I275" s="92">
        <v>275</v>
      </c>
      <c r="J275" s="92"/>
      <c r="K275" s="92">
        <v>305</v>
      </c>
      <c r="L275" s="92"/>
      <c r="M275" s="92">
        <v>345</v>
      </c>
      <c r="N275" s="92"/>
      <c r="O275" s="92">
        <v>405</v>
      </c>
      <c r="P275" s="92"/>
      <c r="Q275" s="81">
        <v>445</v>
      </c>
      <c r="R275" s="22"/>
    </row>
    <row r="276" spans="2:18" x14ac:dyDescent="0.25">
      <c r="B276" s="19">
        <f>E4*E3*E8</f>
        <v>0</v>
      </c>
      <c r="C276" s="99" t="s">
        <v>146</v>
      </c>
      <c r="D276" s="86"/>
      <c r="E276" s="92">
        <v>140</v>
      </c>
      <c r="F276" s="92"/>
      <c r="G276" s="92">
        <v>150</v>
      </c>
      <c r="H276" s="92"/>
      <c r="I276" s="92">
        <v>160</v>
      </c>
      <c r="J276" s="92"/>
      <c r="K276" s="92">
        <v>170</v>
      </c>
      <c r="L276" s="92"/>
      <c r="M276" s="92">
        <v>200</v>
      </c>
      <c r="N276" s="92"/>
      <c r="O276" s="92">
        <v>220</v>
      </c>
      <c r="P276" s="92"/>
      <c r="Q276" s="81">
        <v>260</v>
      </c>
      <c r="R276" s="22"/>
    </row>
    <row r="277" spans="2:18" x14ac:dyDescent="0.25">
      <c r="B277" s="19">
        <f>E4*E2*E8</f>
        <v>0</v>
      </c>
      <c r="C277" s="99" t="s">
        <v>165</v>
      </c>
      <c r="D277" s="86"/>
      <c r="E277" s="92">
        <v>190</v>
      </c>
      <c r="F277" s="92"/>
      <c r="G277" s="92">
        <v>210</v>
      </c>
      <c r="H277" s="92"/>
      <c r="I277" s="92">
        <v>240</v>
      </c>
      <c r="J277" s="92"/>
      <c r="K277" s="92">
        <v>270</v>
      </c>
      <c r="L277" s="92"/>
      <c r="M277" s="92">
        <v>320</v>
      </c>
      <c r="N277" s="92"/>
      <c r="O277" s="92">
        <v>340</v>
      </c>
      <c r="P277" s="92"/>
      <c r="Q277" s="81">
        <v>380</v>
      </c>
      <c r="R277" s="22"/>
    </row>
    <row r="278" spans="2:18" x14ac:dyDescent="0.25">
      <c r="B278" s="19">
        <f>E8*E2*E3*E4</f>
        <v>0</v>
      </c>
      <c r="C278" s="99" t="s">
        <v>166</v>
      </c>
      <c r="D278" s="86"/>
      <c r="E278" s="92">
        <v>220</v>
      </c>
      <c r="F278" s="92"/>
      <c r="G278" s="92">
        <v>250</v>
      </c>
      <c r="H278" s="92"/>
      <c r="I278" s="92">
        <v>280</v>
      </c>
      <c r="J278" s="92"/>
      <c r="K278" s="92">
        <v>300</v>
      </c>
      <c r="L278" s="92"/>
      <c r="M278" s="92">
        <v>360</v>
      </c>
      <c r="N278" s="92"/>
      <c r="O278" s="92">
        <v>390</v>
      </c>
      <c r="P278" s="92"/>
      <c r="Q278" s="81">
        <v>420</v>
      </c>
      <c r="R278" s="22"/>
    </row>
    <row r="279" spans="2:18" x14ac:dyDescent="0.25">
      <c r="B279" s="19">
        <f>E7</f>
        <v>0</v>
      </c>
      <c r="C279" s="99" t="s">
        <v>24</v>
      </c>
      <c r="D279" s="86"/>
      <c r="E279" s="92">
        <v>90</v>
      </c>
      <c r="F279" s="92"/>
      <c r="G279" s="92">
        <v>90</v>
      </c>
      <c r="H279" s="92"/>
      <c r="I279" s="92">
        <v>90</v>
      </c>
      <c r="J279" s="92"/>
      <c r="K279" s="92">
        <v>90</v>
      </c>
      <c r="L279" s="92"/>
      <c r="M279" s="92">
        <v>90</v>
      </c>
      <c r="N279" s="92"/>
      <c r="O279" s="92">
        <v>90</v>
      </c>
      <c r="P279" s="92"/>
      <c r="Q279" s="92">
        <v>90</v>
      </c>
      <c r="R279" s="22"/>
    </row>
    <row r="280" spans="2:18" x14ac:dyDescent="0.25">
      <c r="B280" s="19">
        <f>E11</f>
        <v>0</v>
      </c>
      <c r="C280" s="99" t="s">
        <v>167</v>
      </c>
      <c r="D280" s="86"/>
      <c r="E280" s="92">
        <v>150</v>
      </c>
      <c r="F280" s="92"/>
      <c r="G280" s="92">
        <v>150</v>
      </c>
      <c r="H280" s="92"/>
      <c r="I280" s="92">
        <v>150</v>
      </c>
      <c r="J280" s="92"/>
      <c r="K280" s="92">
        <v>150</v>
      </c>
      <c r="L280" s="92"/>
      <c r="M280" s="92">
        <v>150</v>
      </c>
      <c r="N280" s="92"/>
      <c r="O280" s="92">
        <v>150</v>
      </c>
      <c r="P280" s="92"/>
      <c r="Q280" s="92">
        <v>150</v>
      </c>
      <c r="R280" s="22"/>
    </row>
    <row r="281" spans="2:18" x14ac:dyDescent="0.25">
      <c r="B281" s="19">
        <f>E6</f>
        <v>0</v>
      </c>
      <c r="C281" s="99" t="s">
        <v>168</v>
      </c>
      <c r="D281" s="86"/>
      <c r="E281" s="92">
        <v>70</v>
      </c>
      <c r="F281" s="92"/>
      <c r="G281" s="92">
        <v>90</v>
      </c>
      <c r="H281" s="92"/>
      <c r="I281" s="92">
        <v>100</v>
      </c>
      <c r="J281" s="92"/>
      <c r="K281" s="92">
        <v>110</v>
      </c>
      <c r="L281" s="92"/>
      <c r="M281" s="92">
        <v>120</v>
      </c>
      <c r="N281" s="92"/>
      <c r="O281" s="92">
        <v>120</v>
      </c>
      <c r="P281" s="92"/>
      <c r="Q281" s="81">
        <v>13</v>
      </c>
      <c r="R281" s="22"/>
    </row>
    <row r="282" spans="2:18" ht="15.75" thickBot="1" x14ac:dyDescent="0.3">
      <c r="B282" s="23">
        <f>H7</f>
        <v>0</v>
      </c>
      <c r="C282" s="102" t="s">
        <v>169</v>
      </c>
      <c r="D282" s="87"/>
      <c r="E282" s="26">
        <v>116</v>
      </c>
      <c r="F282" s="26"/>
      <c r="G282" s="26">
        <v>126</v>
      </c>
      <c r="H282" s="26"/>
      <c r="I282" s="26">
        <v>136</v>
      </c>
      <c r="J282" s="26"/>
      <c r="K282" s="26">
        <v>146</v>
      </c>
      <c r="L282" s="26"/>
      <c r="M282" s="26">
        <v>156</v>
      </c>
      <c r="N282" s="26"/>
      <c r="O282" s="26">
        <v>156</v>
      </c>
      <c r="P282" s="26"/>
      <c r="Q282" s="88">
        <v>176</v>
      </c>
      <c r="R282" s="22">
        <f>A267*$B$30*$E$30</f>
        <v>0</v>
      </c>
    </row>
    <row r="283" spans="2:18" x14ac:dyDescent="0.25">
      <c r="E283">
        <f>$A$267*$D$269*D270*($B$271*E271+$B$272*E272+$B$273*E273+$B$274*E274+$B$275*E275+$B$276*E276+$B$277*E277+$B$278*E278+$B$279*E279+$B$280*E280+$B$281*E281+$B$282*E282)</f>
        <v>0</v>
      </c>
      <c r="G283">
        <f>$A$267*$D$269*F270*($B$271*G271+$B$272*G272+$B$273*G273+$B$274*G274+$B$275*G275+$B$276*G276+$B$277*G277+$B$278*G278+$B$279*G279+$B$280*G280+$B$281*G281+$B$282*G282)</f>
        <v>0</v>
      </c>
      <c r="I283">
        <f>$A$267*$D$269*H270*($B$271*I271+$B$272*I272+$B$273*I273+$B$274*I274+$B$275*I275+$B$276*I276+$B$277*I277+$B$278*I278+$B$279*I279+$B$280*I280+$B$281*I281+$B$282*I282)</f>
        <v>0</v>
      </c>
      <c r="K283">
        <f>$A$267*$D$269*J270*($B$271*K271+$B$272*K272+$B$273*K273+$B$274*K274+$B$275*K275+$B$276*K276+$B$277*K277+$B$278*K278+$B$279*K279+$B$280*K280+$B$281*K281+$B$282*K282)</f>
        <v>0</v>
      </c>
      <c r="M283">
        <f>$A$267*$D$269*L270*($B$271*M271+$B$272*M272+$B$273*M273+$B$274*M274+$B$275*M275+$B$276*M276+$B$277*M277+$B$278*M278+$B$279*M279+$B$280*M280+$B$281*M281+$B$282*M282)</f>
        <v>0</v>
      </c>
      <c r="O283">
        <f>$A$267*$D$269*N270*($B$271*O271+$B$272*O272+$B$273*O273+$B$274*O274+$B$275*O275+$B$276*O276+$B$277*O277+$B$278*O278+$B$279*O279+$B$280*O280+$B$281*O281+$B$282*O282)</f>
        <v>0</v>
      </c>
      <c r="Q283">
        <f>$A$267*P269*($B$271*Q271+$B$272*Q272+$B$273*Q273+$B$274*Q274+$B$275*Q275+$B$276*Q276+$B$277*Q277+$B$278*Q278+$B$279*Q279+$B$280*Q280+$B$281*Q281+$B$282*Q282)</f>
        <v>0</v>
      </c>
      <c r="R283">
        <f>E283+G283+I283+K283+M283+O283+Q283</f>
        <v>0</v>
      </c>
    </row>
    <row r="287" spans="2:18" x14ac:dyDescent="0.25">
      <c r="R287">
        <f>R31+R39+R53+R69+R91+R101+R119+AB138+R148+R161+R174+R187+R204+R214+R233+R265+AB252+R283</f>
        <v>0</v>
      </c>
    </row>
    <row r="288" spans="2:18" x14ac:dyDescent="0.25">
      <c r="R288">
        <f>R282+R264+AB251+R232+R213+R203+R186+R173+R160+R147+AB137+R118+R100+R89+R67+R52+R38+R30</f>
        <v>0</v>
      </c>
    </row>
  </sheetData>
  <sheetProtection algorithmName="SHA-512" hashValue="XB++AyhcJF/1yrjrxnag8SqaLLMwzexgRX9KnEKbf7O+rgQ5iSKSNiVmQJu2sEaxiTPGzctS+MZ2N4jamhFFBQ==" saltValue="9IGO32vc6oHCooZg9qvOYA==" spinCount="100000" sheet="1" objects="1" scenarios="1"/>
  <mergeCells count="55">
    <mergeCell ref="E269:O269"/>
    <mergeCell ref="E217:Q217"/>
    <mergeCell ref="E218:O218"/>
    <mergeCell ref="B235:AA235"/>
    <mergeCell ref="E236:Q236"/>
    <mergeCell ref="E237:O237"/>
    <mergeCell ref="Q237:AA237"/>
    <mergeCell ref="B254:Q254"/>
    <mergeCell ref="E255:Q255"/>
    <mergeCell ref="E256:O256"/>
    <mergeCell ref="B267:Q267"/>
    <mergeCell ref="E268:Q268"/>
    <mergeCell ref="B216:Q216"/>
    <mergeCell ref="B163:Q163"/>
    <mergeCell ref="E164:Q164"/>
    <mergeCell ref="E165:O165"/>
    <mergeCell ref="B176:Q176"/>
    <mergeCell ref="E177:Q177"/>
    <mergeCell ref="E178:O178"/>
    <mergeCell ref="B189:Q189"/>
    <mergeCell ref="E190:Q190"/>
    <mergeCell ref="E191:O191"/>
    <mergeCell ref="E205:Q205"/>
    <mergeCell ref="E206:O206"/>
    <mergeCell ref="E94:Q94"/>
    <mergeCell ref="E95:O95"/>
    <mergeCell ref="B150:Q150"/>
    <mergeCell ref="E151:Q151"/>
    <mergeCell ref="E123:O123"/>
    <mergeCell ref="Q123:AA123"/>
    <mergeCell ref="B121:AA121"/>
    <mergeCell ref="B140:Q140"/>
    <mergeCell ref="E141:Q141"/>
    <mergeCell ref="E152:O152"/>
    <mergeCell ref="B103:Q103"/>
    <mergeCell ref="E104:Q104"/>
    <mergeCell ref="E105:O105"/>
    <mergeCell ref="E122:Q122"/>
    <mergeCell ref="E142:O142"/>
    <mergeCell ref="E72:Q72"/>
    <mergeCell ref="E73:O73"/>
    <mergeCell ref="B93:Q93"/>
    <mergeCell ref="B55:Q55"/>
    <mergeCell ref="E56:Q56"/>
    <mergeCell ref="E57:O57"/>
    <mergeCell ref="B41:Q41"/>
    <mergeCell ref="E42:Q42"/>
    <mergeCell ref="E43:O43"/>
    <mergeCell ref="E22:O22"/>
    <mergeCell ref="B71:Q71"/>
    <mergeCell ref="E21:Q21"/>
    <mergeCell ref="B20:Q20"/>
    <mergeCell ref="B33:Q33"/>
    <mergeCell ref="E34:Q34"/>
    <mergeCell ref="E35:O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Feuille Diags</vt:lpstr>
      <vt:lpstr>Devis</vt:lpstr>
      <vt:lpstr>BDD Client</vt:lpstr>
      <vt:lpstr>BDD1</vt:lpstr>
      <vt:lpstr>Grille Base</vt:lpstr>
      <vt:lpstr>Autres Grilles</vt:lpstr>
      <vt:lpstr>Devis!Zone_d_impression</vt:lpstr>
      <vt:lpstr>'Grille Base'!Zone_d_impression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</dc:creator>
  <cp:lastModifiedBy>GK</cp:lastModifiedBy>
  <cp:lastPrinted>2014-03-03T15:58:16Z</cp:lastPrinted>
  <dcterms:created xsi:type="dcterms:W3CDTF">2014-02-11T08:10:32Z</dcterms:created>
  <dcterms:modified xsi:type="dcterms:W3CDTF">2014-03-03T15:59:06Z</dcterms:modified>
</cp:coreProperties>
</file>