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18675" windowHeight="8220" activeTab="2"/>
  </bookViews>
  <sheets>
    <sheet name="bdd" sheetId="1" r:id="rId1"/>
    <sheet name="Feuil2" sheetId="2" r:id="rId2"/>
    <sheet name="grat" sheetId="3" r:id="rId3"/>
  </sheets>
  <functionGroups/>
  <definedNames>
    <definedName name="dominante">bdd!$B$5:$B$16</definedName>
    <definedName name="tab">bdd!$B$5:$Z$16</definedName>
  </definedNames>
  <calcPr calcId="125725"/>
</workbook>
</file>

<file path=xl/calcChain.xml><?xml version="1.0" encoding="utf-8"?>
<calcChain xmlns="http://schemas.openxmlformats.org/spreadsheetml/2006/main">
  <c r="H21" i="3"/>
  <c r="I20" i="1"/>
  <c r="G20"/>
  <c r="H20"/>
  <c r="J20"/>
  <c r="K20"/>
  <c r="L20"/>
  <c r="M20"/>
  <c r="N20"/>
  <c r="O20"/>
  <c r="P20"/>
  <c r="Q20"/>
  <c r="R20"/>
  <c r="S20"/>
  <c r="T20"/>
  <c r="U20"/>
  <c r="V20"/>
  <c r="W20"/>
  <c r="C20"/>
  <c r="D20"/>
  <c r="E20"/>
  <c r="F20"/>
  <c r="AB4"/>
  <c r="H49" i="3"/>
  <c r="F14" s="1"/>
  <c r="H62"/>
  <c r="F12" s="1"/>
  <c r="H75"/>
  <c r="F10" s="1"/>
  <c r="H88"/>
  <c r="F8" s="1"/>
  <c r="G89"/>
  <c r="H89" s="1"/>
  <c r="G76"/>
  <c r="H76" s="1"/>
  <c r="G50"/>
  <c r="H50" s="1"/>
  <c r="H36"/>
  <c r="F16" s="1"/>
  <c r="H23"/>
  <c r="F18" s="1"/>
  <c r="G37"/>
  <c r="H37" s="1"/>
  <c r="C19" i="1"/>
  <c r="C22" s="1"/>
  <c r="D19"/>
  <c r="D22" s="1"/>
  <c r="E19"/>
  <c r="E22" s="1"/>
  <c r="F19"/>
  <c r="F22" s="1"/>
  <c r="G19"/>
  <c r="G22" s="1"/>
  <c r="H19"/>
  <c r="H22" s="1"/>
  <c r="I19"/>
  <c r="I22" s="1"/>
  <c r="J19"/>
  <c r="J22" s="1"/>
  <c r="K19"/>
  <c r="K22" s="1"/>
  <c r="L19"/>
  <c r="L22" s="1"/>
  <c r="M19"/>
  <c r="M22" s="1"/>
  <c r="N19"/>
  <c r="N22" s="1"/>
  <c r="O19"/>
  <c r="O22" s="1"/>
  <c r="P19"/>
  <c r="P22" s="1"/>
  <c r="Q19"/>
  <c r="Q22" s="1"/>
  <c r="R19"/>
  <c r="R22" s="1"/>
  <c r="S19"/>
  <c r="S22" s="1"/>
  <c r="T19"/>
  <c r="T22" s="1"/>
  <c r="U19"/>
  <c r="U22" s="1"/>
  <c r="V19"/>
  <c r="V22" s="1"/>
  <c r="W19"/>
  <c r="W22" s="1"/>
  <c r="X22"/>
  <c r="Y22"/>
  <c r="Z22"/>
  <c r="B19"/>
  <c r="R102" i="3" l="1"/>
  <c r="B22" i="1"/>
  <c r="J36" i="3"/>
  <c r="J62"/>
  <c r="J89"/>
  <c r="J88"/>
  <c r="J76"/>
  <c r="J75"/>
  <c r="J50"/>
  <c r="J49"/>
  <c r="J37"/>
  <c r="G90"/>
  <c r="H90" s="1"/>
  <c r="J90" s="1"/>
  <c r="G77"/>
  <c r="H77" s="1"/>
  <c r="J77" s="1"/>
  <c r="G24"/>
  <c r="H24" s="1"/>
  <c r="J24" s="1"/>
  <c r="G38"/>
  <c r="H38" s="1"/>
  <c r="J38" s="1"/>
  <c r="K36"/>
  <c r="K62"/>
  <c r="K89"/>
  <c r="K88"/>
  <c r="K77"/>
  <c r="K76"/>
  <c r="K75"/>
  <c r="K50"/>
  <c r="K49"/>
  <c r="K38"/>
  <c r="K37"/>
  <c r="K90"/>
  <c r="K24"/>
  <c r="J23" l="1"/>
  <c r="G91"/>
  <c r="H91" s="1"/>
  <c r="J91" s="1"/>
  <c r="G78"/>
  <c r="H78" s="1"/>
  <c r="J78" s="1"/>
  <c r="G25"/>
  <c r="H25" s="1"/>
  <c r="J25" s="1"/>
  <c r="G39"/>
  <c r="H39" s="1"/>
  <c r="J39" s="1"/>
  <c r="K23"/>
  <c r="K39"/>
  <c r="K78"/>
  <c r="K91"/>
  <c r="K25"/>
  <c r="G92" l="1"/>
  <c r="H92" s="1"/>
  <c r="J92" s="1"/>
  <c r="G79"/>
  <c r="H79" s="1"/>
  <c r="J79" s="1"/>
  <c r="G26"/>
  <c r="H26" s="1"/>
  <c r="J26" s="1"/>
  <c r="G40"/>
  <c r="H40" s="1"/>
  <c r="J40" s="1"/>
  <c r="K40"/>
  <c r="K79"/>
  <c r="K92"/>
  <c r="K26"/>
  <c r="G93" l="1"/>
  <c r="H93" s="1"/>
  <c r="J93" s="1"/>
  <c r="G80"/>
  <c r="H80" s="1"/>
  <c r="J80" s="1"/>
  <c r="G27"/>
  <c r="H27" s="1"/>
  <c r="J27" s="1"/>
  <c r="G41"/>
  <c r="H41" s="1"/>
  <c r="J41" s="1"/>
  <c r="K41"/>
  <c r="K80"/>
  <c r="K93"/>
  <c r="K27"/>
  <c r="G94" l="1"/>
  <c r="H94" s="1"/>
  <c r="J94" s="1"/>
  <c r="G81"/>
  <c r="H81" s="1"/>
  <c r="J81" s="1"/>
  <c r="G28"/>
  <c r="H28" s="1"/>
  <c r="J28" s="1"/>
  <c r="G42"/>
  <c r="H42" s="1"/>
  <c r="J42" s="1"/>
  <c r="K42"/>
  <c r="K81"/>
  <c r="K94"/>
  <c r="K28"/>
  <c r="G95" l="1"/>
  <c r="H95" s="1"/>
  <c r="J95" s="1"/>
  <c r="G82"/>
  <c r="H82" s="1"/>
  <c r="J82" s="1"/>
  <c r="G29"/>
  <c r="H29" s="1"/>
  <c r="J29" s="1"/>
  <c r="G43"/>
  <c r="H43" s="1"/>
  <c r="J43" s="1"/>
  <c r="K43"/>
  <c r="K82"/>
  <c r="K95"/>
  <c r="K29"/>
  <c r="G96" l="1"/>
  <c r="H96" s="1"/>
  <c r="J96" s="1"/>
  <c r="G83"/>
  <c r="H83" s="1"/>
  <c r="J83" s="1"/>
  <c r="G30"/>
  <c r="H30" s="1"/>
  <c r="J30" s="1"/>
  <c r="G44"/>
  <c r="H44" s="1"/>
  <c r="J44" s="1"/>
  <c r="G51"/>
  <c r="H51" s="1"/>
  <c r="J51" s="1"/>
  <c r="K51"/>
  <c r="K44"/>
  <c r="K83"/>
  <c r="K96"/>
  <c r="K30"/>
  <c r="G97" l="1"/>
  <c r="H97" s="1"/>
  <c r="J97" s="1"/>
  <c r="G84"/>
  <c r="H84" s="1"/>
  <c r="J84" s="1"/>
  <c r="G31"/>
  <c r="H31" s="1"/>
  <c r="J31" s="1"/>
  <c r="G52"/>
  <c r="H52" s="1"/>
  <c r="J52" s="1"/>
  <c r="G45"/>
  <c r="H45" s="1"/>
  <c r="J45" s="1"/>
  <c r="K52"/>
  <c r="K45"/>
  <c r="K84"/>
  <c r="K97"/>
  <c r="K31"/>
  <c r="G98" l="1"/>
  <c r="H98" s="1"/>
  <c r="J98" s="1"/>
  <c r="G85"/>
  <c r="H85" s="1"/>
  <c r="J85" s="1"/>
  <c r="G32"/>
  <c r="H32" s="1"/>
  <c r="J32" s="1"/>
  <c r="G46"/>
  <c r="H46" s="1"/>
  <c r="J46" s="1"/>
  <c r="G53"/>
  <c r="H53" s="1"/>
  <c r="J53" s="1"/>
  <c r="K53"/>
  <c r="K46"/>
  <c r="K85"/>
  <c r="K98"/>
  <c r="K32"/>
  <c r="G99" l="1"/>
  <c r="H99" s="1"/>
  <c r="J99" s="1"/>
  <c r="G86"/>
  <c r="H86" s="1"/>
  <c r="J86" s="1"/>
  <c r="G33"/>
  <c r="G54"/>
  <c r="H54" s="1"/>
  <c r="J54" s="1"/>
  <c r="G47"/>
  <c r="H47" s="1"/>
  <c r="J47" s="1"/>
  <c r="K54"/>
  <c r="K47"/>
  <c r="K86"/>
  <c r="K99"/>
  <c r="H33" l="1"/>
  <c r="J33" s="1"/>
  <c r="G100"/>
  <c r="H100" s="1"/>
  <c r="J100" s="1"/>
  <c r="G87"/>
  <c r="H87" s="1"/>
  <c r="J87" s="1"/>
  <c r="G34"/>
  <c r="H34" s="1"/>
  <c r="J34" s="1"/>
  <c r="G48"/>
  <c r="H48" s="1"/>
  <c r="J48" s="1"/>
  <c r="G55"/>
  <c r="H55" s="1"/>
  <c r="J55" s="1"/>
  <c r="K33"/>
  <c r="K55"/>
  <c r="K48"/>
  <c r="K87"/>
  <c r="K100"/>
  <c r="K34"/>
  <c r="G35" l="1"/>
  <c r="H35" s="1"/>
  <c r="J35" s="1"/>
  <c r="G63"/>
  <c r="H63" s="1"/>
  <c r="J63" s="1"/>
  <c r="G56"/>
  <c r="H56" s="1"/>
  <c r="J56" s="1"/>
  <c r="K56"/>
  <c r="K35"/>
  <c r="K63"/>
  <c r="G57" l="1"/>
  <c r="H57" s="1"/>
  <c r="J57" s="1"/>
  <c r="G64"/>
  <c r="H64" s="1"/>
  <c r="J64" s="1"/>
  <c r="K57"/>
  <c r="K64"/>
  <c r="G65" l="1"/>
  <c r="H65" s="1"/>
  <c r="J65" s="1"/>
  <c r="G58"/>
  <c r="H58" s="1"/>
  <c r="J58" s="1"/>
  <c r="K58"/>
  <c r="K65"/>
  <c r="G59" l="1"/>
  <c r="H59" s="1"/>
  <c r="J59" s="1"/>
  <c r="G66"/>
  <c r="H66" s="1"/>
  <c r="J66" s="1"/>
  <c r="K59"/>
  <c r="K66"/>
  <c r="G67" l="1"/>
  <c r="H67" s="1"/>
  <c r="J67" s="1"/>
  <c r="G60"/>
  <c r="H60" s="1"/>
  <c r="J60" s="1"/>
  <c r="K60"/>
  <c r="K67"/>
  <c r="G61" l="1"/>
  <c r="H61" s="1"/>
  <c r="J61" s="1"/>
  <c r="G68"/>
  <c r="H68" s="1"/>
  <c r="J68" s="1"/>
  <c r="K61"/>
  <c r="K68"/>
  <c r="G69" l="1"/>
  <c r="H69" s="1"/>
  <c r="J69" s="1"/>
  <c r="K69"/>
  <c r="G70" l="1"/>
  <c r="H70" s="1"/>
  <c r="J70" s="1"/>
  <c r="K70"/>
  <c r="G71" l="1"/>
  <c r="H71" s="1"/>
  <c r="J71" s="1"/>
  <c r="K71"/>
  <c r="G72" l="1"/>
  <c r="H72" s="1"/>
  <c r="J72" s="1"/>
  <c r="K72"/>
  <c r="G73" l="1"/>
  <c r="H73" s="1"/>
  <c r="J73" s="1"/>
  <c r="K73"/>
  <c r="G74" l="1"/>
  <c r="H74" s="1"/>
  <c r="J74" s="1"/>
  <c r="K74"/>
</calcChain>
</file>

<file path=xl/sharedStrings.xml><?xml version="1.0" encoding="utf-8"?>
<sst xmlns="http://schemas.openxmlformats.org/spreadsheetml/2006/main" count="358" uniqueCount="50">
  <si>
    <t>dominante</t>
  </si>
  <si>
    <t>min</t>
  </si>
  <si>
    <t>maj</t>
  </si>
  <si>
    <t>7maj</t>
  </si>
  <si>
    <t>oct</t>
  </si>
  <si>
    <t>Do</t>
  </si>
  <si>
    <t>Do#</t>
  </si>
  <si>
    <t>Ré</t>
  </si>
  <si>
    <t>Ré#</t>
  </si>
  <si>
    <t>Mi</t>
  </si>
  <si>
    <t>Fa</t>
  </si>
  <si>
    <t>Fa#</t>
  </si>
  <si>
    <t>Sol</t>
  </si>
  <si>
    <t>Sol#</t>
  </si>
  <si>
    <t>La</t>
  </si>
  <si>
    <t>La#</t>
  </si>
  <si>
    <t>Si</t>
  </si>
  <si>
    <t>Dominante</t>
  </si>
  <si>
    <t>5b</t>
  </si>
  <si>
    <t>5#</t>
  </si>
  <si>
    <t>2b</t>
  </si>
  <si>
    <t>9b</t>
  </si>
  <si>
    <t>9#</t>
  </si>
  <si>
    <t>11b</t>
  </si>
  <si>
    <t>11#</t>
  </si>
  <si>
    <t>13B</t>
  </si>
  <si>
    <t>13#</t>
  </si>
  <si>
    <t>mi</t>
  </si>
  <si>
    <t>fa</t>
  </si>
  <si>
    <t>sol</t>
  </si>
  <si>
    <t>la</t>
  </si>
  <si>
    <t>fa#</t>
  </si>
  <si>
    <t>sol#</t>
  </si>
  <si>
    <t>la#</t>
  </si>
  <si>
    <t>si</t>
  </si>
  <si>
    <t>do</t>
  </si>
  <si>
    <t>do#</t>
  </si>
  <si>
    <t>accordage</t>
  </si>
  <si>
    <t>13b</t>
  </si>
  <si>
    <t>ré</t>
  </si>
  <si>
    <t>ré#</t>
  </si>
  <si>
    <t>I</t>
  </si>
  <si>
    <t>II</t>
  </si>
  <si>
    <t>III</t>
  </si>
  <si>
    <t>IV</t>
  </si>
  <si>
    <t>V</t>
  </si>
  <si>
    <t>VI</t>
  </si>
  <si>
    <t>VII</t>
  </si>
  <si>
    <t>Fondamental</t>
  </si>
  <si>
    <t>x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</si>
</sst>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6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2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horizontal="center" vertical="center"/>
    </xf>
    <xf numFmtId="49" fontId="0" fillId="0" borderId="1" xfId="0" applyNumberFormat="1" applyBorder="1" applyAlignment="1">
      <alignment horizontal="center" textRotation="90"/>
    </xf>
    <xf numFmtId="0" fontId="2" fillId="0" borderId="1" xfId="0" applyFont="1" applyBorder="1" applyAlignment="1">
      <alignment horizontal="center"/>
    </xf>
    <xf numFmtId="0" fontId="0" fillId="0" borderId="1" xfId="0" applyNumberFormat="1" applyBorder="1" applyAlignment="1">
      <alignment horizontal="center" textRotation="90"/>
    </xf>
    <xf numFmtId="0" fontId="0" fillId="0" borderId="0" xfId="0" applyAlignment="1">
      <alignment horizontal="left"/>
    </xf>
    <xf numFmtId="49" fontId="0" fillId="2" borderId="1" xfId="0" applyNumberFormat="1" applyFill="1" applyBorder="1" applyAlignment="1">
      <alignment horizontal="center" textRotation="90"/>
    </xf>
    <xf numFmtId="49" fontId="0" fillId="3" borderId="1" xfId="0" applyNumberFormat="1" applyFill="1" applyBorder="1" applyAlignment="1">
      <alignment horizontal="center" textRotation="90"/>
    </xf>
    <xf numFmtId="49" fontId="0" fillId="4" borderId="1" xfId="0" applyNumberFormat="1" applyFill="1" applyBorder="1" applyAlignment="1">
      <alignment horizontal="center" textRotation="90"/>
    </xf>
    <xf numFmtId="0" fontId="0" fillId="4" borderId="1" xfId="0" applyNumberFormat="1" applyFill="1" applyBorder="1" applyAlignment="1">
      <alignment horizontal="center" textRotation="90"/>
    </xf>
    <xf numFmtId="0" fontId="0" fillId="3" borderId="1" xfId="0" applyNumberFormat="1" applyFill="1" applyBorder="1" applyAlignment="1">
      <alignment horizontal="center" textRotation="90"/>
    </xf>
    <xf numFmtId="0" fontId="0" fillId="6" borderId="1" xfId="0" applyNumberFormat="1" applyFill="1" applyBorder="1" applyAlignment="1">
      <alignment horizontal="center" textRotation="90"/>
    </xf>
    <xf numFmtId="49" fontId="0" fillId="6" borderId="1" xfId="0" applyNumberFormat="1" applyFill="1" applyBorder="1" applyAlignment="1">
      <alignment horizontal="center" textRotation="90"/>
    </xf>
    <xf numFmtId="49" fontId="0" fillId="7" borderId="1" xfId="0" applyNumberFormat="1" applyFill="1" applyBorder="1" applyAlignment="1">
      <alignment horizontal="center" textRotation="90"/>
    </xf>
    <xf numFmtId="49" fontId="0" fillId="8" borderId="1" xfId="0" applyNumberFormat="1" applyFill="1" applyBorder="1" applyAlignment="1">
      <alignment horizontal="center" textRotation="90"/>
    </xf>
    <xf numFmtId="0" fontId="0" fillId="8" borderId="1" xfId="0" applyNumberFormat="1" applyFill="1" applyBorder="1" applyAlignment="1">
      <alignment horizontal="center" textRotation="90"/>
    </xf>
    <xf numFmtId="0" fontId="0" fillId="0" borderId="1" xfId="0" applyBorder="1"/>
    <xf numFmtId="0" fontId="0" fillId="11" borderId="2" xfId="0" applyFill="1" applyBorder="1"/>
    <xf numFmtId="0" fontId="0" fillId="13" borderId="1" xfId="0" applyFill="1" applyBorder="1"/>
    <xf numFmtId="0" fontId="0" fillId="13" borderId="4" xfId="0" applyFill="1" applyBorder="1"/>
    <xf numFmtId="0" fontId="0" fillId="9" borderId="1" xfId="0" applyFill="1" applyBorder="1"/>
    <xf numFmtId="0" fontId="0" fillId="10" borderId="0" xfId="0" applyFill="1"/>
    <xf numFmtId="0" fontId="0" fillId="11" borderId="0" xfId="0" applyFill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2" fillId="0" borderId="1" xfId="0" applyFont="1" applyFill="1" applyBorder="1" applyAlignment="1">
      <alignment horizontal="center"/>
    </xf>
    <xf numFmtId="0" fontId="0" fillId="0" borderId="8" xfId="0" applyBorder="1"/>
    <xf numFmtId="0" fontId="0" fillId="0" borderId="0" xfId="0" applyAlignment="1">
      <alignment horizontal="right"/>
    </xf>
    <xf numFmtId="0" fontId="3" fillId="0" borderId="0" xfId="0" applyFont="1"/>
    <xf numFmtId="0" fontId="0" fillId="4" borderId="0" xfId="0" applyFill="1" applyBorder="1"/>
    <xf numFmtId="0" fontId="0" fillId="4" borderId="0" xfId="0" applyFill="1" applyBorder="1" applyAlignment="1">
      <alignment textRotation="90"/>
    </xf>
    <xf numFmtId="0" fontId="0" fillId="11" borderId="1" xfId="0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49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3" fillId="0" borderId="0" xfId="0" applyFont="1" applyAlignment="1">
      <alignment horizontal="center"/>
    </xf>
    <xf numFmtId="0" fontId="0" fillId="4" borderId="5" xfId="0" applyFill="1" applyBorder="1"/>
    <xf numFmtId="0" fontId="0" fillId="4" borderId="6" xfId="0" applyFill="1" applyBorder="1"/>
    <xf numFmtId="49" fontId="0" fillId="4" borderId="6" xfId="0" applyNumberForma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6" xfId="0" applyNumberFormat="1" applyFill="1" applyBorder="1" applyAlignment="1">
      <alignment horizontal="center"/>
    </xf>
    <xf numFmtId="49" fontId="0" fillId="4" borderId="7" xfId="0" applyNumberForma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0" fillId="4" borderId="0" xfId="0" applyFill="1"/>
    <xf numFmtId="0" fontId="0" fillId="4" borderId="0" xfId="0" applyFill="1" applyAlignment="1">
      <alignment textRotation="90"/>
    </xf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7" borderId="1" xfId="0" applyNumberFormat="1" applyFill="1" applyBorder="1" applyAlignment="1">
      <alignment horizontal="center" textRotation="90"/>
    </xf>
    <xf numFmtId="0" fontId="0" fillId="2" borderId="1" xfId="0" applyNumberFormat="1" applyFill="1" applyBorder="1" applyAlignment="1">
      <alignment horizontal="center" textRotation="90"/>
    </xf>
    <xf numFmtId="0" fontId="0" fillId="5" borderId="1" xfId="0" applyNumberFormat="1" applyFill="1" applyBorder="1" applyAlignment="1">
      <alignment horizontal="center" textRotation="90"/>
    </xf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104776</xdr:colOff>
      <xdr:row>15</xdr:row>
      <xdr:rowOff>114300</xdr:rowOff>
    </xdr:from>
    <xdr:to>
      <xdr:col>12</xdr:col>
      <xdr:colOff>95250</xdr:colOff>
      <xdr:row>17</xdr:row>
      <xdr:rowOff>66675</xdr:rowOff>
    </xdr:to>
    <xdr:sp macro="" textlink="">
      <xdr:nvSpPr>
        <xdr:cNvPr id="2" name="Ellipse 1"/>
        <xdr:cNvSpPr/>
      </xdr:nvSpPr>
      <xdr:spPr>
        <a:xfrm>
          <a:off x="2009776" y="2257425"/>
          <a:ext cx="180974" cy="190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104776</xdr:colOff>
      <xdr:row>15</xdr:row>
      <xdr:rowOff>123825</xdr:rowOff>
    </xdr:from>
    <xdr:to>
      <xdr:col>16</xdr:col>
      <xdr:colOff>95250</xdr:colOff>
      <xdr:row>17</xdr:row>
      <xdr:rowOff>76200</xdr:rowOff>
    </xdr:to>
    <xdr:sp macro="" textlink="">
      <xdr:nvSpPr>
        <xdr:cNvPr id="3" name="Ellipse 2" hidden="1"/>
        <xdr:cNvSpPr/>
      </xdr:nvSpPr>
      <xdr:spPr>
        <a:xfrm>
          <a:off x="2647951" y="2266950"/>
          <a:ext cx="180974" cy="190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95251</xdr:colOff>
      <xdr:row>15</xdr:row>
      <xdr:rowOff>123825</xdr:rowOff>
    </xdr:from>
    <xdr:to>
      <xdr:col>21</xdr:col>
      <xdr:colOff>104775</xdr:colOff>
      <xdr:row>17</xdr:row>
      <xdr:rowOff>76200</xdr:rowOff>
    </xdr:to>
    <xdr:sp macro="" textlink="">
      <xdr:nvSpPr>
        <xdr:cNvPr id="4" name="Ellipse 3" hidden="1"/>
        <xdr:cNvSpPr/>
      </xdr:nvSpPr>
      <xdr:spPr>
        <a:xfrm>
          <a:off x="3448051" y="2266950"/>
          <a:ext cx="180974" cy="190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104776</xdr:colOff>
      <xdr:row>15</xdr:row>
      <xdr:rowOff>123825</xdr:rowOff>
    </xdr:from>
    <xdr:to>
      <xdr:col>26</xdr:col>
      <xdr:colOff>114300</xdr:colOff>
      <xdr:row>17</xdr:row>
      <xdr:rowOff>76200</xdr:rowOff>
    </xdr:to>
    <xdr:sp macro="" textlink="">
      <xdr:nvSpPr>
        <xdr:cNvPr id="5" name="Ellipse 4" hidden="1"/>
        <xdr:cNvSpPr/>
      </xdr:nvSpPr>
      <xdr:spPr>
        <a:xfrm>
          <a:off x="4210051" y="2266950"/>
          <a:ext cx="180974" cy="190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76201</xdr:colOff>
      <xdr:row>15</xdr:row>
      <xdr:rowOff>133350</xdr:rowOff>
    </xdr:from>
    <xdr:to>
      <xdr:col>31</xdr:col>
      <xdr:colOff>85725</xdr:colOff>
      <xdr:row>17</xdr:row>
      <xdr:rowOff>85725</xdr:rowOff>
    </xdr:to>
    <xdr:sp macro="" textlink="">
      <xdr:nvSpPr>
        <xdr:cNvPr id="6" name="Ellipse 5" hidden="1"/>
        <xdr:cNvSpPr/>
      </xdr:nvSpPr>
      <xdr:spPr>
        <a:xfrm>
          <a:off x="4933951" y="2276475"/>
          <a:ext cx="180974" cy="190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95251</xdr:colOff>
      <xdr:row>15</xdr:row>
      <xdr:rowOff>133350</xdr:rowOff>
    </xdr:from>
    <xdr:to>
      <xdr:col>36</xdr:col>
      <xdr:colOff>104775</xdr:colOff>
      <xdr:row>17</xdr:row>
      <xdr:rowOff>85725</xdr:rowOff>
    </xdr:to>
    <xdr:sp macro="" textlink="">
      <xdr:nvSpPr>
        <xdr:cNvPr id="7" name="Ellipse 6"/>
        <xdr:cNvSpPr/>
      </xdr:nvSpPr>
      <xdr:spPr>
        <a:xfrm>
          <a:off x="5705476" y="2276475"/>
          <a:ext cx="180974" cy="190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40</xdr:col>
      <xdr:colOff>57151</xdr:colOff>
      <xdr:row>15</xdr:row>
      <xdr:rowOff>114300</xdr:rowOff>
    </xdr:from>
    <xdr:to>
      <xdr:col>41</xdr:col>
      <xdr:colOff>66675</xdr:colOff>
      <xdr:row>17</xdr:row>
      <xdr:rowOff>66675</xdr:rowOff>
    </xdr:to>
    <xdr:sp macro="" textlink="">
      <xdr:nvSpPr>
        <xdr:cNvPr id="8" name="Ellipse 7" hidden="1"/>
        <xdr:cNvSpPr/>
      </xdr:nvSpPr>
      <xdr:spPr>
        <a:xfrm>
          <a:off x="6419851" y="2257425"/>
          <a:ext cx="180974" cy="190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45</xdr:col>
      <xdr:colOff>76201</xdr:colOff>
      <xdr:row>15</xdr:row>
      <xdr:rowOff>123825</xdr:rowOff>
    </xdr:from>
    <xdr:to>
      <xdr:col>46</xdr:col>
      <xdr:colOff>85725</xdr:colOff>
      <xdr:row>17</xdr:row>
      <xdr:rowOff>76200</xdr:rowOff>
    </xdr:to>
    <xdr:sp macro="" textlink="">
      <xdr:nvSpPr>
        <xdr:cNvPr id="9" name="Ellipse 8" hidden="1"/>
        <xdr:cNvSpPr/>
      </xdr:nvSpPr>
      <xdr:spPr>
        <a:xfrm>
          <a:off x="7191376" y="2266950"/>
          <a:ext cx="180974" cy="190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50</xdr:col>
      <xdr:colOff>66676</xdr:colOff>
      <xdr:row>15</xdr:row>
      <xdr:rowOff>133350</xdr:rowOff>
    </xdr:from>
    <xdr:to>
      <xdr:col>51</xdr:col>
      <xdr:colOff>95250</xdr:colOff>
      <xdr:row>17</xdr:row>
      <xdr:rowOff>85725</xdr:rowOff>
    </xdr:to>
    <xdr:sp macro="" textlink="">
      <xdr:nvSpPr>
        <xdr:cNvPr id="10" name="Ellipse 9"/>
        <xdr:cNvSpPr/>
      </xdr:nvSpPr>
      <xdr:spPr>
        <a:xfrm>
          <a:off x="7915276" y="2276475"/>
          <a:ext cx="180974" cy="190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55</xdr:col>
      <xdr:colOff>47626</xdr:colOff>
      <xdr:row>15</xdr:row>
      <xdr:rowOff>142875</xdr:rowOff>
    </xdr:from>
    <xdr:to>
      <xdr:col>56</xdr:col>
      <xdr:colOff>85725</xdr:colOff>
      <xdr:row>17</xdr:row>
      <xdr:rowOff>95250</xdr:rowOff>
    </xdr:to>
    <xdr:sp macro="" textlink="">
      <xdr:nvSpPr>
        <xdr:cNvPr id="11" name="Ellipse 10" hidden="1"/>
        <xdr:cNvSpPr/>
      </xdr:nvSpPr>
      <xdr:spPr>
        <a:xfrm>
          <a:off x="8562976" y="2286000"/>
          <a:ext cx="180974" cy="190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60</xdr:col>
      <xdr:colOff>28576</xdr:colOff>
      <xdr:row>15</xdr:row>
      <xdr:rowOff>133350</xdr:rowOff>
    </xdr:from>
    <xdr:to>
      <xdr:col>61</xdr:col>
      <xdr:colOff>85725</xdr:colOff>
      <xdr:row>17</xdr:row>
      <xdr:rowOff>85725</xdr:rowOff>
    </xdr:to>
    <xdr:sp macro="" textlink="">
      <xdr:nvSpPr>
        <xdr:cNvPr id="12" name="Ellipse 11" hidden="1"/>
        <xdr:cNvSpPr/>
      </xdr:nvSpPr>
      <xdr:spPr>
        <a:xfrm>
          <a:off x="9163051" y="2276475"/>
          <a:ext cx="180974" cy="190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65</xdr:col>
      <xdr:colOff>28576</xdr:colOff>
      <xdr:row>15</xdr:row>
      <xdr:rowOff>142875</xdr:rowOff>
    </xdr:from>
    <xdr:to>
      <xdr:col>66</xdr:col>
      <xdr:colOff>95250</xdr:colOff>
      <xdr:row>17</xdr:row>
      <xdr:rowOff>95250</xdr:rowOff>
    </xdr:to>
    <xdr:sp macro="" textlink="">
      <xdr:nvSpPr>
        <xdr:cNvPr id="13" name="Ellipse 12" hidden="1"/>
        <xdr:cNvSpPr/>
      </xdr:nvSpPr>
      <xdr:spPr>
        <a:xfrm>
          <a:off x="9715501" y="2286000"/>
          <a:ext cx="180974" cy="190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69</xdr:col>
      <xdr:colOff>66676</xdr:colOff>
      <xdr:row>15</xdr:row>
      <xdr:rowOff>133350</xdr:rowOff>
    </xdr:from>
    <xdr:to>
      <xdr:col>72</xdr:col>
      <xdr:colOff>19050</xdr:colOff>
      <xdr:row>17</xdr:row>
      <xdr:rowOff>85725</xdr:rowOff>
    </xdr:to>
    <xdr:sp macro="" textlink="">
      <xdr:nvSpPr>
        <xdr:cNvPr id="14" name="Ellipse 13"/>
        <xdr:cNvSpPr/>
      </xdr:nvSpPr>
      <xdr:spPr>
        <a:xfrm>
          <a:off x="10163176" y="2276475"/>
          <a:ext cx="180974" cy="190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95251</xdr:colOff>
      <xdr:row>13</xdr:row>
      <xdr:rowOff>90854</xdr:rowOff>
    </xdr:from>
    <xdr:to>
      <xdr:col>12</xdr:col>
      <xdr:colOff>85725</xdr:colOff>
      <xdr:row>15</xdr:row>
      <xdr:rowOff>43229</xdr:rowOff>
    </xdr:to>
    <xdr:sp macro="" textlink="">
      <xdr:nvSpPr>
        <xdr:cNvPr id="15" name="Ellipse 14"/>
        <xdr:cNvSpPr/>
      </xdr:nvSpPr>
      <xdr:spPr>
        <a:xfrm>
          <a:off x="2000251" y="2010508"/>
          <a:ext cx="180974" cy="1941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95251</xdr:colOff>
      <xdr:row>13</xdr:row>
      <xdr:rowOff>100379</xdr:rowOff>
    </xdr:from>
    <xdr:to>
      <xdr:col>16</xdr:col>
      <xdr:colOff>85725</xdr:colOff>
      <xdr:row>15</xdr:row>
      <xdr:rowOff>52754</xdr:rowOff>
    </xdr:to>
    <xdr:sp macro="" textlink="">
      <xdr:nvSpPr>
        <xdr:cNvPr id="16" name="Ellipse 15" hidden="1"/>
        <xdr:cNvSpPr/>
      </xdr:nvSpPr>
      <xdr:spPr>
        <a:xfrm>
          <a:off x="2637693" y="2020033"/>
          <a:ext cx="180974" cy="1941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85726</xdr:colOff>
      <xdr:row>13</xdr:row>
      <xdr:rowOff>100379</xdr:rowOff>
    </xdr:from>
    <xdr:to>
      <xdr:col>21</xdr:col>
      <xdr:colOff>95250</xdr:colOff>
      <xdr:row>15</xdr:row>
      <xdr:rowOff>52754</xdr:rowOff>
    </xdr:to>
    <xdr:sp macro="" textlink="">
      <xdr:nvSpPr>
        <xdr:cNvPr id="17" name="Ellipse 16" hidden="1"/>
        <xdr:cNvSpPr/>
      </xdr:nvSpPr>
      <xdr:spPr>
        <a:xfrm>
          <a:off x="3434130" y="2020033"/>
          <a:ext cx="178043" cy="1941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95251</xdr:colOff>
      <xdr:row>13</xdr:row>
      <xdr:rowOff>100379</xdr:rowOff>
    </xdr:from>
    <xdr:to>
      <xdr:col>26</xdr:col>
      <xdr:colOff>104775</xdr:colOff>
      <xdr:row>15</xdr:row>
      <xdr:rowOff>52754</xdr:rowOff>
    </xdr:to>
    <xdr:sp macro="" textlink="">
      <xdr:nvSpPr>
        <xdr:cNvPr id="18" name="Ellipse 17"/>
        <xdr:cNvSpPr/>
      </xdr:nvSpPr>
      <xdr:spPr>
        <a:xfrm>
          <a:off x="4183674" y="2020033"/>
          <a:ext cx="178043" cy="1941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66676</xdr:colOff>
      <xdr:row>13</xdr:row>
      <xdr:rowOff>109904</xdr:rowOff>
    </xdr:from>
    <xdr:to>
      <xdr:col>31</xdr:col>
      <xdr:colOff>76200</xdr:colOff>
      <xdr:row>15</xdr:row>
      <xdr:rowOff>62279</xdr:rowOff>
    </xdr:to>
    <xdr:sp macro="" textlink="">
      <xdr:nvSpPr>
        <xdr:cNvPr id="19" name="Ellipse 18" hidden="1"/>
        <xdr:cNvSpPr/>
      </xdr:nvSpPr>
      <xdr:spPr>
        <a:xfrm>
          <a:off x="4895118" y="2029558"/>
          <a:ext cx="178044" cy="1941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85726</xdr:colOff>
      <xdr:row>13</xdr:row>
      <xdr:rowOff>109904</xdr:rowOff>
    </xdr:from>
    <xdr:to>
      <xdr:col>36</xdr:col>
      <xdr:colOff>95250</xdr:colOff>
      <xdr:row>15</xdr:row>
      <xdr:rowOff>62279</xdr:rowOff>
    </xdr:to>
    <xdr:sp macro="" textlink="">
      <xdr:nvSpPr>
        <xdr:cNvPr id="20" name="Ellipse 19" hidden="1"/>
        <xdr:cNvSpPr/>
      </xdr:nvSpPr>
      <xdr:spPr>
        <a:xfrm>
          <a:off x="5654188" y="2029558"/>
          <a:ext cx="178043" cy="1941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40</xdr:col>
      <xdr:colOff>47626</xdr:colOff>
      <xdr:row>13</xdr:row>
      <xdr:rowOff>90854</xdr:rowOff>
    </xdr:from>
    <xdr:to>
      <xdr:col>41</xdr:col>
      <xdr:colOff>57150</xdr:colOff>
      <xdr:row>15</xdr:row>
      <xdr:rowOff>43229</xdr:rowOff>
    </xdr:to>
    <xdr:sp macro="" textlink="">
      <xdr:nvSpPr>
        <xdr:cNvPr id="21" name="Ellipse 20" hidden="1"/>
        <xdr:cNvSpPr/>
      </xdr:nvSpPr>
      <xdr:spPr>
        <a:xfrm>
          <a:off x="6356107" y="2010508"/>
          <a:ext cx="178043" cy="1941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45</xdr:col>
      <xdr:colOff>66676</xdr:colOff>
      <xdr:row>13</xdr:row>
      <xdr:rowOff>100379</xdr:rowOff>
    </xdr:from>
    <xdr:to>
      <xdr:col>46</xdr:col>
      <xdr:colOff>76200</xdr:colOff>
      <xdr:row>15</xdr:row>
      <xdr:rowOff>52754</xdr:rowOff>
    </xdr:to>
    <xdr:sp macro="" textlink="">
      <xdr:nvSpPr>
        <xdr:cNvPr id="22" name="Ellipse 21"/>
        <xdr:cNvSpPr/>
      </xdr:nvSpPr>
      <xdr:spPr>
        <a:xfrm>
          <a:off x="7115176" y="2020033"/>
          <a:ext cx="178043" cy="1941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50</xdr:col>
      <xdr:colOff>57151</xdr:colOff>
      <xdr:row>13</xdr:row>
      <xdr:rowOff>109904</xdr:rowOff>
    </xdr:from>
    <xdr:to>
      <xdr:col>51</xdr:col>
      <xdr:colOff>85725</xdr:colOff>
      <xdr:row>15</xdr:row>
      <xdr:rowOff>62279</xdr:rowOff>
    </xdr:to>
    <xdr:sp macro="" textlink="">
      <xdr:nvSpPr>
        <xdr:cNvPr id="23" name="Ellipse 22" hidden="1"/>
        <xdr:cNvSpPr/>
      </xdr:nvSpPr>
      <xdr:spPr>
        <a:xfrm>
          <a:off x="7831016" y="2029558"/>
          <a:ext cx="182440" cy="1941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55</xdr:col>
      <xdr:colOff>38101</xdr:colOff>
      <xdr:row>13</xdr:row>
      <xdr:rowOff>119429</xdr:rowOff>
    </xdr:from>
    <xdr:to>
      <xdr:col>56</xdr:col>
      <xdr:colOff>76200</xdr:colOff>
      <xdr:row>15</xdr:row>
      <xdr:rowOff>71804</xdr:rowOff>
    </xdr:to>
    <xdr:sp macro="" textlink="">
      <xdr:nvSpPr>
        <xdr:cNvPr id="24" name="Ellipse 23" hidden="1"/>
        <xdr:cNvSpPr/>
      </xdr:nvSpPr>
      <xdr:spPr>
        <a:xfrm>
          <a:off x="8486043" y="2039083"/>
          <a:ext cx="184638" cy="1941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60</xdr:col>
      <xdr:colOff>19051</xdr:colOff>
      <xdr:row>13</xdr:row>
      <xdr:rowOff>109904</xdr:rowOff>
    </xdr:from>
    <xdr:to>
      <xdr:col>61</xdr:col>
      <xdr:colOff>76200</xdr:colOff>
      <xdr:row>15</xdr:row>
      <xdr:rowOff>62279</xdr:rowOff>
    </xdr:to>
    <xdr:sp macro="" textlink="">
      <xdr:nvSpPr>
        <xdr:cNvPr id="25" name="Ellipse 24" hidden="1"/>
        <xdr:cNvSpPr/>
      </xdr:nvSpPr>
      <xdr:spPr>
        <a:xfrm>
          <a:off x="9097109" y="2029558"/>
          <a:ext cx="181706" cy="1941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65</xdr:col>
      <xdr:colOff>19051</xdr:colOff>
      <xdr:row>13</xdr:row>
      <xdr:rowOff>119429</xdr:rowOff>
    </xdr:from>
    <xdr:to>
      <xdr:col>66</xdr:col>
      <xdr:colOff>85725</xdr:colOff>
      <xdr:row>15</xdr:row>
      <xdr:rowOff>71804</xdr:rowOff>
    </xdr:to>
    <xdr:sp macro="" textlink="">
      <xdr:nvSpPr>
        <xdr:cNvPr id="26" name="Ellipse 25" hidden="1"/>
        <xdr:cNvSpPr/>
      </xdr:nvSpPr>
      <xdr:spPr>
        <a:xfrm>
          <a:off x="9653955" y="2039083"/>
          <a:ext cx="183905" cy="1941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69</xdr:col>
      <xdr:colOff>57151</xdr:colOff>
      <xdr:row>13</xdr:row>
      <xdr:rowOff>109904</xdr:rowOff>
    </xdr:from>
    <xdr:to>
      <xdr:col>72</xdr:col>
      <xdr:colOff>9525</xdr:colOff>
      <xdr:row>15</xdr:row>
      <xdr:rowOff>62279</xdr:rowOff>
    </xdr:to>
    <xdr:sp macro="" textlink="">
      <xdr:nvSpPr>
        <xdr:cNvPr id="27" name="Ellipse 26"/>
        <xdr:cNvSpPr/>
      </xdr:nvSpPr>
      <xdr:spPr>
        <a:xfrm>
          <a:off x="10109689" y="2029558"/>
          <a:ext cx="172182" cy="19416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102577</xdr:colOff>
      <xdr:row>11</xdr:row>
      <xdr:rowOff>87923</xdr:rowOff>
    </xdr:from>
    <xdr:to>
      <xdr:col>12</xdr:col>
      <xdr:colOff>93051</xdr:colOff>
      <xdr:row>13</xdr:row>
      <xdr:rowOff>40298</xdr:rowOff>
    </xdr:to>
    <xdr:sp macro="" textlink="">
      <xdr:nvSpPr>
        <xdr:cNvPr id="28" name="Ellipse 27" hidden="1"/>
        <xdr:cNvSpPr/>
      </xdr:nvSpPr>
      <xdr:spPr>
        <a:xfrm>
          <a:off x="2007577" y="1765788"/>
          <a:ext cx="180974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102577</xdr:colOff>
      <xdr:row>11</xdr:row>
      <xdr:rowOff>97448</xdr:rowOff>
    </xdr:from>
    <xdr:to>
      <xdr:col>16</xdr:col>
      <xdr:colOff>93051</xdr:colOff>
      <xdr:row>13</xdr:row>
      <xdr:rowOff>49823</xdr:rowOff>
    </xdr:to>
    <xdr:sp macro="" textlink="">
      <xdr:nvSpPr>
        <xdr:cNvPr id="29" name="Ellipse 28" hidden="1"/>
        <xdr:cNvSpPr/>
      </xdr:nvSpPr>
      <xdr:spPr>
        <a:xfrm>
          <a:off x="2645019" y="1775313"/>
          <a:ext cx="180974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93052</xdr:colOff>
      <xdr:row>11</xdr:row>
      <xdr:rowOff>97448</xdr:rowOff>
    </xdr:from>
    <xdr:to>
      <xdr:col>21</xdr:col>
      <xdr:colOff>102576</xdr:colOff>
      <xdr:row>13</xdr:row>
      <xdr:rowOff>49823</xdr:rowOff>
    </xdr:to>
    <xdr:sp macro="" textlink="">
      <xdr:nvSpPr>
        <xdr:cNvPr id="30" name="Ellipse 29"/>
        <xdr:cNvSpPr/>
      </xdr:nvSpPr>
      <xdr:spPr>
        <a:xfrm>
          <a:off x="3441456" y="1775313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102577</xdr:colOff>
      <xdr:row>11</xdr:row>
      <xdr:rowOff>97448</xdr:rowOff>
    </xdr:from>
    <xdr:to>
      <xdr:col>26</xdr:col>
      <xdr:colOff>112101</xdr:colOff>
      <xdr:row>13</xdr:row>
      <xdr:rowOff>49823</xdr:rowOff>
    </xdr:to>
    <xdr:sp macro="" textlink="">
      <xdr:nvSpPr>
        <xdr:cNvPr id="31" name="Ellipse 30" hidden="1"/>
        <xdr:cNvSpPr/>
      </xdr:nvSpPr>
      <xdr:spPr>
        <a:xfrm>
          <a:off x="4191000" y="1775313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74002</xdr:colOff>
      <xdr:row>11</xdr:row>
      <xdr:rowOff>106973</xdr:rowOff>
    </xdr:from>
    <xdr:to>
      <xdr:col>31</xdr:col>
      <xdr:colOff>83526</xdr:colOff>
      <xdr:row>13</xdr:row>
      <xdr:rowOff>59348</xdr:rowOff>
    </xdr:to>
    <xdr:sp macro="" textlink="">
      <xdr:nvSpPr>
        <xdr:cNvPr id="32" name="Ellipse 31" hidden="1"/>
        <xdr:cNvSpPr/>
      </xdr:nvSpPr>
      <xdr:spPr>
        <a:xfrm>
          <a:off x="4902444" y="1784838"/>
          <a:ext cx="178044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93052</xdr:colOff>
      <xdr:row>11</xdr:row>
      <xdr:rowOff>106973</xdr:rowOff>
    </xdr:from>
    <xdr:to>
      <xdr:col>36</xdr:col>
      <xdr:colOff>102576</xdr:colOff>
      <xdr:row>13</xdr:row>
      <xdr:rowOff>59348</xdr:rowOff>
    </xdr:to>
    <xdr:sp macro="" textlink="">
      <xdr:nvSpPr>
        <xdr:cNvPr id="33" name="Ellipse 32" hidden="1"/>
        <xdr:cNvSpPr/>
      </xdr:nvSpPr>
      <xdr:spPr>
        <a:xfrm>
          <a:off x="5661514" y="1784838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40</xdr:col>
      <xdr:colOff>54952</xdr:colOff>
      <xdr:row>11</xdr:row>
      <xdr:rowOff>87923</xdr:rowOff>
    </xdr:from>
    <xdr:to>
      <xdr:col>41</xdr:col>
      <xdr:colOff>64476</xdr:colOff>
      <xdr:row>13</xdr:row>
      <xdr:rowOff>40298</xdr:rowOff>
    </xdr:to>
    <xdr:sp macro="" textlink="">
      <xdr:nvSpPr>
        <xdr:cNvPr id="34" name="Ellipse 33" hidden="1"/>
        <xdr:cNvSpPr/>
      </xdr:nvSpPr>
      <xdr:spPr>
        <a:xfrm>
          <a:off x="6363433" y="1765788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45</xdr:col>
      <xdr:colOff>74002</xdr:colOff>
      <xdr:row>11</xdr:row>
      <xdr:rowOff>97448</xdr:rowOff>
    </xdr:from>
    <xdr:to>
      <xdr:col>46</xdr:col>
      <xdr:colOff>83526</xdr:colOff>
      <xdr:row>13</xdr:row>
      <xdr:rowOff>49823</xdr:rowOff>
    </xdr:to>
    <xdr:sp macro="" textlink="">
      <xdr:nvSpPr>
        <xdr:cNvPr id="35" name="Ellipse 34"/>
        <xdr:cNvSpPr/>
      </xdr:nvSpPr>
      <xdr:spPr>
        <a:xfrm>
          <a:off x="7122502" y="1775313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50</xdr:col>
      <xdr:colOff>64477</xdr:colOff>
      <xdr:row>11</xdr:row>
      <xdr:rowOff>106973</xdr:rowOff>
    </xdr:from>
    <xdr:to>
      <xdr:col>51</xdr:col>
      <xdr:colOff>93051</xdr:colOff>
      <xdr:row>13</xdr:row>
      <xdr:rowOff>59348</xdr:rowOff>
    </xdr:to>
    <xdr:sp macro="" textlink="">
      <xdr:nvSpPr>
        <xdr:cNvPr id="36" name="Ellipse 35" hidden="1"/>
        <xdr:cNvSpPr/>
      </xdr:nvSpPr>
      <xdr:spPr>
        <a:xfrm>
          <a:off x="7838342" y="1784838"/>
          <a:ext cx="182440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55</xdr:col>
      <xdr:colOff>45427</xdr:colOff>
      <xdr:row>11</xdr:row>
      <xdr:rowOff>116498</xdr:rowOff>
    </xdr:from>
    <xdr:to>
      <xdr:col>56</xdr:col>
      <xdr:colOff>83526</xdr:colOff>
      <xdr:row>13</xdr:row>
      <xdr:rowOff>68873</xdr:rowOff>
    </xdr:to>
    <xdr:sp macro="" textlink="">
      <xdr:nvSpPr>
        <xdr:cNvPr id="37" name="Ellipse 36" hidden="1"/>
        <xdr:cNvSpPr/>
      </xdr:nvSpPr>
      <xdr:spPr>
        <a:xfrm>
          <a:off x="8493369" y="1794363"/>
          <a:ext cx="184638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60</xdr:col>
      <xdr:colOff>26377</xdr:colOff>
      <xdr:row>11</xdr:row>
      <xdr:rowOff>106973</xdr:rowOff>
    </xdr:from>
    <xdr:to>
      <xdr:col>61</xdr:col>
      <xdr:colOff>83526</xdr:colOff>
      <xdr:row>13</xdr:row>
      <xdr:rowOff>59348</xdr:rowOff>
    </xdr:to>
    <xdr:sp macro="" textlink="">
      <xdr:nvSpPr>
        <xdr:cNvPr id="38" name="Ellipse 37"/>
        <xdr:cNvSpPr/>
      </xdr:nvSpPr>
      <xdr:spPr>
        <a:xfrm>
          <a:off x="9104435" y="1784838"/>
          <a:ext cx="181706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65</xdr:col>
      <xdr:colOff>26377</xdr:colOff>
      <xdr:row>11</xdr:row>
      <xdr:rowOff>116498</xdr:rowOff>
    </xdr:from>
    <xdr:to>
      <xdr:col>66</xdr:col>
      <xdr:colOff>93051</xdr:colOff>
      <xdr:row>13</xdr:row>
      <xdr:rowOff>68873</xdr:rowOff>
    </xdr:to>
    <xdr:sp macro="" textlink="">
      <xdr:nvSpPr>
        <xdr:cNvPr id="39" name="Ellipse 38" hidden="1"/>
        <xdr:cNvSpPr/>
      </xdr:nvSpPr>
      <xdr:spPr>
        <a:xfrm>
          <a:off x="9661281" y="1794363"/>
          <a:ext cx="183905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69</xdr:col>
      <xdr:colOff>64477</xdr:colOff>
      <xdr:row>11</xdr:row>
      <xdr:rowOff>106973</xdr:rowOff>
    </xdr:from>
    <xdr:to>
      <xdr:col>72</xdr:col>
      <xdr:colOff>16851</xdr:colOff>
      <xdr:row>13</xdr:row>
      <xdr:rowOff>59348</xdr:rowOff>
    </xdr:to>
    <xdr:sp macro="" textlink="">
      <xdr:nvSpPr>
        <xdr:cNvPr id="40" name="Ellipse 39" hidden="1"/>
        <xdr:cNvSpPr/>
      </xdr:nvSpPr>
      <xdr:spPr>
        <a:xfrm>
          <a:off x="10117015" y="1784838"/>
          <a:ext cx="172182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108438</xdr:colOff>
      <xdr:row>9</xdr:row>
      <xdr:rowOff>79130</xdr:rowOff>
    </xdr:from>
    <xdr:to>
      <xdr:col>12</xdr:col>
      <xdr:colOff>98912</xdr:colOff>
      <xdr:row>11</xdr:row>
      <xdr:rowOff>31506</xdr:rowOff>
    </xdr:to>
    <xdr:sp macro="" textlink="">
      <xdr:nvSpPr>
        <xdr:cNvPr id="41" name="Ellipse 40" hidden="1"/>
        <xdr:cNvSpPr/>
      </xdr:nvSpPr>
      <xdr:spPr>
        <a:xfrm>
          <a:off x="2013438" y="1515207"/>
          <a:ext cx="180974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108438</xdr:colOff>
      <xdr:row>9</xdr:row>
      <xdr:rowOff>88655</xdr:rowOff>
    </xdr:from>
    <xdr:to>
      <xdr:col>16</xdr:col>
      <xdr:colOff>98912</xdr:colOff>
      <xdr:row>11</xdr:row>
      <xdr:rowOff>41031</xdr:rowOff>
    </xdr:to>
    <xdr:sp macro="" textlink="">
      <xdr:nvSpPr>
        <xdr:cNvPr id="42" name="Ellipse 41" hidden="1"/>
        <xdr:cNvSpPr/>
      </xdr:nvSpPr>
      <xdr:spPr>
        <a:xfrm>
          <a:off x="2650880" y="1524732"/>
          <a:ext cx="180974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98913</xdr:colOff>
      <xdr:row>9</xdr:row>
      <xdr:rowOff>88655</xdr:rowOff>
    </xdr:from>
    <xdr:to>
      <xdr:col>21</xdr:col>
      <xdr:colOff>108437</xdr:colOff>
      <xdr:row>11</xdr:row>
      <xdr:rowOff>41031</xdr:rowOff>
    </xdr:to>
    <xdr:sp macro="" textlink="">
      <xdr:nvSpPr>
        <xdr:cNvPr id="43" name="Ellipse 42"/>
        <xdr:cNvSpPr/>
      </xdr:nvSpPr>
      <xdr:spPr>
        <a:xfrm>
          <a:off x="3447317" y="1524732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108438</xdr:colOff>
      <xdr:row>9</xdr:row>
      <xdr:rowOff>88655</xdr:rowOff>
    </xdr:from>
    <xdr:to>
      <xdr:col>26</xdr:col>
      <xdr:colOff>117962</xdr:colOff>
      <xdr:row>11</xdr:row>
      <xdr:rowOff>41031</xdr:rowOff>
    </xdr:to>
    <xdr:sp macro="" textlink="">
      <xdr:nvSpPr>
        <xdr:cNvPr id="44" name="Ellipse 43" hidden="1"/>
        <xdr:cNvSpPr/>
      </xdr:nvSpPr>
      <xdr:spPr>
        <a:xfrm>
          <a:off x="4196861" y="1524732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79863</xdr:colOff>
      <xdr:row>9</xdr:row>
      <xdr:rowOff>98180</xdr:rowOff>
    </xdr:from>
    <xdr:to>
      <xdr:col>31</xdr:col>
      <xdr:colOff>89387</xdr:colOff>
      <xdr:row>11</xdr:row>
      <xdr:rowOff>50556</xdr:rowOff>
    </xdr:to>
    <xdr:sp macro="" textlink="">
      <xdr:nvSpPr>
        <xdr:cNvPr id="45" name="Ellipse 44" hidden="1"/>
        <xdr:cNvSpPr/>
      </xdr:nvSpPr>
      <xdr:spPr>
        <a:xfrm>
          <a:off x="4908305" y="1534257"/>
          <a:ext cx="178044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98913</xdr:colOff>
      <xdr:row>9</xdr:row>
      <xdr:rowOff>98180</xdr:rowOff>
    </xdr:from>
    <xdr:to>
      <xdr:col>36</xdr:col>
      <xdr:colOff>108437</xdr:colOff>
      <xdr:row>11</xdr:row>
      <xdr:rowOff>50556</xdr:rowOff>
    </xdr:to>
    <xdr:sp macro="" textlink="">
      <xdr:nvSpPr>
        <xdr:cNvPr id="46" name="Ellipse 45"/>
        <xdr:cNvSpPr/>
      </xdr:nvSpPr>
      <xdr:spPr>
        <a:xfrm>
          <a:off x="5667375" y="1534257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40</xdr:col>
      <xdr:colOff>60813</xdr:colOff>
      <xdr:row>9</xdr:row>
      <xdr:rowOff>79130</xdr:rowOff>
    </xdr:from>
    <xdr:to>
      <xdr:col>41</xdr:col>
      <xdr:colOff>70337</xdr:colOff>
      <xdr:row>11</xdr:row>
      <xdr:rowOff>31506</xdr:rowOff>
    </xdr:to>
    <xdr:sp macro="" textlink="">
      <xdr:nvSpPr>
        <xdr:cNvPr id="47" name="Ellipse 46" hidden="1"/>
        <xdr:cNvSpPr/>
      </xdr:nvSpPr>
      <xdr:spPr>
        <a:xfrm>
          <a:off x="6369294" y="1515207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45</xdr:col>
      <xdr:colOff>79863</xdr:colOff>
      <xdr:row>9</xdr:row>
      <xdr:rowOff>88655</xdr:rowOff>
    </xdr:from>
    <xdr:to>
      <xdr:col>46</xdr:col>
      <xdr:colOff>89387</xdr:colOff>
      <xdr:row>11</xdr:row>
      <xdr:rowOff>41031</xdr:rowOff>
    </xdr:to>
    <xdr:sp macro="" textlink="">
      <xdr:nvSpPr>
        <xdr:cNvPr id="48" name="Ellipse 47" hidden="1"/>
        <xdr:cNvSpPr/>
      </xdr:nvSpPr>
      <xdr:spPr>
        <a:xfrm>
          <a:off x="7128363" y="1524732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50</xdr:col>
      <xdr:colOff>70338</xdr:colOff>
      <xdr:row>9</xdr:row>
      <xdr:rowOff>98180</xdr:rowOff>
    </xdr:from>
    <xdr:to>
      <xdr:col>51</xdr:col>
      <xdr:colOff>98912</xdr:colOff>
      <xdr:row>11</xdr:row>
      <xdr:rowOff>50556</xdr:rowOff>
    </xdr:to>
    <xdr:sp macro="" textlink="">
      <xdr:nvSpPr>
        <xdr:cNvPr id="49" name="Ellipse 48" hidden="1"/>
        <xdr:cNvSpPr/>
      </xdr:nvSpPr>
      <xdr:spPr>
        <a:xfrm>
          <a:off x="7844203" y="1534257"/>
          <a:ext cx="182440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55</xdr:col>
      <xdr:colOff>51288</xdr:colOff>
      <xdr:row>9</xdr:row>
      <xdr:rowOff>107705</xdr:rowOff>
    </xdr:from>
    <xdr:to>
      <xdr:col>56</xdr:col>
      <xdr:colOff>89387</xdr:colOff>
      <xdr:row>11</xdr:row>
      <xdr:rowOff>60081</xdr:rowOff>
    </xdr:to>
    <xdr:sp macro="" textlink="">
      <xdr:nvSpPr>
        <xdr:cNvPr id="50" name="Ellipse 49"/>
        <xdr:cNvSpPr/>
      </xdr:nvSpPr>
      <xdr:spPr>
        <a:xfrm>
          <a:off x="8499230" y="1543782"/>
          <a:ext cx="184638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60</xdr:col>
      <xdr:colOff>32238</xdr:colOff>
      <xdr:row>9</xdr:row>
      <xdr:rowOff>98180</xdr:rowOff>
    </xdr:from>
    <xdr:to>
      <xdr:col>61</xdr:col>
      <xdr:colOff>89387</xdr:colOff>
      <xdr:row>11</xdr:row>
      <xdr:rowOff>50556</xdr:rowOff>
    </xdr:to>
    <xdr:sp macro="" textlink="">
      <xdr:nvSpPr>
        <xdr:cNvPr id="51" name="Ellipse 50" hidden="1"/>
        <xdr:cNvSpPr/>
      </xdr:nvSpPr>
      <xdr:spPr>
        <a:xfrm>
          <a:off x="9110296" y="1534257"/>
          <a:ext cx="181706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65</xdr:col>
      <xdr:colOff>32238</xdr:colOff>
      <xdr:row>9</xdr:row>
      <xdr:rowOff>107705</xdr:rowOff>
    </xdr:from>
    <xdr:to>
      <xdr:col>66</xdr:col>
      <xdr:colOff>98912</xdr:colOff>
      <xdr:row>11</xdr:row>
      <xdr:rowOff>60081</xdr:rowOff>
    </xdr:to>
    <xdr:sp macro="" textlink="">
      <xdr:nvSpPr>
        <xdr:cNvPr id="52" name="Ellipse 51" hidden="1"/>
        <xdr:cNvSpPr/>
      </xdr:nvSpPr>
      <xdr:spPr>
        <a:xfrm>
          <a:off x="9667142" y="1543782"/>
          <a:ext cx="183905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69</xdr:col>
      <xdr:colOff>70338</xdr:colOff>
      <xdr:row>9</xdr:row>
      <xdr:rowOff>98180</xdr:rowOff>
    </xdr:from>
    <xdr:to>
      <xdr:col>72</xdr:col>
      <xdr:colOff>22712</xdr:colOff>
      <xdr:row>11</xdr:row>
      <xdr:rowOff>50556</xdr:rowOff>
    </xdr:to>
    <xdr:sp macro="" textlink="">
      <xdr:nvSpPr>
        <xdr:cNvPr id="53" name="Ellipse 52" hidden="1"/>
        <xdr:cNvSpPr/>
      </xdr:nvSpPr>
      <xdr:spPr>
        <a:xfrm>
          <a:off x="10122876" y="1534257"/>
          <a:ext cx="172182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84992</xdr:colOff>
      <xdr:row>7</xdr:row>
      <xdr:rowOff>92319</xdr:rowOff>
    </xdr:from>
    <xdr:to>
      <xdr:col>12</xdr:col>
      <xdr:colOff>75466</xdr:colOff>
      <xdr:row>9</xdr:row>
      <xdr:rowOff>44694</xdr:rowOff>
    </xdr:to>
    <xdr:sp macro="" textlink="">
      <xdr:nvSpPr>
        <xdr:cNvPr id="54" name="Ellipse 53" hidden="1"/>
        <xdr:cNvSpPr/>
      </xdr:nvSpPr>
      <xdr:spPr>
        <a:xfrm>
          <a:off x="1989992" y="1286607"/>
          <a:ext cx="180974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84992</xdr:colOff>
      <xdr:row>7</xdr:row>
      <xdr:rowOff>101844</xdr:rowOff>
    </xdr:from>
    <xdr:to>
      <xdr:col>16</xdr:col>
      <xdr:colOff>75466</xdr:colOff>
      <xdr:row>9</xdr:row>
      <xdr:rowOff>54219</xdr:rowOff>
    </xdr:to>
    <xdr:sp macro="" textlink="">
      <xdr:nvSpPr>
        <xdr:cNvPr id="55" name="Ellipse 54"/>
        <xdr:cNvSpPr/>
      </xdr:nvSpPr>
      <xdr:spPr>
        <a:xfrm>
          <a:off x="2627434" y="1296132"/>
          <a:ext cx="180974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75467</xdr:colOff>
      <xdr:row>7</xdr:row>
      <xdr:rowOff>101844</xdr:rowOff>
    </xdr:from>
    <xdr:to>
      <xdr:col>21</xdr:col>
      <xdr:colOff>84991</xdr:colOff>
      <xdr:row>9</xdr:row>
      <xdr:rowOff>54219</xdr:rowOff>
    </xdr:to>
    <xdr:sp macro="" textlink="">
      <xdr:nvSpPr>
        <xdr:cNvPr id="56" name="Ellipse 55" hidden="1"/>
        <xdr:cNvSpPr/>
      </xdr:nvSpPr>
      <xdr:spPr>
        <a:xfrm>
          <a:off x="3423871" y="1296132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84992</xdr:colOff>
      <xdr:row>7</xdr:row>
      <xdr:rowOff>101844</xdr:rowOff>
    </xdr:from>
    <xdr:to>
      <xdr:col>26</xdr:col>
      <xdr:colOff>94516</xdr:colOff>
      <xdr:row>9</xdr:row>
      <xdr:rowOff>54219</xdr:rowOff>
    </xdr:to>
    <xdr:sp macro="" textlink="">
      <xdr:nvSpPr>
        <xdr:cNvPr id="57" name="Ellipse 56" hidden="1"/>
        <xdr:cNvSpPr/>
      </xdr:nvSpPr>
      <xdr:spPr>
        <a:xfrm>
          <a:off x="4173415" y="1296132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56417</xdr:colOff>
      <xdr:row>7</xdr:row>
      <xdr:rowOff>111369</xdr:rowOff>
    </xdr:from>
    <xdr:to>
      <xdr:col>31</xdr:col>
      <xdr:colOff>65941</xdr:colOff>
      <xdr:row>9</xdr:row>
      <xdr:rowOff>63744</xdr:rowOff>
    </xdr:to>
    <xdr:sp macro="" textlink="">
      <xdr:nvSpPr>
        <xdr:cNvPr id="58" name="Ellipse 57" hidden="1"/>
        <xdr:cNvSpPr/>
      </xdr:nvSpPr>
      <xdr:spPr>
        <a:xfrm>
          <a:off x="4884859" y="1305657"/>
          <a:ext cx="178044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75467</xdr:colOff>
      <xdr:row>7</xdr:row>
      <xdr:rowOff>111369</xdr:rowOff>
    </xdr:from>
    <xdr:to>
      <xdr:col>36</xdr:col>
      <xdr:colOff>84991</xdr:colOff>
      <xdr:row>9</xdr:row>
      <xdr:rowOff>63744</xdr:rowOff>
    </xdr:to>
    <xdr:sp macro="" textlink="">
      <xdr:nvSpPr>
        <xdr:cNvPr id="59" name="Ellipse 58"/>
        <xdr:cNvSpPr/>
      </xdr:nvSpPr>
      <xdr:spPr>
        <a:xfrm>
          <a:off x="5643929" y="1305657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40</xdr:col>
      <xdr:colOff>37367</xdr:colOff>
      <xdr:row>7</xdr:row>
      <xdr:rowOff>92319</xdr:rowOff>
    </xdr:from>
    <xdr:to>
      <xdr:col>41</xdr:col>
      <xdr:colOff>46891</xdr:colOff>
      <xdr:row>9</xdr:row>
      <xdr:rowOff>44694</xdr:rowOff>
    </xdr:to>
    <xdr:sp macro="" textlink="">
      <xdr:nvSpPr>
        <xdr:cNvPr id="60" name="Ellipse 59" hidden="1"/>
        <xdr:cNvSpPr/>
      </xdr:nvSpPr>
      <xdr:spPr>
        <a:xfrm>
          <a:off x="6345848" y="1286607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45</xdr:col>
      <xdr:colOff>56417</xdr:colOff>
      <xdr:row>7</xdr:row>
      <xdr:rowOff>101844</xdr:rowOff>
    </xdr:from>
    <xdr:to>
      <xdr:col>46</xdr:col>
      <xdr:colOff>65941</xdr:colOff>
      <xdr:row>9</xdr:row>
      <xdr:rowOff>54219</xdr:rowOff>
    </xdr:to>
    <xdr:sp macro="" textlink="">
      <xdr:nvSpPr>
        <xdr:cNvPr id="61" name="Ellipse 60" hidden="1"/>
        <xdr:cNvSpPr/>
      </xdr:nvSpPr>
      <xdr:spPr>
        <a:xfrm>
          <a:off x="7104917" y="1296132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50</xdr:col>
      <xdr:colOff>46892</xdr:colOff>
      <xdr:row>7</xdr:row>
      <xdr:rowOff>111369</xdr:rowOff>
    </xdr:from>
    <xdr:to>
      <xdr:col>51</xdr:col>
      <xdr:colOff>75466</xdr:colOff>
      <xdr:row>9</xdr:row>
      <xdr:rowOff>63744</xdr:rowOff>
    </xdr:to>
    <xdr:sp macro="" textlink="">
      <xdr:nvSpPr>
        <xdr:cNvPr id="62" name="Ellipse 61" hidden="1"/>
        <xdr:cNvSpPr/>
      </xdr:nvSpPr>
      <xdr:spPr>
        <a:xfrm>
          <a:off x="7820757" y="1305657"/>
          <a:ext cx="182440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55</xdr:col>
      <xdr:colOff>27842</xdr:colOff>
      <xdr:row>7</xdr:row>
      <xdr:rowOff>120894</xdr:rowOff>
    </xdr:from>
    <xdr:to>
      <xdr:col>56</xdr:col>
      <xdr:colOff>65941</xdr:colOff>
      <xdr:row>9</xdr:row>
      <xdr:rowOff>73269</xdr:rowOff>
    </xdr:to>
    <xdr:sp macro="" textlink="">
      <xdr:nvSpPr>
        <xdr:cNvPr id="63" name="Ellipse 62" hidden="1"/>
        <xdr:cNvSpPr/>
      </xdr:nvSpPr>
      <xdr:spPr>
        <a:xfrm>
          <a:off x="8475784" y="1315182"/>
          <a:ext cx="184638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60</xdr:col>
      <xdr:colOff>8792</xdr:colOff>
      <xdr:row>7</xdr:row>
      <xdr:rowOff>111369</xdr:rowOff>
    </xdr:from>
    <xdr:to>
      <xdr:col>61</xdr:col>
      <xdr:colOff>65941</xdr:colOff>
      <xdr:row>9</xdr:row>
      <xdr:rowOff>63744</xdr:rowOff>
    </xdr:to>
    <xdr:sp macro="" textlink="">
      <xdr:nvSpPr>
        <xdr:cNvPr id="64" name="Ellipse 63"/>
        <xdr:cNvSpPr/>
      </xdr:nvSpPr>
      <xdr:spPr>
        <a:xfrm>
          <a:off x="9086850" y="1305657"/>
          <a:ext cx="181706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65</xdr:col>
      <xdr:colOff>8792</xdr:colOff>
      <xdr:row>7</xdr:row>
      <xdr:rowOff>120894</xdr:rowOff>
    </xdr:from>
    <xdr:to>
      <xdr:col>66</xdr:col>
      <xdr:colOff>75466</xdr:colOff>
      <xdr:row>9</xdr:row>
      <xdr:rowOff>73269</xdr:rowOff>
    </xdr:to>
    <xdr:sp macro="" textlink="">
      <xdr:nvSpPr>
        <xdr:cNvPr id="65" name="Ellipse 64" hidden="1"/>
        <xdr:cNvSpPr/>
      </xdr:nvSpPr>
      <xdr:spPr>
        <a:xfrm>
          <a:off x="9643696" y="1315182"/>
          <a:ext cx="183905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69</xdr:col>
      <xdr:colOff>46892</xdr:colOff>
      <xdr:row>7</xdr:row>
      <xdr:rowOff>111369</xdr:rowOff>
    </xdr:from>
    <xdr:to>
      <xdr:col>71</xdr:col>
      <xdr:colOff>72535</xdr:colOff>
      <xdr:row>9</xdr:row>
      <xdr:rowOff>63744</xdr:rowOff>
    </xdr:to>
    <xdr:sp macro="" textlink="">
      <xdr:nvSpPr>
        <xdr:cNvPr id="66" name="Ellipse 65" hidden="1"/>
        <xdr:cNvSpPr/>
      </xdr:nvSpPr>
      <xdr:spPr>
        <a:xfrm>
          <a:off x="10099430" y="1305657"/>
          <a:ext cx="172182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98180</xdr:colOff>
      <xdr:row>5</xdr:row>
      <xdr:rowOff>90853</xdr:rowOff>
    </xdr:from>
    <xdr:to>
      <xdr:col>12</xdr:col>
      <xdr:colOff>88654</xdr:colOff>
      <xdr:row>7</xdr:row>
      <xdr:rowOff>43229</xdr:rowOff>
    </xdr:to>
    <xdr:sp macro="" textlink="">
      <xdr:nvSpPr>
        <xdr:cNvPr id="67" name="Ellipse 66"/>
        <xdr:cNvSpPr/>
      </xdr:nvSpPr>
      <xdr:spPr>
        <a:xfrm>
          <a:off x="2003180" y="1043353"/>
          <a:ext cx="180974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98180</xdr:colOff>
      <xdr:row>5</xdr:row>
      <xdr:rowOff>100378</xdr:rowOff>
    </xdr:from>
    <xdr:to>
      <xdr:col>16</xdr:col>
      <xdr:colOff>88654</xdr:colOff>
      <xdr:row>7</xdr:row>
      <xdr:rowOff>52754</xdr:rowOff>
    </xdr:to>
    <xdr:sp macro="" textlink="">
      <xdr:nvSpPr>
        <xdr:cNvPr id="68" name="Ellipse 67" hidden="1"/>
        <xdr:cNvSpPr/>
      </xdr:nvSpPr>
      <xdr:spPr>
        <a:xfrm>
          <a:off x="2640622" y="1052878"/>
          <a:ext cx="180974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88655</xdr:colOff>
      <xdr:row>5</xdr:row>
      <xdr:rowOff>100378</xdr:rowOff>
    </xdr:from>
    <xdr:to>
      <xdr:col>21</xdr:col>
      <xdr:colOff>98179</xdr:colOff>
      <xdr:row>7</xdr:row>
      <xdr:rowOff>52754</xdr:rowOff>
    </xdr:to>
    <xdr:sp macro="" textlink="">
      <xdr:nvSpPr>
        <xdr:cNvPr id="69" name="Ellipse 68" hidden="1"/>
        <xdr:cNvSpPr/>
      </xdr:nvSpPr>
      <xdr:spPr>
        <a:xfrm>
          <a:off x="3437059" y="1052878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98180</xdr:colOff>
      <xdr:row>5</xdr:row>
      <xdr:rowOff>100378</xdr:rowOff>
    </xdr:from>
    <xdr:to>
      <xdr:col>26</xdr:col>
      <xdr:colOff>107704</xdr:colOff>
      <xdr:row>7</xdr:row>
      <xdr:rowOff>52754</xdr:rowOff>
    </xdr:to>
    <xdr:sp macro="" textlink="">
      <xdr:nvSpPr>
        <xdr:cNvPr id="70" name="Ellipse 69" hidden="1"/>
        <xdr:cNvSpPr/>
      </xdr:nvSpPr>
      <xdr:spPr>
        <a:xfrm>
          <a:off x="4186603" y="1052878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69605</xdr:colOff>
      <xdr:row>5</xdr:row>
      <xdr:rowOff>109903</xdr:rowOff>
    </xdr:from>
    <xdr:to>
      <xdr:col>31</xdr:col>
      <xdr:colOff>79129</xdr:colOff>
      <xdr:row>7</xdr:row>
      <xdr:rowOff>62279</xdr:rowOff>
    </xdr:to>
    <xdr:sp macro="" textlink="">
      <xdr:nvSpPr>
        <xdr:cNvPr id="71" name="Ellipse 70" hidden="1"/>
        <xdr:cNvSpPr/>
      </xdr:nvSpPr>
      <xdr:spPr>
        <a:xfrm>
          <a:off x="4898047" y="1062403"/>
          <a:ext cx="178044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88655</xdr:colOff>
      <xdr:row>5</xdr:row>
      <xdr:rowOff>109903</xdr:rowOff>
    </xdr:from>
    <xdr:to>
      <xdr:col>36</xdr:col>
      <xdr:colOff>98179</xdr:colOff>
      <xdr:row>7</xdr:row>
      <xdr:rowOff>62279</xdr:rowOff>
    </xdr:to>
    <xdr:sp macro="" textlink="">
      <xdr:nvSpPr>
        <xdr:cNvPr id="72" name="Ellipse 71"/>
        <xdr:cNvSpPr/>
      </xdr:nvSpPr>
      <xdr:spPr>
        <a:xfrm>
          <a:off x="5657117" y="1062403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40</xdr:col>
      <xdr:colOff>50555</xdr:colOff>
      <xdr:row>5</xdr:row>
      <xdr:rowOff>90853</xdr:rowOff>
    </xdr:from>
    <xdr:to>
      <xdr:col>41</xdr:col>
      <xdr:colOff>60079</xdr:colOff>
      <xdr:row>7</xdr:row>
      <xdr:rowOff>43229</xdr:rowOff>
    </xdr:to>
    <xdr:sp macro="" textlink="">
      <xdr:nvSpPr>
        <xdr:cNvPr id="73" name="Ellipse 72" hidden="1"/>
        <xdr:cNvSpPr/>
      </xdr:nvSpPr>
      <xdr:spPr>
        <a:xfrm>
          <a:off x="6359036" y="1043353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45</xdr:col>
      <xdr:colOff>69605</xdr:colOff>
      <xdr:row>5</xdr:row>
      <xdr:rowOff>100378</xdr:rowOff>
    </xdr:from>
    <xdr:to>
      <xdr:col>46</xdr:col>
      <xdr:colOff>79129</xdr:colOff>
      <xdr:row>7</xdr:row>
      <xdr:rowOff>52754</xdr:rowOff>
    </xdr:to>
    <xdr:sp macro="" textlink="">
      <xdr:nvSpPr>
        <xdr:cNvPr id="74" name="Ellipse 73" hidden="1"/>
        <xdr:cNvSpPr/>
      </xdr:nvSpPr>
      <xdr:spPr>
        <a:xfrm>
          <a:off x="7118105" y="1052878"/>
          <a:ext cx="178043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50</xdr:col>
      <xdr:colOff>60080</xdr:colOff>
      <xdr:row>5</xdr:row>
      <xdr:rowOff>109903</xdr:rowOff>
    </xdr:from>
    <xdr:to>
      <xdr:col>51</xdr:col>
      <xdr:colOff>88654</xdr:colOff>
      <xdr:row>7</xdr:row>
      <xdr:rowOff>62279</xdr:rowOff>
    </xdr:to>
    <xdr:sp macro="" textlink="">
      <xdr:nvSpPr>
        <xdr:cNvPr id="75" name="Ellipse 74"/>
        <xdr:cNvSpPr/>
      </xdr:nvSpPr>
      <xdr:spPr>
        <a:xfrm>
          <a:off x="7833945" y="1062403"/>
          <a:ext cx="182440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55</xdr:col>
      <xdr:colOff>41030</xdr:colOff>
      <xdr:row>5</xdr:row>
      <xdr:rowOff>119428</xdr:rowOff>
    </xdr:from>
    <xdr:to>
      <xdr:col>56</xdr:col>
      <xdr:colOff>79129</xdr:colOff>
      <xdr:row>7</xdr:row>
      <xdr:rowOff>71804</xdr:rowOff>
    </xdr:to>
    <xdr:sp macro="" textlink="">
      <xdr:nvSpPr>
        <xdr:cNvPr id="76" name="Ellipse 75" hidden="1"/>
        <xdr:cNvSpPr/>
      </xdr:nvSpPr>
      <xdr:spPr>
        <a:xfrm>
          <a:off x="8488972" y="1071928"/>
          <a:ext cx="184638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60</xdr:col>
      <xdr:colOff>21980</xdr:colOff>
      <xdr:row>5</xdr:row>
      <xdr:rowOff>109903</xdr:rowOff>
    </xdr:from>
    <xdr:to>
      <xdr:col>61</xdr:col>
      <xdr:colOff>79129</xdr:colOff>
      <xdr:row>7</xdr:row>
      <xdr:rowOff>62279</xdr:rowOff>
    </xdr:to>
    <xdr:sp macro="" textlink="">
      <xdr:nvSpPr>
        <xdr:cNvPr id="77" name="Ellipse 76" hidden="1"/>
        <xdr:cNvSpPr/>
      </xdr:nvSpPr>
      <xdr:spPr>
        <a:xfrm>
          <a:off x="9100038" y="1062403"/>
          <a:ext cx="181706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65</xdr:col>
      <xdr:colOff>21980</xdr:colOff>
      <xdr:row>5</xdr:row>
      <xdr:rowOff>119428</xdr:rowOff>
    </xdr:from>
    <xdr:to>
      <xdr:col>66</xdr:col>
      <xdr:colOff>88654</xdr:colOff>
      <xdr:row>7</xdr:row>
      <xdr:rowOff>71804</xdr:rowOff>
    </xdr:to>
    <xdr:sp macro="" textlink="">
      <xdr:nvSpPr>
        <xdr:cNvPr id="78" name="Ellipse 77" hidden="1"/>
        <xdr:cNvSpPr/>
      </xdr:nvSpPr>
      <xdr:spPr>
        <a:xfrm>
          <a:off x="9656884" y="1071928"/>
          <a:ext cx="183905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69</xdr:col>
      <xdr:colOff>60080</xdr:colOff>
      <xdr:row>5</xdr:row>
      <xdr:rowOff>109903</xdr:rowOff>
    </xdr:from>
    <xdr:to>
      <xdr:col>72</xdr:col>
      <xdr:colOff>12454</xdr:colOff>
      <xdr:row>7</xdr:row>
      <xdr:rowOff>62279</xdr:rowOff>
    </xdr:to>
    <xdr:sp macro="" textlink="">
      <xdr:nvSpPr>
        <xdr:cNvPr id="79" name="Ellipse 78"/>
        <xdr:cNvSpPr/>
      </xdr:nvSpPr>
      <xdr:spPr>
        <a:xfrm>
          <a:off x="10112618" y="1062403"/>
          <a:ext cx="172182" cy="1941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49</xdr:col>
      <xdr:colOff>85731</xdr:colOff>
      <xdr:row>101</xdr:row>
      <xdr:rowOff>58476</xdr:rowOff>
    </xdr:from>
    <xdr:to>
      <xdr:col>69</xdr:col>
      <xdr:colOff>19056</xdr:colOff>
      <xdr:row>113</xdr:row>
      <xdr:rowOff>141683</xdr:rowOff>
    </xdr:to>
    <xdr:pic>
      <xdr:nvPicPr>
        <xdr:cNvPr id="2101" name="Picture 53" descr="C:\Users\JIM\AppData\Local\Microsoft\Windows\Temporary Internet Files\Content.IE5\0W1EOD0S\MC900441303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 rot="16200000">
          <a:off x="7816528" y="2709929"/>
          <a:ext cx="2569232" cy="2333625"/>
        </a:xfrm>
        <a:prstGeom prst="rect">
          <a:avLst/>
        </a:prstGeom>
        <a:noFill/>
      </xdr:spPr>
    </xdr:pic>
    <xdr:clientData/>
  </xdr:twoCellAnchor>
  <xdr:twoCellAnchor>
    <xdr:from>
      <xdr:col>53</xdr:col>
      <xdr:colOff>28576</xdr:colOff>
      <xdr:row>19</xdr:row>
      <xdr:rowOff>38100</xdr:rowOff>
    </xdr:from>
    <xdr:to>
      <xdr:col>59</xdr:col>
      <xdr:colOff>85726</xdr:colOff>
      <xdr:row>106</xdr:row>
      <xdr:rowOff>180975</xdr:rowOff>
    </xdr:to>
    <xdr:sp macro="" textlink="">
      <xdr:nvSpPr>
        <xdr:cNvPr id="81" name="Flèche vers le haut 80"/>
        <xdr:cNvSpPr/>
      </xdr:nvSpPr>
      <xdr:spPr>
        <a:xfrm>
          <a:off x="8486776" y="2190750"/>
          <a:ext cx="762000" cy="1609725"/>
        </a:xfrm>
        <a:prstGeom prst="up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 b="1" cap="none" spc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noFill/>
            <a:effectLst>
              <a:glow rad="228600">
                <a:schemeClr val="accent5">
                  <a:satMod val="175000"/>
                  <a:alpha val="40000"/>
                </a:schemeClr>
              </a:glow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B22"/>
  <sheetViews>
    <sheetView workbookViewId="0">
      <selection activeCell="AA8" sqref="AA8"/>
    </sheetView>
  </sheetViews>
  <sheetFormatPr baseColWidth="10" defaultColWidth="4.7109375" defaultRowHeight="15"/>
  <cols>
    <col min="2" max="2" width="5" bestFit="1" customWidth="1"/>
    <col min="3" max="3" width="4.85546875" customWidth="1"/>
    <col min="4" max="5" width="5" bestFit="1" customWidth="1"/>
    <col min="6" max="6" width="5.5703125" bestFit="1" customWidth="1"/>
    <col min="7" max="15" width="5" bestFit="1" customWidth="1"/>
    <col min="16" max="16" width="4.85546875" bestFit="1" customWidth="1"/>
    <col min="17" max="23" width="5" bestFit="1" customWidth="1"/>
    <col min="28" max="28" width="9.5703125" bestFit="1" customWidth="1"/>
  </cols>
  <sheetData>
    <row r="1" spans="2:28"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</row>
    <row r="2" spans="2:28" ht="56.25">
      <c r="B2" s="2" t="s">
        <v>0</v>
      </c>
      <c r="C2" s="6" t="s">
        <v>20</v>
      </c>
      <c r="D2" s="57">
        <v>2</v>
      </c>
      <c r="E2" s="7" t="s">
        <v>1</v>
      </c>
      <c r="F2" s="7"/>
      <c r="G2" s="4">
        <v>4</v>
      </c>
      <c r="H2" s="8" t="s">
        <v>18</v>
      </c>
      <c r="I2" s="9">
        <v>5</v>
      </c>
      <c r="J2" s="8" t="s">
        <v>19</v>
      </c>
      <c r="K2" s="58">
        <v>6</v>
      </c>
      <c r="L2" s="11">
        <v>7</v>
      </c>
      <c r="M2" s="12" t="s">
        <v>3</v>
      </c>
      <c r="N2" s="2" t="s">
        <v>4</v>
      </c>
      <c r="O2" s="7" t="s">
        <v>21</v>
      </c>
      <c r="P2" s="10">
        <v>9</v>
      </c>
      <c r="Q2" s="7" t="s">
        <v>22</v>
      </c>
      <c r="R2" s="13" t="s">
        <v>23</v>
      </c>
      <c r="S2" s="56">
        <v>11</v>
      </c>
      <c r="T2" s="13" t="s">
        <v>24</v>
      </c>
      <c r="U2" s="14" t="s">
        <v>25</v>
      </c>
      <c r="V2" s="15">
        <v>13</v>
      </c>
      <c r="W2" s="14" t="s">
        <v>26</v>
      </c>
    </row>
    <row r="3" spans="2:28" ht="27" customHeight="1">
      <c r="AB3" t="s">
        <v>17</v>
      </c>
    </row>
    <row r="4" spans="2:28" ht="22.5" customHeight="1">
      <c r="AA4" s="16">
        <v>10</v>
      </c>
      <c r="AB4" s="16" t="str">
        <f>INDEX($B$5:$B$17,AA4)</f>
        <v>La</v>
      </c>
    </row>
    <row r="5" spans="2:28">
      <c r="B5" s="3" t="s">
        <v>5</v>
      </c>
      <c r="C5" s="3" t="s">
        <v>6</v>
      </c>
      <c r="D5" s="3" t="s">
        <v>7</v>
      </c>
      <c r="E5" s="3" t="s">
        <v>8</v>
      </c>
      <c r="F5" s="3" t="s">
        <v>9</v>
      </c>
      <c r="G5" s="3" t="s">
        <v>10</v>
      </c>
      <c r="H5" s="3" t="s">
        <v>11</v>
      </c>
      <c r="I5" s="3" t="s">
        <v>12</v>
      </c>
      <c r="J5" s="3" t="s">
        <v>13</v>
      </c>
      <c r="K5" s="3" t="s">
        <v>14</v>
      </c>
      <c r="L5" s="3" t="s">
        <v>15</v>
      </c>
      <c r="M5" s="3" t="s">
        <v>16</v>
      </c>
      <c r="N5" s="3" t="s">
        <v>5</v>
      </c>
      <c r="O5" s="3" t="s">
        <v>6</v>
      </c>
      <c r="P5" s="3" t="s">
        <v>7</v>
      </c>
      <c r="Q5" s="3" t="s">
        <v>8</v>
      </c>
      <c r="R5" s="3" t="s">
        <v>9</v>
      </c>
      <c r="S5" s="3" t="s">
        <v>10</v>
      </c>
      <c r="T5" s="3" t="s">
        <v>11</v>
      </c>
      <c r="U5" s="3" t="s">
        <v>12</v>
      </c>
      <c r="V5" s="3" t="s">
        <v>13</v>
      </c>
      <c r="W5" s="3" t="s">
        <v>14</v>
      </c>
    </row>
    <row r="6" spans="2:28">
      <c r="B6" s="3" t="s">
        <v>6</v>
      </c>
      <c r="C6" s="3" t="s">
        <v>7</v>
      </c>
      <c r="D6" s="3" t="s">
        <v>8</v>
      </c>
      <c r="E6" s="3" t="s">
        <v>9</v>
      </c>
      <c r="F6" s="3" t="s">
        <v>10</v>
      </c>
      <c r="G6" s="3" t="s">
        <v>11</v>
      </c>
      <c r="H6" s="3" t="s">
        <v>12</v>
      </c>
      <c r="I6" s="3" t="s">
        <v>13</v>
      </c>
      <c r="J6" s="3" t="s">
        <v>14</v>
      </c>
      <c r="K6" s="3" t="s">
        <v>15</v>
      </c>
      <c r="L6" s="3" t="s">
        <v>16</v>
      </c>
      <c r="M6" s="3" t="s">
        <v>5</v>
      </c>
      <c r="N6" s="3" t="s">
        <v>6</v>
      </c>
      <c r="O6" s="3" t="s">
        <v>7</v>
      </c>
      <c r="P6" s="3" t="s">
        <v>8</v>
      </c>
      <c r="Q6" s="3" t="s">
        <v>9</v>
      </c>
      <c r="R6" s="3" t="s">
        <v>10</v>
      </c>
      <c r="S6" s="3" t="s">
        <v>11</v>
      </c>
      <c r="T6" s="3" t="s">
        <v>12</v>
      </c>
      <c r="U6" s="3" t="s">
        <v>13</v>
      </c>
      <c r="V6" s="3" t="s">
        <v>14</v>
      </c>
      <c r="W6" s="3" t="s">
        <v>15</v>
      </c>
      <c r="AB6" s="5"/>
    </row>
    <row r="7" spans="2:28">
      <c r="B7" s="3" t="s">
        <v>7</v>
      </c>
      <c r="C7" s="3" t="s">
        <v>8</v>
      </c>
      <c r="D7" s="3" t="s">
        <v>9</v>
      </c>
      <c r="E7" s="3" t="s">
        <v>10</v>
      </c>
      <c r="F7" s="3" t="s">
        <v>11</v>
      </c>
      <c r="G7" s="3" t="s">
        <v>12</v>
      </c>
      <c r="H7" s="3" t="s">
        <v>13</v>
      </c>
      <c r="I7" s="3" t="s">
        <v>14</v>
      </c>
      <c r="J7" s="3" t="s">
        <v>15</v>
      </c>
      <c r="K7" s="3" t="s">
        <v>16</v>
      </c>
      <c r="L7" s="3" t="s">
        <v>5</v>
      </c>
      <c r="M7" s="3" t="s">
        <v>6</v>
      </c>
      <c r="N7" s="3" t="s">
        <v>7</v>
      </c>
      <c r="O7" s="3" t="s">
        <v>8</v>
      </c>
      <c r="P7" s="3" t="s">
        <v>9</v>
      </c>
      <c r="Q7" s="3" t="s">
        <v>10</v>
      </c>
      <c r="R7" s="3" t="s">
        <v>11</v>
      </c>
      <c r="S7" s="3" t="s">
        <v>12</v>
      </c>
      <c r="T7" s="3" t="s">
        <v>13</v>
      </c>
      <c r="U7" s="3" t="s">
        <v>14</v>
      </c>
      <c r="V7" s="3" t="s">
        <v>15</v>
      </c>
      <c r="W7" s="3" t="s">
        <v>16</v>
      </c>
    </row>
    <row r="8" spans="2:28">
      <c r="B8" s="3" t="s">
        <v>8</v>
      </c>
      <c r="C8" s="3" t="s">
        <v>9</v>
      </c>
      <c r="D8" s="3" t="s">
        <v>10</v>
      </c>
      <c r="E8" s="3" t="s">
        <v>11</v>
      </c>
      <c r="F8" s="3" t="s">
        <v>12</v>
      </c>
      <c r="G8" s="3" t="s">
        <v>13</v>
      </c>
      <c r="H8" s="3" t="s">
        <v>14</v>
      </c>
      <c r="I8" s="3" t="s">
        <v>15</v>
      </c>
      <c r="J8" s="3" t="s">
        <v>16</v>
      </c>
      <c r="K8" s="3" t="s">
        <v>5</v>
      </c>
      <c r="L8" s="3" t="s">
        <v>6</v>
      </c>
      <c r="M8" s="3" t="s">
        <v>7</v>
      </c>
      <c r="N8" s="3" t="s">
        <v>8</v>
      </c>
      <c r="O8" s="3" t="s">
        <v>9</v>
      </c>
      <c r="P8" s="3" t="s">
        <v>10</v>
      </c>
      <c r="Q8" s="3" t="s">
        <v>11</v>
      </c>
      <c r="R8" s="3" t="s">
        <v>12</v>
      </c>
      <c r="S8" s="3" t="s">
        <v>13</v>
      </c>
      <c r="T8" s="3" t="s">
        <v>14</v>
      </c>
      <c r="U8" s="3" t="s">
        <v>15</v>
      </c>
      <c r="V8" s="3" t="s">
        <v>16</v>
      </c>
      <c r="W8" s="3" t="s">
        <v>5</v>
      </c>
    </row>
    <row r="9" spans="2:28">
      <c r="B9" s="3" t="s">
        <v>9</v>
      </c>
      <c r="C9" s="3" t="s">
        <v>10</v>
      </c>
      <c r="D9" s="3" t="s">
        <v>11</v>
      </c>
      <c r="E9" s="3" t="s">
        <v>12</v>
      </c>
      <c r="F9" s="3" t="s">
        <v>13</v>
      </c>
      <c r="G9" s="3" t="s">
        <v>14</v>
      </c>
      <c r="H9" s="3" t="s">
        <v>15</v>
      </c>
      <c r="I9" s="3" t="s">
        <v>16</v>
      </c>
      <c r="J9" s="3" t="s">
        <v>5</v>
      </c>
      <c r="K9" s="3" t="s">
        <v>6</v>
      </c>
      <c r="L9" s="3" t="s">
        <v>7</v>
      </c>
      <c r="M9" s="3" t="s">
        <v>8</v>
      </c>
      <c r="N9" s="3" t="s">
        <v>9</v>
      </c>
      <c r="O9" s="3" t="s">
        <v>10</v>
      </c>
      <c r="P9" s="3" t="s">
        <v>11</v>
      </c>
      <c r="Q9" s="3" t="s">
        <v>12</v>
      </c>
      <c r="R9" s="3" t="s">
        <v>13</v>
      </c>
      <c r="S9" s="3" t="s">
        <v>14</v>
      </c>
      <c r="T9" s="3" t="s">
        <v>15</v>
      </c>
      <c r="U9" s="3" t="s">
        <v>16</v>
      </c>
      <c r="V9" s="3" t="s">
        <v>5</v>
      </c>
      <c r="W9" s="3" t="s">
        <v>6</v>
      </c>
    </row>
    <row r="10" spans="2:28">
      <c r="B10" s="3" t="s">
        <v>10</v>
      </c>
      <c r="C10" s="3" t="s">
        <v>11</v>
      </c>
      <c r="D10" s="3" t="s">
        <v>12</v>
      </c>
      <c r="E10" s="3" t="s">
        <v>13</v>
      </c>
      <c r="F10" s="3" t="s">
        <v>14</v>
      </c>
      <c r="G10" s="3" t="s">
        <v>15</v>
      </c>
      <c r="H10" s="3" t="s">
        <v>16</v>
      </c>
      <c r="I10" s="3" t="s">
        <v>5</v>
      </c>
      <c r="J10" s="3" t="s">
        <v>6</v>
      </c>
      <c r="K10" s="3" t="s">
        <v>7</v>
      </c>
      <c r="L10" s="3" t="s">
        <v>8</v>
      </c>
      <c r="M10" s="3" t="s">
        <v>9</v>
      </c>
      <c r="N10" s="3" t="s">
        <v>10</v>
      </c>
      <c r="O10" s="3" t="s">
        <v>11</v>
      </c>
      <c r="P10" s="3" t="s">
        <v>12</v>
      </c>
      <c r="Q10" s="3" t="s">
        <v>13</v>
      </c>
      <c r="R10" s="3" t="s">
        <v>14</v>
      </c>
      <c r="S10" s="3" t="s">
        <v>15</v>
      </c>
      <c r="T10" s="3" t="s">
        <v>16</v>
      </c>
      <c r="U10" s="3" t="s">
        <v>5</v>
      </c>
      <c r="V10" s="3" t="s">
        <v>6</v>
      </c>
      <c r="W10" s="3" t="s">
        <v>7</v>
      </c>
    </row>
    <row r="11" spans="2:28">
      <c r="B11" s="3" t="s">
        <v>11</v>
      </c>
      <c r="C11" s="3" t="s">
        <v>12</v>
      </c>
      <c r="D11" s="3" t="s">
        <v>13</v>
      </c>
      <c r="E11" s="3" t="s">
        <v>14</v>
      </c>
      <c r="F11" s="3" t="s">
        <v>15</v>
      </c>
      <c r="G11" s="3" t="s">
        <v>16</v>
      </c>
      <c r="H11" s="3" t="s">
        <v>5</v>
      </c>
      <c r="I11" s="3" t="s">
        <v>6</v>
      </c>
      <c r="J11" s="3" t="s">
        <v>7</v>
      </c>
      <c r="K11" s="3" t="s">
        <v>8</v>
      </c>
      <c r="L11" s="3" t="s">
        <v>9</v>
      </c>
      <c r="M11" s="3" t="s">
        <v>10</v>
      </c>
      <c r="N11" s="3" t="s">
        <v>11</v>
      </c>
      <c r="O11" s="3" t="s">
        <v>12</v>
      </c>
      <c r="P11" s="3" t="s">
        <v>13</v>
      </c>
      <c r="Q11" s="3" t="s">
        <v>14</v>
      </c>
      <c r="R11" s="3" t="s">
        <v>15</v>
      </c>
      <c r="S11" s="3" t="s">
        <v>16</v>
      </c>
      <c r="T11" s="3" t="s">
        <v>5</v>
      </c>
      <c r="U11" s="3" t="s">
        <v>6</v>
      </c>
      <c r="V11" s="3" t="s">
        <v>7</v>
      </c>
      <c r="W11" s="3" t="s">
        <v>8</v>
      </c>
    </row>
    <row r="12" spans="2:28">
      <c r="B12" s="3" t="s">
        <v>12</v>
      </c>
      <c r="C12" s="3" t="s">
        <v>13</v>
      </c>
      <c r="D12" s="3" t="s">
        <v>14</v>
      </c>
      <c r="E12" s="3" t="s">
        <v>15</v>
      </c>
      <c r="F12" s="3" t="s">
        <v>16</v>
      </c>
      <c r="G12" s="3" t="s">
        <v>5</v>
      </c>
      <c r="H12" s="3" t="s">
        <v>6</v>
      </c>
      <c r="I12" s="3" t="s">
        <v>7</v>
      </c>
      <c r="J12" s="3" t="s">
        <v>8</v>
      </c>
      <c r="K12" s="3" t="s">
        <v>9</v>
      </c>
      <c r="L12" s="3" t="s">
        <v>10</v>
      </c>
      <c r="M12" s="3" t="s">
        <v>11</v>
      </c>
      <c r="N12" s="3" t="s">
        <v>12</v>
      </c>
      <c r="O12" s="3" t="s">
        <v>13</v>
      </c>
      <c r="P12" s="3" t="s">
        <v>14</v>
      </c>
      <c r="Q12" s="3" t="s">
        <v>15</v>
      </c>
      <c r="R12" s="3" t="s">
        <v>16</v>
      </c>
      <c r="S12" s="3" t="s">
        <v>5</v>
      </c>
      <c r="T12" s="3" t="s">
        <v>6</v>
      </c>
      <c r="U12" s="3" t="s">
        <v>7</v>
      </c>
      <c r="V12" s="3" t="s">
        <v>8</v>
      </c>
      <c r="W12" s="3" t="s">
        <v>9</v>
      </c>
    </row>
    <row r="13" spans="2:28">
      <c r="B13" s="3" t="s">
        <v>13</v>
      </c>
      <c r="C13" s="3" t="s">
        <v>14</v>
      </c>
      <c r="D13" s="3" t="s">
        <v>15</v>
      </c>
      <c r="E13" s="3" t="s">
        <v>16</v>
      </c>
      <c r="F13" s="3" t="s">
        <v>5</v>
      </c>
      <c r="G13" s="3" t="s">
        <v>6</v>
      </c>
      <c r="H13" s="3" t="s">
        <v>7</v>
      </c>
      <c r="I13" s="3" t="s">
        <v>8</v>
      </c>
      <c r="J13" s="3" t="s">
        <v>9</v>
      </c>
      <c r="K13" s="3" t="s">
        <v>10</v>
      </c>
      <c r="L13" s="3" t="s">
        <v>11</v>
      </c>
      <c r="M13" s="3" t="s">
        <v>12</v>
      </c>
      <c r="N13" s="3" t="s">
        <v>13</v>
      </c>
      <c r="O13" s="3" t="s">
        <v>14</v>
      </c>
      <c r="P13" s="3" t="s">
        <v>15</v>
      </c>
      <c r="Q13" s="3" t="s">
        <v>16</v>
      </c>
      <c r="R13" s="3" t="s">
        <v>5</v>
      </c>
      <c r="S13" s="3" t="s">
        <v>6</v>
      </c>
      <c r="T13" s="3" t="s">
        <v>7</v>
      </c>
      <c r="U13" s="3" t="s">
        <v>8</v>
      </c>
      <c r="V13" s="3" t="s">
        <v>9</v>
      </c>
      <c r="W13" s="3" t="s">
        <v>10</v>
      </c>
    </row>
    <row r="14" spans="2:28">
      <c r="B14" s="3" t="s">
        <v>14</v>
      </c>
      <c r="C14" s="3" t="s">
        <v>15</v>
      </c>
      <c r="D14" s="3" t="s">
        <v>16</v>
      </c>
      <c r="E14" s="3" t="s">
        <v>5</v>
      </c>
      <c r="F14" s="3" t="s">
        <v>6</v>
      </c>
      <c r="G14" s="3" t="s">
        <v>7</v>
      </c>
      <c r="H14" s="3" t="s">
        <v>8</v>
      </c>
      <c r="I14" s="3" t="s">
        <v>9</v>
      </c>
      <c r="J14" s="3" t="s">
        <v>10</v>
      </c>
      <c r="K14" s="3" t="s">
        <v>11</v>
      </c>
      <c r="L14" s="3" t="s">
        <v>12</v>
      </c>
      <c r="M14" s="3" t="s">
        <v>13</v>
      </c>
      <c r="N14" s="3" t="s">
        <v>14</v>
      </c>
      <c r="O14" s="3" t="s">
        <v>15</v>
      </c>
      <c r="P14" s="3" t="s">
        <v>16</v>
      </c>
      <c r="Q14" s="3" t="s">
        <v>5</v>
      </c>
      <c r="R14" s="3" t="s">
        <v>6</v>
      </c>
      <c r="S14" s="3" t="s">
        <v>7</v>
      </c>
      <c r="T14" s="3" t="s">
        <v>8</v>
      </c>
      <c r="U14" s="3" t="s">
        <v>9</v>
      </c>
      <c r="V14" s="3" t="s">
        <v>10</v>
      </c>
      <c r="W14" s="3" t="s">
        <v>11</v>
      </c>
    </row>
    <row r="15" spans="2:28">
      <c r="B15" s="3" t="s">
        <v>15</v>
      </c>
      <c r="C15" s="3" t="s">
        <v>16</v>
      </c>
      <c r="D15" s="3" t="s">
        <v>5</v>
      </c>
      <c r="E15" s="3" t="s">
        <v>6</v>
      </c>
      <c r="F15" s="3" t="s">
        <v>7</v>
      </c>
      <c r="G15" s="3" t="s">
        <v>8</v>
      </c>
      <c r="H15" s="3" t="s">
        <v>9</v>
      </c>
      <c r="I15" s="3" t="s">
        <v>10</v>
      </c>
      <c r="J15" s="3" t="s">
        <v>11</v>
      </c>
      <c r="K15" s="3" t="s">
        <v>12</v>
      </c>
      <c r="L15" s="3" t="s">
        <v>13</v>
      </c>
      <c r="M15" s="3" t="s">
        <v>14</v>
      </c>
      <c r="N15" s="3" t="s">
        <v>15</v>
      </c>
      <c r="O15" s="3" t="s">
        <v>16</v>
      </c>
      <c r="P15" s="3" t="s">
        <v>5</v>
      </c>
      <c r="Q15" s="3" t="s">
        <v>6</v>
      </c>
      <c r="R15" s="3" t="s">
        <v>7</v>
      </c>
      <c r="S15" s="3" t="s">
        <v>8</v>
      </c>
      <c r="T15" s="3" t="s">
        <v>9</v>
      </c>
      <c r="U15" s="3" t="s">
        <v>10</v>
      </c>
      <c r="V15" s="3" t="s">
        <v>11</v>
      </c>
      <c r="W15" s="3" t="s">
        <v>12</v>
      </c>
    </row>
    <row r="16" spans="2:28">
      <c r="B16" s="3" t="s">
        <v>16</v>
      </c>
      <c r="C16" s="3" t="s">
        <v>5</v>
      </c>
      <c r="D16" s="3" t="s">
        <v>6</v>
      </c>
      <c r="E16" s="3" t="s">
        <v>7</v>
      </c>
      <c r="F16" s="3" t="s">
        <v>8</v>
      </c>
      <c r="G16" s="3" t="s">
        <v>9</v>
      </c>
      <c r="H16" s="3" t="s">
        <v>10</v>
      </c>
      <c r="I16" s="3" t="s">
        <v>11</v>
      </c>
      <c r="J16" s="3" t="s">
        <v>12</v>
      </c>
      <c r="K16" s="3" t="s">
        <v>13</v>
      </c>
      <c r="L16" s="3" t="s">
        <v>14</v>
      </c>
      <c r="M16" s="3" t="s">
        <v>15</v>
      </c>
      <c r="N16" s="3" t="s">
        <v>16</v>
      </c>
      <c r="O16" s="3" t="s">
        <v>5</v>
      </c>
      <c r="P16" s="3" t="s">
        <v>6</v>
      </c>
      <c r="Q16" s="3" t="s">
        <v>7</v>
      </c>
      <c r="R16" s="3" t="s">
        <v>8</v>
      </c>
      <c r="S16" s="3" t="s">
        <v>9</v>
      </c>
      <c r="T16" s="3" t="s">
        <v>10</v>
      </c>
      <c r="U16" s="3" t="s">
        <v>11</v>
      </c>
      <c r="V16" s="3" t="s">
        <v>12</v>
      </c>
      <c r="W16" s="3" t="s">
        <v>13</v>
      </c>
    </row>
    <row r="17" spans="2:26">
      <c r="B17" s="3" t="s">
        <v>5</v>
      </c>
      <c r="C17" s="3" t="s">
        <v>6</v>
      </c>
      <c r="D17" s="3" t="s">
        <v>7</v>
      </c>
      <c r="E17" s="3" t="s">
        <v>8</v>
      </c>
      <c r="F17" s="3" t="s">
        <v>9</v>
      </c>
      <c r="G17" s="3" t="s">
        <v>10</v>
      </c>
      <c r="H17" s="3" t="s">
        <v>11</v>
      </c>
      <c r="I17" s="3" t="s">
        <v>12</v>
      </c>
      <c r="J17" s="3" t="s">
        <v>13</v>
      </c>
      <c r="K17" s="3" t="s">
        <v>14</v>
      </c>
      <c r="L17" s="3" t="s">
        <v>15</v>
      </c>
      <c r="M17" s="3" t="s">
        <v>16</v>
      </c>
      <c r="N17" s="3" t="s">
        <v>5</v>
      </c>
      <c r="O17" s="3" t="s">
        <v>6</v>
      </c>
      <c r="P17" s="3" t="s">
        <v>7</v>
      </c>
      <c r="Q17" s="3" t="s">
        <v>8</v>
      </c>
      <c r="R17" s="3" t="s">
        <v>9</v>
      </c>
      <c r="S17" s="3" t="s">
        <v>10</v>
      </c>
      <c r="T17" s="3" t="s">
        <v>11</v>
      </c>
      <c r="U17" s="3" t="s">
        <v>12</v>
      </c>
      <c r="V17" s="3" t="s">
        <v>13</v>
      </c>
      <c r="W17" s="3" t="s">
        <v>14</v>
      </c>
    </row>
    <row r="18" spans="2:26">
      <c r="B18" s="59" t="b">
        <v>0</v>
      </c>
      <c r="C18" s="59" t="b">
        <v>0</v>
      </c>
      <c r="D18" s="59" t="b">
        <v>0</v>
      </c>
      <c r="E18" s="59" t="b">
        <v>1</v>
      </c>
      <c r="F18" s="59" t="b">
        <v>0</v>
      </c>
      <c r="G18" s="59" t="b">
        <v>0</v>
      </c>
      <c r="H18" s="59" t="b">
        <v>0</v>
      </c>
      <c r="I18" s="59" t="b">
        <v>1</v>
      </c>
      <c r="J18" s="59" t="b">
        <v>0</v>
      </c>
      <c r="K18" s="59" t="b">
        <v>0</v>
      </c>
      <c r="L18" s="59" t="b">
        <v>0</v>
      </c>
      <c r="M18" s="59" t="b">
        <v>0</v>
      </c>
      <c r="N18" s="59" t="b">
        <v>0</v>
      </c>
      <c r="O18" s="59" t="b">
        <v>0</v>
      </c>
      <c r="P18" s="59" t="b">
        <v>0</v>
      </c>
      <c r="Q18" s="59" t="b">
        <v>0</v>
      </c>
      <c r="R18" s="59" t="b">
        <v>0</v>
      </c>
      <c r="S18" s="59" t="b">
        <v>0</v>
      </c>
      <c r="T18" s="59" t="b">
        <v>0</v>
      </c>
      <c r="U18" s="59" t="b">
        <v>0</v>
      </c>
      <c r="V18" s="59" t="b">
        <v>0</v>
      </c>
      <c r="W18" s="59" t="b">
        <v>0</v>
      </c>
    </row>
    <row r="19" spans="2:26">
      <c r="B19" s="16">
        <f>N(B18)</f>
        <v>0</v>
      </c>
      <c r="C19" s="16">
        <f t="shared" ref="C19:W19" si="0">N(C18)</f>
        <v>0</v>
      </c>
      <c r="D19" s="16">
        <f t="shared" si="0"/>
        <v>0</v>
      </c>
      <c r="E19" s="16">
        <f t="shared" si="0"/>
        <v>1</v>
      </c>
      <c r="F19" s="16">
        <f t="shared" si="0"/>
        <v>0</v>
      </c>
      <c r="G19" s="16">
        <f t="shared" si="0"/>
        <v>0</v>
      </c>
      <c r="H19" s="16">
        <f t="shared" si="0"/>
        <v>0</v>
      </c>
      <c r="I19" s="16">
        <f t="shared" si="0"/>
        <v>1</v>
      </c>
      <c r="J19" s="16">
        <f t="shared" si="0"/>
        <v>0</v>
      </c>
      <c r="K19" s="16">
        <f t="shared" si="0"/>
        <v>0</v>
      </c>
      <c r="L19" s="16">
        <f t="shared" si="0"/>
        <v>0</v>
      </c>
      <c r="M19" s="16">
        <f t="shared" si="0"/>
        <v>0</v>
      </c>
      <c r="N19" s="16">
        <f t="shared" si="0"/>
        <v>0</v>
      </c>
      <c r="O19" s="16">
        <f t="shared" si="0"/>
        <v>0</v>
      </c>
      <c r="P19" s="16">
        <f t="shared" si="0"/>
        <v>0</v>
      </c>
      <c r="Q19" s="16">
        <f t="shared" si="0"/>
        <v>0</v>
      </c>
      <c r="R19" s="16">
        <f t="shared" si="0"/>
        <v>0</v>
      </c>
      <c r="S19" s="16">
        <f t="shared" si="0"/>
        <v>0</v>
      </c>
      <c r="T19" s="16">
        <f t="shared" si="0"/>
        <v>0</v>
      </c>
      <c r="U19" s="16">
        <f t="shared" si="0"/>
        <v>0</v>
      </c>
      <c r="V19" s="16">
        <f t="shared" si="0"/>
        <v>0</v>
      </c>
      <c r="W19" s="16">
        <f t="shared" si="0"/>
        <v>0</v>
      </c>
    </row>
    <row r="20" spans="2:26">
      <c r="B20" s="26" t="s">
        <v>49</v>
      </c>
      <c r="C20" s="16" t="str">
        <f t="shared" ref="C20:E20" si="1">IF(C18,""&amp; C2,"")</f>
        <v/>
      </c>
      <c r="D20" s="16" t="str">
        <f t="shared" si="1"/>
        <v/>
      </c>
      <c r="E20" s="16" t="str">
        <f t="shared" si="1"/>
        <v>min</v>
      </c>
      <c r="F20" s="16" t="str">
        <f>IF(F18,""&amp; F2,"")</f>
        <v/>
      </c>
      <c r="G20" s="16" t="str">
        <f t="shared" ref="G20:W20" si="2">IF(G18,""&amp; G2,"")</f>
        <v/>
      </c>
      <c r="H20" s="16" t="str">
        <f t="shared" si="2"/>
        <v/>
      </c>
      <c r="I20" s="16" t="str">
        <f>IF(,""&amp; I2,"")</f>
        <v/>
      </c>
      <c r="J20" s="16" t="str">
        <f t="shared" si="2"/>
        <v/>
      </c>
      <c r="K20" s="16" t="str">
        <f t="shared" si="2"/>
        <v/>
      </c>
      <c r="L20" s="16" t="str">
        <f t="shared" si="2"/>
        <v/>
      </c>
      <c r="M20" s="16" t="str">
        <f t="shared" si="2"/>
        <v/>
      </c>
      <c r="N20" s="16" t="str">
        <f t="shared" si="2"/>
        <v/>
      </c>
      <c r="O20" s="16" t="str">
        <f t="shared" si="2"/>
        <v/>
      </c>
      <c r="P20" s="16" t="str">
        <f t="shared" si="2"/>
        <v/>
      </c>
      <c r="Q20" s="16" t="str">
        <f t="shared" si="2"/>
        <v/>
      </c>
      <c r="R20" s="16" t="str">
        <f t="shared" si="2"/>
        <v/>
      </c>
      <c r="S20" s="16" t="str">
        <f t="shared" si="2"/>
        <v/>
      </c>
      <c r="T20" s="16" t="str">
        <f t="shared" si="2"/>
        <v/>
      </c>
      <c r="U20" s="16" t="str">
        <f t="shared" si="2"/>
        <v/>
      </c>
      <c r="V20" s="16" t="str">
        <f t="shared" si="2"/>
        <v/>
      </c>
      <c r="W20" s="16" t="str">
        <f t="shared" si="2"/>
        <v/>
      </c>
    </row>
    <row r="22" spans="2:26">
      <c r="B22" s="16" t="str">
        <f>AB4</f>
        <v>La</v>
      </c>
      <c r="C22" s="16" t="str">
        <f t="shared" ref="C22:Z22" si="3">IF(C19=1,INDEX(tab,MATCH($AB$4,dominante,0),C1)," ")</f>
        <v xml:space="preserve"> </v>
      </c>
      <c r="D22" s="16" t="str">
        <f t="shared" si="3"/>
        <v xml:space="preserve"> </v>
      </c>
      <c r="E22" s="16" t="str">
        <f t="shared" si="3"/>
        <v>Do</v>
      </c>
      <c r="F22" s="16" t="str">
        <f>IF(F19=1,INDEX(tab,MATCH($AB$4,dominante,0),F1)," ")</f>
        <v xml:space="preserve"> </v>
      </c>
      <c r="G22" s="16" t="str">
        <f t="shared" si="3"/>
        <v xml:space="preserve"> </v>
      </c>
      <c r="H22" s="16" t="str">
        <f t="shared" si="3"/>
        <v xml:space="preserve"> </v>
      </c>
      <c r="I22" s="16" t="str">
        <f t="shared" si="3"/>
        <v>Mi</v>
      </c>
      <c r="J22" s="16" t="str">
        <f t="shared" si="3"/>
        <v xml:space="preserve"> </v>
      </c>
      <c r="K22" s="16" t="str">
        <f t="shared" si="3"/>
        <v xml:space="preserve"> </v>
      </c>
      <c r="L22" s="16" t="str">
        <f t="shared" si="3"/>
        <v xml:space="preserve"> </v>
      </c>
      <c r="M22" s="16" t="str">
        <f t="shared" si="3"/>
        <v xml:space="preserve"> </v>
      </c>
      <c r="N22" s="16" t="str">
        <f t="shared" si="3"/>
        <v xml:space="preserve"> </v>
      </c>
      <c r="O22" s="16" t="str">
        <f t="shared" si="3"/>
        <v xml:space="preserve"> </v>
      </c>
      <c r="P22" s="16" t="str">
        <f t="shared" si="3"/>
        <v xml:space="preserve"> </v>
      </c>
      <c r="Q22" s="16" t="str">
        <f t="shared" si="3"/>
        <v xml:space="preserve"> </v>
      </c>
      <c r="R22" s="16" t="str">
        <f t="shared" si="3"/>
        <v xml:space="preserve"> </v>
      </c>
      <c r="S22" s="16" t="str">
        <f t="shared" si="3"/>
        <v xml:space="preserve"> </v>
      </c>
      <c r="T22" s="16" t="str">
        <f t="shared" si="3"/>
        <v xml:space="preserve"> </v>
      </c>
      <c r="U22" s="16" t="str">
        <f t="shared" si="3"/>
        <v xml:space="preserve"> </v>
      </c>
      <c r="V22" s="16" t="str">
        <f t="shared" si="3"/>
        <v xml:space="preserve"> </v>
      </c>
      <c r="W22" s="16" t="str">
        <f t="shared" si="3"/>
        <v xml:space="preserve"> </v>
      </c>
      <c r="X22" t="str">
        <f t="shared" si="3"/>
        <v xml:space="preserve"> </v>
      </c>
      <c r="Y22" t="str">
        <f t="shared" si="3"/>
        <v xml:space="preserve"> </v>
      </c>
      <c r="Z22" t="str">
        <f t="shared" si="3"/>
        <v xml:space="preserve"> 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AQ3"/>
  <sheetViews>
    <sheetView zoomScale="55" zoomScaleNormal="55" workbookViewId="0">
      <selection activeCell="H5" sqref="H5"/>
    </sheetView>
  </sheetViews>
  <sheetFormatPr baseColWidth="10" defaultColWidth="6.42578125" defaultRowHeight="72.75" customHeight="1"/>
  <sheetData>
    <row r="2" spans="2:43" ht="243" customHeight="1">
      <c r="B2" s="35"/>
      <c r="C2" s="35"/>
      <c r="D2" s="34"/>
      <c r="E2" s="34"/>
      <c r="F2" s="17"/>
      <c r="G2" s="34"/>
      <c r="H2" s="34"/>
      <c r="I2" s="35"/>
      <c r="J2" s="35"/>
      <c r="K2" s="35"/>
      <c r="L2" s="35"/>
      <c r="M2" s="34"/>
      <c r="N2" s="34"/>
      <c r="O2" s="17"/>
      <c r="P2" s="34"/>
      <c r="Q2" s="34"/>
      <c r="R2" s="17"/>
      <c r="S2" s="34"/>
      <c r="T2" s="34"/>
      <c r="U2" s="35"/>
      <c r="V2" s="35"/>
      <c r="W2" s="35"/>
      <c r="X2" s="35"/>
      <c r="Y2" s="34"/>
      <c r="Z2" s="34"/>
      <c r="AA2" s="17"/>
      <c r="AB2" s="34"/>
      <c r="AC2" s="34"/>
      <c r="AD2" s="35"/>
      <c r="AE2" s="35"/>
      <c r="AF2" s="35"/>
      <c r="AG2" s="35"/>
      <c r="AH2" s="34"/>
      <c r="AI2" s="34"/>
      <c r="AJ2" s="17"/>
      <c r="AK2" s="34"/>
      <c r="AL2" s="34"/>
      <c r="AM2" s="17"/>
      <c r="AN2" s="34"/>
      <c r="AO2" s="34"/>
      <c r="AP2" s="35"/>
      <c r="AQ2" s="35"/>
    </row>
    <row r="3" spans="2:43" ht="170.25" customHeight="1">
      <c r="B3" s="33"/>
      <c r="C3" s="33"/>
      <c r="D3" s="32"/>
      <c r="E3" s="32"/>
      <c r="F3" s="33"/>
      <c r="G3" s="32"/>
      <c r="H3" s="32"/>
      <c r="I3" s="33"/>
      <c r="J3" s="33"/>
      <c r="K3" s="33"/>
      <c r="L3" s="33"/>
      <c r="M3" s="32"/>
      <c r="N3" s="32"/>
      <c r="O3" s="33"/>
      <c r="P3" s="32"/>
      <c r="Q3" s="32"/>
      <c r="R3" s="33"/>
      <c r="S3" s="32"/>
      <c r="T3" s="32"/>
      <c r="U3" s="33"/>
      <c r="V3" s="33"/>
      <c r="W3" s="33"/>
      <c r="X3" s="33"/>
      <c r="Y3" s="32"/>
      <c r="Z3" s="32"/>
      <c r="AA3" s="33"/>
      <c r="AB3" s="32"/>
      <c r="AC3" s="32"/>
      <c r="AD3" s="33"/>
      <c r="AE3" s="33"/>
      <c r="AF3" s="33"/>
      <c r="AG3" s="33"/>
      <c r="AH3" s="32"/>
      <c r="AI3" s="32"/>
      <c r="AJ3" s="33"/>
      <c r="AK3" s="32"/>
      <c r="AL3" s="32"/>
      <c r="AM3" s="33"/>
      <c r="AN3" s="32"/>
      <c r="AO3" s="32"/>
      <c r="AP3" s="33"/>
      <c r="AQ3" s="33"/>
    </row>
  </sheetData>
  <mergeCells count="32">
    <mergeCell ref="AF2:AG2"/>
    <mergeCell ref="P2:Q2"/>
    <mergeCell ref="S2:T2"/>
    <mergeCell ref="B2:C2"/>
    <mergeCell ref="B3:D3"/>
    <mergeCell ref="E3:G3"/>
    <mergeCell ref="H3:J3"/>
    <mergeCell ref="K3:M3"/>
    <mergeCell ref="N3:P3"/>
    <mergeCell ref="Q3:S3"/>
    <mergeCell ref="T3:V3"/>
    <mergeCell ref="D2:E2"/>
    <mergeCell ref="G2:H2"/>
    <mergeCell ref="M2:N2"/>
    <mergeCell ref="I2:J2"/>
    <mergeCell ref="K2:L2"/>
    <mergeCell ref="U2:V2"/>
    <mergeCell ref="W2:X2"/>
    <mergeCell ref="Y2:Z2"/>
    <mergeCell ref="AB2:AC2"/>
    <mergeCell ref="AD2:AE2"/>
    <mergeCell ref="W3:Y3"/>
    <mergeCell ref="Z3:AB3"/>
    <mergeCell ref="AC3:AE3"/>
    <mergeCell ref="AF3:AH3"/>
    <mergeCell ref="AI3:AK3"/>
    <mergeCell ref="AO3:AQ3"/>
    <mergeCell ref="AH2:AI2"/>
    <mergeCell ref="AK2:AL2"/>
    <mergeCell ref="AN2:AO2"/>
    <mergeCell ref="AP2:AQ2"/>
    <mergeCell ref="AL3:AN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BW113"/>
  <sheetViews>
    <sheetView showGridLines="0" showRowColHeaders="0" tabSelected="1" topLeftCell="A4" zoomScaleNormal="100" workbookViewId="0">
      <selection activeCell="P112" sqref="P112"/>
    </sheetView>
  </sheetViews>
  <sheetFormatPr baseColWidth="10" defaultColWidth="2.85546875" defaultRowHeight="15"/>
  <cols>
    <col min="4" max="4" width="2.85546875" style="23"/>
    <col min="5" max="5" width="3.7109375" customWidth="1"/>
    <col min="6" max="6" width="5.5703125" customWidth="1"/>
    <col min="7" max="7" width="5.28515625" customWidth="1"/>
    <col min="8" max="8" width="4.85546875" customWidth="1"/>
    <col min="9" max="9" width="4.85546875" hidden="1" customWidth="1"/>
    <col min="10" max="10" width="14" hidden="1" customWidth="1"/>
    <col min="11" max="11" width="14.140625" hidden="1" customWidth="1"/>
    <col min="14" max="14" width="1" customWidth="1"/>
    <col min="19" max="19" width="1" customWidth="1"/>
    <col min="20" max="23" width="2.5703125" customWidth="1"/>
    <col min="24" max="24" width="1" customWidth="1"/>
    <col min="25" max="28" width="2.5703125" customWidth="1"/>
    <col min="29" max="29" width="1" customWidth="1"/>
    <col min="30" max="33" width="2.5703125" customWidth="1"/>
    <col min="34" max="34" width="1" customWidth="1"/>
    <col min="35" max="38" width="2.5703125" customWidth="1"/>
    <col min="39" max="39" width="1" customWidth="1"/>
    <col min="40" max="43" width="2.5703125" customWidth="1"/>
    <col min="44" max="44" width="1" customWidth="1"/>
    <col min="45" max="48" width="2.5703125" customWidth="1"/>
    <col min="49" max="49" width="1" customWidth="1"/>
    <col min="50" max="53" width="2.28515625" customWidth="1"/>
    <col min="54" max="54" width="1" customWidth="1"/>
    <col min="55" max="58" width="2.140625" customWidth="1"/>
    <col min="59" max="59" width="1" customWidth="1"/>
    <col min="60" max="63" width="1.85546875" customWidth="1"/>
    <col min="64" max="64" width="1" customWidth="1"/>
    <col min="65" max="68" width="1.7109375" customWidth="1"/>
    <col min="69" max="69" width="1" customWidth="1"/>
    <col min="70" max="73" width="1.140625" customWidth="1"/>
    <col min="74" max="74" width="1" customWidth="1"/>
  </cols>
  <sheetData>
    <row r="1" spans="4:75" hidden="1"/>
    <row r="2" spans="4:75" hidden="1"/>
    <row r="3" spans="4:75" hidden="1"/>
    <row r="5" spans="4:75">
      <c r="O5" s="29"/>
      <c r="P5" s="29">
        <v>1</v>
      </c>
      <c r="Q5" s="29"/>
      <c r="R5" s="29"/>
      <c r="S5" s="29"/>
      <c r="T5" s="29"/>
      <c r="U5" s="29">
        <v>2</v>
      </c>
      <c r="V5" s="29"/>
      <c r="W5" s="29"/>
      <c r="X5" s="29"/>
      <c r="Y5" s="29"/>
      <c r="Z5" s="29">
        <v>3</v>
      </c>
      <c r="AA5" s="29"/>
      <c r="AB5" s="29"/>
      <c r="AC5" s="29"/>
      <c r="AD5" s="29"/>
      <c r="AE5" s="29">
        <v>4</v>
      </c>
      <c r="AF5" s="29"/>
      <c r="AG5" s="29"/>
      <c r="AH5" s="29"/>
      <c r="AI5" s="29"/>
      <c r="AJ5" s="29">
        <v>5</v>
      </c>
      <c r="AK5" s="29"/>
      <c r="AL5" s="29"/>
      <c r="AM5" s="29"/>
      <c r="AN5" s="29"/>
      <c r="AO5" s="29">
        <v>6</v>
      </c>
      <c r="AP5" s="29"/>
      <c r="AQ5" s="29"/>
      <c r="AR5" s="29"/>
      <c r="AS5" s="29"/>
      <c r="AT5" s="29">
        <v>7</v>
      </c>
      <c r="AU5" s="29"/>
      <c r="AV5" s="29"/>
      <c r="AW5" s="29"/>
      <c r="AX5" s="29"/>
      <c r="AY5" s="29">
        <v>8</v>
      </c>
      <c r="AZ5" s="29"/>
      <c r="BA5" s="29"/>
      <c r="BB5" s="29"/>
      <c r="BC5" s="29"/>
      <c r="BD5" s="29">
        <v>9</v>
      </c>
      <c r="BE5" s="29"/>
      <c r="BF5" s="29"/>
      <c r="BG5" s="29"/>
      <c r="BH5" s="29"/>
      <c r="BI5" s="29">
        <v>1</v>
      </c>
      <c r="BJ5" s="29">
        <v>0</v>
      </c>
      <c r="BK5" s="29"/>
      <c r="BL5" s="29"/>
      <c r="BM5" s="29"/>
      <c r="BN5" s="29">
        <v>1</v>
      </c>
      <c r="BO5" s="29">
        <v>1</v>
      </c>
      <c r="BP5" s="29"/>
      <c r="BQ5" s="29"/>
      <c r="BR5" s="29">
        <v>1</v>
      </c>
      <c r="BS5" s="42">
        <v>12</v>
      </c>
      <c r="BT5" s="42"/>
      <c r="BU5" s="42"/>
    </row>
    <row r="6" spans="4:75">
      <c r="D6" t="s">
        <v>37</v>
      </c>
      <c r="N6" s="20"/>
      <c r="O6" s="21"/>
      <c r="P6" s="21"/>
      <c r="Q6" s="21"/>
      <c r="R6" s="21"/>
      <c r="S6" s="20"/>
      <c r="T6" s="21"/>
      <c r="U6" s="21"/>
      <c r="V6" s="21"/>
      <c r="W6" s="21"/>
      <c r="X6" s="20"/>
      <c r="Y6" s="21"/>
      <c r="Z6" s="21"/>
      <c r="AA6" s="21"/>
      <c r="AB6" s="21"/>
      <c r="AC6" s="20"/>
      <c r="AD6" s="21"/>
      <c r="AE6" s="21"/>
      <c r="AF6" s="21"/>
      <c r="AG6" s="21"/>
      <c r="AH6" s="20"/>
      <c r="AI6" s="21"/>
      <c r="AJ6" s="21"/>
      <c r="AK6" s="21"/>
      <c r="AL6" s="21"/>
      <c r="AM6" s="20"/>
      <c r="AN6" s="21"/>
      <c r="AO6" s="21"/>
      <c r="AP6" s="21"/>
      <c r="AQ6" s="21"/>
      <c r="AR6" s="20"/>
      <c r="AS6" s="21"/>
      <c r="AT6" s="21"/>
      <c r="AU6" s="21"/>
      <c r="AV6" s="21"/>
      <c r="AW6" s="20"/>
      <c r="AX6" s="21"/>
      <c r="AY6" s="21"/>
      <c r="AZ6" s="21"/>
      <c r="BA6" s="21"/>
      <c r="BB6" s="20"/>
      <c r="BC6" s="21"/>
      <c r="BD6" s="21"/>
      <c r="BE6" s="21"/>
      <c r="BF6" s="21"/>
      <c r="BG6" s="20"/>
      <c r="BH6" s="21"/>
      <c r="BI6" s="21"/>
      <c r="BJ6" s="21"/>
      <c r="BK6" s="21"/>
      <c r="BL6" s="20"/>
      <c r="BM6" s="21"/>
      <c r="BN6" s="21"/>
      <c r="BO6" s="21"/>
      <c r="BP6" s="21"/>
      <c r="BQ6" s="20"/>
      <c r="BR6" s="21"/>
      <c r="BS6" s="21"/>
      <c r="BT6" s="21"/>
      <c r="BU6" s="21"/>
      <c r="BV6" s="20"/>
      <c r="BW6" s="21"/>
    </row>
    <row r="7" spans="4:75" ht="3.75" customHeight="1" thickBot="1">
      <c r="L7" s="18"/>
      <c r="M7" s="18"/>
      <c r="N7" s="18"/>
      <c r="O7" s="18"/>
      <c r="P7" s="18"/>
      <c r="Q7" s="18"/>
      <c r="R7" s="19"/>
      <c r="S7" s="18"/>
      <c r="T7" s="18"/>
      <c r="U7" s="18"/>
      <c r="V7" s="18"/>
      <c r="W7" s="19"/>
      <c r="X7" s="18"/>
      <c r="Y7" s="18"/>
      <c r="Z7" s="18"/>
      <c r="AA7" s="18"/>
      <c r="AB7" s="19"/>
      <c r="AC7" s="18"/>
      <c r="AD7" s="18"/>
      <c r="AE7" s="18"/>
      <c r="AF7" s="18"/>
      <c r="AG7" s="19"/>
      <c r="AH7" s="18"/>
      <c r="AI7" s="18"/>
      <c r="AJ7" s="18"/>
      <c r="AK7" s="18"/>
      <c r="AL7" s="19"/>
      <c r="AM7" s="18"/>
      <c r="AN7" s="18"/>
      <c r="AO7" s="18"/>
      <c r="AP7" s="18"/>
      <c r="AQ7" s="19"/>
      <c r="AR7" s="18"/>
      <c r="AS7" s="18"/>
      <c r="AT7" s="18"/>
      <c r="AU7" s="18"/>
      <c r="AV7" s="19"/>
      <c r="AW7" s="18"/>
      <c r="AX7" s="18"/>
      <c r="AY7" s="18"/>
      <c r="AZ7" s="18"/>
      <c r="BA7" s="19"/>
      <c r="BB7" s="18"/>
      <c r="BC7" s="18"/>
      <c r="BD7" s="18"/>
      <c r="BE7" s="18"/>
      <c r="BF7" s="19"/>
      <c r="BG7" s="18"/>
      <c r="BH7" s="18"/>
      <c r="BI7" s="18"/>
      <c r="BJ7" s="18"/>
      <c r="BK7" s="19"/>
      <c r="BL7" s="18"/>
      <c r="BM7" s="18"/>
      <c r="BN7" s="18"/>
      <c r="BO7" s="18"/>
      <c r="BP7" s="19"/>
      <c r="BQ7" s="18"/>
      <c r="BR7" s="18"/>
      <c r="BS7" s="18"/>
      <c r="BT7" s="18"/>
      <c r="BU7" s="19"/>
      <c r="BV7" s="18"/>
      <c r="BW7" s="18"/>
    </row>
    <row r="8" spans="4:75" ht="15.75" thickBot="1">
      <c r="F8" s="27" t="str">
        <f>H88</f>
        <v>mi</v>
      </c>
      <c r="N8" s="20"/>
      <c r="O8" s="21"/>
      <c r="P8" s="21"/>
      <c r="Q8" s="21"/>
      <c r="R8" s="21"/>
      <c r="S8" s="20"/>
      <c r="T8" s="21"/>
      <c r="U8" s="21"/>
      <c r="V8" s="21"/>
      <c r="W8" s="21"/>
      <c r="X8" s="20"/>
      <c r="Y8" s="21"/>
      <c r="Z8" s="22"/>
      <c r="AA8" s="22"/>
      <c r="AB8" s="21"/>
      <c r="AC8" s="20"/>
      <c r="AD8" s="21"/>
      <c r="AE8" s="21"/>
      <c r="AF8" s="21"/>
      <c r="AG8" s="21"/>
      <c r="AH8" s="20"/>
      <c r="AI8" s="21"/>
      <c r="AJ8" s="22"/>
      <c r="AK8" s="22"/>
      <c r="AL8" s="21"/>
      <c r="AM8" s="20"/>
      <c r="AN8" s="21"/>
      <c r="AO8" s="21"/>
      <c r="AP8" s="21"/>
      <c r="AQ8" s="21"/>
      <c r="AR8" s="20"/>
      <c r="AS8" s="21"/>
      <c r="AT8" s="22"/>
      <c r="AU8" s="22"/>
      <c r="AV8" s="21"/>
      <c r="AW8" s="20"/>
      <c r="AX8" s="21"/>
      <c r="AY8" s="21"/>
      <c r="AZ8" s="21"/>
      <c r="BA8" s="21"/>
      <c r="BB8" s="20"/>
      <c r="BC8" s="21"/>
      <c r="BD8" s="22"/>
      <c r="BE8" s="22"/>
      <c r="BF8" s="21"/>
      <c r="BG8" s="20"/>
      <c r="BH8" s="21"/>
      <c r="BI8" s="21"/>
      <c r="BJ8" s="21"/>
      <c r="BK8" s="21"/>
      <c r="BL8" s="20"/>
      <c r="BM8" s="21"/>
      <c r="BN8" s="21"/>
      <c r="BO8" s="21"/>
      <c r="BP8" s="21"/>
      <c r="BQ8" s="20"/>
      <c r="BR8" s="21"/>
      <c r="BS8" s="22"/>
      <c r="BT8" s="22"/>
      <c r="BU8" s="21"/>
      <c r="BV8" s="20"/>
      <c r="BW8" s="21"/>
    </row>
    <row r="9" spans="4:75" ht="3.75" customHeight="1" thickBot="1">
      <c r="L9" s="18"/>
      <c r="M9" s="18"/>
      <c r="N9" s="18"/>
      <c r="O9" s="18"/>
      <c r="P9" s="18"/>
      <c r="Q9" s="18"/>
      <c r="R9" s="19"/>
      <c r="S9" s="18"/>
      <c r="T9" s="18"/>
      <c r="U9" s="18"/>
      <c r="V9" s="18"/>
      <c r="W9" s="19"/>
      <c r="X9" s="18"/>
      <c r="Y9" s="18"/>
      <c r="Z9" s="18"/>
      <c r="AA9" s="18"/>
      <c r="AB9" s="19"/>
      <c r="AC9" s="18"/>
      <c r="AD9" s="18"/>
      <c r="AE9" s="18"/>
      <c r="AF9" s="18"/>
      <c r="AG9" s="19"/>
      <c r="AH9" s="18"/>
      <c r="AI9" s="18"/>
      <c r="AJ9" s="18"/>
      <c r="AK9" s="18"/>
      <c r="AL9" s="19"/>
      <c r="AM9" s="18"/>
      <c r="AN9" s="18"/>
      <c r="AO9" s="18"/>
      <c r="AP9" s="18"/>
      <c r="AQ9" s="18"/>
      <c r="AR9" s="18"/>
      <c r="AS9" s="18"/>
      <c r="AT9" s="18"/>
      <c r="AU9" s="18"/>
      <c r="AV9" s="19"/>
      <c r="AW9" s="18"/>
      <c r="AX9" s="18"/>
      <c r="AY9" s="18"/>
      <c r="AZ9" s="18"/>
      <c r="BA9" s="19"/>
      <c r="BB9" s="18"/>
      <c r="BC9" s="18"/>
      <c r="BD9" s="18"/>
      <c r="BE9" s="18"/>
      <c r="BF9" s="19"/>
      <c r="BG9" s="18"/>
      <c r="BH9" s="18"/>
      <c r="BI9" s="18"/>
      <c r="BJ9" s="18"/>
      <c r="BK9" s="19"/>
      <c r="BL9" s="18"/>
      <c r="BM9" s="18"/>
      <c r="BN9" s="18"/>
      <c r="BO9" s="18"/>
      <c r="BP9" s="19"/>
      <c r="BQ9" s="18"/>
      <c r="BR9" s="18"/>
      <c r="BS9" s="18"/>
      <c r="BT9" s="18"/>
      <c r="BU9" s="19"/>
      <c r="BV9" s="18"/>
      <c r="BW9" s="18"/>
    </row>
    <row r="10" spans="4:75" ht="15.75" thickBot="1">
      <c r="F10" s="27" t="str">
        <f>H75</f>
        <v>si</v>
      </c>
      <c r="N10" s="20"/>
      <c r="O10" s="21"/>
      <c r="P10" s="21"/>
      <c r="Q10" s="21"/>
      <c r="R10" s="21"/>
      <c r="S10" s="20"/>
      <c r="T10" s="21"/>
      <c r="U10" s="21"/>
      <c r="V10" s="21"/>
      <c r="W10" s="21"/>
      <c r="X10" s="20"/>
      <c r="Y10" s="21"/>
      <c r="Z10" s="22"/>
      <c r="AA10" s="22"/>
      <c r="AB10" s="21"/>
      <c r="AC10" s="20"/>
      <c r="AD10" s="21"/>
      <c r="AE10" s="21"/>
      <c r="AF10" s="21"/>
      <c r="AG10" s="21"/>
      <c r="AH10" s="20"/>
      <c r="AI10" s="21"/>
      <c r="AJ10" s="22"/>
      <c r="AK10" s="22"/>
      <c r="AL10" s="21"/>
      <c r="AM10" s="20"/>
      <c r="AN10" s="21"/>
      <c r="AO10" s="21"/>
      <c r="AP10" s="21"/>
      <c r="AQ10" s="21"/>
      <c r="AR10" s="20"/>
      <c r="AS10" s="21"/>
      <c r="AT10" s="22"/>
      <c r="AU10" s="22"/>
      <c r="AV10" s="21"/>
      <c r="AW10" s="20"/>
      <c r="AX10" s="21"/>
      <c r="AY10" s="21"/>
      <c r="AZ10" s="21"/>
      <c r="BA10" s="21"/>
      <c r="BB10" s="20"/>
      <c r="BC10" s="21"/>
      <c r="BD10" s="22"/>
      <c r="BE10" s="22"/>
      <c r="BF10" s="21"/>
      <c r="BG10" s="20"/>
      <c r="BH10" s="21"/>
      <c r="BI10" s="21"/>
      <c r="BJ10" s="21"/>
      <c r="BK10" s="21"/>
      <c r="BL10" s="20"/>
      <c r="BM10" s="21"/>
      <c r="BN10" s="21"/>
      <c r="BO10" s="21"/>
      <c r="BP10" s="21"/>
      <c r="BQ10" s="20"/>
      <c r="BR10" s="21"/>
      <c r="BS10" s="21"/>
      <c r="BT10" s="21"/>
      <c r="BU10" s="21"/>
      <c r="BV10" s="20"/>
      <c r="BW10" s="21"/>
    </row>
    <row r="11" spans="4:75" ht="3.75" customHeight="1" thickBot="1">
      <c r="L11" s="18"/>
      <c r="M11" s="18"/>
      <c r="N11" s="18"/>
      <c r="O11" s="18"/>
      <c r="P11" s="18"/>
      <c r="Q11" s="18"/>
      <c r="R11" s="19"/>
      <c r="S11" s="18"/>
      <c r="T11" s="18"/>
      <c r="U11" s="18"/>
      <c r="V11" s="18"/>
      <c r="W11" s="19"/>
      <c r="X11" s="18"/>
      <c r="Y11" s="18"/>
      <c r="Z11" s="18"/>
      <c r="AA11" s="18"/>
      <c r="AB11" s="19"/>
      <c r="AC11" s="18"/>
      <c r="AD11" s="18"/>
      <c r="AE11" s="18"/>
      <c r="AF11" s="18"/>
      <c r="AG11" s="19"/>
      <c r="AH11" s="18"/>
      <c r="AI11" s="18"/>
      <c r="AJ11" s="18"/>
      <c r="AK11" s="18"/>
      <c r="AL11" s="19"/>
      <c r="AM11" s="18"/>
      <c r="AN11" s="18"/>
      <c r="AO11" s="18"/>
      <c r="AP11" s="18"/>
      <c r="AQ11" s="18"/>
      <c r="AR11" s="18"/>
      <c r="AS11" s="18"/>
      <c r="AT11" s="18"/>
      <c r="AU11" s="18"/>
      <c r="AV11" s="19"/>
      <c r="AW11" s="18"/>
      <c r="AX11" s="18"/>
      <c r="AY11" s="18"/>
      <c r="AZ11" s="18"/>
      <c r="BA11" s="19"/>
      <c r="BB11" s="18"/>
      <c r="BC11" s="18"/>
      <c r="BD11" s="18"/>
      <c r="BE11" s="18"/>
      <c r="BF11" s="19"/>
      <c r="BG11" s="18"/>
      <c r="BH11" s="18"/>
      <c r="BI11" s="18"/>
      <c r="BJ11" s="18"/>
      <c r="BK11" s="19"/>
      <c r="BL11" s="18"/>
      <c r="BM11" s="18"/>
      <c r="BN11" s="18"/>
      <c r="BO11" s="18"/>
      <c r="BP11" s="19"/>
      <c r="BQ11" s="18"/>
      <c r="BR11" s="18"/>
      <c r="BS11" s="18"/>
      <c r="BT11" s="18"/>
      <c r="BU11" s="19"/>
      <c r="BV11" s="18"/>
      <c r="BW11" s="18"/>
    </row>
    <row r="12" spans="4:75" ht="15.75" thickBot="1">
      <c r="F12" s="27" t="str">
        <f>H62</f>
        <v>sol</v>
      </c>
      <c r="N12" s="20"/>
      <c r="O12" s="21"/>
      <c r="P12" s="21"/>
      <c r="Q12" s="21"/>
      <c r="R12" s="21"/>
      <c r="S12" s="20"/>
      <c r="T12" s="21"/>
      <c r="U12" s="21"/>
      <c r="V12" s="21"/>
      <c r="W12" s="21"/>
      <c r="X12" s="20"/>
      <c r="Y12" s="21"/>
      <c r="Z12" s="22"/>
      <c r="AA12" s="22"/>
      <c r="AB12" s="21"/>
      <c r="AC12" s="20"/>
      <c r="AD12" s="21"/>
      <c r="AE12" s="21"/>
      <c r="AF12" s="21"/>
      <c r="AG12" s="21"/>
      <c r="AH12" s="20"/>
      <c r="AI12" s="21"/>
      <c r="AJ12" s="22"/>
      <c r="AK12" s="22"/>
      <c r="AL12" s="21"/>
      <c r="AM12" s="20"/>
      <c r="AN12" s="21"/>
      <c r="AO12" s="21"/>
      <c r="AP12" s="21"/>
      <c r="AQ12" s="21"/>
      <c r="AR12" s="20"/>
      <c r="AS12" s="21"/>
      <c r="AT12" s="22"/>
      <c r="AU12" s="22"/>
      <c r="AV12" s="21"/>
      <c r="AW12" s="20"/>
      <c r="AX12" s="21"/>
      <c r="AY12" s="21"/>
      <c r="AZ12" s="21"/>
      <c r="BA12" s="21"/>
      <c r="BB12" s="20"/>
      <c r="BC12" s="21"/>
      <c r="BD12" s="22"/>
      <c r="BE12" s="22"/>
      <c r="BF12" s="21"/>
      <c r="BG12" s="20"/>
      <c r="BH12" s="21"/>
      <c r="BI12" s="21"/>
      <c r="BJ12" s="21"/>
      <c r="BK12" s="21"/>
      <c r="BL12" s="20"/>
      <c r="BM12" s="21"/>
      <c r="BN12" s="21"/>
      <c r="BO12" s="21"/>
      <c r="BP12" s="21"/>
      <c r="BQ12" s="20"/>
      <c r="BR12" s="21"/>
      <c r="BS12" s="22"/>
      <c r="BT12" s="22"/>
      <c r="BU12" s="21"/>
      <c r="BV12" s="20"/>
      <c r="BW12" s="21"/>
    </row>
    <row r="13" spans="4:75" ht="3.75" customHeight="1" thickBot="1">
      <c r="L13" s="18"/>
      <c r="M13" s="18"/>
      <c r="N13" s="18"/>
      <c r="O13" s="18"/>
      <c r="P13" s="18"/>
      <c r="Q13" s="18"/>
      <c r="R13" s="19"/>
      <c r="S13" s="18"/>
      <c r="T13" s="18"/>
      <c r="U13" s="18"/>
      <c r="V13" s="18"/>
      <c r="W13" s="19"/>
      <c r="X13" s="18"/>
      <c r="Y13" s="18"/>
      <c r="Z13" s="18"/>
      <c r="AA13" s="18"/>
      <c r="AB13" s="19"/>
      <c r="AC13" s="18"/>
      <c r="AD13" s="18"/>
      <c r="AE13" s="18"/>
      <c r="AF13" s="18"/>
      <c r="AG13" s="19"/>
      <c r="AH13" s="18"/>
      <c r="AI13" s="18"/>
      <c r="AJ13" s="18"/>
      <c r="AK13" s="18"/>
      <c r="AL13" s="19"/>
      <c r="AM13" s="18"/>
      <c r="AN13" s="18"/>
      <c r="AO13" s="18"/>
      <c r="AP13" s="18"/>
      <c r="AQ13" s="18"/>
      <c r="AR13" s="18"/>
      <c r="AS13" s="18"/>
      <c r="AT13" s="18"/>
      <c r="AU13" s="18"/>
      <c r="AV13" s="19"/>
      <c r="AW13" s="18"/>
      <c r="AX13" s="18"/>
      <c r="AY13" s="18"/>
      <c r="AZ13" s="18"/>
      <c r="BA13" s="19"/>
      <c r="BB13" s="18"/>
      <c r="BC13" s="18"/>
      <c r="BD13" s="18"/>
      <c r="BE13" s="18"/>
      <c r="BF13" s="19"/>
      <c r="BG13" s="18"/>
      <c r="BH13" s="18"/>
      <c r="BI13" s="18"/>
      <c r="BJ13" s="18"/>
      <c r="BK13" s="19"/>
      <c r="BL13" s="18"/>
      <c r="BM13" s="18"/>
      <c r="BN13" s="18"/>
      <c r="BO13" s="18"/>
      <c r="BP13" s="19"/>
      <c r="BQ13" s="18"/>
      <c r="BR13" s="18"/>
      <c r="BS13" s="18"/>
      <c r="BT13" s="18"/>
      <c r="BU13" s="19"/>
      <c r="BV13" s="18"/>
      <c r="BW13" s="18"/>
    </row>
    <row r="14" spans="4:75" ht="15.75" thickBot="1">
      <c r="F14" s="27" t="str">
        <f>H49</f>
        <v>ré</v>
      </c>
      <c r="N14" s="20"/>
      <c r="O14" s="21"/>
      <c r="P14" s="21"/>
      <c r="Q14" s="21"/>
      <c r="R14" s="21"/>
      <c r="S14" s="20"/>
      <c r="T14" s="21"/>
      <c r="U14" s="21"/>
      <c r="V14" s="21"/>
      <c r="W14" s="21"/>
      <c r="X14" s="20"/>
      <c r="Y14" s="21"/>
      <c r="Z14" s="22"/>
      <c r="AA14" s="22"/>
      <c r="AB14" s="21"/>
      <c r="AC14" s="20"/>
      <c r="AD14" s="21"/>
      <c r="AE14" s="21"/>
      <c r="AF14" s="21"/>
      <c r="AG14" s="21"/>
      <c r="AH14" s="20"/>
      <c r="AI14" s="21"/>
      <c r="AJ14" s="22"/>
      <c r="AK14" s="22"/>
      <c r="AL14" s="21"/>
      <c r="AM14" s="20"/>
      <c r="AN14" s="21"/>
      <c r="AO14" s="21"/>
      <c r="AP14" s="21"/>
      <c r="AQ14" s="21"/>
      <c r="AR14" s="20"/>
      <c r="AS14" s="21"/>
      <c r="AT14" s="22"/>
      <c r="AU14" s="22"/>
      <c r="AV14" s="21"/>
      <c r="AW14" s="20"/>
      <c r="AX14" s="21"/>
      <c r="AY14" s="21"/>
      <c r="AZ14" s="21"/>
      <c r="BA14" s="21"/>
      <c r="BB14" s="20"/>
      <c r="BC14" s="21"/>
      <c r="BD14" s="22"/>
      <c r="BE14" s="22"/>
      <c r="BF14" s="21"/>
      <c r="BG14" s="20"/>
      <c r="BH14" s="21"/>
      <c r="BI14" s="21"/>
      <c r="BJ14" s="21"/>
      <c r="BK14" s="21"/>
      <c r="BL14" s="20"/>
      <c r="BM14" s="21"/>
      <c r="BN14" s="21"/>
      <c r="BO14" s="21"/>
      <c r="BP14" s="21"/>
      <c r="BQ14" s="20"/>
      <c r="BR14" s="21"/>
      <c r="BS14" s="21"/>
      <c r="BT14" s="21"/>
      <c r="BU14" s="21"/>
      <c r="BV14" s="20"/>
      <c r="BW14" s="21"/>
    </row>
    <row r="15" spans="4:75" ht="3.75" customHeight="1" thickBot="1">
      <c r="L15" s="18"/>
      <c r="M15" s="18"/>
      <c r="N15" s="18"/>
      <c r="O15" s="18"/>
      <c r="P15" s="18"/>
      <c r="Q15" s="18"/>
      <c r="R15" s="19"/>
      <c r="S15" s="18"/>
      <c r="T15" s="18"/>
      <c r="U15" s="18"/>
      <c r="V15" s="18"/>
      <c r="W15" s="19"/>
      <c r="X15" s="18"/>
      <c r="Y15" s="18"/>
      <c r="Z15" s="18"/>
      <c r="AA15" s="18"/>
      <c r="AB15" s="19"/>
      <c r="AC15" s="18"/>
      <c r="AD15" s="18"/>
      <c r="AE15" s="18"/>
      <c r="AF15" s="18"/>
      <c r="AG15" s="19"/>
      <c r="AH15" s="18"/>
      <c r="AI15" s="18"/>
      <c r="AJ15" s="18"/>
      <c r="AK15" s="18"/>
      <c r="AL15" s="19"/>
      <c r="AM15" s="18"/>
      <c r="AN15" s="18"/>
      <c r="AO15" s="18"/>
      <c r="AP15" s="18"/>
      <c r="AQ15" s="18"/>
      <c r="AR15" s="18"/>
      <c r="AS15" s="18"/>
      <c r="AT15" s="18"/>
      <c r="AU15" s="18"/>
      <c r="AV15" s="19"/>
      <c r="AW15" s="18"/>
      <c r="AX15" s="18"/>
      <c r="AY15" s="18"/>
      <c r="AZ15" s="18"/>
      <c r="BA15" s="19"/>
      <c r="BB15" s="18"/>
      <c r="BC15" s="18"/>
      <c r="BD15" s="18"/>
      <c r="BE15" s="18"/>
      <c r="BF15" s="19"/>
      <c r="BG15" s="18"/>
      <c r="BH15" s="18"/>
      <c r="BI15" s="18"/>
      <c r="BJ15" s="18"/>
      <c r="BK15" s="19"/>
      <c r="BL15" s="18"/>
      <c r="BM15" s="18"/>
      <c r="BN15" s="18"/>
      <c r="BO15" s="18"/>
      <c r="BP15" s="19"/>
      <c r="BQ15" s="18"/>
      <c r="BR15" s="18"/>
      <c r="BS15" s="18"/>
      <c r="BT15" s="18"/>
      <c r="BU15" s="19"/>
      <c r="BV15" s="18"/>
      <c r="BW15" s="18"/>
    </row>
    <row r="16" spans="4:75" ht="15.75" thickBot="1">
      <c r="F16" s="27" t="str">
        <f>H36</f>
        <v>la</v>
      </c>
      <c r="N16" s="20"/>
      <c r="O16" s="21"/>
      <c r="P16" s="21"/>
      <c r="Q16" s="21"/>
      <c r="R16" s="21"/>
      <c r="S16" s="20"/>
      <c r="T16" s="21"/>
      <c r="U16" s="21"/>
      <c r="V16" s="21"/>
      <c r="W16" s="21"/>
      <c r="X16" s="20"/>
      <c r="Y16" s="21"/>
      <c r="Z16" s="22"/>
      <c r="AA16" s="22"/>
      <c r="AB16" s="21"/>
      <c r="AC16" s="20"/>
      <c r="AD16" s="21"/>
      <c r="AE16" s="21"/>
      <c r="AF16" s="21"/>
      <c r="AG16" s="21"/>
      <c r="AH16" s="20"/>
      <c r="AI16" s="21"/>
      <c r="AJ16" s="22"/>
      <c r="AK16" s="22"/>
      <c r="AL16" s="21"/>
      <c r="AM16" s="20"/>
      <c r="AN16" s="21"/>
      <c r="AO16" s="21"/>
      <c r="AP16" s="21"/>
      <c r="AQ16" s="21"/>
      <c r="AR16" s="20"/>
      <c r="AS16" s="21"/>
      <c r="AT16" s="22"/>
      <c r="AU16" s="22"/>
      <c r="AV16" s="21"/>
      <c r="AW16" s="20"/>
      <c r="AX16" s="21"/>
      <c r="AY16" s="21"/>
      <c r="AZ16" s="21"/>
      <c r="BA16" s="21"/>
      <c r="BB16" s="20"/>
      <c r="BC16" s="21"/>
      <c r="BD16" s="22"/>
      <c r="BE16" s="22"/>
      <c r="BF16" s="21"/>
      <c r="BG16" s="20"/>
      <c r="BH16" s="21"/>
      <c r="BI16" s="21"/>
      <c r="BJ16" s="21"/>
      <c r="BK16" s="21"/>
      <c r="BL16" s="20"/>
      <c r="BM16" s="21"/>
      <c r="BN16" s="21"/>
      <c r="BO16" s="21"/>
      <c r="BP16" s="21"/>
      <c r="BQ16" s="20"/>
      <c r="BR16" s="21"/>
      <c r="BS16" s="22"/>
      <c r="BT16" s="22"/>
      <c r="BU16" s="21"/>
      <c r="BV16" s="20"/>
      <c r="BW16" s="21"/>
    </row>
    <row r="17" spans="2:75" ht="3.75" customHeight="1" thickBot="1">
      <c r="L17" s="18"/>
      <c r="M17" s="18"/>
      <c r="N17" s="18"/>
      <c r="O17" s="18"/>
      <c r="P17" s="18"/>
      <c r="Q17" s="18"/>
      <c r="R17" s="19"/>
      <c r="S17" s="18"/>
      <c r="T17" s="18"/>
      <c r="U17" s="18"/>
      <c r="V17" s="18"/>
      <c r="W17" s="19"/>
      <c r="X17" s="18"/>
      <c r="Y17" s="18"/>
      <c r="Z17" s="18"/>
      <c r="AA17" s="18"/>
      <c r="AB17" s="19"/>
      <c r="AC17" s="18"/>
      <c r="AD17" s="18"/>
      <c r="AE17" s="18"/>
      <c r="AF17" s="18"/>
      <c r="AG17" s="19"/>
      <c r="AH17" s="18"/>
      <c r="AI17" s="18"/>
      <c r="AJ17" s="18"/>
      <c r="AK17" s="18"/>
      <c r="AL17" s="19"/>
      <c r="AM17" s="18"/>
      <c r="AN17" s="18"/>
      <c r="AO17" s="18"/>
      <c r="AP17" s="18"/>
      <c r="AQ17" s="19"/>
      <c r="AR17" s="18"/>
      <c r="AS17" s="18"/>
      <c r="AT17" s="18"/>
      <c r="AU17" s="18"/>
      <c r="AV17" s="19"/>
      <c r="AW17" s="18"/>
      <c r="AX17" s="18"/>
      <c r="AY17" s="18"/>
      <c r="AZ17" s="18"/>
      <c r="BA17" s="19"/>
      <c r="BB17" s="18"/>
      <c r="BC17" s="18"/>
      <c r="BD17" s="18"/>
      <c r="BE17" s="18"/>
      <c r="BF17" s="19"/>
      <c r="BG17" s="18"/>
      <c r="BH17" s="18"/>
      <c r="BI17" s="18"/>
      <c r="BJ17" s="18"/>
      <c r="BK17" s="19"/>
      <c r="BL17" s="18"/>
      <c r="BM17" s="18"/>
      <c r="BN17" s="18"/>
      <c r="BO17" s="18"/>
      <c r="BP17" s="19"/>
      <c r="BQ17" s="18"/>
      <c r="BR17" s="18"/>
      <c r="BS17" s="18"/>
      <c r="BT17" s="18"/>
      <c r="BU17" s="19"/>
      <c r="BV17" s="18"/>
      <c r="BW17" s="18"/>
    </row>
    <row r="18" spans="2:75" ht="15.75" thickBot="1">
      <c r="F18" s="27" t="str">
        <f>H23</f>
        <v>mi</v>
      </c>
      <c r="N18" s="20"/>
      <c r="O18" s="21"/>
      <c r="P18" s="21"/>
      <c r="Q18" s="21"/>
      <c r="R18" s="21"/>
      <c r="S18" s="20"/>
      <c r="T18" s="21"/>
      <c r="U18" s="21"/>
      <c r="V18" s="21"/>
      <c r="W18" s="21"/>
      <c r="X18" s="20"/>
      <c r="Y18" s="21"/>
      <c r="Z18" s="21"/>
      <c r="AA18" s="21"/>
      <c r="AB18" s="21"/>
      <c r="AC18" s="20"/>
      <c r="AD18" s="21"/>
      <c r="AE18" s="21"/>
      <c r="AF18" s="21"/>
      <c r="AG18" s="21"/>
      <c r="AH18" s="20"/>
      <c r="AI18" s="21"/>
      <c r="AJ18" s="21"/>
      <c r="AK18" s="21"/>
      <c r="AL18" s="21"/>
      <c r="AM18" s="20"/>
      <c r="AN18" s="21"/>
      <c r="AO18" s="21"/>
      <c r="AP18" s="21"/>
      <c r="AQ18" s="21"/>
      <c r="AR18" s="20"/>
      <c r="AS18" s="21"/>
      <c r="AT18" s="21"/>
      <c r="AU18" s="21"/>
      <c r="AV18" s="21"/>
      <c r="AW18" s="20"/>
      <c r="AX18" s="21"/>
      <c r="AY18" s="21"/>
      <c r="AZ18" s="21"/>
      <c r="BA18" s="21"/>
      <c r="BB18" s="20"/>
      <c r="BC18" s="21"/>
      <c r="BD18" s="21"/>
      <c r="BE18" s="21"/>
      <c r="BF18" s="21"/>
      <c r="BG18" s="20"/>
      <c r="BH18" s="21"/>
      <c r="BI18" s="21"/>
      <c r="BJ18" s="21"/>
      <c r="BK18" s="21"/>
      <c r="BL18" s="20"/>
      <c r="BM18" s="21"/>
      <c r="BN18" s="21"/>
      <c r="BO18" s="21"/>
      <c r="BP18" s="21"/>
      <c r="BQ18" s="20"/>
      <c r="BR18" s="21"/>
      <c r="BS18" s="21"/>
      <c r="BT18" s="21"/>
      <c r="BU18" s="21"/>
      <c r="BV18" s="20"/>
      <c r="BW18" s="21"/>
    </row>
    <row r="19" spans="2:75" ht="7.5" customHeight="1"/>
    <row r="20" spans="2:75" ht="7.5" customHeight="1"/>
    <row r="21" spans="2:75" ht="7.5" customHeight="1">
      <c r="B21" s="51"/>
      <c r="C21" s="51"/>
      <c r="D21" s="30"/>
      <c r="E21" s="51"/>
      <c r="F21" s="30"/>
      <c r="G21" s="30"/>
      <c r="H21" s="36" t="str">
        <f>AD102</f>
        <v>Fondamental</v>
      </c>
      <c r="I21" s="36"/>
      <c r="J21" s="36"/>
      <c r="K21" s="36"/>
      <c r="L21" s="36"/>
      <c r="M21" s="36"/>
      <c r="N21" s="36"/>
      <c r="O21" s="36"/>
      <c r="P21" s="36"/>
      <c r="Q21" s="36"/>
      <c r="R21" s="30"/>
      <c r="S21" s="30"/>
      <c r="T21" s="30"/>
      <c r="U21" s="30"/>
      <c r="V21" s="30"/>
      <c r="W21" s="30"/>
      <c r="X21" s="30"/>
      <c r="Y21" s="51"/>
      <c r="Z21" s="51"/>
    </row>
    <row r="22" spans="2:75" ht="7.5" customHeight="1">
      <c r="B22" s="51"/>
      <c r="C22" s="51"/>
      <c r="D22" s="52"/>
      <c r="E22" s="52"/>
      <c r="F22" s="31"/>
      <c r="G22" s="31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0"/>
      <c r="S22" s="30"/>
      <c r="T22" s="30"/>
      <c r="U22" s="30"/>
      <c r="V22" s="30"/>
      <c r="W22" s="30"/>
      <c r="X22" s="30"/>
      <c r="Y22" s="51"/>
      <c r="Z22" s="51"/>
    </row>
    <row r="23" spans="2:75" ht="7.5" hidden="1" customHeight="1">
      <c r="B23" s="51"/>
      <c r="C23" s="51"/>
      <c r="D23" s="30"/>
      <c r="E23" s="53" t="s">
        <v>27</v>
      </c>
      <c r="F23" s="30">
        <v>1</v>
      </c>
      <c r="G23" s="30">
        <v>1</v>
      </c>
      <c r="H23" s="30" t="str">
        <f t="shared" ref="H23:H35" si="0">INDEX($E$23:$E$48,G23,1)</f>
        <v>mi</v>
      </c>
      <c r="I23" s="30"/>
      <c r="J23" s="30" t="b">
        <f>IF(ISERROR(MATCH(grat!H23,bdd!$B$22:$W$22,0)),FALSE,TRUE)</f>
        <v>1</v>
      </c>
      <c r="K23" s="30">
        <f>IF(J23=TRUE,afficheCache("Ellipse 1",TRUE),afficheCache("Ellipse 1",FALSE))</f>
        <v>0</v>
      </c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51"/>
      <c r="Z23" s="51"/>
    </row>
    <row r="24" spans="2:75" ht="7.5" hidden="1" customHeight="1">
      <c r="B24" s="51"/>
      <c r="C24" s="51"/>
      <c r="D24" s="30"/>
      <c r="E24" s="54" t="s">
        <v>28</v>
      </c>
      <c r="F24" s="30">
        <v>2</v>
      </c>
      <c r="G24" s="30">
        <f>G23+1</f>
        <v>2</v>
      </c>
      <c r="H24" s="30" t="str">
        <f t="shared" si="0"/>
        <v>fa</v>
      </c>
      <c r="I24" s="30"/>
      <c r="J24" s="30" t="b">
        <f>IF(ISERROR(MATCH(grat!H24,bdd!$B$22:$W$22,0)),FALSE,TRUE)</f>
        <v>0</v>
      </c>
      <c r="K24" s="30">
        <f>IF(J24=TRUE,afficheCache("Ellipse 2",TRUE),afficheCache("Ellipse 2",FALSE))</f>
        <v>0</v>
      </c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51"/>
      <c r="Z24" s="51"/>
    </row>
    <row r="25" spans="2:75" ht="7.5" hidden="1" customHeight="1">
      <c r="B25" s="51"/>
      <c r="C25" s="51"/>
      <c r="D25" s="30"/>
      <c r="E25" s="54" t="s">
        <v>31</v>
      </c>
      <c r="F25" s="30">
        <v>3</v>
      </c>
      <c r="G25" s="30">
        <f t="shared" ref="G25:G35" si="1">G24+1</f>
        <v>3</v>
      </c>
      <c r="H25" s="30" t="str">
        <f t="shared" si="0"/>
        <v>fa#</v>
      </c>
      <c r="I25" s="30"/>
      <c r="J25" s="30" t="b">
        <f>IF(ISERROR(MATCH(grat!H25,bdd!$B$22:$W$22,0)),FALSE,TRUE)</f>
        <v>0</v>
      </c>
      <c r="K25" s="30">
        <f>IF(J25=TRUE,afficheCache("Ellipse 3",TRUE),afficheCache("Ellipse 3",FALSE))</f>
        <v>0</v>
      </c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51"/>
      <c r="Z25" s="51"/>
    </row>
    <row r="26" spans="2:75" ht="7.5" hidden="1" customHeight="1">
      <c r="B26" s="51"/>
      <c r="C26" s="51"/>
      <c r="D26" s="30"/>
      <c r="E26" s="54" t="s">
        <v>29</v>
      </c>
      <c r="F26" s="30">
        <v>4</v>
      </c>
      <c r="G26" s="30">
        <f t="shared" si="1"/>
        <v>4</v>
      </c>
      <c r="H26" s="30" t="str">
        <f t="shared" si="0"/>
        <v>sol</v>
      </c>
      <c r="I26" s="30"/>
      <c r="J26" s="30" t="b">
        <f>IF(ISERROR(MATCH(grat!H26,bdd!$B$22:$W$22,0)),FALSE,TRUE)</f>
        <v>0</v>
      </c>
      <c r="K26" s="30">
        <f>IF(J26=TRUE,afficheCache("Ellipse 4",TRUE),afficheCache("Ellipse 4",FALSE))</f>
        <v>0</v>
      </c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51"/>
      <c r="Z26" s="51"/>
    </row>
    <row r="27" spans="2:75" ht="7.5" hidden="1" customHeight="1">
      <c r="B27" s="51"/>
      <c r="C27" s="51"/>
      <c r="D27" s="30"/>
      <c r="E27" s="54" t="s">
        <v>32</v>
      </c>
      <c r="F27" s="30">
        <v>5</v>
      </c>
      <c r="G27" s="30">
        <f t="shared" si="1"/>
        <v>5</v>
      </c>
      <c r="H27" s="30" t="str">
        <f t="shared" si="0"/>
        <v>sol#</v>
      </c>
      <c r="I27" s="30"/>
      <c r="J27" s="30" t="b">
        <f>IF(ISERROR(MATCH(grat!H27,bdd!$B$22:$W$22,0)),FALSE,TRUE)</f>
        <v>0</v>
      </c>
      <c r="K27" s="30">
        <f>IF(J27=TRUE,afficheCache("Ellipse 5",TRUE),afficheCache("Ellipse 5",FALSE))</f>
        <v>0</v>
      </c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51"/>
      <c r="Z27" s="51"/>
    </row>
    <row r="28" spans="2:75" ht="7.5" hidden="1" customHeight="1">
      <c r="B28" s="51"/>
      <c r="C28" s="51"/>
      <c r="D28" s="30"/>
      <c r="E28" s="54" t="s">
        <v>30</v>
      </c>
      <c r="F28" s="30">
        <v>6</v>
      </c>
      <c r="G28" s="30">
        <f t="shared" si="1"/>
        <v>6</v>
      </c>
      <c r="H28" s="30" t="str">
        <f t="shared" si="0"/>
        <v>la</v>
      </c>
      <c r="I28" s="30"/>
      <c r="J28" s="30" t="b">
        <f>IF(ISERROR(MATCH(grat!H28,bdd!$B$22:$W$22,0)),FALSE,TRUE)</f>
        <v>1</v>
      </c>
      <c r="K28" s="30">
        <f>IF(J28=TRUE,afficheCache("Ellipse 6",TRUE),afficheCache("Ellipse 6",FALSE))</f>
        <v>0</v>
      </c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51"/>
      <c r="Z28" s="51"/>
    </row>
    <row r="29" spans="2:75" ht="7.5" hidden="1" customHeight="1">
      <c r="B29" s="51"/>
      <c r="C29" s="51"/>
      <c r="D29" s="30"/>
      <c r="E29" s="54" t="s">
        <v>33</v>
      </c>
      <c r="F29" s="30">
        <v>7</v>
      </c>
      <c r="G29" s="30">
        <f t="shared" si="1"/>
        <v>7</v>
      </c>
      <c r="H29" s="30" t="str">
        <f t="shared" si="0"/>
        <v>la#</v>
      </c>
      <c r="I29" s="30"/>
      <c r="J29" s="30" t="b">
        <f>IF(ISERROR(MATCH(grat!H29,bdd!$B$22:$W$22,0)),FALSE,TRUE)</f>
        <v>0</v>
      </c>
      <c r="K29" s="30">
        <f>IF(J29=TRUE,afficheCache("Ellipse 7",TRUE),afficheCache("Ellipse 7",FALSE))</f>
        <v>0</v>
      </c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51"/>
      <c r="Z29" s="51"/>
    </row>
    <row r="30" spans="2:75" ht="7.5" hidden="1" customHeight="1">
      <c r="B30" s="51"/>
      <c r="C30" s="51"/>
      <c r="D30" s="30"/>
      <c r="E30" s="54" t="s">
        <v>34</v>
      </c>
      <c r="F30" s="30">
        <v>8</v>
      </c>
      <c r="G30" s="30">
        <f t="shared" si="1"/>
        <v>8</v>
      </c>
      <c r="H30" s="30" t="str">
        <f t="shared" si="0"/>
        <v>si</v>
      </c>
      <c r="I30" s="30"/>
      <c r="J30" s="30" t="b">
        <f>IF(ISERROR(MATCH(grat!H30,bdd!$B$22:$W$22,0)),FALSE,TRUE)</f>
        <v>0</v>
      </c>
      <c r="K30" s="30">
        <f>IF(J30=TRUE,afficheCache("Ellipse 8",TRUE),afficheCache("Ellipse 8",FALSE))</f>
        <v>0</v>
      </c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51"/>
      <c r="Z30" s="51"/>
    </row>
    <row r="31" spans="2:75" ht="7.5" hidden="1" customHeight="1">
      <c r="B31" s="51"/>
      <c r="C31" s="51"/>
      <c r="D31" s="30"/>
      <c r="E31" s="54" t="s">
        <v>35</v>
      </c>
      <c r="F31" s="30">
        <v>9</v>
      </c>
      <c r="G31" s="30">
        <f t="shared" si="1"/>
        <v>9</v>
      </c>
      <c r="H31" s="30" t="str">
        <f t="shared" si="0"/>
        <v>do</v>
      </c>
      <c r="I31" s="30"/>
      <c r="J31" s="30" t="b">
        <f>IF(ISERROR(MATCH(grat!H31,bdd!$B$22:$W$22,0)),FALSE,TRUE)</f>
        <v>1</v>
      </c>
      <c r="K31" s="30">
        <f>IF(J31=TRUE,afficheCache("Ellipse 9",TRUE),afficheCache("Ellipse 9",FALSE))</f>
        <v>0</v>
      </c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51"/>
      <c r="Z31" s="51"/>
    </row>
    <row r="32" spans="2:75" ht="7.5" hidden="1" customHeight="1">
      <c r="B32" s="51"/>
      <c r="C32" s="51"/>
      <c r="D32" s="30"/>
      <c r="E32" s="54" t="s">
        <v>36</v>
      </c>
      <c r="F32" s="30">
        <v>10</v>
      </c>
      <c r="G32" s="30">
        <f t="shared" si="1"/>
        <v>10</v>
      </c>
      <c r="H32" s="30" t="str">
        <f t="shared" si="0"/>
        <v>do#</v>
      </c>
      <c r="I32" s="30"/>
      <c r="J32" s="30" t="b">
        <f>IF(ISERROR(MATCH(grat!H32,bdd!$B$22:$W$22,0)),FALSE,TRUE)</f>
        <v>0</v>
      </c>
      <c r="K32" s="30">
        <f>IF(J32=TRUE,afficheCache("Ellipse 10",TRUE),afficheCache("Ellipse 10",FALSE))</f>
        <v>0</v>
      </c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51"/>
      <c r="Z32" s="51"/>
    </row>
    <row r="33" spans="2:26" ht="7.5" hidden="1" customHeight="1">
      <c r="B33" s="51"/>
      <c r="C33" s="51"/>
      <c r="D33" s="30"/>
      <c r="E33" s="54" t="s">
        <v>39</v>
      </c>
      <c r="F33" s="30">
        <v>11</v>
      </c>
      <c r="G33" s="30">
        <f t="shared" si="1"/>
        <v>11</v>
      </c>
      <c r="H33" s="30" t="str">
        <f t="shared" si="0"/>
        <v>ré</v>
      </c>
      <c r="I33" s="30"/>
      <c r="J33" s="30" t="b">
        <f>IF(ISERROR(MATCH(grat!H33,bdd!$B$22:$W$22,0)),FALSE,TRUE)</f>
        <v>0</v>
      </c>
      <c r="K33" s="30">
        <f>IF(J33=TRUE,afficheCache("Ellipse 11",TRUE),afficheCache("Ellipse 11",FALSE))</f>
        <v>0</v>
      </c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51"/>
      <c r="Z33" s="51"/>
    </row>
    <row r="34" spans="2:26" ht="7.5" hidden="1" customHeight="1">
      <c r="B34" s="51"/>
      <c r="C34" s="51"/>
      <c r="D34" s="30"/>
      <c r="E34" s="54" t="s">
        <v>40</v>
      </c>
      <c r="F34" s="30">
        <v>12</v>
      </c>
      <c r="G34" s="30">
        <f t="shared" si="1"/>
        <v>12</v>
      </c>
      <c r="H34" s="30" t="str">
        <f t="shared" si="0"/>
        <v>ré#</v>
      </c>
      <c r="I34" s="30"/>
      <c r="J34" s="30" t="b">
        <f>IF(ISERROR(MATCH(grat!H34,bdd!$B$22:$W$22,0)),FALSE,TRUE)</f>
        <v>0</v>
      </c>
      <c r="K34" s="30">
        <f>IF(J34=TRUE,afficheCache("Ellipse 12",TRUE),afficheCache("Ellipse 12",FALSE))</f>
        <v>0</v>
      </c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51"/>
      <c r="Z34" s="51"/>
    </row>
    <row r="35" spans="2:26" ht="7.5" hidden="1" customHeight="1" thickBot="1">
      <c r="B35" s="51"/>
      <c r="C35" s="51"/>
      <c r="D35" s="30"/>
      <c r="E35" s="54" t="s">
        <v>27</v>
      </c>
      <c r="F35" s="30">
        <v>13</v>
      </c>
      <c r="G35" s="30">
        <f t="shared" si="1"/>
        <v>13</v>
      </c>
      <c r="H35" s="30" t="str">
        <f t="shared" si="0"/>
        <v>mi</v>
      </c>
      <c r="I35" s="30"/>
      <c r="J35" s="30" t="b">
        <f>IF(ISERROR(MATCH(grat!H35,bdd!$B$22:$W$22,0)),FALSE,TRUE)</f>
        <v>1</v>
      </c>
      <c r="K35" s="30">
        <f>IF(J35=TRUE,afficheCache("Ellipse 13",TRUE),afficheCache("Ellipse 13",FALSE))</f>
        <v>0</v>
      </c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51"/>
      <c r="Z35" s="51"/>
    </row>
    <row r="36" spans="2:26" ht="7.5" hidden="1" customHeight="1">
      <c r="B36" s="51"/>
      <c r="C36" s="51"/>
      <c r="D36" s="30"/>
      <c r="E36" s="54" t="s">
        <v>28</v>
      </c>
      <c r="F36" s="30">
        <v>14</v>
      </c>
      <c r="G36" s="30">
        <v>1</v>
      </c>
      <c r="H36" s="30" t="str">
        <f t="shared" ref="H36:H48" si="2">INDEX($E$28:$E$53,G36,1)</f>
        <v>la</v>
      </c>
      <c r="I36" s="30"/>
      <c r="J36" s="30" t="b">
        <f>IF(ISERROR(MATCH(grat!H36,bdd!$B$22:$W$22,0)),FALSE,TRUE)</f>
        <v>1</v>
      </c>
      <c r="K36" s="30">
        <f>IF(J36=TRUE,afficheCache("Ellipse 14",TRUE),afficheCache("Ellipse 14",FALSE))</f>
        <v>0</v>
      </c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51"/>
      <c r="Z36" s="51"/>
    </row>
    <row r="37" spans="2:26" ht="7.5" hidden="1" customHeight="1">
      <c r="B37" s="51"/>
      <c r="C37" s="51"/>
      <c r="D37" s="30"/>
      <c r="E37" s="54" t="s">
        <v>31</v>
      </c>
      <c r="F37" s="30">
        <v>15</v>
      </c>
      <c r="G37" s="30">
        <f>G36+1</f>
        <v>2</v>
      </c>
      <c r="H37" s="30" t="str">
        <f t="shared" si="2"/>
        <v>la#</v>
      </c>
      <c r="I37" s="30"/>
      <c r="J37" s="30" t="b">
        <f>IF(ISERROR(MATCH(grat!H37,bdd!$B$22:$W$22,0)),FALSE,TRUE)</f>
        <v>0</v>
      </c>
      <c r="K37" s="30">
        <f>IF(J37=TRUE,afficheCache("Ellipse 15",TRUE),afficheCache("Ellipse 15",FALSE))</f>
        <v>0</v>
      </c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51"/>
      <c r="Z37" s="51"/>
    </row>
    <row r="38" spans="2:26" ht="7.5" hidden="1" customHeight="1">
      <c r="B38" s="51"/>
      <c r="C38" s="51"/>
      <c r="D38" s="30"/>
      <c r="E38" s="54" t="s">
        <v>29</v>
      </c>
      <c r="F38" s="30">
        <v>16</v>
      </c>
      <c r="G38" s="30">
        <f t="shared" ref="G38:G48" si="3">G37+1</f>
        <v>3</v>
      </c>
      <c r="H38" s="30" t="str">
        <f t="shared" si="2"/>
        <v>si</v>
      </c>
      <c r="I38" s="30"/>
      <c r="J38" s="30" t="b">
        <f>IF(ISERROR(MATCH(grat!H38,bdd!$B$22:$W$22,0)),FALSE,TRUE)</f>
        <v>0</v>
      </c>
      <c r="K38" s="30">
        <f>IF(J38=TRUE,afficheCache("Ellipse 16",TRUE),afficheCache("Ellipse 16",FALSE))</f>
        <v>0</v>
      </c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51"/>
      <c r="Z38" s="51"/>
    </row>
    <row r="39" spans="2:26" ht="7.5" hidden="1" customHeight="1">
      <c r="B39" s="51"/>
      <c r="C39" s="51"/>
      <c r="D39" s="30"/>
      <c r="E39" s="54" t="s">
        <v>32</v>
      </c>
      <c r="F39" s="30">
        <v>17</v>
      </c>
      <c r="G39" s="30">
        <f t="shared" si="3"/>
        <v>4</v>
      </c>
      <c r="H39" s="30" t="str">
        <f t="shared" si="2"/>
        <v>do</v>
      </c>
      <c r="I39" s="30"/>
      <c r="J39" s="30" t="b">
        <f>IF(ISERROR(MATCH(grat!H39,bdd!$B$22:$W$22,0)),FALSE,TRUE)</f>
        <v>1</v>
      </c>
      <c r="K39" s="30">
        <f>IF(J39=TRUE,afficheCache("Ellipse 17",TRUE),afficheCache("Ellipse 17",FALSE))</f>
        <v>0</v>
      </c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51"/>
      <c r="Z39" s="51"/>
    </row>
    <row r="40" spans="2:26" ht="7.5" hidden="1" customHeight="1">
      <c r="B40" s="51"/>
      <c r="C40" s="51"/>
      <c r="D40" s="30"/>
      <c r="E40" s="54" t="s">
        <v>30</v>
      </c>
      <c r="F40" s="30">
        <v>18</v>
      </c>
      <c r="G40" s="30">
        <f t="shared" si="3"/>
        <v>5</v>
      </c>
      <c r="H40" s="30" t="str">
        <f t="shared" si="2"/>
        <v>do#</v>
      </c>
      <c r="I40" s="30"/>
      <c r="J40" s="30" t="b">
        <f>IF(ISERROR(MATCH(grat!H40,bdd!$B$22:$W$22,0)),FALSE,TRUE)</f>
        <v>0</v>
      </c>
      <c r="K40" s="30">
        <f>IF(J40=TRUE,afficheCache("Ellipse 18",TRUE),afficheCache("Ellipse 18",FALSE))</f>
        <v>0</v>
      </c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51"/>
      <c r="Z40" s="51"/>
    </row>
    <row r="41" spans="2:26" ht="7.5" hidden="1" customHeight="1">
      <c r="B41" s="51"/>
      <c r="C41" s="51"/>
      <c r="D41" s="30"/>
      <c r="E41" s="54" t="s">
        <v>33</v>
      </c>
      <c r="F41" s="30">
        <v>19</v>
      </c>
      <c r="G41" s="30">
        <f t="shared" si="3"/>
        <v>6</v>
      </c>
      <c r="H41" s="30" t="str">
        <f t="shared" si="2"/>
        <v>ré</v>
      </c>
      <c r="I41" s="30"/>
      <c r="J41" s="30" t="b">
        <f>IF(ISERROR(MATCH(grat!H41,bdd!$B$22:$W$22,0)),FALSE,TRUE)</f>
        <v>0</v>
      </c>
      <c r="K41" s="30">
        <f>IF(J41=TRUE,afficheCache("Ellipse 19",TRUE),afficheCache("Ellipse 19",FALSE))</f>
        <v>0</v>
      </c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51"/>
      <c r="Z41" s="51"/>
    </row>
    <row r="42" spans="2:26" ht="7.5" hidden="1" customHeight="1">
      <c r="B42" s="51"/>
      <c r="C42" s="51"/>
      <c r="D42" s="30"/>
      <c r="E42" s="54" t="s">
        <v>34</v>
      </c>
      <c r="F42" s="30">
        <v>20</v>
      </c>
      <c r="G42" s="30">
        <f t="shared" si="3"/>
        <v>7</v>
      </c>
      <c r="H42" s="30" t="str">
        <f t="shared" si="2"/>
        <v>ré#</v>
      </c>
      <c r="I42" s="30"/>
      <c r="J42" s="30" t="b">
        <f>IF(ISERROR(MATCH(grat!H42,bdd!$B$22:$W$22,0)),FALSE,TRUE)</f>
        <v>0</v>
      </c>
      <c r="K42" s="30">
        <f>IF(J42=TRUE,afficheCache("Ellipse 20",TRUE),afficheCache("Ellipse 20",FALSE))</f>
        <v>0</v>
      </c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51"/>
      <c r="Z42" s="51"/>
    </row>
    <row r="43" spans="2:26" ht="7.5" hidden="1" customHeight="1">
      <c r="B43" s="51"/>
      <c r="C43" s="51"/>
      <c r="D43" s="30"/>
      <c r="E43" s="54" t="s">
        <v>35</v>
      </c>
      <c r="F43" s="30">
        <v>21</v>
      </c>
      <c r="G43" s="30">
        <f t="shared" si="3"/>
        <v>8</v>
      </c>
      <c r="H43" s="30" t="str">
        <f t="shared" si="2"/>
        <v>mi</v>
      </c>
      <c r="I43" s="30"/>
      <c r="J43" s="30" t="b">
        <f>IF(ISERROR(MATCH(grat!H43,bdd!$B$22:$W$22,0)),FALSE,TRUE)</f>
        <v>1</v>
      </c>
      <c r="K43" s="30">
        <f>IF(J43=TRUE,afficheCache("Ellipse 21",TRUE),afficheCache("Ellipse 21",FALSE))</f>
        <v>0</v>
      </c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51"/>
      <c r="Z43" s="51"/>
    </row>
    <row r="44" spans="2:26" ht="7.5" hidden="1" customHeight="1">
      <c r="B44" s="51"/>
      <c r="C44" s="51"/>
      <c r="D44" s="30"/>
      <c r="E44" s="54" t="s">
        <v>36</v>
      </c>
      <c r="F44" s="30">
        <v>22</v>
      </c>
      <c r="G44" s="30">
        <f t="shared" si="3"/>
        <v>9</v>
      </c>
      <c r="H44" s="30" t="str">
        <f t="shared" si="2"/>
        <v>fa</v>
      </c>
      <c r="I44" s="30"/>
      <c r="J44" s="30" t="b">
        <f>IF(ISERROR(MATCH(grat!H44,bdd!$B$22:$W$22,0)),FALSE,TRUE)</f>
        <v>0</v>
      </c>
      <c r="K44" s="30">
        <f>IF(J44=TRUE,afficheCache("Ellipse 22",TRUE),afficheCache("Ellipse 22",FALSE))</f>
        <v>0</v>
      </c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51"/>
      <c r="Z44" s="51"/>
    </row>
    <row r="45" spans="2:26" ht="7.5" hidden="1" customHeight="1">
      <c r="B45" s="51"/>
      <c r="C45" s="51"/>
      <c r="D45" s="30"/>
      <c r="E45" s="54" t="s">
        <v>39</v>
      </c>
      <c r="F45" s="30">
        <v>23</v>
      </c>
      <c r="G45" s="30">
        <f t="shared" si="3"/>
        <v>10</v>
      </c>
      <c r="H45" s="30" t="str">
        <f t="shared" si="2"/>
        <v>fa#</v>
      </c>
      <c r="I45" s="30"/>
      <c r="J45" s="30" t="b">
        <f>IF(ISERROR(MATCH(grat!H45,bdd!$B$22:$W$22,0)),FALSE,TRUE)</f>
        <v>0</v>
      </c>
      <c r="K45" s="30">
        <f>IF(J45=TRUE,afficheCache("Ellipse 23",TRUE),afficheCache("Ellipse 23",FALSE))</f>
        <v>0</v>
      </c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51"/>
      <c r="Z45" s="51"/>
    </row>
    <row r="46" spans="2:26" ht="7.5" hidden="1" customHeight="1">
      <c r="B46" s="51"/>
      <c r="C46" s="51"/>
      <c r="D46" s="30"/>
      <c r="E46" s="54" t="s">
        <v>40</v>
      </c>
      <c r="F46" s="30">
        <v>24</v>
      </c>
      <c r="G46" s="30">
        <f t="shared" si="3"/>
        <v>11</v>
      </c>
      <c r="H46" s="30" t="str">
        <f t="shared" si="2"/>
        <v>sol</v>
      </c>
      <c r="I46" s="30"/>
      <c r="J46" s="30" t="b">
        <f>IF(ISERROR(MATCH(grat!H46,bdd!$B$22:$W$22,0)),FALSE,TRUE)</f>
        <v>0</v>
      </c>
      <c r="K46" s="30">
        <f>IF(J46=TRUE,afficheCache("Ellipse 24",TRUE),afficheCache("Ellipse 24",FALSE))</f>
        <v>0</v>
      </c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51"/>
      <c r="Z46" s="51"/>
    </row>
    <row r="47" spans="2:26" ht="7.5" hidden="1" customHeight="1">
      <c r="B47" s="51"/>
      <c r="C47" s="51"/>
      <c r="D47" s="30"/>
      <c r="E47" s="54" t="s">
        <v>27</v>
      </c>
      <c r="F47" s="30">
        <v>25</v>
      </c>
      <c r="G47" s="30">
        <f t="shared" si="3"/>
        <v>12</v>
      </c>
      <c r="H47" s="30" t="str">
        <f t="shared" si="2"/>
        <v>sol#</v>
      </c>
      <c r="I47" s="30"/>
      <c r="J47" s="30" t="b">
        <f>IF(ISERROR(MATCH(grat!H47,bdd!$B$22:$W$22,0)),FALSE,TRUE)</f>
        <v>0</v>
      </c>
      <c r="K47" s="30">
        <f>IF(J47=TRUE,afficheCache("Ellipse 25",TRUE),afficheCache("Ellipse 25",FALSE))</f>
        <v>0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51"/>
      <c r="Z47" s="51"/>
    </row>
    <row r="48" spans="2:26" ht="7.5" hidden="1" customHeight="1" thickBot="1">
      <c r="B48" s="51"/>
      <c r="C48" s="51"/>
      <c r="D48" s="30"/>
      <c r="E48" s="54" t="s">
        <v>28</v>
      </c>
      <c r="F48" s="30">
        <v>26</v>
      </c>
      <c r="G48" s="30">
        <f t="shared" si="3"/>
        <v>13</v>
      </c>
      <c r="H48" s="30" t="str">
        <f t="shared" si="2"/>
        <v>la</v>
      </c>
      <c r="I48" s="30"/>
      <c r="J48" s="30" t="b">
        <f>IF(ISERROR(MATCH(grat!H48,bdd!$B$22:$W$22,0)),FALSE,TRUE)</f>
        <v>1</v>
      </c>
      <c r="K48" s="30">
        <f>IF(J48=TRUE,afficheCache("Ellipse 26",TRUE),afficheCache("Ellipse 26",FALSE))</f>
        <v>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51"/>
      <c r="Z48" s="51"/>
    </row>
    <row r="49" spans="2:26" ht="7.5" hidden="1" customHeight="1">
      <c r="B49" s="51"/>
      <c r="C49" s="51"/>
      <c r="D49" s="30"/>
      <c r="E49" s="54" t="s">
        <v>31</v>
      </c>
      <c r="F49" s="30">
        <v>27</v>
      </c>
      <c r="G49" s="30">
        <v>1</v>
      </c>
      <c r="H49" s="30" t="str">
        <f t="shared" ref="H49:H61" si="4">INDEX($E$33:$E$58,G49,1)</f>
        <v>ré</v>
      </c>
      <c r="I49" s="30"/>
      <c r="J49" s="30" t="b">
        <f>IF(ISERROR(MATCH(grat!H49,bdd!$B$22:$W$22,0)),FALSE,TRUE)</f>
        <v>0</v>
      </c>
      <c r="K49" s="30">
        <f>IF(J49=TRUE,afficheCache("Ellipse 27",TRUE),afficheCache("Ellipse 27",FALSE))</f>
        <v>0</v>
      </c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51"/>
      <c r="Z49" s="51"/>
    </row>
    <row r="50" spans="2:26" ht="7.5" hidden="1" customHeight="1">
      <c r="B50" s="51"/>
      <c r="C50" s="51"/>
      <c r="D50" s="30"/>
      <c r="E50" s="54" t="s">
        <v>29</v>
      </c>
      <c r="F50" s="30">
        <v>28</v>
      </c>
      <c r="G50" s="30">
        <f>G49+1</f>
        <v>2</v>
      </c>
      <c r="H50" s="30" t="str">
        <f t="shared" si="4"/>
        <v>ré#</v>
      </c>
      <c r="I50" s="30"/>
      <c r="J50" s="30" t="b">
        <f>IF(ISERROR(MATCH(grat!H50,bdd!$B$22:$W$22,0)),FALSE,TRUE)</f>
        <v>0</v>
      </c>
      <c r="K50" s="30">
        <f>IF(J50=TRUE,afficheCache("Ellipse 28",TRUE),afficheCache("Ellipse 28",FALSE))</f>
        <v>0</v>
      </c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51"/>
      <c r="Z50" s="51"/>
    </row>
    <row r="51" spans="2:26" ht="7.5" hidden="1" customHeight="1">
      <c r="B51" s="51"/>
      <c r="C51" s="51"/>
      <c r="D51" s="30"/>
      <c r="E51" s="54" t="s">
        <v>32</v>
      </c>
      <c r="F51" s="30">
        <v>29</v>
      </c>
      <c r="G51" s="30">
        <f>G50+1</f>
        <v>3</v>
      </c>
      <c r="H51" s="30" t="str">
        <f t="shared" si="4"/>
        <v>mi</v>
      </c>
      <c r="I51" s="30"/>
      <c r="J51" s="30" t="b">
        <f>IF(ISERROR(MATCH(grat!H51,bdd!$B$22:$W$22,0)),FALSE,TRUE)</f>
        <v>1</v>
      </c>
      <c r="K51" s="30">
        <f>IF(J51=TRUE,afficheCache("Ellipse 29",TRUE),afficheCache("Ellipse 29",FALSE))</f>
        <v>0</v>
      </c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51"/>
      <c r="Z51" s="51"/>
    </row>
    <row r="52" spans="2:26" ht="7.5" hidden="1" customHeight="1">
      <c r="B52" s="51"/>
      <c r="C52" s="51"/>
      <c r="D52" s="30"/>
      <c r="E52" s="54" t="s">
        <v>30</v>
      </c>
      <c r="F52" s="30">
        <v>30</v>
      </c>
      <c r="G52" s="30">
        <f t="shared" ref="G52:G61" si="5">G51+1</f>
        <v>4</v>
      </c>
      <c r="H52" s="30" t="str">
        <f t="shared" si="4"/>
        <v>fa</v>
      </c>
      <c r="I52" s="30"/>
      <c r="J52" s="30" t="b">
        <f>IF(ISERROR(MATCH(grat!H52,bdd!$B$22:$W$22,0)),FALSE,TRUE)</f>
        <v>0</v>
      </c>
      <c r="K52" s="30">
        <f>IF(J52=TRUE,afficheCache("Ellipse 30",TRUE),afficheCache("Ellipse 30",FALSE))</f>
        <v>0</v>
      </c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51"/>
      <c r="Z52" s="51"/>
    </row>
    <row r="53" spans="2:26" ht="7.5" hidden="1" customHeight="1">
      <c r="B53" s="51"/>
      <c r="C53" s="51"/>
      <c r="D53" s="30"/>
      <c r="E53" s="54" t="s">
        <v>33</v>
      </c>
      <c r="F53" s="30">
        <v>31</v>
      </c>
      <c r="G53" s="30">
        <f t="shared" si="5"/>
        <v>5</v>
      </c>
      <c r="H53" s="30" t="str">
        <f t="shared" si="4"/>
        <v>fa#</v>
      </c>
      <c r="I53" s="30"/>
      <c r="J53" s="30" t="b">
        <f>IF(ISERROR(MATCH(grat!H53,bdd!$B$22:$W$22,0)),FALSE,TRUE)</f>
        <v>0</v>
      </c>
      <c r="K53" s="30">
        <f>IF(J53=TRUE,afficheCache("Ellipse 31",TRUE),afficheCache("Ellipse 31",FALSE))</f>
        <v>0</v>
      </c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51"/>
      <c r="Z53" s="51"/>
    </row>
    <row r="54" spans="2:26" ht="7.5" hidden="1" customHeight="1">
      <c r="B54" s="51"/>
      <c r="C54" s="51"/>
      <c r="D54" s="30"/>
      <c r="E54" s="54" t="s">
        <v>34</v>
      </c>
      <c r="F54" s="30">
        <v>32</v>
      </c>
      <c r="G54" s="30">
        <f t="shared" si="5"/>
        <v>6</v>
      </c>
      <c r="H54" s="30" t="str">
        <f t="shared" si="4"/>
        <v>sol</v>
      </c>
      <c r="I54" s="30"/>
      <c r="J54" s="30" t="b">
        <f>IF(ISERROR(MATCH(grat!H54,bdd!$B$22:$W$22,0)),FALSE,TRUE)</f>
        <v>0</v>
      </c>
      <c r="K54" s="30">
        <f>IF(J54=TRUE,afficheCache("Ellipse 32",TRUE),afficheCache("Ellipse 32",FALSE))</f>
        <v>0</v>
      </c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51"/>
      <c r="Z54" s="51"/>
    </row>
    <row r="55" spans="2:26" ht="7.5" hidden="1" customHeight="1">
      <c r="B55" s="51"/>
      <c r="C55" s="51"/>
      <c r="D55" s="30"/>
      <c r="E55" s="54" t="s">
        <v>35</v>
      </c>
      <c r="F55" s="30">
        <v>33</v>
      </c>
      <c r="G55" s="30">
        <f t="shared" si="5"/>
        <v>7</v>
      </c>
      <c r="H55" s="30" t="str">
        <f t="shared" si="4"/>
        <v>sol#</v>
      </c>
      <c r="I55" s="30"/>
      <c r="J55" s="30" t="b">
        <f>IF(ISERROR(MATCH(grat!H55,bdd!$B$22:$W$22,0)),FALSE,TRUE)</f>
        <v>0</v>
      </c>
      <c r="K55" s="30">
        <f>IF(J55=TRUE,afficheCache("Ellipse 33",TRUE),afficheCache("Ellipse 33",FALSE))</f>
        <v>0</v>
      </c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51"/>
      <c r="Z55" s="51"/>
    </row>
    <row r="56" spans="2:26" ht="7.5" hidden="1" customHeight="1">
      <c r="B56" s="51"/>
      <c r="C56" s="51"/>
      <c r="D56" s="30"/>
      <c r="E56" s="54" t="s">
        <v>36</v>
      </c>
      <c r="F56" s="30">
        <v>34</v>
      </c>
      <c r="G56" s="30">
        <f t="shared" si="5"/>
        <v>8</v>
      </c>
      <c r="H56" s="30" t="str">
        <f t="shared" si="4"/>
        <v>la</v>
      </c>
      <c r="I56" s="30"/>
      <c r="J56" s="30" t="b">
        <f>IF(ISERROR(MATCH(grat!H56,bdd!$B$22:$W$22,0)),FALSE,TRUE)</f>
        <v>1</v>
      </c>
      <c r="K56" s="30">
        <f>IF(J56=TRUE,afficheCache("Ellipse 34",TRUE),afficheCache("Ellipse 34",FALSE))</f>
        <v>0</v>
      </c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51"/>
      <c r="Z56" s="51"/>
    </row>
    <row r="57" spans="2:26" ht="7.5" hidden="1" customHeight="1">
      <c r="B57" s="51"/>
      <c r="C57" s="51"/>
      <c r="D57" s="30"/>
      <c r="E57" s="54" t="s">
        <v>39</v>
      </c>
      <c r="F57" s="30">
        <v>35</v>
      </c>
      <c r="G57" s="30">
        <f t="shared" si="5"/>
        <v>9</v>
      </c>
      <c r="H57" s="30" t="str">
        <f t="shared" si="4"/>
        <v>la#</v>
      </c>
      <c r="I57" s="30"/>
      <c r="J57" s="30" t="b">
        <f>IF(ISERROR(MATCH(grat!H57,bdd!$B$22:$W$22,0)),FALSE,TRUE)</f>
        <v>0</v>
      </c>
      <c r="K57" s="30">
        <f>IF(J57=TRUE,afficheCache("Ellipse 35",TRUE),afficheCache("Ellipse 35",FALSE))</f>
        <v>0</v>
      </c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51"/>
      <c r="Z57" s="51"/>
    </row>
    <row r="58" spans="2:26" ht="7.5" hidden="1" customHeight="1" thickBot="1">
      <c r="B58" s="51"/>
      <c r="C58" s="51"/>
      <c r="D58" s="30"/>
      <c r="E58" s="55" t="s">
        <v>40</v>
      </c>
      <c r="F58" s="30">
        <v>36</v>
      </c>
      <c r="G58" s="30">
        <f t="shared" si="5"/>
        <v>10</v>
      </c>
      <c r="H58" s="30" t="str">
        <f t="shared" si="4"/>
        <v>si</v>
      </c>
      <c r="I58" s="30"/>
      <c r="J58" s="30" t="b">
        <f>IF(ISERROR(MATCH(grat!H58,bdd!$B$22:$W$22,0)),FALSE,TRUE)</f>
        <v>0</v>
      </c>
      <c r="K58" s="30">
        <f>IF(J58=TRUE,afficheCache("Ellipse 36",TRUE),afficheCache("Ellipse 36",FALSE))</f>
        <v>0</v>
      </c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51"/>
      <c r="Z58" s="51"/>
    </row>
    <row r="59" spans="2:26" ht="7.5" hidden="1" customHeight="1">
      <c r="B59" s="51"/>
      <c r="C59" s="51"/>
      <c r="D59" s="30"/>
      <c r="E59" s="51"/>
      <c r="F59" s="30">
        <v>37</v>
      </c>
      <c r="G59" s="30">
        <f t="shared" si="5"/>
        <v>11</v>
      </c>
      <c r="H59" s="30" t="str">
        <f t="shared" si="4"/>
        <v>do</v>
      </c>
      <c r="I59" s="30"/>
      <c r="J59" s="30" t="b">
        <f>IF(ISERROR(MATCH(grat!H59,bdd!$B$22:$W$22,0)),FALSE,TRUE)</f>
        <v>1</v>
      </c>
      <c r="K59" s="30">
        <f>IF(J59=TRUE,afficheCache("Ellipse 37",TRUE),afficheCache("Ellipse 37",FALSE))</f>
        <v>0</v>
      </c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51"/>
      <c r="Z59" s="51"/>
    </row>
    <row r="60" spans="2:26" ht="7.5" hidden="1" customHeight="1">
      <c r="B60" s="51"/>
      <c r="C60" s="51"/>
      <c r="D60" s="30"/>
      <c r="E60" s="51"/>
      <c r="F60" s="30">
        <v>38</v>
      </c>
      <c r="G60" s="30">
        <f t="shared" si="5"/>
        <v>12</v>
      </c>
      <c r="H60" s="30" t="str">
        <f t="shared" si="4"/>
        <v>do#</v>
      </c>
      <c r="I60" s="30"/>
      <c r="J60" s="30" t="b">
        <f>IF(ISERROR(MATCH(grat!H60,bdd!$B$22:$W$22,0)),FALSE,TRUE)</f>
        <v>0</v>
      </c>
      <c r="K60" s="30">
        <f>IF(J60=TRUE,afficheCache("Ellipse 38",TRUE),afficheCache("Ellipse 38",FALSE))</f>
        <v>0</v>
      </c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51"/>
      <c r="Z60" s="51"/>
    </row>
    <row r="61" spans="2:26" ht="7.5" hidden="1" customHeight="1" thickBot="1">
      <c r="B61" s="51"/>
      <c r="C61" s="51"/>
      <c r="D61" s="30"/>
      <c r="E61" s="51"/>
      <c r="F61" s="30">
        <v>39</v>
      </c>
      <c r="G61" s="30">
        <f t="shared" si="5"/>
        <v>13</v>
      </c>
      <c r="H61" s="30" t="str">
        <f t="shared" si="4"/>
        <v>ré</v>
      </c>
      <c r="I61" s="30"/>
      <c r="J61" s="30" t="b">
        <f>IF(ISERROR(MATCH(grat!H61,bdd!$B$22:$W$22,0)),FALSE,TRUE)</f>
        <v>0</v>
      </c>
      <c r="K61" s="30">
        <f>IF(J61=TRUE,afficheCache("Ellipse 39",TRUE),afficheCache("Ellipse 39",FALSE))</f>
        <v>0</v>
      </c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51"/>
      <c r="Z61" s="51"/>
    </row>
    <row r="62" spans="2:26" ht="7.5" hidden="1" customHeight="1">
      <c r="B62" s="51"/>
      <c r="C62" s="51"/>
      <c r="D62" s="30"/>
      <c r="E62" s="51"/>
      <c r="F62" s="30">
        <v>40</v>
      </c>
      <c r="G62" s="30">
        <v>1</v>
      </c>
      <c r="H62" s="30" t="str">
        <f t="shared" ref="H62:H74" si="6">INDEX($E$26:$E$51,G62,1)</f>
        <v>sol</v>
      </c>
      <c r="I62" s="30"/>
      <c r="J62" s="30" t="b">
        <f>IF(ISERROR(MATCH(grat!H62,bdd!$B$22:$W$22,0)),FALSE,TRUE)</f>
        <v>0</v>
      </c>
      <c r="K62" s="30">
        <f>IF(J62=TRUE,afficheCache("Ellipse 40",TRUE),afficheCache("Ellipse 40",FALSE))</f>
        <v>0</v>
      </c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51"/>
      <c r="Z62" s="51"/>
    </row>
    <row r="63" spans="2:26" ht="7.5" hidden="1" customHeight="1">
      <c r="B63" s="51"/>
      <c r="C63" s="51"/>
      <c r="D63" s="30"/>
      <c r="E63" s="51"/>
      <c r="F63" s="30">
        <v>41</v>
      </c>
      <c r="G63" s="30">
        <f>G62+1</f>
        <v>2</v>
      </c>
      <c r="H63" s="30" t="str">
        <f t="shared" si="6"/>
        <v>sol#</v>
      </c>
      <c r="I63" s="30"/>
      <c r="J63" s="30" t="b">
        <f>IF(ISERROR(MATCH(grat!H63,bdd!$B$22:$W$22,0)),FALSE,TRUE)</f>
        <v>0</v>
      </c>
      <c r="K63" s="30">
        <f>IF(J63=TRUE,afficheCache("Ellipse 41",TRUE),afficheCache("Ellipse 41",FALSE))</f>
        <v>0</v>
      </c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  <c r="Y63" s="51"/>
      <c r="Z63" s="51"/>
    </row>
    <row r="64" spans="2:26" ht="7.5" hidden="1" customHeight="1">
      <c r="B64" s="51"/>
      <c r="C64" s="51"/>
      <c r="D64" s="30"/>
      <c r="E64" s="51"/>
      <c r="F64" s="30">
        <v>42</v>
      </c>
      <c r="G64" s="30">
        <f t="shared" ref="G64:G74" si="7">G63+1</f>
        <v>3</v>
      </c>
      <c r="H64" s="30" t="str">
        <f t="shared" si="6"/>
        <v>la</v>
      </c>
      <c r="I64" s="30"/>
      <c r="J64" s="30" t="b">
        <f>IF(ISERROR(MATCH(grat!H64,bdd!$B$22:$W$22,0)),FALSE,TRUE)</f>
        <v>1</v>
      </c>
      <c r="K64" s="30">
        <f>IF(J64=TRUE,afficheCache("Ellipse 42",TRUE),afficheCache("Ellipse 42",FALSE))</f>
        <v>0</v>
      </c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51"/>
      <c r="Z64" s="51"/>
    </row>
    <row r="65" spans="2:26" ht="7.5" hidden="1" customHeight="1">
      <c r="B65" s="51"/>
      <c r="C65" s="51"/>
      <c r="D65" s="30"/>
      <c r="E65" s="51"/>
      <c r="F65" s="30">
        <v>43</v>
      </c>
      <c r="G65" s="30">
        <f t="shared" si="7"/>
        <v>4</v>
      </c>
      <c r="H65" s="30" t="str">
        <f t="shared" si="6"/>
        <v>la#</v>
      </c>
      <c r="I65" s="30"/>
      <c r="J65" s="30" t="b">
        <f>IF(ISERROR(MATCH(grat!H65,bdd!$B$22:$W$22,0)),FALSE,TRUE)</f>
        <v>0</v>
      </c>
      <c r="K65" s="30">
        <f>IF(J65=TRUE,afficheCache("Ellipse 43",TRUE),afficheCache("Ellipse 43",FALSE))</f>
        <v>0</v>
      </c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51"/>
      <c r="Z65" s="51"/>
    </row>
    <row r="66" spans="2:26" ht="7.5" hidden="1" customHeight="1">
      <c r="B66" s="51"/>
      <c r="C66" s="51"/>
      <c r="D66" s="30"/>
      <c r="E66" s="51"/>
      <c r="F66" s="30">
        <v>44</v>
      </c>
      <c r="G66" s="30">
        <f t="shared" si="7"/>
        <v>5</v>
      </c>
      <c r="H66" s="30" t="str">
        <f t="shared" si="6"/>
        <v>si</v>
      </c>
      <c r="I66" s="30"/>
      <c r="J66" s="30" t="b">
        <f>IF(ISERROR(MATCH(grat!H66,bdd!$B$22:$W$22,0)),FALSE,TRUE)</f>
        <v>0</v>
      </c>
      <c r="K66" s="30">
        <f>IF(J66=TRUE,afficheCache("Ellipse 44",TRUE),afficheCache("Ellipse 44",FALSE))</f>
        <v>0</v>
      </c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51"/>
      <c r="Z66" s="51"/>
    </row>
    <row r="67" spans="2:26" ht="7.5" hidden="1" customHeight="1">
      <c r="B67" s="51"/>
      <c r="C67" s="51"/>
      <c r="D67" s="30"/>
      <c r="E67" s="51"/>
      <c r="F67" s="30">
        <v>45</v>
      </c>
      <c r="G67" s="30">
        <f t="shared" si="7"/>
        <v>6</v>
      </c>
      <c r="H67" s="30" t="str">
        <f t="shared" si="6"/>
        <v>do</v>
      </c>
      <c r="I67" s="30"/>
      <c r="J67" s="30" t="b">
        <f>IF(ISERROR(MATCH(grat!H67,bdd!$B$22:$W$22,0)),FALSE,TRUE)</f>
        <v>1</v>
      </c>
      <c r="K67" s="30">
        <f>IF(J67=TRUE,afficheCache("Ellipse 45",TRUE),afficheCache("Ellipse 45",FALSE))</f>
        <v>0</v>
      </c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  <c r="Y67" s="51"/>
      <c r="Z67" s="51"/>
    </row>
    <row r="68" spans="2:26" ht="7.5" hidden="1" customHeight="1">
      <c r="B68" s="51"/>
      <c r="C68" s="51"/>
      <c r="D68" s="30"/>
      <c r="E68" s="51"/>
      <c r="F68" s="30">
        <v>46</v>
      </c>
      <c r="G68" s="30">
        <f t="shared" si="7"/>
        <v>7</v>
      </c>
      <c r="H68" s="30" t="str">
        <f t="shared" si="6"/>
        <v>do#</v>
      </c>
      <c r="I68" s="30"/>
      <c r="J68" s="30" t="b">
        <f>IF(ISERROR(MATCH(grat!H68,bdd!$B$22:$W$22,0)),FALSE,TRUE)</f>
        <v>0</v>
      </c>
      <c r="K68" s="30">
        <f>IF(J68=TRUE,afficheCache("Ellipse 46",TRUE),afficheCache("Ellipse 46",FALSE))</f>
        <v>0</v>
      </c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  <c r="Y68" s="51"/>
      <c r="Z68" s="51"/>
    </row>
    <row r="69" spans="2:26" ht="7.5" hidden="1" customHeight="1">
      <c r="B69" s="51"/>
      <c r="C69" s="51"/>
      <c r="D69" s="30"/>
      <c r="E69" s="51"/>
      <c r="F69" s="30">
        <v>47</v>
      </c>
      <c r="G69" s="30">
        <f t="shared" si="7"/>
        <v>8</v>
      </c>
      <c r="H69" s="30" t="str">
        <f t="shared" si="6"/>
        <v>ré</v>
      </c>
      <c r="I69" s="30"/>
      <c r="J69" s="30" t="b">
        <f>IF(ISERROR(MATCH(grat!H69,bdd!$B$22:$W$22,0)),FALSE,TRUE)</f>
        <v>0</v>
      </c>
      <c r="K69" s="30">
        <f>IF(J69=TRUE,afficheCache("Ellipse 47",TRUE),afficheCache("Ellipse 47",FALSE))</f>
        <v>0</v>
      </c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51"/>
      <c r="Z69" s="51"/>
    </row>
    <row r="70" spans="2:26" ht="7.5" hidden="1" customHeight="1">
      <c r="B70" s="51"/>
      <c r="C70" s="51"/>
      <c r="D70" s="30"/>
      <c r="E70" s="51"/>
      <c r="F70" s="30">
        <v>48</v>
      </c>
      <c r="G70" s="30">
        <f t="shared" si="7"/>
        <v>9</v>
      </c>
      <c r="H70" s="30" t="str">
        <f t="shared" si="6"/>
        <v>ré#</v>
      </c>
      <c r="I70" s="30"/>
      <c r="J70" s="30" t="b">
        <f>IF(ISERROR(MATCH(grat!H70,bdd!$B$22:$W$22,0)),FALSE,TRUE)</f>
        <v>0</v>
      </c>
      <c r="K70" s="30">
        <f>IF(J70=TRUE,afficheCache("Ellipse 48",TRUE),afficheCache("Ellipse 48",FALSE))</f>
        <v>0</v>
      </c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51"/>
      <c r="Z70" s="51"/>
    </row>
    <row r="71" spans="2:26" ht="7.5" hidden="1" customHeight="1">
      <c r="B71" s="51"/>
      <c r="C71" s="51"/>
      <c r="D71" s="30"/>
      <c r="E71" s="51"/>
      <c r="F71" s="30">
        <v>49</v>
      </c>
      <c r="G71" s="30">
        <f t="shared" si="7"/>
        <v>10</v>
      </c>
      <c r="H71" s="30" t="str">
        <f t="shared" si="6"/>
        <v>mi</v>
      </c>
      <c r="I71" s="30"/>
      <c r="J71" s="30" t="b">
        <f>IF(ISERROR(MATCH(grat!H71,bdd!$B$22:$W$22,0)),FALSE,TRUE)</f>
        <v>1</v>
      </c>
      <c r="K71" s="30">
        <f>IF(J71=TRUE,afficheCache("Ellipse 49",TRUE),afficheCache("Ellipse 49",FALSE))</f>
        <v>0</v>
      </c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51"/>
      <c r="Z71" s="51"/>
    </row>
    <row r="72" spans="2:26" ht="7.5" hidden="1" customHeight="1">
      <c r="B72" s="51"/>
      <c r="C72" s="51"/>
      <c r="D72" s="30"/>
      <c r="E72" s="51"/>
      <c r="F72" s="30">
        <v>50</v>
      </c>
      <c r="G72" s="30">
        <f t="shared" si="7"/>
        <v>11</v>
      </c>
      <c r="H72" s="30" t="str">
        <f t="shared" si="6"/>
        <v>fa</v>
      </c>
      <c r="I72" s="30"/>
      <c r="J72" s="30" t="b">
        <f>IF(ISERROR(MATCH(grat!H72,bdd!$B$22:$W$22,0)),FALSE,TRUE)</f>
        <v>0</v>
      </c>
      <c r="K72" s="30">
        <f>IF(J72=TRUE,afficheCache("Ellipse 50",TRUE),afficheCache("Ellipse 50",FALSE))</f>
        <v>0</v>
      </c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51"/>
      <c r="Z72" s="51"/>
    </row>
    <row r="73" spans="2:26" ht="7.5" hidden="1" customHeight="1">
      <c r="B73" s="51"/>
      <c r="C73" s="51"/>
      <c r="D73" s="30"/>
      <c r="E73" s="51"/>
      <c r="F73" s="30">
        <v>51</v>
      </c>
      <c r="G73" s="30">
        <f t="shared" si="7"/>
        <v>12</v>
      </c>
      <c r="H73" s="30" t="str">
        <f t="shared" si="6"/>
        <v>fa#</v>
      </c>
      <c r="I73" s="30"/>
      <c r="J73" s="30" t="b">
        <f>IF(ISERROR(MATCH(grat!H73,bdd!$B$22:$W$22,0)),FALSE,TRUE)</f>
        <v>0</v>
      </c>
      <c r="K73" s="30">
        <f>IF(J73=TRUE,afficheCache("Ellipse 51",TRUE),afficheCache("Ellipse 51",FALSE))</f>
        <v>0</v>
      </c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  <c r="Y73" s="51"/>
      <c r="Z73" s="51"/>
    </row>
    <row r="74" spans="2:26" ht="7.5" hidden="1" customHeight="1" thickBot="1">
      <c r="B74" s="51"/>
      <c r="C74" s="51"/>
      <c r="D74" s="30"/>
      <c r="E74" s="51"/>
      <c r="F74" s="30">
        <v>52</v>
      </c>
      <c r="G74" s="30">
        <f t="shared" si="7"/>
        <v>13</v>
      </c>
      <c r="H74" s="30" t="str">
        <f t="shared" si="6"/>
        <v>sol</v>
      </c>
      <c r="I74" s="30"/>
      <c r="J74" s="30" t="b">
        <f>IF(ISERROR(MATCH(grat!H74,bdd!$B$22:$W$22,0)),FALSE,TRUE)</f>
        <v>0</v>
      </c>
      <c r="K74" s="30">
        <f>IF(J74=TRUE,afficheCache("Ellipse 52",TRUE),afficheCache("Ellipse 52",FALSE))</f>
        <v>0</v>
      </c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51"/>
      <c r="Z74" s="51"/>
    </row>
    <row r="75" spans="2:26" ht="7.5" hidden="1" customHeight="1">
      <c r="B75" s="51"/>
      <c r="C75" s="51"/>
      <c r="D75" s="30"/>
      <c r="E75" s="51"/>
      <c r="F75" s="30">
        <v>53</v>
      </c>
      <c r="G75" s="30">
        <v>1</v>
      </c>
      <c r="H75" s="30" t="str">
        <f t="shared" ref="H75:H87" si="8">INDEX($E$30:$E$55,G75,1)</f>
        <v>si</v>
      </c>
      <c r="I75" s="30"/>
      <c r="J75" s="30" t="b">
        <f>IF(ISERROR(MATCH(grat!H75,bdd!$B$22:$W$22,0)),FALSE,TRUE)</f>
        <v>0</v>
      </c>
      <c r="K75" s="30">
        <f>IF(J75=TRUE,afficheCache("Ellipse 53",TRUE),afficheCache("Ellipse 53",FALSE))</f>
        <v>0</v>
      </c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51"/>
      <c r="Z75" s="51"/>
    </row>
    <row r="76" spans="2:26" ht="7.5" hidden="1" customHeight="1">
      <c r="B76" s="51"/>
      <c r="C76" s="51"/>
      <c r="D76" s="30"/>
      <c r="E76" s="51"/>
      <c r="F76" s="30">
        <v>54</v>
      </c>
      <c r="G76" s="30">
        <f>G75+1</f>
        <v>2</v>
      </c>
      <c r="H76" s="30" t="str">
        <f t="shared" si="8"/>
        <v>do</v>
      </c>
      <c r="I76" s="30"/>
      <c r="J76" s="30" t="b">
        <f>IF(ISERROR(MATCH(grat!H76,bdd!$B$22:$W$22,0)),FALSE,TRUE)</f>
        <v>1</v>
      </c>
      <c r="K76" s="30">
        <f>IF(J76=TRUE,afficheCache("Ellipse 54",TRUE),afficheCache("Ellipse 54",FALSE))</f>
        <v>0</v>
      </c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51"/>
      <c r="Z76" s="51"/>
    </row>
    <row r="77" spans="2:26" ht="7.5" hidden="1" customHeight="1">
      <c r="B77" s="51"/>
      <c r="C77" s="51"/>
      <c r="D77" s="30"/>
      <c r="E77" s="51"/>
      <c r="F77" s="30">
        <v>55</v>
      </c>
      <c r="G77" s="30">
        <f t="shared" ref="G77:G87" si="9">G76+1</f>
        <v>3</v>
      </c>
      <c r="H77" s="30" t="str">
        <f t="shared" si="8"/>
        <v>do#</v>
      </c>
      <c r="I77" s="30"/>
      <c r="J77" s="30" t="b">
        <f>IF(ISERROR(MATCH(grat!H77,bdd!$B$22:$W$22,0)),FALSE,TRUE)</f>
        <v>0</v>
      </c>
      <c r="K77" s="30">
        <f>IF(J77=TRUE,afficheCache("Ellipse 55",TRUE),afficheCache("Ellipse 55",FALSE))</f>
        <v>0</v>
      </c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51"/>
      <c r="Z77" s="51"/>
    </row>
    <row r="78" spans="2:26" ht="7.5" hidden="1" customHeight="1">
      <c r="B78" s="51"/>
      <c r="C78" s="51"/>
      <c r="D78" s="30"/>
      <c r="E78" s="51"/>
      <c r="F78" s="30">
        <v>56</v>
      </c>
      <c r="G78" s="30">
        <f t="shared" si="9"/>
        <v>4</v>
      </c>
      <c r="H78" s="30" t="str">
        <f t="shared" si="8"/>
        <v>ré</v>
      </c>
      <c r="I78" s="30"/>
      <c r="J78" s="30" t="b">
        <f>IF(ISERROR(MATCH(grat!H78,bdd!$B$22:$W$22,0)),FALSE,TRUE)</f>
        <v>0</v>
      </c>
      <c r="K78" s="30">
        <f>IF(J78=TRUE,afficheCache("Ellipse 56",TRUE),afficheCache("Ellipse 56",FALSE))</f>
        <v>0</v>
      </c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  <c r="Y78" s="51"/>
      <c r="Z78" s="51"/>
    </row>
    <row r="79" spans="2:26" ht="7.5" hidden="1" customHeight="1">
      <c r="B79" s="51"/>
      <c r="C79" s="51"/>
      <c r="D79" s="30"/>
      <c r="E79" s="51"/>
      <c r="F79" s="30">
        <v>57</v>
      </c>
      <c r="G79" s="30">
        <f t="shared" si="9"/>
        <v>5</v>
      </c>
      <c r="H79" s="30" t="str">
        <f t="shared" si="8"/>
        <v>ré#</v>
      </c>
      <c r="I79" s="30"/>
      <c r="J79" s="30" t="b">
        <f>IF(ISERROR(MATCH(grat!H79,bdd!$B$22:$W$22,0)),FALSE,TRUE)</f>
        <v>0</v>
      </c>
      <c r="K79" s="30">
        <f>IF(J79=TRUE,afficheCache("Ellipse 57",TRUE),afficheCache("Ellipse 57",FALSE))</f>
        <v>0</v>
      </c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  <c r="Y79" s="51"/>
      <c r="Z79" s="51"/>
    </row>
    <row r="80" spans="2:26" ht="7.5" hidden="1" customHeight="1">
      <c r="B80" s="51"/>
      <c r="C80" s="51"/>
      <c r="D80" s="30"/>
      <c r="E80" s="51"/>
      <c r="F80" s="30">
        <v>58</v>
      </c>
      <c r="G80" s="30">
        <f t="shared" si="9"/>
        <v>6</v>
      </c>
      <c r="H80" s="30" t="str">
        <f t="shared" si="8"/>
        <v>mi</v>
      </c>
      <c r="I80" s="30"/>
      <c r="J80" s="30" t="b">
        <f>IF(ISERROR(MATCH(grat!H80,bdd!$B$22:$W$22,0)),FALSE,TRUE)</f>
        <v>1</v>
      </c>
      <c r="K80" s="30">
        <f>IF(J80=TRUE,afficheCache("Ellipse 58",TRUE),afficheCache("Ellipse 58",FALSE))</f>
        <v>0</v>
      </c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51"/>
      <c r="Z80" s="51"/>
    </row>
    <row r="81" spans="2:26" ht="7.5" hidden="1" customHeight="1">
      <c r="B81" s="51"/>
      <c r="C81" s="51"/>
      <c r="D81" s="30"/>
      <c r="E81" s="51"/>
      <c r="F81" s="30">
        <v>59</v>
      </c>
      <c r="G81" s="30">
        <f t="shared" si="9"/>
        <v>7</v>
      </c>
      <c r="H81" s="30" t="str">
        <f t="shared" si="8"/>
        <v>fa</v>
      </c>
      <c r="I81" s="30"/>
      <c r="J81" s="30" t="b">
        <f>IF(ISERROR(MATCH(grat!H81,bdd!$B$22:$W$22,0)),FALSE,TRUE)</f>
        <v>0</v>
      </c>
      <c r="K81" s="30">
        <f>IF(J81=TRUE,afficheCache("Ellipse 59",TRUE),afficheCache("Ellipse 59",FALSE))</f>
        <v>0</v>
      </c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51"/>
      <c r="Z81" s="51"/>
    </row>
    <row r="82" spans="2:26" ht="7.5" hidden="1" customHeight="1">
      <c r="B82" s="51"/>
      <c r="C82" s="51"/>
      <c r="D82" s="30"/>
      <c r="E82" s="51"/>
      <c r="F82" s="30">
        <v>60</v>
      </c>
      <c r="G82" s="30">
        <f t="shared" si="9"/>
        <v>8</v>
      </c>
      <c r="H82" s="30" t="str">
        <f t="shared" si="8"/>
        <v>fa#</v>
      </c>
      <c r="I82" s="30"/>
      <c r="J82" s="30" t="b">
        <f>IF(ISERROR(MATCH(grat!H82,bdd!$B$22:$W$22,0)),FALSE,TRUE)</f>
        <v>0</v>
      </c>
      <c r="K82" s="30">
        <f>IF(J82=TRUE,afficheCache("Ellipse 60",TRUE),afficheCache("Ellipse 60",FALSE))</f>
        <v>0</v>
      </c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  <c r="Y82" s="51"/>
      <c r="Z82" s="51"/>
    </row>
    <row r="83" spans="2:26" ht="7.5" hidden="1" customHeight="1">
      <c r="B83" s="51"/>
      <c r="C83" s="51"/>
      <c r="D83" s="30"/>
      <c r="E83" s="51"/>
      <c r="F83" s="30">
        <v>61</v>
      </c>
      <c r="G83" s="30">
        <f t="shared" si="9"/>
        <v>9</v>
      </c>
      <c r="H83" s="30" t="str">
        <f t="shared" si="8"/>
        <v>sol</v>
      </c>
      <c r="I83" s="30"/>
      <c r="J83" s="30" t="b">
        <f>IF(ISERROR(MATCH(grat!H83,bdd!$B$22:$W$22,0)),FALSE,TRUE)</f>
        <v>0</v>
      </c>
      <c r="K83" s="30">
        <f>IF(J83=TRUE,afficheCache("Ellipse 61",TRUE),afficheCache("Ellipse 61",FALSE))</f>
        <v>0</v>
      </c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51"/>
      <c r="Z83" s="51"/>
    </row>
    <row r="84" spans="2:26" ht="7.5" hidden="1" customHeight="1">
      <c r="B84" s="51"/>
      <c r="C84" s="51"/>
      <c r="D84" s="30"/>
      <c r="E84" s="51"/>
      <c r="F84" s="30">
        <v>62</v>
      </c>
      <c r="G84" s="30">
        <f t="shared" si="9"/>
        <v>10</v>
      </c>
      <c r="H84" s="30" t="str">
        <f t="shared" si="8"/>
        <v>sol#</v>
      </c>
      <c r="I84" s="30"/>
      <c r="J84" s="30" t="b">
        <f>IF(ISERROR(MATCH(grat!H84,bdd!$B$22:$W$22,0)),FALSE,TRUE)</f>
        <v>0</v>
      </c>
      <c r="K84" s="30">
        <f>IF(J84=TRUE,afficheCache("Ellipse 62",TRUE),afficheCache("Ellipse 62",FALSE))</f>
        <v>0</v>
      </c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  <c r="Y84" s="51"/>
      <c r="Z84" s="51"/>
    </row>
    <row r="85" spans="2:26" ht="7.5" hidden="1" customHeight="1">
      <c r="B85" s="51"/>
      <c r="C85" s="51"/>
      <c r="D85" s="30"/>
      <c r="E85" s="51"/>
      <c r="F85" s="30">
        <v>63</v>
      </c>
      <c r="G85" s="30">
        <f t="shared" si="9"/>
        <v>11</v>
      </c>
      <c r="H85" s="30" t="str">
        <f t="shared" si="8"/>
        <v>la</v>
      </c>
      <c r="I85" s="30"/>
      <c r="J85" s="30" t="b">
        <f>IF(ISERROR(MATCH(grat!H85,bdd!$B$22:$W$22,0)),FALSE,TRUE)</f>
        <v>1</v>
      </c>
      <c r="K85" s="30">
        <f>IF(J85=TRUE,afficheCache("Ellipse 63",TRUE),afficheCache("Ellipse 63",FALSE))</f>
        <v>0</v>
      </c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  <c r="Y85" s="51"/>
      <c r="Z85" s="51"/>
    </row>
    <row r="86" spans="2:26" ht="7.5" hidden="1" customHeight="1">
      <c r="B86" s="51"/>
      <c r="C86" s="51"/>
      <c r="D86" s="30"/>
      <c r="E86" s="51"/>
      <c r="F86" s="30">
        <v>64</v>
      </c>
      <c r="G86" s="30">
        <f t="shared" si="9"/>
        <v>12</v>
      </c>
      <c r="H86" s="30" t="str">
        <f t="shared" si="8"/>
        <v>la#</v>
      </c>
      <c r="I86" s="30"/>
      <c r="J86" s="30" t="b">
        <f>IF(ISERROR(MATCH(grat!H86,bdd!$B$22:$W$22,0)),FALSE,TRUE)</f>
        <v>0</v>
      </c>
      <c r="K86" s="30">
        <f>IF(J86=TRUE,afficheCache("Ellipse 64",TRUE),afficheCache("Ellipse 64",FALSE))</f>
        <v>0</v>
      </c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51"/>
      <c r="Z86" s="51"/>
    </row>
    <row r="87" spans="2:26" ht="7.5" hidden="1" customHeight="1" thickBot="1">
      <c r="B87" s="51"/>
      <c r="C87" s="51"/>
      <c r="D87" s="30"/>
      <c r="E87" s="51"/>
      <c r="F87" s="30">
        <v>65</v>
      </c>
      <c r="G87" s="30">
        <f t="shared" si="9"/>
        <v>13</v>
      </c>
      <c r="H87" s="30" t="str">
        <f t="shared" si="8"/>
        <v>si</v>
      </c>
      <c r="I87" s="30"/>
      <c r="J87" s="30" t="b">
        <f>IF(ISERROR(MATCH(grat!H87,bdd!$B$22:$W$22,0)),FALSE,TRUE)</f>
        <v>0</v>
      </c>
      <c r="K87" s="30">
        <f>IF(J87=TRUE,afficheCache("Ellipse 65",TRUE),afficheCache("Ellipse 65",FALSE))</f>
        <v>0</v>
      </c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  <c r="Y87" s="51"/>
      <c r="Z87" s="51"/>
    </row>
    <row r="88" spans="2:26" ht="7.5" hidden="1" customHeight="1">
      <c r="B88" s="51"/>
      <c r="C88" s="51"/>
      <c r="D88" s="30"/>
      <c r="E88" s="51"/>
      <c r="F88" s="30">
        <v>66</v>
      </c>
      <c r="G88" s="30">
        <v>1</v>
      </c>
      <c r="H88" s="30" t="str">
        <f t="shared" ref="H88:H100" si="10">INDEX($E$23:$E$48,G88,1)</f>
        <v>mi</v>
      </c>
      <c r="I88" s="30"/>
      <c r="J88" s="30" t="b">
        <f>IF(ISERROR(MATCH(grat!H88,bdd!$B$22:$W$22,0)),FALSE,TRUE)</f>
        <v>1</v>
      </c>
      <c r="K88" s="30">
        <f>IF(J88=TRUE,afficheCache("Ellipse 66",TRUE),afficheCache("Ellipse 66",FALSE))</f>
        <v>0</v>
      </c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  <c r="Y88" s="51"/>
      <c r="Z88" s="51"/>
    </row>
    <row r="89" spans="2:26" ht="7.5" hidden="1" customHeight="1">
      <c r="B89" s="51"/>
      <c r="C89" s="51"/>
      <c r="D89" s="30"/>
      <c r="E89" s="51"/>
      <c r="F89" s="30">
        <v>67</v>
      </c>
      <c r="G89" s="30">
        <f>G88+1</f>
        <v>2</v>
      </c>
      <c r="H89" s="30" t="str">
        <f t="shared" si="10"/>
        <v>fa</v>
      </c>
      <c r="I89" s="30"/>
      <c r="J89" s="30" t="b">
        <f>IF(ISERROR(MATCH(grat!H89,bdd!$B$22:$W$22,0)),FALSE,TRUE)</f>
        <v>0</v>
      </c>
      <c r="K89" s="30">
        <f>IF(J89=TRUE,afficheCache("Ellipse 67",TRUE),afficheCache("Ellipse 67",FALSE))</f>
        <v>0</v>
      </c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  <c r="Y89" s="51"/>
      <c r="Z89" s="51"/>
    </row>
    <row r="90" spans="2:26" ht="7.5" hidden="1" customHeight="1">
      <c r="B90" s="51"/>
      <c r="C90" s="51"/>
      <c r="D90" s="30"/>
      <c r="E90" s="51"/>
      <c r="F90" s="30">
        <v>68</v>
      </c>
      <c r="G90" s="30">
        <f t="shared" ref="G90:G100" si="11">G89+1</f>
        <v>3</v>
      </c>
      <c r="H90" s="30" t="str">
        <f t="shared" si="10"/>
        <v>fa#</v>
      </c>
      <c r="I90" s="30"/>
      <c r="J90" s="30" t="b">
        <f>IF(ISERROR(MATCH(grat!H90,bdd!$B$22:$W$22,0)),FALSE,TRUE)</f>
        <v>0</v>
      </c>
      <c r="K90" s="30">
        <f>IF(J90=TRUE,afficheCache("Ellipse 68",TRUE),afficheCache("Ellipse 68",FALSE))</f>
        <v>0</v>
      </c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  <c r="Y90" s="51"/>
      <c r="Z90" s="51"/>
    </row>
    <row r="91" spans="2:26" ht="7.5" hidden="1" customHeight="1">
      <c r="B91" s="51"/>
      <c r="C91" s="51"/>
      <c r="D91" s="30"/>
      <c r="E91" s="51"/>
      <c r="F91" s="30">
        <v>69</v>
      </c>
      <c r="G91" s="30">
        <f t="shared" si="11"/>
        <v>4</v>
      </c>
      <c r="H91" s="30" t="str">
        <f t="shared" si="10"/>
        <v>sol</v>
      </c>
      <c r="I91" s="30"/>
      <c r="J91" s="30" t="b">
        <f>IF(ISERROR(MATCH(grat!H91,bdd!$B$22:$W$22,0)),FALSE,TRUE)</f>
        <v>0</v>
      </c>
      <c r="K91" s="30">
        <f>IF(J91=TRUE,afficheCache("Ellipse 69",TRUE),afficheCache("Ellipse 69",FALSE))</f>
        <v>0</v>
      </c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51"/>
      <c r="Z91" s="51"/>
    </row>
    <row r="92" spans="2:26" ht="7.5" hidden="1" customHeight="1">
      <c r="B92" s="51"/>
      <c r="C92" s="51"/>
      <c r="D92" s="30"/>
      <c r="E92" s="51"/>
      <c r="F92" s="30">
        <v>70</v>
      </c>
      <c r="G92" s="30">
        <f t="shared" si="11"/>
        <v>5</v>
      </c>
      <c r="H92" s="30" t="str">
        <f t="shared" si="10"/>
        <v>sol#</v>
      </c>
      <c r="I92" s="30"/>
      <c r="J92" s="30" t="b">
        <f>IF(ISERROR(MATCH(grat!H92,bdd!$B$22:$W$22,0)),FALSE,TRUE)</f>
        <v>0</v>
      </c>
      <c r="K92" s="30">
        <f>IF(J92=TRUE,afficheCache("Ellipse 70",TRUE),afficheCache("Ellipse 70",FALSE))</f>
        <v>0</v>
      </c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  <c r="Y92" s="51"/>
      <c r="Z92" s="51"/>
    </row>
    <row r="93" spans="2:26" ht="7.5" hidden="1" customHeight="1">
      <c r="B93" s="51"/>
      <c r="C93" s="51"/>
      <c r="D93" s="30"/>
      <c r="E93" s="51"/>
      <c r="F93" s="30">
        <v>71</v>
      </c>
      <c r="G93" s="30">
        <f t="shared" si="11"/>
        <v>6</v>
      </c>
      <c r="H93" s="30" t="str">
        <f t="shared" si="10"/>
        <v>la</v>
      </c>
      <c r="I93" s="30"/>
      <c r="J93" s="30" t="b">
        <f>IF(ISERROR(MATCH(grat!H93,bdd!$B$22:$W$22,0)),FALSE,TRUE)</f>
        <v>1</v>
      </c>
      <c r="K93" s="30">
        <f>IF(J93=TRUE,afficheCache("Ellipse 71",TRUE),afficheCache("Ellipse 71",FALSE))</f>
        <v>0</v>
      </c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  <c r="Y93" s="51"/>
      <c r="Z93" s="51"/>
    </row>
    <row r="94" spans="2:26" ht="7.5" hidden="1" customHeight="1">
      <c r="B94" s="51"/>
      <c r="C94" s="51"/>
      <c r="D94" s="30"/>
      <c r="E94" s="51"/>
      <c r="F94" s="30">
        <v>72</v>
      </c>
      <c r="G94" s="30">
        <f t="shared" si="11"/>
        <v>7</v>
      </c>
      <c r="H94" s="30" t="str">
        <f t="shared" si="10"/>
        <v>la#</v>
      </c>
      <c r="I94" s="30"/>
      <c r="J94" s="30" t="b">
        <f>IF(ISERROR(MATCH(grat!H94,bdd!$B$22:$W$22,0)),FALSE,TRUE)</f>
        <v>0</v>
      </c>
      <c r="K94" s="30">
        <f>IF(J94=TRUE,afficheCache("Ellipse 72",TRUE),afficheCache("Ellipse 72",FALSE))</f>
        <v>0</v>
      </c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  <c r="Y94" s="51"/>
      <c r="Z94" s="51"/>
    </row>
    <row r="95" spans="2:26" ht="7.5" hidden="1" customHeight="1">
      <c r="B95" s="51"/>
      <c r="C95" s="51"/>
      <c r="D95" s="30"/>
      <c r="E95" s="51"/>
      <c r="F95" s="30">
        <v>73</v>
      </c>
      <c r="G95" s="30">
        <f t="shared" si="11"/>
        <v>8</v>
      </c>
      <c r="H95" s="30" t="str">
        <f t="shared" si="10"/>
        <v>si</v>
      </c>
      <c r="I95" s="30"/>
      <c r="J95" s="30" t="b">
        <f>IF(ISERROR(MATCH(grat!H95,bdd!$B$22:$W$22,0)),FALSE,TRUE)</f>
        <v>0</v>
      </c>
      <c r="K95" s="30">
        <f>IF(J95=TRUE,afficheCache("Ellipse 73",TRUE),afficheCache("Ellipse 73",FALSE))</f>
        <v>0</v>
      </c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  <c r="Y95" s="51"/>
      <c r="Z95" s="51"/>
    </row>
    <row r="96" spans="2:26" ht="7.5" hidden="1" customHeight="1">
      <c r="B96" s="51"/>
      <c r="C96" s="51"/>
      <c r="D96" s="30"/>
      <c r="E96" s="51"/>
      <c r="F96" s="30">
        <v>74</v>
      </c>
      <c r="G96" s="30">
        <f t="shared" si="11"/>
        <v>9</v>
      </c>
      <c r="H96" s="30" t="str">
        <f t="shared" si="10"/>
        <v>do</v>
      </c>
      <c r="I96" s="30"/>
      <c r="J96" s="30" t="b">
        <f>IF(ISERROR(MATCH(grat!H96,bdd!$B$22:$W$22,0)),FALSE,TRUE)</f>
        <v>1</v>
      </c>
      <c r="K96" s="30">
        <f>IF(J96=TRUE,afficheCache("Ellipse 74",TRUE),afficheCache("Ellipse 74",FALSE))</f>
        <v>0</v>
      </c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  <c r="Y96" s="51"/>
      <c r="Z96" s="51"/>
    </row>
    <row r="97" spans="2:65" ht="7.5" hidden="1" customHeight="1">
      <c r="B97" s="51"/>
      <c r="C97" s="51"/>
      <c r="D97" s="30"/>
      <c r="E97" s="51"/>
      <c r="F97" s="30">
        <v>75</v>
      </c>
      <c r="G97" s="30">
        <f t="shared" si="11"/>
        <v>10</v>
      </c>
      <c r="H97" s="30" t="str">
        <f t="shared" si="10"/>
        <v>do#</v>
      </c>
      <c r="I97" s="30"/>
      <c r="J97" s="30" t="b">
        <f>IF(ISERROR(MATCH(grat!H97,bdd!$B$22:$W$22,0)),FALSE,TRUE)</f>
        <v>0</v>
      </c>
      <c r="K97" s="30">
        <f>IF(J97=TRUE,afficheCache("Ellipse 75",TRUE),afficheCache("Ellipse 75",FALSE))</f>
        <v>0</v>
      </c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  <c r="Y97" s="51"/>
      <c r="Z97" s="51"/>
    </row>
    <row r="98" spans="2:65" ht="7.5" hidden="1" customHeight="1">
      <c r="B98" s="51"/>
      <c r="C98" s="51"/>
      <c r="D98" s="30"/>
      <c r="E98" s="51"/>
      <c r="F98" s="30">
        <v>76</v>
      </c>
      <c r="G98" s="30">
        <f t="shared" si="11"/>
        <v>11</v>
      </c>
      <c r="H98" s="30" t="str">
        <f t="shared" si="10"/>
        <v>ré</v>
      </c>
      <c r="I98" s="30"/>
      <c r="J98" s="30" t="b">
        <f>IF(ISERROR(MATCH(grat!H98,bdd!$B$22:$W$22,0)),FALSE,TRUE)</f>
        <v>0</v>
      </c>
      <c r="K98" s="30">
        <f>IF(J98=TRUE,afficheCache("Ellipse 76",TRUE),afficheCache("Ellipse 76",FALSE))</f>
        <v>0</v>
      </c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  <c r="Y98" s="51"/>
      <c r="Z98" s="51"/>
    </row>
    <row r="99" spans="2:65" ht="7.5" hidden="1" customHeight="1">
      <c r="B99" s="51"/>
      <c r="C99" s="51"/>
      <c r="D99" s="30"/>
      <c r="E99" s="51"/>
      <c r="F99" s="30">
        <v>77</v>
      </c>
      <c r="G99" s="30">
        <f t="shared" si="11"/>
        <v>12</v>
      </c>
      <c r="H99" s="30" t="str">
        <f t="shared" si="10"/>
        <v>ré#</v>
      </c>
      <c r="I99" s="30"/>
      <c r="J99" s="30" t="b">
        <f>IF(ISERROR(MATCH(grat!H99,bdd!$B$22:$W$22,0)),FALSE,TRUE)</f>
        <v>0</v>
      </c>
      <c r="K99" s="30">
        <f>IF(J99=TRUE,afficheCache("Ellipse 77",TRUE),afficheCache("Ellipse 77",FALSE))</f>
        <v>0</v>
      </c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  <c r="Y99" s="51"/>
      <c r="Z99" s="51"/>
    </row>
    <row r="100" spans="2:65" ht="7.5" hidden="1" customHeight="1" thickBot="1">
      <c r="B100" s="51"/>
      <c r="C100" s="51"/>
      <c r="D100" s="30"/>
      <c r="E100" s="51"/>
      <c r="F100" s="30">
        <v>78</v>
      </c>
      <c r="G100" s="30">
        <f t="shared" si="11"/>
        <v>13</v>
      </c>
      <c r="H100" s="30" t="str">
        <f t="shared" si="10"/>
        <v>mi</v>
      </c>
      <c r="I100" s="30"/>
      <c r="J100" s="30" t="b">
        <f>IF(ISERROR(MATCH(grat!H100,bdd!$B$22:$W$22,0)),FALSE,TRUE)</f>
        <v>1</v>
      </c>
      <c r="K100" s="30">
        <f>IF(J100=TRUE,afficheCache("Ellipse 78",TRUE),afficheCache("Ellipse 78",FALSE))</f>
        <v>0</v>
      </c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  <c r="Y100" s="51"/>
      <c r="Z100" s="51"/>
    </row>
    <row r="101" spans="2:65" ht="7.5" customHeight="1">
      <c r="B101" s="51"/>
      <c r="C101" s="51"/>
      <c r="D101" s="30"/>
      <c r="E101" s="51"/>
      <c r="F101" s="30"/>
      <c r="G101" s="30"/>
      <c r="H101" s="30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51"/>
      <c r="Z101" s="51"/>
    </row>
    <row r="102" spans="2:65" ht="22.5" customHeight="1" thickBot="1">
      <c r="B102" s="51"/>
      <c r="C102" s="51"/>
      <c r="D102" s="30"/>
      <c r="E102" s="51"/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50" t="str">
        <f>bdd!$AB$4&amp;" "&amp;CONCATENATE(bdd!C20,bdd!D20,bdd!E20,bdd!F20,bdd!G20,bdd!H20,bdd!I20,bdd!J20,bdd!K20,bdd!L20,bdd!M20,bdd!N20,bdd!O20,bdd!P20,bdd!Q20,bdd!R20,bdd!S20,bdd!T20,bdd!U20,bdd!V20,bdd!W20)</f>
        <v>La min</v>
      </c>
      <c r="S102" s="50"/>
      <c r="T102" s="50"/>
      <c r="U102" s="50"/>
      <c r="V102" s="50"/>
      <c r="W102" s="50"/>
      <c r="X102" s="50"/>
      <c r="Y102" s="50"/>
      <c r="Z102" s="50"/>
      <c r="AB102" t="s">
        <v>41</v>
      </c>
      <c r="AD102" t="s">
        <v>48</v>
      </c>
      <c r="BK102" s="37"/>
      <c r="BL102" s="37"/>
      <c r="BM102" s="37"/>
    </row>
    <row r="103" spans="2:65" ht="15.75" thickBot="1">
      <c r="B103" s="51"/>
      <c r="C103" s="51"/>
      <c r="D103" s="30"/>
      <c r="E103" s="51"/>
      <c r="F103" s="30"/>
      <c r="G103" s="30"/>
      <c r="H103" s="30"/>
      <c r="I103" s="30"/>
      <c r="J103" s="30"/>
      <c r="K103" s="30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  <c r="Y103" s="51"/>
      <c r="Z103" s="51"/>
      <c r="AC103" s="43"/>
      <c r="AD103" s="44"/>
      <c r="AE103" s="44"/>
      <c r="AF103" s="45" t="s">
        <v>20</v>
      </c>
      <c r="AG103" s="46"/>
      <c r="AH103" s="46"/>
      <c r="AI103" s="46"/>
      <c r="AJ103" s="46"/>
      <c r="AK103" s="47"/>
      <c r="AM103" s="43"/>
      <c r="AN103" s="44"/>
      <c r="AO103" s="44"/>
      <c r="AP103" s="45" t="s">
        <v>21</v>
      </c>
      <c r="AQ103" s="45"/>
      <c r="AR103" s="45"/>
      <c r="AS103" s="45"/>
      <c r="AT103" s="45"/>
      <c r="AU103" s="49"/>
      <c r="BK103" s="37"/>
      <c r="BL103" s="37"/>
      <c r="BM103" s="37"/>
    </row>
    <row r="104" spans="2:65" ht="15.75" thickBot="1">
      <c r="AB104" t="s">
        <v>42</v>
      </c>
      <c r="AC104" s="43"/>
      <c r="AD104" s="44"/>
      <c r="AE104" s="44"/>
      <c r="AF104" s="48">
        <v>2</v>
      </c>
      <c r="AG104" s="46"/>
      <c r="AH104" s="46"/>
      <c r="AI104" s="46"/>
      <c r="AJ104" s="46"/>
      <c r="AK104" s="47"/>
      <c r="AM104" s="43"/>
      <c r="AN104" s="44"/>
      <c r="AO104" s="44"/>
      <c r="AP104" s="48">
        <v>9</v>
      </c>
      <c r="AQ104" s="46"/>
      <c r="AR104" s="46"/>
      <c r="AS104" s="46"/>
      <c r="AT104" s="46"/>
      <c r="AU104" s="47"/>
      <c r="BK104" s="37"/>
      <c r="BL104" s="37"/>
      <c r="BM104" s="37"/>
    </row>
    <row r="105" spans="2:65" ht="15.75" thickBot="1">
      <c r="AC105" s="24"/>
      <c r="AD105" s="25"/>
      <c r="AE105" s="25"/>
      <c r="AF105" s="38" t="s">
        <v>1</v>
      </c>
      <c r="AG105" s="39"/>
      <c r="AH105" s="39"/>
      <c r="AI105" s="39"/>
      <c r="AJ105" s="39"/>
      <c r="AK105" s="40"/>
      <c r="AM105" s="43"/>
      <c r="AN105" s="44"/>
      <c r="AO105" s="44"/>
      <c r="AP105" s="45" t="s">
        <v>22</v>
      </c>
      <c r="AQ105" s="46"/>
      <c r="AR105" s="46"/>
      <c r="AS105" s="46"/>
      <c r="AT105" s="46"/>
      <c r="AU105" s="47"/>
      <c r="BK105" s="37"/>
      <c r="BL105" s="37"/>
      <c r="BM105" s="37"/>
    </row>
    <row r="106" spans="2:65" ht="15.75" thickBot="1">
      <c r="AB106" t="s">
        <v>43</v>
      </c>
      <c r="AC106" s="24"/>
      <c r="AD106" s="25"/>
      <c r="AE106" s="25"/>
      <c r="AF106" s="38" t="s">
        <v>2</v>
      </c>
      <c r="AG106" s="39"/>
      <c r="AH106" s="39"/>
      <c r="AI106" s="39"/>
      <c r="AJ106" s="39"/>
      <c r="AK106" s="40"/>
      <c r="AM106" s="24"/>
      <c r="AN106" s="25"/>
      <c r="AO106" s="25"/>
      <c r="AP106" s="38" t="s">
        <v>23</v>
      </c>
      <c r="AQ106" s="39"/>
      <c r="AR106" s="39"/>
      <c r="AS106" s="39"/>
      <c r="AT106" s="39"/>
      <c r="AU106" s="40"/>
      <c r="BK106" s="37"/>
      <c r="BL106" s="37"/>
      <c r="BM106" s="37"/>
    </row>
    <row r="107" spans="2:65" ht="15.75" thickBot="1">
      <c r="AB107" t="s">
        <v>44</v>
      </c>
      <c r="AC107" s="43"/>
      <c r="AD107" s="44"/>
      <c r="AE107" s="44"/>
      <c r="AF107" s="48">
        <v>4</v>
      </c>
      <c r="AG107" s="46"/>
      <c r="AH107" s="46"/>
      <c r="AI107" s="46"/>
      <c r="AJ107" s="46"/>
      <c r="AK107" s="47"/>
      <c r="AM107" s="24"/>
      <c r="AN107" s="25"/>
      <c r="AO107" s="25"/>
      <c r="AP107" s="41">
        <v>11</v>
      </c>
      <c r="AQ107" s="39"/>
      <c r="AR107" s="39"/>
      <c r="AS107" s="39"/>
      <c r="AT107" s="39"/>
      <c r="AU107" s="40"/>
      <c r="BK107" s="37"/>
      <c r="BL107" s="37"/>
      <c r="BM107" s="37"/>
    </row>
    <row r="108" spans="2:65" ht="15.75" thickBot="1">
      <c r="AC108" s="24"/>
      <c r="AD108" s="25"/>
      <c r="AE108" s="25"/>
      <c r="AF108" s="38" t="s">
        <v>18</v>
      </c>
      <c r="AG108" s="39"/>
      <c r="AH108" s="39"/>
      <c r="AI108" s="39"/>
      <c r="AJ108" s="39"/>
      <c r="AK108" s="40"/>
      <c r="AM108" s="24"/>
      <c r="AN108" s="25"/>
      <c r="AO108" s="25"/>
      <c r="AP108" s="38" t="s">
        <v>24</v>
      </c>
      <c r="AQ108" s="39"/>
      <c r="AR108" s="39"/>
      <c r="AS108" s="39"/>
      <c r="AT108" s="39"/>
      <c r="AU108" s="40"/>
    </row>
    <row r="109" spans="2:65" ht="15.75" thickBot="1">
      <c r="AB109" t="s">
        <v>45</v>
      </c>
      <c r="AC109" s="24"/>
      <c r="AD109" s="25"/>
      <c r="AE109" s="25"/>
      <c r="AF109" s="38">
        <v>5</v>
      </c>
      <c r="AG109" s="39"/>
      <c r="AH109" s="39"/>
      <c r="AI109" s="39"/>
      <c r="AJ109" s="39"/>
      <c r="AK109" s="40"/>
      <c r="AM109" s="43"/>
      <c r="AN109" s="44"/>
      <c r="AO109" s="44"/>
      <c r="AP109" s="45" t="s">
        <v>38</v>
      </c>
      <c r="AQ109" s="46"/>
      <c r="AR109" s="46"/>
      <c r="AS109" s="46"/>
      <c r="AT109" s="46"/>
      <c r="AU109" s="47"/>
    </row>
    <row r="110" spans="2:65" ht="15.75" thickBot="1">
      <c r="AC110" s="24"/>
      <c r="AD110" s="25"/>
      <c r="AE110" s="25"/>
      <c r="AF110" s="38" t="s">
        <v>19</v>
      </c>
      <c r="AG110" s="39"/>
      <c r="AH110" s="39"/>
      <c r="AI110" s="39"/>
      <c r="AJ110" s="39"/>
      <c r="AK110" s="40"/>
      <c r="AM110" s="43"/>
      <c r="AN110" s="44"/>
      <c r="AO110" s="44"/>
      <c r="AP110" s="48">
        <v>13</v>
      </c>
      <c r="AQ110" s="46"/>
      <c r="AR110" s="46"/>
      <c r="AS110" s="46"/>
      <c r="AT110" s="46"/>
      <c r="AU110" s="47"/>
    </row>
    <row r="111" spans="2:65" ht="15.75" thickBot="1">
      <c r="AB111" t="s">
        <v>46</v>
      </c>
      <c r="AC111" s="43"/>
      <c r="AD111" s="44"/>
      <c r="AE111" s="44"/>
      <c r="AF111" s="48">
        <v>6</v>
      </c>
      <c r="AG111" s="46"/>
      <c r="AH111" s="46"/>
      <c r="AI111" s="46"/>
      <c r="AJ111" s="46"/>
      <c r="AK111" s="47"/>
      <c r="AM111" s="43"/>
      <c r="AN111" s="44"/>
      <c r="AO111" s="44"/>
      <c r="AP111" s="45" t="s">
        <v>26</v>
      </c>
      <c r="AQ111" s="46"/>
      <c r="AR111" s="46"/>
      <c r="AS111" s="46"/>
      <c r="AT111" s="46"/>
      <c r="AU111" s="47"/>
    </row>
    <row r="112" spans="2:65" ht="15.75" thickBot="1">
      <c r="AC112" s="24"/>
      <c r="AD112" s="25"/>
      <c r="AE112" s="25"/>
      <c r="AF112" s="38">
        <v>7</v>
      </c>
      <c r="AG112" s="39"/>
      <c r="AH112" s="39"/>
      <c r="AI112" s="39"/>
      <c r="AJ112" s="39"/>
      <c r="AK112" s="40"/>
    </row>
    <row r="113" spans="28:37" ht="15.75" thickBot="1">
      <c r="AB113" s="28" t="s">
        <v>47</v>
      </c>
      <c r="AC113" s="24"/>
      <c r="AD113" s="25"/>
      <c r="AE113" s="25"/>
      <c r="AF113" s="38" t="s">
        <v>3</v>
      </c>
      <c r="AG113" s="39"/>
      <c r="AH113" s="39"/>
      <c r="AI113" s="39"/>
      <c r="AJ113" s="39"/>
      <c r="AK113" s="40"/>
    </row>
  </sheetData>
  <mergeCells count="29">
    <mergeCell ref="BK107:BM107"/>
    <mergeCell ref="R102:Z102"/>
    <mergeCell ref="BS5:BU5"/>
    <mergeCell ref="AF103:AK103"/>
    <mergeCell ref="AF104:AK104"/>
    <mergeCell ref="AF105:AK105"/>
    <mergeCell ref="AF106:AK106"/>
    <mergeCell ref="AP103:AU103"/>
    <mergeCell ref="BK105:BM105"/>
    <mergeCell ref="BK106:BM106"/>
    <mergeCell ref="AF112:AK112"/>
    <mergeCell ref="AF113:AK113"/>
    <mergeCell ref="AP104:AU104"/>
    <mergeCell ref="AP105:AU105"/>
    <mergeCell ref="AP106:AU106"/>
    <mergeCell ref="AP107:AU107"/>
    <mergeCell ref="AP108:AU108"/>
    <mergeCell ref="AP109:AU109"/>
    <mergeCell ref="AP110:AU110"/>
    <mergeCell ref="AP111:AU111"/>
    <mergeCell ref="AF107:AK107"/>
    <mergeCell ref="AF108:AK108"/>
    <mergeCell ref="AF109:AK109"/>
    <mergeCell ref="AF110:AK110"/>
    <mergeCell ref="AF111:AK111"/>
    <mergeCell ref="H21:Q22"/>
    <mergeCell ref="BK102:BM102"/>
    <mergeCell ref="BK103:BM103"/>
    <mergeCell ref="BK104:BM104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bdd</vt:lpstr>
      <vt:lpstr>Feuil2</vt:lpstr>
      <vt:lpstr>grat</vt:lpstr>
      <vt:lpstr>dominante</vt:lpstr>
      <vt:lpstr>tab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2014-04-21T18:20:57Z</dcterms:created>
  <dcterms:modified xsi:type="dcterms:W3CDTF">2014-04-22T19:02:43Z</dcterms:modified>
</cp:coreProperties>
</file>