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8C4F1C90-05EB-6A55-5F09-09C24B55AC0B}"/>
  <workbookPr codeName="ThisWorkbook" hidePivotFieldList="1" autoCompressPictures="0"/>
  <bookViews>
    <workbookView xWindow="0" yWindow="0" windowWidth="25600" windowHeight="16060" activeTab="6"/>
  </bookViews>
  <sheets>
    <sheet name="Démarrer" sheetId="3" r:id="rId1"/>
    <sheet name="Macro_V.Compl" sheetId="6" state="hidden" r:id="rId2"/>
    <sheet name="Variables" sheetId="1" state="hidden" r:id="rId3"/>
    <sheet name="Tableau Projection" sheetId="2" r:id="rId4"/>
    <sheet name="Projection avec Inflation" sheetId="8" r:id="rId5"/>
    <sheet name="V.Complémentaires" sheetId="5" r:id="rId6"/>
    <sheet name="GCD" sheetId="9" r:id="rId7"/>
    <sheet name="Liste" sheetId="4" state="hidden" r:id="rId8"/>
  </sheets>
  <calcPr calcId="140001" concurrentCalc="0"/>
  <pivotCaches>
    <pivotCache cacheId="45" r:id="rId9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8" l="1"/>
  <c r="I7" i="8"/>
  <c r="E7" i="8"/>
  <c r="F7" i="8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E26" i="5"/>
  <c r="H7" i="8"/>
  <c r="J7" i="8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7" i="8"/>
  <c r="K7" i="8"/>
  <c r="L7" i="8"/>
  <c r="E8" i="8"/>
  <c r="D7" i="2"/>
  <c r="D8" i="8"/>
  <c r="I8" i="8"/>
  <c r="F8" i="8"/>
  <c r="E52" i="5"/>
  <c r="H8" i="8"/>
  <c r="J8" i="8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G8" i="8"/>
  <c r="K8" i="8"/>
  <c r="L8" i="8"/>
  <c r="E9" i="8"/>
  <c r="D8" i="2"/>
  <c r="D9" i="8"/>
  <c r="I9" i="8"/>
  <c r="F9" i="8"/>
  <c r="E78" i="5"/>
  <c r="H9" i="8"/>
  <c r="J9" i="8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G9" i="8"/>
  <c r="K9" i="8"/>
  <c r="L9" i="8"/>
  <c r="E10" i="8"/>
  <c r="D9" i="2"/>
  <c r="D10" i="8"/>
  <c r="I10" i="8"/>
  <c r="F10" i="8"/>
  <c r="E104" i="5"/>
  <c r="H10" i="8"/>
  <c r="J10" i="8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G10" i="8"/>
  <c r="K10" i="8"/>
  <c r="L10" i="8"/>
  <c r="E11" i="8"/>
  <c r="D10" i="2"/>
  <c r="D11" i="8"/>
  <c r="I11" i="8"/>
  <c r="F11" i="8"/>
  <c r="H11" i="8"/>
  <c r="J11" i="8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G11" i="8"/>
  <c r="K11" i="8"/>
  <c r="L11" i="8"/>
  <c r="E12" i="8"/>
  <c r="D11" i="2"/>
  <c r="D12" i="8"/>
  <c r="I12" i="8"/>
  <c r="F12" i="8"/>
  <c r="H12" i="8"/>
  <c r="J12" i="8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G12" i="8"/>
  <c r="K12" i="8"/>
  <c r="L12" i="8"/>
  <c r="E13" i="8"/>
  <c r="D12" i="2"/>
  <c r="D13" i="8"/>
  <c r="I13" i="8"/>
  <c r="F13" i="8"/>
  <c r="H13" i="8"/>
  <c r="J13" i="8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G13" i="8"/>
  <c r="K13" i="8"/>
  <c r="L13" i="8"/>
  <c r="E14" i="8"/>
  <c r="D13" i="2"/>
  <c r="D14" i="8"/>
  <c r="I14" i="8"/>
  <c r="F14" i="8"/>
  <c r="H14" i="8"/>
  <c r="J14" i="8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G14" i="8"/>
  <c r="K14" i="8"/>
  <c r="L14" i="8"/>
  <c r="E15" i="8"/>
  <c r="D14" i="2"/>
  <c r="D15" i="8"/>
  <c r="I15" i="8"/>
  <c r="F15" i="8"/>
  <c r="H15" i="8"/>
  <c r="J15" i="8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G15" i="8"/>
  <c r="K15" i="8"/>
  <c r="L15" i="8"/>
  <c r="E16" i="8"/>
  <c r="D15" i="2"/>
  <c r="D16" i="8"/>
  <c r="I16" i="8"/>
  <c r="F16" i="8"/>
  <c r="H16" i="8"/>
  <c r="J16" i="8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G16" i="8"/>
  <c r="K16" i="8"/>
  <c r="L16" i="8"/>
  <c r="E17" i="8"/>
  <c r="D16" i="2"/>
  <c r="D17" i="8"/>
  <c r="I17" i="8"/>
  <c r="F17" i="8"/>
  <c r="H17" i="8"/>
  <c r="J17" i="8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G17" i="8"/>
  <c r="K17" i="8"/>
  <c r="L17" i="8"/>
  <c r="E18" i="8"/>
  <c r="D17" i="2"/>
  <c r="D18" i="8"/>
  <c r="I18" i="8"/>
  <c r="F18" i="8"/>
  <c r="H18" i="8"/>
  <c r="J18" i="8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G18" i="8"/>
  <c r="K18" i="8"/>
  <c r="L18" i="8"/>
  <c r="E19" i="8"/>
  <c r="D18" i="2"/>
  <c r="D19" i="8"/>
  <c r="I19" i="8"/>
  <c r="F19" i="8"/>
  <c r="H19" i="8"/>
  <c r="J19" i="8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G19" i="8"/>
  <c r="K19" i="8"/>
  <c r="L19" i="8"/>
  <c r="E20" i="8"/>
  <c r="D19" i="2"/>
  <c r="D20" i="8"/>
  <c r="I20" i="8"/>
  <c r="F20" i="8"/>
  <c r="H20" i="8"/>
  <c r="J20" i="8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G20" i="8"/>
  <c r="K20" i="8"/>
  <c r="L20" i="8"/>
  <c r="E21" i="8"/>
  <c r="D20" i="2"/>
  <c r="D21" i="8"/>
  <c r="I21" i="8"/>
  <c r="F21" i="8"/>
  <c r="H21" i="8"/>
  <c r="J21" i="8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G21" i="8"/>
  <c r="K21" i="8"/>
  <c r="L21" i="8"/>
  <c r="E22" i="8"/>
  <c r="D21" i="2"/>
  <c r="D22" i="8"/>
  <c r="I22" i="8"/>
  <c r="F22" i="8"/>
  <c r="H22" i="8"/>
  <c r="J22" i="8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G22" i="8"/>
  <c r="K22" i="8"/>
  <c r="L22" i="8"/>
  <c r="E23" i="8"/>
  <c r="D22" i="2"/>
  <c r="D23" i="8"/>
  <c r="I23" i="8"/>
  <c r="F23" i="8"/>
  <c r="H23" i="8"/>
  <c r="J23" i="8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G23" i="8"/>
  <c r="K23" i="8"/>
  <c r="L23" i="8"/>
  <c r="E24" i="8"/>
  <c r="D23" i="2"/>
  <c r="D24" i="8"/>
  <c r="I24" i="8"/>
  <c r="F24" i="8"/>
  <c r="H24" i="8"/>
  <c r="J24" i="8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G24" i="8"/>
  <c r="K24" i="8"/>
  <c r="L24" i="8"/>
  <c r="E25" i="8"/>
  <c r="D24" i="2"/>
  <c r="D25" i="8"/>
  <c r="I25" i="8"/>
  <c r="F25" i="8"/>
  <c r="H25" i="8"/>
  <c r="J25" i="8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G25" i="8"/>
  <c r="K25" i="8"/>
  <c r="L25" i="8"/>
  <c r="E26" i="8"/>
  <c r="D25" i="2"/>
  <c r="D26" i="8"/>
  <c r="I26" i="8"/>
  <c r="F26" i="8"/>
  <c r="H26" i="8"/>
  <c r="J26" i="8"/>
  <c r="E130" i="5"/>
  <c r="E156" i="5"/>
  <c r="E182" i="5"/>
  <c r="E208" i="5"/>
  <c r="E235" i="5"/>
  <c r="E261" i="5"/>
  <c r="E287" i="5"/>
  <c r="E313" i="5"/>
  <c r="E339" i="5"/>
  <c r="E365" i="5"/>
  <c r="E391" i="5"/>
  <c r="E417" i="5"/>
  <c r="E443" i="5"/>
  <c r="E469" i="5"/>
  <c r="E495" i="5"/>
  <c r="E521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G26" i="8"/>
  <c r="K26" i="8"/>
  <c r="L26" i="8"/>
  <c r="C9" i="5"/>
  <c r="A1" i="2"/>
  <c r="C6" i="5"/>
  <c r="C7" i="2"/>
  <c r="I7" i="2"/>
  <c r="C7" i="5"/>
  <c r="D9" i="5"/>
  <c r="H7" i="2"/>
  <c r="E7" i="2"/>
  <c r="F7" i="2"/>
  <c r="J7" i="2"/>
  <c r="G7" i="2"/>
  <c r="K7" i="2"/>
  <c r="L7" i="2"/>
  <c r="E8" i="2"/>
  <c r="F8" i="2"/>
  <c r="H8" i="2"/>
  <c r="I8" i="2"/>
  <c r="J8" i="2"/>
  <c r="G8" i="2"/>
  <c r="K8" i="2"/>
  <c r="L8" i="2"/>
  <c r="E9" i="2"/>
  <c r="F9" i="2"/>
  <c r="H9" i="2"/>
  <c r="I9" i="2"/>
  <c r="J9" i="2"/>
  <c r="G9" i="2"/>
  <c r="K9" i="2"/>
  <c r="L9" i="2"/>
  <c r="E10" i="2"/>
  <c r="F10" i="2"/>
  <c r="H10" i="2"/>
  <c r="I10" i="2"/>
  <c r="J10" i="2"/>
  <c r="G10" i="2"/>
  <c r="K10" i="2"/>
  <c r="L10" i="2"/>
  <c r="E11" i="2"/>
  <c r="F11" i="2"/>
  <c r="H11" i="2"/>
  <c r="I11" i="2"/>
  <c r="J11" i="2"/>
  <c r="G11" i="2"/>
  <c r="K11" i="2"/>
  <c r="L11" i="2"/>
  <c r="E12" i="2"/>
  <c r="F12" i="2"/>
  <c r="H12" i="2"/>
  <c r="I12" i="2"/>
  <c r="J12" i="2"/>
  <c r="G12" i="2"/>
  <c r="K12" i="2"/>
  <c r="L12" i="2"/>
  <c r="E13" i="2"/>
  <c r="F13" i="2"/>
  <c r="H13" i="2"/>
  <c r="I13" i="2"/>
  <c r="J13" i="2"/>
  <c r="G13" i="2"/>
  <c r="K13" i="2"/>
  <c r="L13" i="2"/>
  <c r="E14" i="2"/>
  <c r="F14" i="2"/>
  <c r="H14" i="2"/>
  <c r="I14" i="2"/>
  <c r="J14" i="2"/>
  <c r="G14" i="2"/>
  <c r="K14" i="2"/>
  <c r="L14" i="2"/>
  <c r="E15" i="2"/>
  <c r="F15" i="2"/>
  <c r="H15" i="2"/>
  <c r="I15" i="2"/>
  <c r="J15" i="2"/>
  <c r="G15" i="2"/>
  <c r="K15" i="2"/>
  <c r="L15" i="2"/>
  <c r="E16" i="2"/>
  <c r="F16" i="2"/>
  <c r="H16" i="2"/>
  <c r="I16" i="2"/>
  <c r="J16" i="2"/>
  <c r="G16" i="2"/>
  <c r="K16" i="2"/>
  <c r="L16" i="2"/>
  <c r="E17" i="2"/>
  <c r="F17" i="2"/>
  <c r="H17" i="2"/>
  <c r="I17" i="2"/>
  <c r="J17" i="2"/>
  <c r="G17" i="2"/>
  <c r="K17" i="2"/>
  <c r="L17" i="2"/>
  <c r="E18" i="2"/>
  <c r="F18" i="2"/>
  <c r="H18" i="2"/>
  <c r="I18" i="2"/>
  <c r="J18" i="2"/>
  <c r="G18" i="2"/>
  <c r="K18" i="2"/>
  <c r="L18" i="2"/>
  <c r="E19" i="2"/>
  <c r="F19" i="2"/>
  <c r="H19" i="2"/>
  <c r="I19" i="2"/>
  <c r="J19" i="2"/>
  <c r="G19" i="2"/>
  <c r="K19" i="2"/>
  <c r="L19" i="2"/>
  <c r="E20" i="2"/>
  <c r="F20" i="2"/>
  <c r="H20" i="2"/>
  <c r="I20" i="2"/>
  <c r="J20" i="2"/>
  <c r="G20" i="2"/>
  <c r="K20" i="2"/>
  <c r="L20" i="2"/>
  <c r="E21" i="2"/>
  <c r="F21" i="2"/>
  <c r="H21" i="2"/>
  <c r="I21" i="2"/>
  <c r="J21" i="2"/>
  <c r="G21" i="2"/>
  <c r="K21" i="2"/>
  <c r="L21" i="2"/>
  <c r="E22" i="2"/>
  <c r="F22" i="2"/>
  <c r="H22" i="2"/>
  <c r="I22" i="2"/>
  <c r="J22" i="2"/>
  <c r="G22" i="2"/>
  <c r="K22" i="2"/>
  <c r="L22" i="2"/>
  <c r="E23" i="2"/>
  <c r="F23" i="2"/>
  <c r="H23" i="2"/>
  <c r="I23" i="2"/>
  <c r="J23" i="2"/>
  <c r="G23" i="2"/>
  <c r="K23" i="2"/>
  <c r="L23" i="2"/>
  <c r="E24" i="2"/>
  <c r="F24" i="2"/>
  <c r="H24" i="2"/>
  <c r="I24" i="2"/>
  <c r="J24" i="2"/>
  <c r="G24" i="2"/>
  <c r="K24" i="2"/>
  <c r="L24" i="2"/>
  <c r="E25" i="2"/>
  <c r="F25" i="2"/>
  <c r="H25" i="2"/>
  <c r="I25" i="2"/>
  <c r="J25" i="2"/>
  <c r="G25" i="2"/>
  <c r="K25" i="2"/>
  <c r="L25" i="2"/>
  <c r="D26" i="2"/>
  <c r="I2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E26" i="2"/>
  <c r="F26" i="2"/>
  <c r="G26" i="2"/>
  <c r="H26" i="2"/>
  <c r="J26" i="2"/>
  <c r="K26" i="2"/>
  <c r="L26" i="2"/>
  <c r="F27" i="2"/>
  <c r="G27" i="2"/>
  <c r="H27" i="2"/>
  <c r="J27" i="2"/>
  <c r="K27" i="2"/>
  <c r="A1" i="6"/>
  <c r="A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1" i="8"/>
  <c r="K27" i="8"/>
  <c r="J27" i="8"/>
  <c r="H27" i="8"/>
  <c r="G27" i="8"/>
  <c r="F27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C32" i="5"/>
  <c r="C58" i="5"/>
  <c r="C84" i="5"/>
  <c r="C110" i="5"/>
  <c r="C136" i="5"/>
  <c r="C162" i="5"/>
  <c r="C188" i="5"/>
  <c r="C215" i="5"/>
  <c r="C241" i="5"/>
  <c r="C267" i="5"/>
  <c r="C293" i="5"/>
  <c r="C319" i="5"/>
  <c r="C345" i="5"/>
  <c r="C371" i="5"/>
  <c r="C397" i="5"/>
  <c r="C423" i="5"/>
  <c r="C449" i="5"/>
  <c r="C475" i="5"/>
  <c r="C501" i="5"/>
  <c r="C502" i="5"/>
  <c r="G521" i="5"/>
  <c r="D520" i="5"/>
  <c r="C520" i="5"/>
  <c r="D519" i="5"/>
  <c r="C519" i="5"/>
  <c r="D518" i="5"/>
  <c r="C518" i="5"/>
  <c r="D517" i="5"/>
  <c r="C517" i="5"/>
  <c r="D516" i="5"/>
  <c r="C516" i="5"/>
  <c r="D515" i="5"/>
  <c r="C515" i="5"/>
  <c r="D514" i="5"/>
  <c r="C514" i="5"/>
  <c r="D513" i="5"/>
  <c r="C513" i="5"/>
  <c r="D512" i="5"/>
  <c r="C512" i="5"/>
  <c r="D511" i="5"/>
  <c r="C511" i="5"/>
  <c r="D510" i="5"/>
  <c r="C510" i="5"/>
  <c r="D509" i="5"/>
  <c r="C509" i="5"/>
  <c r="D508" i="5"/>
  <c r="C508" i="5"/>
  <c r="D507" i="5"/>
  <c r="C507" i="5"/>
  <c r="D506" i="5"/>
  <c r="C506" i="5"/>
  <c r="D505" i="5"/>
  <c r="C505" i="5"/>
  <c r="D504" i="5"/>
  <c r="C504" i="5"/>
  <c r="C476" i="5"/>
  <c r="G495" i="5"/>
  <c r="D494" i="5"/>
  <c r="C494" i="5"/>
  <c r="D493" i="5"/>
  <c r="C493" i="5"/>
  <c r="D492" i="5"/>
  <c r="C492" i="5"/>
  <c r="D491" i="5"/>
  <c r="C491" i="5"/>
  <c r="D490" i="5"/>
  <c r="C490" i="5"/>
  <c r="D489" i="5"/>
  <c r="C489" i="5"/>
  <c r="D488" i="5"/>
  <c r="C488" i="5"/>
  <c r="D487" i="5"/>
  <c r="C487" i="5"/>
  <c r="D486" i="5"/>
  <c r="C486" i="5"/>
  <c r="D485" i="5"/>
  <c r="C485" i="5"/>
  <c r="D484" i="5"/>
  <c r="C484" i="5"/>
  <c r="D483" i="5"/>
  <c r="C483" i="5"/>
  <c r="D482" i="5"/>
  <c r="C482" i="5"/>
  <c r="D481" i="5"/>
  <c r="C481" i="5"/>
  <c r="D480" i="5"/>
  <c r="C480" i="5"/>
  <c r="D479" i="5"/>
  <c r="C479" i="5"/>
  <c r="D478" i="5"/>
  <c r="C478" i="5"/>
  <c r="C450" i="5"/>
  <c r="G469" i="5"/>
  <c r="D468" i="5"/>
  <c r="C468" i="5"/>
  <c r="D467" i="5"/>
  <c r="C467" i="5"/>
  <c r="D466" i="5"/>
  <c r="C466" i="5"/>
  <c r="D465" i="5"/>
  <c r="C465" i="5"/>
  <c r="D464" i="5"/>
  <c r="C464" i="5"/>
  <c r="D463" i="5"/>
  <c r="C463" i="5"/>
  <c r="D462" i="5"/>
  <c r="C462" i="5"/>
  <c r="D461" i="5"/>
  <c r="C461" i="5"/>
  <c r="D460" i="5"/>
  <c r="C460" i="5"/>
  <c r="D459" i="5"/>
  <c r="C459" i="5"/>
  <c r="D458" i="5"/>
  <c r="C458" i="5"/>
  <c r="D457" i="5"/>
  <c r="C457" i="5"/>
  <c r="D456" i="5"/>
  <c r="C456" i="5"/>
  <c r="D455" i="5"/>
  <c r="C455" i="5"/>
  <c r="D454" i="5"/>
  <c r="C454" i="5"/>
  <c r="D453" i="5"/>
  <c r="C453" i="5"/>
  <c r="D452" i="5"/>
  <c r="C452" i="5"/>
  <c r="C424" i="5"/>
  <c r="G443" i="5"/>
  <c r="D442" i="5"/>
  <c r="C442" i="5"/>
  <c r="D441" i="5"/>
  <c r="C441" i="5"/>
  <c r="D440" i="5"/>
  <c r="C440" i="5"/>
  <c r="D439" i="5"/>
  <c r="C439" i="5"/>
  <c r="D438" i="5"/>
  <c r="C438" i="5"/>
  <c r="D437" i="5"/>
  <c r="C437" i="5"/>
  <c r="D436" i="5"/>
  <c r="C436" i="5"/>
  <c r="D435" i="5"/>
  <c r="C435" i="5"/>
  <c r="D434" i="5"/>
  <c r="C434" i="5"/>
  <c r="D433" i="5"/>
  <c r="C433" i="5"/>
  <c r="D432" i="5"/>
  <c r="C432" i="5"/>
  <c r="D431" i="5"/>
  <c r="C431" i="5"/>
  <c r="D430" i="5"/>
  <c r="C430" i="5"/>
  <c r="D429" i="5"/>
  <c r="C429" i="5"/>
  <c r="D428" i="5"/>
  <c r="C428" i="5"/>
  <c r="D427" i="5"/>
  <c r="C427" i="5"/>
  <c r="D426" i="5"/>
  <c r="C426" i="5"/>
  <c r="C398" i="5"/>
  <c r="G417" i="5"/>
  <c r="D416" i="5"/>
  <c r="C416" i="5"/>
  <c r="D415" i="5"/>
  <c r="C415" i="5"/>
  <c r="D414" i="5"/>
  <c r="C414" i="5"/>
  <c r="D413" i="5"/>
  <c r="C413" i="5"/>
  <c r="D412" i="5"/>
  <c r="C412" i="5"/>
  <c r="D411" i="5"/>
  <c r="C411" i="5"/>
  <c r="D410" i="5"/>
  <c r="C410" i="5"/>
  <c r="D409" i="5"/>
  <c r="C409" i="5"/>
  <c r="D408" i="5"/>
  <c r="C408" i="5"/>
  <c r="D407" i="5"/>
  <c r="C407" i="5"/>
  <c r="D406" i="5"/>
  <c r="C406" i="5"/>
  <c r="D405" i="5"/>
  <c r="C405" i="5"/>
  <c r="D404" i="5"/>
  <c r="C404" i="5"/>
  <c r="D403" i="5"/>
  <c r="C403" i="5"/>
  <c r="D402" i="5"/>
  <c r="C402" i="5"/>
  <c r="D401" i="5"/>
  <c r="C401" i="5"/>
  <c r="D400" i="5"/>
  <c r="C400" i="5"/>
  <c r="C372" i="5"/>
  <c r="G391" i="5"/>
  <c r="D390" i="5"/>
  <c r="C390" i="5"/>
  <c r="D389" i="5"/>
  <c r="C389" i="5"/>
  <c r="D388" i="5"/>
  <c r="C388" i="5"/>
  <c r="D387" i="5"/>
  <c r="C387" i="5"/>
  <c r="D386" i="5"/>
  <c r="C386" i="5"/>
  <c r="D385" i="5"/>
  <c r="C385" i="5"/>
  <c r="D384" i="5"/>
  <c r="C384" i="5"/>
  <c r="D383" i="5"/>
  <c r="C383" i="5"/>
  <c r="D382" i="5"/>
  <c r="C382" i="5"/>
  <c r="D381" i="5"/>
  <c r="C381" i="5"/>
  <c r="D380" i="5"/>
  <c r="C380" i="5"/>
  <c r="D379" i="5"/>
  <c r="C379" i="5"/>
  <c r="D378" i="5"/>
  <c r="C378" i="5"/>
  <c r="D377" i="5"/>
  <c r="C377" i="5"/>
  <c r="D376" i="5"/>
  <c r="C376" i="5"/>
  <c r="D375" i="5"/>
  <c r="C375" i="5"/>
  <c r="D374" i="5"/>
  <c r="C374" i="5"/>
  <c r="C346" i="5"/>
  <c r="G365" i="5"/>
  <c r="D364" i="5"/>
  <c r="C364" i="5"/>
  <c r="D363" i="5"/>
  <c r="C363" i="5"/>
  <c r="D362" i="5"/>
  <c r="C362" i="5"/>
  <c r="D361" i="5"/>
  <c r="C361" i="5"/>
  <c r="D360" i="5"/>
  <c r="C360" i="5"/>
  <c r="D359" i="5"/>
  <c r="C359" i="5"/>
  <c r="D358" i="5"/>
  <c r="C358" i="5"/>
  <c r="D357" i="5"/>
  <c r="C357" i="5"/>
  <c r="D356" i="5"/>
  <c r="C356" i="5"/>
  <c r="D355" i="5"/>
  <c r="C355" i="5"/>
  <c r="D354" i="5"/>
  <c r="C354" i="5"/>
  <c r="D353" i="5"/>
  <c r="C353" i="5"/>
  <c r="D352" i="5"/>
  <c r="C352" i="5"/>
  <c r="D351" i="5"/>
  <c r="C351" i="5"/>
  <c r="D350" i="5"/>
  <c r="C350" i="5"/>
  <c r="D349" i="5"/>
  <c r="C349" i="5"/>
  <c r="D348" i="5"/>
  <c r="C348" i="5"/>
  <c r="C320" i="5"/>
  <c r="G339" i="5"/>
  <c r="D338" i="5"/>
  <c r="C338" i="5"/>
  <c r="D337" i="5"/>
  <c r="C337" i="5"/>
  <c r="D336" i="5"/>
  <c r="C336" i="5"/>
  <c r="D335" i="5"/>
  <c r="C335" i="5"/>
  <c r="D334" i="5"/>
  <c r="C334" i="5"/>
  <c r="D333" i="5"/>
  <c r="C333" i="5"/>
  <c r="D332" i="5"/>
  <c r="C332" i="5"/>
  <c r="D331" i="5"/>
  <c r="C331" i="5"/>
  <c r="D330" i="5"/>
  <c r="C330" i="5"/>
  <c r="D329" i="5"/>
  <c r="C329" i="5"/>
  <c r="D328" i="5"/>
  <c r="C328" i="5"/>
  <c r="D327" i="5"/>
  <c r="C327" i="5"/>
  <c r="D326" i="5"/>
  <c r="C326" i="5"/>
  <c r="D325" i="5"/>
  <c r="C325" i="5"/>
  <c r="D324" i="5"/>
  <c r="C324" i="5"/>
  <c r="D323" i="5"/>
  <c r="C323" i="5"/>
  <c r="D322" i="5"/>
  <c r="C322" i="5"/>
  <c r="C294" i="5"/>
  <c r="G313" i="5"/>
  <c r="D312" i="5"/>
  <c r="C312" i="5"/>
  <c r="D311" i="5"/>
  <c r="C311" i="5"/>
  <c r="D310" i="5"/>
  <c r="C310" i="5"/>
  <c r="D309" i="5"/>
  <c r="C309" i="5"/>
  <c r="D308" i="5"/>
  <c r="C308" i="5"/>
  <c r="D307" i="5"/>
  <c r="C307" i="5"/>
  <c r="D306" i="5"/>
  <c r="C306" i="5"/>
  <c r="D305" i="5"/>
  <c r="C305" i="5"/>
  <c r="D304" i="5"/>
  <c r="C304" i="5"/>
  <c r="D303" i="5"/>
  <c r="C303" i="5"/>
  <c r="D302" i="5"/>
  <c r="C302" i="5"/>
  <c r="D301" i="5"/>
  <c r="C301" i="5"/>
  <c r="D300" i="5"/>
  <c r="C300" i="5"/>
  <c r="D299" i="5"/>
  <c r="C299" i="5"/>
  <c r="D298" i="5"/>
  <c r="C298" i="5"/>
  <c r="D297" i="5"/>
  <c r="C297" i="5"/>
  <c r="D296" i="5"/>
  <c r="C296" i="5"/>
  <c r="C242" i="5"/>
  <c r="C244" i="5"/>
  <c r="D244" i="5"/>
  <c r="C268" i="5"/>
  <c r="G287" i="5"/>
  <c r="D286" i="5"/>
  <c r="C286" i="5"/>
  <c r="D285" i="5"/>
  <c r="C285" i="5"/>
  <c r="D284" i="5"/>
  <c r="C284" i="5"/>
  <c r="D283" i="5"/>
  <c r="C283" i="5"/>
  <c r="D282" i="5"/>
  <c r="C282" i="5"/>
  <c r="D281" i="5"/>
  <c r="C281" i="5"/>
  <c r="D280" i="5"/>
  <c r="C280" i="5"/>
  <c r="D279" i="5"/>
  <c r="C279" i="5"/>
  <c r="D278" i="5"/>
  <c r="C278" i="5"/>
  <c r="D277" i="5"/>
  <c r="C277" i="5"/>
  <c r="D276" i="5"/>
  <c r="C276" i="5"/>
  <c r="D275" i="5"/>
  <c r="C275" i="5"/>
  <c r="D274" i="5"/>
  <c r="C274" i="5"/>
  <c r="D273" i="5"/>
  <c r="C273" i="5"/>
  <c r="D272" i="5"/>
  <c r="C272" i="5"/>
  <c r="D271" i="5"/>
  <c r="C271" i="5"/>
  <c r="D270" i="5"/>
  <c r="C270" i="5"/>
  <c r="G261" i="5"/>
  <c r="D260" i="5"/>
  <c r="C260" i="5"/>
  <c r="D259" i="5"/>
  <c r="C259" i="5"/>
  <c r="D258" i="5"/>
  <c r="C258" i="5"/>
  <c r="D257" i="5"/>
  <c r="C257" i="5"/>
  <c r="D256" i="5"/>
  <c r="C256" i="5"/>
  <c r="D255" i="5"/>
  <c r="C255" i="5"/>
  <c r="D254" i="5"/>
  <c r="C254" i="5"/>
  <c r="D253" i="5"/>
  <c r="C253" i="5"/>
  <c r="D252" i="5"/>
  <c r="C252" i="5"/>
  <c r="D251" i="5"/>
  <c r="C251" i="5"/>
  <c r="D250" i="5"/>
  <c r="C250" i="5"/>
  <c r="D249" i="5"/>
  <c r="C249" i="5"/>
  <c r="D248" i="5"/>
  <c r="C248" i="5"/>
  <c r="D247" i="5"/>
  <c r="C247" i="5"/>
  <c r="D246" i="5"/>
  <c r="C246" i="5"/>
  <c r="D245" i="5"/>
  <c r="C245" i="5"/>
  <c r="C1" i="5"/>
  <c r="C216" i="5"/>
  <c r="C218" i="5"/>
  <c r="D218" i="5"/>
  <c r="G235" i="5"/>
  <c r="D234" i="5"/>
  <c r="C234" i="5"/>
  <c r="D233" i="5"/>
  <c r="C233" i="5"/>
  <c r="D232" i="5"/>
  <c r="C232" i="5"/>
  <c r="D231" i="5"/>
  <c r="C231" i="5"/>
  <c r="D230" i="5"/>
  <c r="C230" i="5"/>
  <c r="D229" i="5"/>
  <c r="C229" i="5"/>
  <c r="D228" i="5"/>
  <c r="C228" i="5"/>
  <c r="D227" i="5"/>
  <c r="C227" i="5"/>
  <c r="D226" i="5"/>
  <c r="C226" i="5"/>
  <c r="D225" i="5"/>
  <c r="C225" i="5"/>
  <c r="D224" i="5"/>
  <c r="C224" i="5"/>
  <c r="D223" i="5"/>
  <c r="C223" i="5"/>
  <c r="D222" i="5"/>
  <c r="C222" i="5"/>
  <c r="D221" i="5"/>
  <c r="C221" i="5"/>
  <c r="D220" i="5"/>
  <c r="C220" i="5"/>
  <c r="D219" i="5"/>
  <c r="C219" i="5"/>
  <c r="C189" i="5"/>
  <c r="C59" i="5"/>
  <c r="C61" i="5"/>
  <c r="D61" i="5"/>
  <c r="C33" i="5"/>
  <c r="C35" i="5"/>
  <c r="D35" i="5"/>
  <c r="G208" i="5"/>
  <c r="D207" i="5"/>
  <c r="C207" i="5"/>
  <c r="D206" i="5"/>
  <c r="C206" i="5"/>
  <c r="D205" i="5"/>
  <c r="C205" i="5"/>
  <c r="D204" i="5"/>
  <c r="C204" i="5"/>
  <c r="D203" i="5"/>
  <c r="C203" i="5"/>
  <c r="D202" i="5"/>
  <c r="C202" i="5"/>
  <c r="D201" i="5"/>
  <c r="C201" i="5"/>
  <c r="D200" i="5"/>
  <c r="C200" i="5"/>
  <c r="D199" i="5"/>
  <c r="C199" i="5"/>
  <c r="D198" i="5"/>
  <c r="C198" i="5"/>
  <c r="D197" i="5"/>
  <c r="C197" i="5"/>
  <c r="D196" i="5"/>
  <c r="C196" i="5"/>
  <c r="D195" i="5"/>
  <c r="C195" i="5"/>
  <c r="D194" i="5"/>
  <c r="C194" i="5"/>
  <c r="D193" i="5"/>
  <c r="C193" i="5"/>
  <c r="D192" i="5"/>
  <c r="C192" i="5"/>
  <c r="D191" i="5"/>
  <c r="C191" i="5"/>
  <c r="C163" i="5"/>
  <c r="G182" i="5"/>
  <c r="D181" i="5"/>
  <c r="C181" i="5"/>
  <c r="D180" i="5"/>
  <c r="C180" i="5"/>
  <c r="D179" i="5"/>
  <c r="C179" i="5"/>
  <c r="D178" i="5"/>
  <c r="C178" i="5"/>
  <c r="D177" i="5"/>
  <c r="C177" i="5"/>
  <c r="D176" i="5"/>
  <c r="C176" i="5"/>
  <c r="D175" i="5"/>
  <c r="C175" i="5"/>
  <c r="D174" i="5"/>
  <c r="C174" i="5"/>
  <c r="D173" i="5"/>
  <c r="C173" i="5"/>
  <c r="D172" i="5"/>
  <c r="C172" i="5"/>
  <c r="D171" i="5"/>
  <c r="C171" i="5"/>
  <c r="D170" i="5"/>
  <c r="C170" i="5"/>
  <c r="D169" i="5"/>
  <c r="C169" i="5"/>
  <c r="D168" i="5"/>
  <c r="C168" i="5"/>
  <c r="D167" i="5"/>
  <c r="C167" i="5"/>
  <c r="D166" i="5"/>
  <c r="C166" i="5"/>
  <c r="D165" i="5"/>
  <c r="C165" i="5"/>
  <c r="C137" i="5"/>
  <c r="G156" i="5"/>
  <c r="D155" i="5"/>
  <c r="C155" i="5"/>
  <c r="D154" i="5"/>
  <c r="C154" i="5"/>
  <c r="D153" i="5"/>
  <c r="C153" i="5"/>
  <c r="D152" i="5"/>
  <c r="C152" i="5"/>
  <c r="D151" i="5"/>
  <c r="C151" i="5"/>
  <c r="D150" i="5"/>
  <c r="C150" i="5"/>
  <c r="D149" i="5"/>
  <c r="C149" i="5"/>
  <c r="D148" i="5"/>
  <c r="C148" i="5"/>
  <c r="D147" i="5"/>
  <c r="C147" i="5"/>
  <c r="D146" i="5"/>
  <c r="C146" i="5"/>
  <c r="D145" i="5"/>
  <c r="C145" i="5"/>
  <c r="D144" i="5"/>
  <c r="C144" i="5"/>
  <c r="D143" i="5"/>
  <c r="C143" i="5"/>
  <c r="D142" i="5"/>
  <c r="C142" i="5"/>
  <c r="D141" i="5"/>
  <c r="C141" i="5"/>
  <c r="D140" i="5"/>
  <c r="C140" i="5"/>
  <c r="D139" i="5"/>
  <c r="C139" i="5"/>
  <c r="C111" i="5"/>
  <c r="G130" i="5"/>
  <c r="D129" i="5"/>
  <c r="C129" i="5"/>
  <c r="D128" i="5"/>
  <c r="C128" i="5"/>
  <c r="D127" i="5"/>
  <c r="C127" i="5"/>
  <c r="D126" i="5"/>
  <c r="C126" i="5"/>
  <c r="D125" i="5"/>
  <c r="C125" i="5"/>
  <c r="D124" i="5"/>
  <c r="C124" i="5"/>
  <c r="D123" i="5"/>
  <c r="C123" i="5"/>
  <c r="D122" i="5"/>
  <c r="C122" i="5"/>
  <c r="D121" i="5"/>
  <c r="C121" i="5"/>
  <c r="D120" i="5"/>
  <c r="C120" i="5"/>
  <c r="D119" i="5"/>
  <c r="C119" i="5"/>
  <c r="D118" i="5"/>
  <c r="C118" i="5"/>
  <c r="D117" i="5"/>
  <c r="C117" i="5"/>
  <c r="D116" i="5"/>
  <c r="C116" i="5"/>
  <c r="D115" i="5"/>
  <c r="C115" i="5"/>
  <c r="D114" i="5"/>
  <c r="C114" i="5"/>
  <c r="D113" i="5"/>
  <c r="C113" i="5"/>
  <c r="C85" i="5"/>
  <c r="G104" i="5"/>
  <c r="D103" i="5"/>
  <c r="C103" i="5"/>
  <c r="D102" i="5"/>
  <c r="C102" i="5"/>
  <c r="D101" i="5"/>
  <c r="C101" i="5"/>
  <c r="D100" i="5"/>
  <c r="C100" i="5"/>
  <c r="D99" i="5"/>
  <c r="C99" i="5"/>
  <c r="D98" i="5"/>
  <c r="C98" i="5"/>
  <c r="D97" i="5"/>
  <c r="C97" i="5"/>
  <c r="D96" i="5"/>
  <c r="C96" i="5"/>
  <c r="D95" i="5"/>
  <c r="C95" i="5"/>
  <c r="D94" i="5"/>
  <c r="C94" i="5"/>
  <c r="D93" i="5"/>
  <c r="C93" i="5"/>
  <c r="D92" i="5"/>
  <c r="C92" i="5"/>
  <c r="D91" i="5"/>
  <c r="C91" i="5"/>
  <c r="D90" i="5"/>
  <c r="C90" i="5"/>
  <c r="D89" i="5"/>
  <c r="C89" i="5"/>
  <c r="D88" i="5"/>
  <c r="C88" i="5"/>
  <c r="D87" i="5"/>
  <c r="C87" i="5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G78" i="5"/>
  <c r="D77" i="5"/>
  <c r="C77" i="5"/>
  <c r="D76" i="5"/>
  <c r="C76" i="5"/>
  <c r="D75" i="5"/>
  <c r="C75" i="5"/>
  <c r="D74" i="5"/>
  <c r="C74" i="5"/>
  <c r="D73" i="5"/>
  <c r="C73" i="5"/>
  <c r="D72" i="5"/>
  <c r="C72" i="5"/>
  <c r="D71" i="5"/>
  <c r="C71" i="5"/>
  <c r="D70" i="5"/>
  <c r="C70" i="5"/>
  <c r="D69" i="5"/>
  <c r="C69" i="5"/>
  <c r="D68" i="5"/>
  <c r="C68" i="5"/>
  <c r="D67" i="5"/>
  <c r="C67" i="5"/>
  <c r="D66" i="5"/>
  <c r="C66" i="5"/>
  <c r="D65" i="5"/>
  <c r="C65" i="5"/>
  <c r="D64" i="5"/>
  <c r="C64" i="5"/>
  <c r="D63" i="5"/>
  <c r="C63" i="5"/>
  <c r="D62" i="5"/>
  <c r="C62" i="5"/>
  <c r="G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D10" i="5"/>
  <c r="D11" i="5"/>
  <c r="D12" i="5"/>
  <c r="D13" i="5"/>
  <c r="D15" i="5"/>
  <c r="D16" i="5"/>
  <c r="D18" i="5"/>
  <c r="D19" i="5"/>
  <c r="D21" i="5"/>
  <c r="D22" i="5"/>
  <c r="C24" i="5"/>
  <c r="D24" i="5"/>
  <c r="C25" i="5"/>
  <c r="D25" i="5"/>
  <c r="D14" i="5"/>
  <c r="D17" i="5"/>
  <c r="D20" i="5"/>
  <c r="D23" i="5"/>
  <c r="C23" i="5"/>
</calcChain>
</file>

<file path=xl/sharedStrings.xml><?xml version="1.0" encoding="utf-8"?>
<sst xmlns="http://schemas.openxmlformats.org/spreadsheetml/2006/main" count="201" uniqueCount="29">
  <si>
    <t>Données</t>
  </si>
  <si>
    <t>Investissement ouverture de compte</t>
  </si>
  <si>
    <t>V.annuels</t>
  </si>
  <si>
    <t>Frais de versement</t>
  </si>
  <si>
    <t>Frais de gestion</t>
  </si>
  <si>
    <t>Taux de rémunération</t>
  </si>
  <si>
    <t>Années</t>
  </si>
  <si>
    <t>Année</t>
  </si>
  <si>
    <t>Capital</t>
  </si>
  <si>
    <t>Versements annuels</t>
  </si>
  <si>
    <t>Versements complémentaires libres autorisés</t>
  </si>
  <si>
    <t>Taux</t>
  </si>
  <si>
    <t>Capitalisation</t>
  </si>
  <si>
    <t>Valeurs</t>
  </si>
  <si>
    <t>2012</t>
  </si>
  <si>
    <t>2013</t>
  </si>
  <si>
    <t>Minimum garanti %</t>
  </si>
  <si>
    <t>Plancher garanti %</t>
  </si>
  <si>
    <t>Date</t>
  </si>
  <si>
    <t>Quinzaine</t>
  </si>
  <si>
    <t>Versement</t>
  </si>
  <si>
    <t>Interet</t>
  </si>
  <si>
    <t>Quinzaine écoulée</t>
  </si>
  <si>
    <t>Taux interet</t>
  </si>
  <si>
    <t>Années2</t>
  </si>
  <si>
    <t>Total</t>
  </si>
  <si>
    <t>Taux inflation par an</t>
  </si>
  <si>
    <t>Somme Taux de rémunération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</si>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</sst>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0"/>
      <name val="Comic Sans MS"/>
    </font>
    <font>
      <sz val="11"/>
      <color theme="0"/>
      <name val="Comic Sans MS"/>
    </font>
    <font>
      <sz val="11"/>
      <color rgb="FF0000FF"/>
      <name val="Comic Sans MS"/>
    </font>
    <font>
      <sz val="11"/>
      <name val="Comic Sans MS"/>
    </font>
    <font>
      <sz val="11"/>
      <color theme="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0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2"/>
      <color rgb="FF000000"/>
      <name val="Lucida Grande"/>
    </font>
    <font>
      <sz val="11"/>
      <color rgb="FF000000"/>
      <name val="Comic Sans MS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86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10" fontId="0" fillId="0" borderId="0" xfId="1" applyNumberFormat="1" applyFont="1" applyBorder="1"/>
    <xf numFmtId="0" fontId="0" fillId="0" borderId="0" xfId="0" applyNumberFormat="1" applyBorder="1"/>
    <xf numFmtId="0" fontId="0" fillId="0" borderId="0" xfId="0" applyAlignment="1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14" fontId="2" fillId="0" borderId="0" xfId="0" applyNumberFormat="1" applyFont="1" applyBorder="1"/>
    <xf numFmtId="0" fontId="2" fillId="0" borderId="0" xfId="0" applyNumberFormat="1" applyFont="1" applyBorder="1"/>
    <xf numFmtId="0" fontId="2" fillId="0" borderId="1" xfId="0" applyFont="1" applyBorder="1" applyAlignment="1">
      <alignment horizontal="center" vertical="center"/>
    </xf>
    <xf numFmtId="0" fontId="5" fillId="0" borderId="0" xfId="0" applyNumberFormat="1" applyFont="1" applyBorder="1"/>
    <xf numFmtId="0" fontId="5" fillId="0" borderId="0" xfId="0" applyFont="1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/>
    </xf>
    <xf numFmtId="9" fontId="2" fillId="0" borderId="0" xfId="1" applyNumberFormat="1" applyFont="1" applyFill="1" applyBorder="1" applyAlignment="1">
      <alignment horizontal="center" vertical="center"/>
    </xf>
    <xf numFmtId="10" fontId="2" fillId="0" borderId="0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0" fontId="2" fillId="0" borderId="10" xfId="1" applyNumberFormat="1" applyFont="1" applyFill="1" applyBorder="1" applyAlignment="1">
      <alignment horizontal="center" vertical="center"/>
    </xf>
    <xf numFmtId="10" fontId="2" fillId="0" borderId="11" xfId="1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/>
    <xf numFmtId="2" fontId="2" fillId="0" borderId="0" xfId="0" applyNumberFormat="1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10" fontId="11" fillId="0" borderId="3" xfId="1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2" fontId="11" fillId="0" borderId="4" xfId="0" applyNumberFormat="1" applyFont="1" applyFill="1" applyBorder="1" applyAlignment="1">
      <alignment horizontal="center" vertical="center"/>
    </xf>
    <xf numFmtId="10" fontId="11" fillId="0" borderId="4" xfId="1" applyNumberFormat="1" applyFont="1" applyFill="1" applyBorder="1" applyAlignment="1">
      <alignment horizontal="center" vertical="center"/>
    </xf>
    <xf numFmtId="2" fontId="11" fillId="0" borderId="4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2" fontId="11" fillId="0" borderId="0" xfId="0" applyNumberFormat="1" applyFont="1" applyFill="1" applyBorder="1" applyAlignment="1">
      <alignment horizontal="center" vertical="center"/>
    </xf>
    <xf numFmtId="10" fontId="11" fillId="0" borderId="0" xfId="1" applyNumberFormat="1" applyFont="1" applyFill="1" applyBorder="1" applyAlignment="1">
      <alignment horizontal="center" vertical="center"/>
    </xf>
    <xf numFmtId="2" fontId="11" fillId="0" borderId="0" xfId="1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2" fontId="11" fillId="0" borderId="5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10" fontId="11" fillId="0" borderId="5" xfId="1" applyNumberFormat="1" applyFont="1" applyFill="1" applyBorder="1" applyAlignment="1">
      <alignment horizontal="center" vertical="center"/>
    </xf>
    <xf numFmtId="2" fontId="11" fillId="0" borderId="5" xfId="1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0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2" fontId="2" fillId="0" borderId="0" xfId="0" applyNumberFormat="1" applyFont="1"/>
    <xf numFmtId="2" fontId="2" fillId="0" borderId="0" xfId="0" applyNumberFormat="1" applyFont="1" applyBorder="1"/>
    <xf numFmtId="2" fontId="2" fillId="0" borderId="0" xfId="0" applyNumberFormat="1" applyFont="1" applyAlignment="1">
      <alignment horizontal="center" vertical="center" wrapText="1"/>
    </xf>
    <xf numFmtId="10" fontId="0" fillId="0" borderId="0" xfId="0" applyNumberFormat="1" applyAlignment="1"/>
    <xf numFmtId="14" fontId="7" fillId="2" borderId="0" xfId="0" applyNumberFormat="1" applyFont="1" applyFill="1"/>
    <xf numFmtId="10" fontId="11" fillId="0" borderId="4" xfId="0" applyNumberFormat="1" applyFont="1" applyBorder="1" applyAlignment="1">
      <alignment horizontal="center" vertical="center"/>
    </xf>
    <xf numFmtId="0" fontId="2" fillId="0" borderId="0" xfId="0" pivotButton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2" xfId="0" applyBorder="1"/>
  </cellXfs>
  <cellStyles count="8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Normal" xfId="0" builtinId="0"/>
    <cellStyle name="Pourcentage" xfId="1" builtinId="5"/>
  </cellStyles>
  <dxfs count="366">
    <dxf>
      <alignment wrapText="1" readingOrder="0"/>
    </dxf>
    <dxf>
      <alignment wrapText="0" readingOrder="0"/>
    </dxf>
    <dxf>
      <font>
        <name val="Comic Sans MS"/>
        <scheme val="none"/>
      </font>
    </dxf>
    <dxf>
      <alignment vertic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numFmt numFmtId="19" formatCode="dd/mm/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none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/>
    </dxf>
    <dxf>
      <border diagonalUp="0" diagonalDown="0">
        <left/>
        <right/>
        <top/>
        <bottom/>
      </border>
    </dxf>
    <dxf>
      <fill>
        <patternFill patternType="none"/>
      </fill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omic Sans MS"/>
        <scheme val="none"/>
      </font>
      <fill>
        <patternFill patternType="none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omic Sans M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pivotCacheDefinition" Target="pivotCache/pivotCacheDefinition1.xml"/><Relationship Id="rId1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[Projet info.xlsm]GCD!Tableau croisé dynamique1</c:name>
    <c:fmtId val="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GCD!$B$1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strRef>
              <c:f>GCD!$A$2:$A$22</c:f>
              <c:strCache>
                <c:ptCount val="2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  <c:pt idx="11">
                  <c:v>2025</c:v>
                </c:pt>
                <c:pt idx="12">
                  <c:v>2026</c:v>
                </c:pt>
                <c:pt idx="13">
                  <c:v>2027</c:v>
                </c:pt>
                <c:pt idx="14">
                  <c:v>2028</c:v>
                </c:pt>
                <c:pt idx="15">
                  <c:v>2029</c:v>
                </c:pt>
                <c:pt idx="16">
                  <c:v>2030</c:v>
                </c:pt>
                <c:pt idx="17">
                  <c:v>2031</c:v>
                </c:pt>
                <c:pt idx="18">
                  <c:v>2032</c:v>
                </c:pt>
                <c:pt idx="19">
                  <c:v>2033</c:v>
                </c:pt>
              </c:strCache>
            </c:strRef>
          </c:cat>
          <c:val>
            <c:numRef>
              <c:f>GCD!$B$2:$B$22</c:f>
              <c:numCache>
                <c:formatCode>0.00%</c:formatCode>
                <c:ptCount val="20"/>
                <c:pt idx="0">
                  <c:v>0.0147</c:v>
                </c:pt>
                <c:pt idx="1">
                  <c:v>0.012145</c:v>
                </c:pt>
                <c:pt idx="2">
                  <c:v>0.0105</c:v>
                </c:pt>
                <c:pt idx="3">
                  <c:v>0.0105</c:v>
                </c:pt>
                <c:pt idx="4">
                  <c:v>0.0105</c:v>
                </c:pt>
                <c:pt idx="5">
                  <c:v>0.0105</c:v>
                </c:pt>
                <c:pt idx="6">
                  <c:v>0.0105</c:v>
                </c:pt>
                <c:pt idx="7">
                  <c:v>0.0105</c:v>
                </c:pt>
                <c:pt idx="8">
                  <c:v>0.0105</c:v>
                </c:pt>
                <c:pt idx="9">
                  <c:v>0.0105</c:v>
                </c:pt>
                <c:pt idx="10">
                  <c:v>0.0105</c:v>
                </c:pt>
                <c:pt idx="11">
                  <c:v>0.0105</c:v>
                </c:pt>
                <c:pt idx="12">
                  <c:v>0.0105</c:v>
                </c:pt>
                <c:pt idx="13">
                  <c:v>0.0105</c:v>
                </c:pt>
                <c:pt idx="14">
                  <c:v>0.0105</c:v>
                </c:pt>
                <c:pt idx="15">
                  <c:v>0.0105</c:v>
                </c:pt>
                <c:pt idx="16">
                  <c:v>0.0105</c:v>
                </c:pt>
                <c:pt idx="17">
                  <c:v>0.0105</c:v>
                </c:pt>
                <c:pt idx="18">
                  <c:v>0.0105</c:v>
                </c:pt>
                <c:pt idx="19">
                  <c:v>0.0105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5643544"/>
        <c:axId val="-2145647928"/>
      </c:lineChart>
      <c:catAx>
        <c:axId val="-2145643544"/>
        <c:scaling>
          <c:orientation val="minMax"/>
        </c:scaling>
        <c:delete val="0"/>
        <c:axPos val="b"/>
        <c:majorTickMark val="out"/>
        <c:minorTickMark val="none"/>
        <c:tickLblPos val="nextTo"/>
        <c:crossAx val="-2145647928"/>
        <c:crosses val="autoZero"/>
        <c:auto val="1"/>
        <c:lblAlgn val="ctr"/>
        <c:lblOffset val="100"/>
        <c:noMultiLvlLbl val="0"/>
      </c:catAx>
      <c:valAx>
        <c:axId val="-214564792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-2145643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8</xdr:col>
      <xdr:colOff>457201</xdr:colOff>
      <xdr:row>31</xdr:row>
      <xdr:rowOff>10202</xdr:rowOff>
    </xdr:to>
    <xdr:pic macro="[0]!Feuil1.macr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6248400" cy="59157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9</xdr:row>
          <xdr:rowOff>38100</xdr:rowOff>
        </xdr:from>
        <xdr:to>
          <xdr:col>13</xdr:col>
          <xdr:colOff>1803400</xdr:colOff>
          <xdr:row>10</xdr:row>
          <xdr:rowOff>292100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GCD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5</xdr:row>
          <xdr:rowOff>114300</xdr:rowOff>
        </xdr:from>
        <xdr:to>
          <xdr:col>13</xdr:col>
          <xdr:colOff>1803400</xdr:colOff>
          <xdr:row>6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Projection avec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6</xdr:row>
          <xdr:rowOff>279400</xdr:rowOff>
        </xdr:from>
        <xdr:to>
          <xdr:col>13</xdr:col>
          <xdr:colOff>1803400</xdr:colOff>
          <xdr:row>8</xdr:row>
          <xdr:rowOff>177800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</xdr:colOff>
          <xdr:row>5</xdr:row>
          <xdr:rowOff>203200</xdr:rowOff>
        </xdr:from>
        <xdr:to>
          <xdr:col>14</xdr:col>
          <xdr:colOff>0</xdr:colOff>
          <xdr:row>6</xdr:row>
          <xdr:rowOff>114300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Projection sans inflation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25400</xdr:colOff>
          <xdr:row>6</xdr:row>
          <xdr:rowOff>342900</xdr:rowOff>
        </xdr:from>
        <xdr:to>
          <xdr:col>13</xdr:col>
          <xdr:colOff>1816100</xdr:colOff>
          <xdr:row>8</xdr:row>
          <xdr:rowOff>241300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V.Complémentaires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254000</xdr:colOff>
          <xdr:row>0</xdr:row>
          <xdr:rowOff>152400</xdr:rowOff>
        </xdr:from>
        <xdr:to>
          <xdr:col>3</xdr:col>
          <xdr:colOff>368300</xdr:colOff>
          <xdr:row>2</xdr:row>
          <xdr:rowOff>127000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omic Sans MS"/>
                  <a:ea typeface="Comic Sans MS"/>
                  <a:cs typeface="Comic Sans MS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0</xdr:colOff>
      <xdr:row>50</xdr:row>
      <xdr:rowOff>241300</xdr:rowOff>
    </xdr:from>
    <xdr:to>
      <xdr:col>7</xdr:col>
      <xdr:colOff>304800</xdr:colOff>
      <xdr:row>52</xdr:row>
      <xdr:rowOff>38100</xdr:rowOff>
    </xdr:to>
    <xdr:pic macro="[0]!fleche">
      <xdr:nvPicPr>
        <xdr:cNvPr id="2" name="Image 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3477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25</xdr:row>
      <xdr:rowOff>12700</xdr:rowOff>
    </xdr:from>
    <xdr:to>
      <xdr:col>7</xdr:col>
      <xdr:colOff>292100</xdr:colOff>
      <xdr:row>26</xdr:row>
      <xdr:rowOff>25400</xdr:rowOff>
    </xdr:to>
    <xdr:pic macro="[0]!Valider">
      <xdr:nvPicPr>
        <xdr:cNvPr id="3" name="Image 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9500" y="6578600"/>
          <a:ext cx="266700" cy="2667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51</xdr:row>
      <xdr:rowOff>0</xdr:rowOff>
    </xdr:from>
    <xdr:to>
      <xdr:col>7</xdr:col>
      <xdr:colOff>596900</xdr:colOff>
      <xdr:row>52</xdr:row>
      <xdr:rowOff>25400</xdr:rowOff>
    </xdr:to>
    <xdr:pic macro="[0]!Valider">
      <xdr:nvPicPr>
        <xdr:cNvPr id="23" name="Image 2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3604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77</xdr:row>
      <xdr:rowOff>0</xdr:rowOff>
    </xdr:from>
    <xdr:to>
      <xdr:col>7</xdr:col>
      <xdr:colOff>304800</xdr:colOff>
      <xdr:row>78</xdr:row>
      <xdr:rowOff>50800</xdr:rowOff>
    </xdr:to>
    <xdr:pic macro="[0]!fleche">
      <xdr:nvPicPr>
        <xdr:cNvPr id="24" name="Image 2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015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77</xdr:row>
      <xdr:rowOff>12700</xdr:rowOff>
    </xdr:from>
    <xdr:to>
      <xdr:col>7</xdr:col>
      <xdr:colOff>596900</xdr:colOff>
      <xdr:row>78</xdr:row>
      <xdr:rowOff>38100</xdr:rowOff>
    </xdr:to>
    <xdr:pic macro="[0]!Valider">
      <xdr:nvPicPr>
        <xdr:cNvPr id="25" name="Image 2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016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103</xdr:row>
      <xdr:rowOff>0</xdr:rowOff>
    </xdr:from>
    <xdr:to>
      <xdr:col>7</xdr:col>
      <xdr:colOff>304800</xdr:colOff>
      <xdr:row>104</xdr:row>
      <xdr:rowOff>50800</xdr:rowOff>
    </xdr:to>
    <xdr:pic macro="[0]!fleche">
      <xdr:nvPicPr>
        <xdr:cNvPr id="26" name="Image 2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2694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103</xdr:row>
      <xdr:rowOff>12700</xdr:rowOff>
    </xdr:from>
    <xdr:to>
      <xdr:col>7</xdr:col>
      <xdr:colOff>596900</xdr:colOff>
      <xdr:row>104</xdr:row>
      <xdr:rowOff>38100</xdr:rowOff>
    </xdr:to>
    <xdr:pic macro="[0]!Valider">
      <xdr:nvPicPr>
        <xdr:cNvPr id="27" name="Image 2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2696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129</xdr:row>
      <xdr:rowOff>0</xdr:rowOff>
    </xdr:from>
    <xdr:to>
      <xdr:col>7</xdr:col>
      <xdr:colOff>304800</xdr:colOff>
      <xdr:row>130</xdr:row>
      <xdr:rowOff>50800</xdr:rowOff>
    </xdr:to>
    <xdr:pic macro="[0]!fleche">
      <xdr:nvPicPr>
        <xdr:cNvPr id="28" name="Image 2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3374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129</xdr:row>
      <xdr:rowOff>12700</xdr:rowOff>
    </xdr:from>
    <xdr:to>
      <xdr:col>7</xdr:col>
      <xdr:colOff>596900</xdr:colOff>
      <xdr:row>130</xdr:row>
      <xdr:rowOff>38100</xdr:rowOff>
    </xdr:to>
    <xdr:pic macro="[0]!Valider">
      <xdr:nvPicPr>
        <xdr:cNvPr id="29" name="Image 2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3375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155</xdr:row>
      <xdr:rowOff>0</xdr:rowOff>
    </xdr:from>
    <xdr:to>
      <xdr:col>7</xdr:col>
      <xdr:colOff>304800</xdr:colOff>
      <xdr:row>156</xdr:row>
      <xdr:rowOff>50800</xdr:rowOff>
    </xdr:to>
    <xdr:pic macro="[0]!fleche">
      <xdr:nvPicPr>
        <xdr:cNvPr id="30" name="Image 2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053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155</xdr:row>
      <xdr:rowOff>12700</xdr:rowOff>
    </xdr:from>
    <xdr:to>
      <xdr:col>7</xdr:col>
      <xdr:colOff>596900</xdr:colOff>
      <xdr:row>156</xdr:row>
      <xdr:rowOff>38100</xdr:rowOff>
    </xdr:to>
    <xdr:pic macro="[0]!Valider">
      <xdr:nvPicPr>
        <xdr:cNvPr id="31" name="Image 3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055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181</xdr:row>
      <xdr:rowOff>0</xdr:rowOff>
    </xdr:from>
    <xdr:to>
      <xdr:col>7</xdr:col>
      <xdr:colOff>304800</xdr:colOff>
      <xdr:row>182</xdr:row>
      <xdr:rowOff>50800</xdr:rowOff>
    </xdr:to>
    <xdr:pic macro="[0]!fleche">
      <xdr:nvPicPr>
        <xdr:cNvPr id="32" name="Image 3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4733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181</xdr:row>
      <xdr:rowOff>12700</xdr:rowOff>
    </xdr:from>
    <xdr:to>
      <xdr:col>7</xdr:col>
      <xdr:colOff>596900</xdr:colOff>
      <xdr:row>182</xdr:row>
      <xdr:rowOff>38100</xdr:rowOff>
    </xdr:to>
    <xdr:pic macro="[0]!Valider">
      <xdr:nvPicPr>
        <xdr:cNvPr id="33" name="Image 3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4734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207</xdr:row>
      <xdr:rowOff>0</xdr:rowOff>
    </xdr:from>
    <xdr:to>
      <xdr:col>7</xdr:col>
      <xdr:colOff>304800</xdr:colOff>
      <xdr:row>208</xdr:row>
      <xdr:rowOff>50800</xdr:rowOff>
    </xdr:to>
    <xdr:pic macro="[0]!fleche">
      <xdr:nvPicPr>
        <xdr:cNvPr id="34" name="Image 3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5412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207</xdr:row>
      <xdr:rowOff>12700</xdr:rowOff>
    </xdr:from>
    <xdr:to>
      <xdr:col>7</xdr:col>
      <xdr:colOff>596900</xdr:colOff>
      <xdr:row>208</xdr:row>
      <xdr:rowOff>38100</xdr:rowOff>
    </xdr:to>
    <xdr:pic macro="[0]!Valider">
      <xdr:nvPicPr>
        <xdr:cNvPr id="35" name="Image 3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5414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234</xdr:row>
      <xdr:rowOff>0</xdr:rowOff>
    </xdr:from>
    <xdr:to>
      <xdr:col>7</xdr:col>
      <xdr:colOff>304800</xdr:colOff>
      <xdr:row>235</xdr:row>
      <xdr:rowOff>50800</xdr:rowOff>
    </xdr:to>
    <xdr:pic macro="[0]!fleche">
      <xdr:nvPicPr>
        <xdr:cNvPr id="36" name="Image 3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1175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234</xdr:row>
      <xdr:rowOff>12700</xdr:rowOff>
    </xdr:from>
    <xdr:to>
      <xdr:col>7</xdr:col>
      <xdr:colOff>596900</xdr:colOff>
      <xdr:row>235</xdr:row>
      <xdr:rowOff>38100</xdr:rowOff>
    </xdr:to>
    <xdr:pic macro="[0]!Valider">
      <xdr:nvPicPr>
        <xdr:cNvPr id="37" name="Image 3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1188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260</xdr:row>
      <xdr:rowOff>0</xdr:rowOff>
    </xdr:from>
    <xdr:to>
      <xdr:col>7</xdr:col>
      <xdr:colOff>304800</xdr:colOff>
      <xdr:row>261</xdr:row>
      <xdr:rowOff>50800</xdr:rowOff>
    </xdr:to>
    <xdr:pic macro="[0]!fleche">
      <xdr:nvPicPr>
        <xdr:cNvPr id="38" name="Image 3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67970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260</xdr:row>
      <xdr:rowOff>12700</xdr:rowOff>
    </xdr:from>
    <xdr:to>
      <xdr:col>7</xdr:col>
      <xdr:colOff>596900</xdr:colOff>
      <xdr:row>261</xdr:row>
      <xdr:rowOff>38100</xdr:rowOff>
    </xdr:to>
    <xdr:pic macro="[0]!Valider">
      <xdr:nvPicPr>
        <xdr:cNvPr id="39" name="Image 3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67983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286</xdr:row>
      <xdr:rowOff>0</xdr:rowOff>
    </xdr:from>
    <xdr:to>
      <xdr:col>7</xdr:col>
      <xdr:colOff>304800</xdr:colOff>
      <xdr:row>287</xdr:row>
      <xdr:rowOff>50800</xdr:rowOff>
    </xdr:to>
    <xdr:pic macro="[0]!fleche">
      <xdr:nvPicPr>
        <xdr:cNvPr id="42" name="Image 4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74764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286</xdr:row>
      <xdr:rowOff>12700</xdr:rowOff>
    </xdr:from>
    <xdr:to>
      <xdr:col>7</xdr:col>
      <xdr:colOff>596900</xdr:colOff>
      <xdr:row>287</xdr:row>
      <xdr:rowOff>38100</xdr:rowOff>
    </xdr:to>
    <xdr:pic macro="[0]!Valider">
      <xdr:nvPicPr>
        <xdr:cNvPr id="43" name="Image 4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74777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312</xdr:row>
      <xdr:rowOff>0</xdr:rowOff>
    </xdr:from>
    <xdr:to>
      <xdr:col>7</xdr:col>
      <xdr:colOff>304800</xdr:colOff>
      <xdr:row>313</xdr:row>
      <xdr:rowOff>50800</xdr:rowOff>
    </xdr:to>
    <xdr:pic macro="[0]!fleche">
      <xdr:nvPicPr>
        <xdr:cNvPr id="44" name="Image 4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1559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312</xdr:row>
      <xdr:rowOff>12700</xdr:rowOff>
    </xdr:from>
    <xdr:to>
      <xdr:col>7</xdr:col>
      <xdr:colOff>596900</xdr:colOff>
      <xdr:row>313</xdr:row>
      <xdr:rowOff>38100</xdr:rowOff>
    </xdr:to>
    <xdr:pic macro="[0]!Valider">
      <xdr:nvPicPr>
        <xdr:cNvPr id="45" name="Image 4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1572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338</xdr:row>
      <xdr:rowOff>0</xdr:rowOff>
    </xdr:from>
    <xdr:to>
      <xdr:col>7</xdr:col>
      <xdr:colOff>304800</xdr:colOff>
      <xdr:row>339</xdr:row>
      <xdr:rowOff>50800</xdr:rowOff>
    </xdr:to>
    <xdr:pic macro="[0]!fleche">
      <xdr:nvPicPr>
        <xdr:cNvPr id="46" name="Image 4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88353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338</xdr:row>
      <xdr:rowOff>12700</xdr:rowOff>
    </xdr:from>
    <xdr:to>
      <xdr:col>7</xdr:col>
      <xdr:colOff>596900</xdr:colOff>
      <xdr:row>339</xdr:row>
      <xdr:rowOff>38100</xdr:rowOff>
    </xdr:to>
    <xdr:pic macro="[0]!Valider">
      <xdr:nvPicPr>
        <xdr:cNvPr id="47" name="Image 4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88366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364</xdr:row>
      <xdr:rowOff>0</xdr:rowOff>
    </xdr:from>
    <xdr:to>
      <xdr:col>7</xdr:col>
      <xdr:colOff>304800</xdr:colOff>
      <xdr:row>365</xdr:row>
      <xdr:rowOff>50800</xdr:rowOff>
    </xdr:to>
    <xdr:pic macro="[0]!fleche">
      <xdr:nvPicPr>
        <xdr:cNvPr id="48" name="Image 4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95148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364</xdr:row>
      <xdr:rowOff>12700</xdr:rowOff>
    </xdr:from>
    <xdr:to>
      <xdr:col>7</xdr:col>
      <xdr:colOff>596900</xdr:colOff>
      <xdr:row>365</xdr:row>
      <xdr:rowOff>38100</xdr:rowOff>
    </xdr:to>
    <xdr:pic macro="[0]!Valider">
      <xdr:nvPicPr>
        <xdr:cNvPr id="49" name="Image 4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95161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390</xdr:row>
      <xdr:rowOff>0</xdr:rowOff>
    </xdr:from>
    <xdr:to>
      <xdr:col>7</xdr:col>
      <xdr:colOff>304800</xdr:colOff>
      <xdr:row>391</xdr:row>
      <xdr:rowOff>50800</xdr:rowOff>
    </xdr:to>
    <xdr:pic macro="[0]!fleche">
      <xdr:nvPicPr>
        <xdr:cNvPr id="50" name="Image 4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1942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390</xdr:row>
      <xdr:rowOff>12700</xdr:rowOff>
    </xdr:from>
    <xdr:to>
      <xdr:col>7</xdr:col>
      <xdr:colOff>596900</xdr:colOff>
      <xdr:row>391</xdr:row>
      <xdr:rowOff>38100</xdr:rowOff>
    </xdr:to>
    <xdr:pic macro="[0]!Valider">
      <xdr:nvPicPr>
        <xdr:cNvPr id="51" name="Image 5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1955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416</xdr:row>
      <xdr:rowOff>0</xdr:rowOff>
    </xdr:from>
    <xdr:to>
      <xdr:col>7</xdr:col>
      <xdr:colOff>304800</xdr:colOff>
      <xdr:row>417</xdr:row>
      <xdr:rowOff>50800</xdr:rowOff>
    </xdr:to>
    <xdr:pic macro="[0]!fleche">
      <xdr:nvPicPr>
        <xdr:cNvPr id="52" name="Image 51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08737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416</xdr:row>
      <xdr:rowOff>12700</xdr:rowOff>
    </xdr:from>
    <xdr:to>
      <xdr:col>7</xdr:col>
      <xdr:colOff>596900</xdr:colOff>
      <xdr:row>417</xdr:row>
      <xdr:rowOff>38100</xdr:rowOff>
    </xdr:to>
    <xdr:pic macro="[0]!Valider">
      <xdr:nvPicPr>
        <xdr:cNvPr id="53" name="Image 52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08750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442</xdr:row>
      <xdr:rowOff>0</xdr:rowOff>
    </xdr:from>
    <xdr:to>
      <xdr:col>7</xdr:col>
      <xdr:colOff>304800</xdr:colOff>
      <xdr:row>443</xdr:row>
      <xdr:rowOff>50800</xdr:rowOff>
    </xdr:to>
    <xdr:pic macro="[0]!fleche">
      <xdr:nvPicPr>
        <xdr:cNvPr id="54" name="Image 53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15531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442</xdr:row>
      <xdr:rowOff>12700</xdr:rowOff>
    </xdr:from>
    <xdr:to>
      <xdr:col>7</xdr:col>
      <xdr:colOff>596900</xdr:colOff>
      <xdr:row>443</xdr:row>
      <xdr:rowOff>38100</xdr:rowOff>
    </xdr:to>
    <xdr:pic macro="[0]!Valider">
      <xdr:nvPicPr>
        <xdr:cNvPr id="55" name="Image 54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15544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468</xdr:row>
      <xdr:rowOff>0</xdr:rowOff>
    </xdr:from>
    <xdr:to>
      <xdr:col>7</xdr:col>
      <xdr:colOff>304800</xdr:colOff>
      <xdr:row>469</xdr:row>
      <xdr:rowOff>50800</xdr:rowOff>
    </xdr:to>
    <xdr:pic macro="[0]!fleche">
      <xdr:nvPicPr>
        <xdr:cNvPr id="56" name="Image 55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2326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468</xdr:row>
      <xdr:rowOff>12700</xdr:rowOff>
    </xdr:from>
    <xdr:to>
      <xdr:col>7</xdr:col>
      <xdr:colOff>596900</xdr:colOff>
      <xdr:row>469</xdr:row>
      <xdr:rowOff>38100</xdr:rowOff>
    </xdr:to>
    <xdr:pic macro="[0]!Valider">
      <xdr:nvPicPr>
        <xdr:cNvPr id="57" name="Image 56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23391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494</xdr:row>
      <xdr:rowOff>0</xdr:rowOff>
    </xdr:from>
    <xdr:to>
      <xdr:col>7</xdr:col>
      <xdr:colOff>304800</xdr:colOff>
      <xdr:row>495</xdr:row>
      <xdr:rowOff>50800</xdr:rowOff>
    </xdr:to>
    <xdr:pic macro="[0]!fleche">
      <xdr:nvPicPr>
        <xdr:cNvPr id="58" name="Image 57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291209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494</xdr:row>
      <xdr:rowOff>12700</xdr:rowOff>
    </xdr:from>
    <xdr:to>
      <xdr:col>7</xdr:col>
      <xdr:colOff>596900</xdr:colOff>
      <xdr:row>495</xdr:row>
      <xdr:rowOff>38100</xdr:rowOff>
    </xdr:to>
    <xdr:pic macro="[0]!Valider">
      <xdr:nvPicPr>
        <xdr:cNvPr id="59" name="Image 58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29133600"/>
          <a:ext cx="279400" cy="279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520</xdr:row>
      <xdr:rowOff>0</xdr:rowOff>
    </xdr:from>
    <xdr:to>
      <xdr:col>7</xdr:col>
      <xdr:colOff>304800</xdr:colOff>
      <xdr:row>521</xdr:row>
      <xdr:rowOff>50800</xdr:rowOff>
    </xdr:to>
    <xdr:pic macro="[0]!fleche">
      <xdr:nvPicPr>
        <xdr:cNvPr id="60" name="Image 59" descr="setas_2545_Fleche_Haut_2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4100" y="135915400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7</xdr:col>
      <xdr:colOff>317500</xdr:colOff>
      <xdr:row>520</xdr:row>
      <xdr:rowOff>12700</xdr:rowOff>
    </xdr:from>
    <xdr:to>
      <xdr:col>7</xdr:col>
      <xdr:colOff>596900</xdr:colOff>
      <xdr:row>521</xdr:row>
      <xdr:rowOff>38100</xdr:rowOff>
    </xdr:to>
    <xdr:pic macro="[0]!Valider">
      <xdr:nvPicPr>
        <xdr:cNvPr id="61" name="Image 60" descr="17679-RobinO-Valider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1600" y="135928100"/>
          <a:ext cx="279400" cy="279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279399</xdr:colOff>
      <xdr:row>1</xdr:row>
      <xdr:rowOff>188912</xdr:rowOff>
    </xdr:from>
    <xdr:to>
      <xdr:col>11</xdr:col>
      <xdr:colOff>593724</xdr:colOff>
      <xdr:row>21</xdr:row>
      <xdr:rowOff>139700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Sainsard 🇬🇧" refreshedDate="41981.769865277776" createdVersion="4" refreshedVersion="4" minRefreshableVersion="3" recordCount="20">
  <cacheSource type="worksheet">
    <worksheetSource name="Tableau1"/>
  </cacheSource>
  <cacheFields count="10">
    <cacheField name="Années" numFmtId="0">
      <sharedItems containsMixedTypes="1" containsNumber="1" containsInteger="1" minValue="2014" maxValue="2033" count="21">
        <n v="2014"/>
        <n v="2015"/>
        <n v="2016"/>
        <n v="2017"/>
        <s v=""/>
        <n v="2029" u="1"/>
        <n v="2022" u="1"/>
        <n v="2027" u="1"/>
        <n v="2020" u="1"/>
        <n v="2032" u="1"/>
        <n v="2025" u="1"/>
        <n v="2018" u="1"/>
        <n v="2030" u="1"/>
        <n v="2023" u="1"/>
        <n v="2028" u="1"/>
        <n v="2021" u="1"/>
        <n v="2033" u="1"/>
        <n v="2026" u="1"/>
        <n v="2019" u="1"/>
        <n v="2031" u="1"/>
        <n v="2024" u="1"/>
      </sharedItems>
    </cacheField>
    <cacheField name="Années2" numFmtId="0">
      <sharedItems containsMixedTypes="1" containsNumber="1" containsInteger="1" minValue="1" maxValue="4"/>
    </cacheField>
    <cacheField name="Capital" numFmtId="2">
      <sharedItems containsMixedTypes="1" containsNumber="1" minValue="2000" maxValue="4942.1166362506501"/>
    </cacheField>
    <cacheField name="Versements annuels" numFmtId="0">
      <sharedItems containsMixedTypes="1" containsNumber="1" containsInteger="1" minValue="950" maxValue="950"/>
    </cacheField>
    <cacheField name="Frais de versement" numFmtId="2">
      <sharedItems containsMixedTypes="1" containsNumber="1" minValue="11.875" maxValue="11.875"/>
    </cacheField>
    <cacheField name="Versements complémentaires libres autorisés" numFmtId="0">
      <sharedItems containsMixedTypes="1" containsNumber="1" containsInteger="1" minValue="0" maxValue="0"/>
    </cacheField>
    <cacheField name="Taux de rémunération" numFmtId="10">
      <sharedItems containsMixedTypes="1" containsNumber="1" minValue="1.0500000000000001E-2" maxValue="1.47E-2"/>
    </cacheField>
    <cacheField name="Interet" numFmtId="2">
      <sharedItems containsMixedTypes="1" containsNumber="1" minValue="43.364999999999782" maxValue="61.867224680631807"/>
    </cacheField>
    <cacheField name="Frais de gestion" numFmtId="2">
      <sharedItems containsMixedTypes="1" containsNumber="1" minValue="3.7268624999999997" maxValue="7.4276360761641023"/>
    </cacheField>
    <cacheField name="Capitalisation" numFmtId="2">
      <sharedItems containsMixedTypes="1" containsNumber="1" minValue="2977.7631374999996" maxValue="5934.68122485511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n v="1"/>
    <n v="2000"/>
    <n v="950"/>
    <n v="11.875"/>
    <n v="0"/>
    <n v="1.47E-2"/>
    <n v="43.364999999999782"/>
    <n v="3.7268624999999997"/>
    <n v="2977.7631374999996"/>
  </r>
  <r>
    <x v="1"/>
    <n v="2"/>
    <n v="2977.7631374999996"/>
    <n v="950"/>
    <n v="11.875"/>
    <n v="0"/>
    <n v="1.2145E-2"/>
    <n v="47.702683304937636"/>
    <n v="4.9544885260061715"/>
    <n v="3958.6363322789311"/>
  </r>
  <r>
    <x v="2"/>
    <n v="3"/>
    <n v="3958.6363322789311"/>
    <n v="950"/>
    <n v="11.875"/>
    <n v="0"/>
    <n v="1.0500000000000001E-2"/>
    <n v="51.540681488928385"/>
    <n v="6.1853775172098242"/>
    <n v="4942.1166362506501"/>
  </r>
  <r>
    <x v="3"/>
    <n v="4"/>
    <n v="4942.1166362506501"/>
    <n v="950"/>
    <n v="11.875"/>
    <n v="0"/>
    <n v="1.0500000000000001E-2"/>
    <n v="61.867224680631807"/>
    <n v="7.4276360761641023"/>
    <n v="5934.6812248551178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  <r>
    <x v="4"/>
    <s v=""/>
    <s v=""/>
    <s v=""/>
    <s v=""/>
    <s v=""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 rowHeaderCaption="Année">
  <location ref="A1:B8" firstHeaderRow="2" firstDataRow="2" firstDataCol="1"/>
  <pivotFields count="10">
    <pivotField axis="axisRow" showAll="0">
      <items count="22">
        <item x="0"/>
        <item x="1"/>
        <item x="2"/>
        <item x="3"/>
        <item m="1" x="11"/>
        <item m="1" x="18"/>
        <item m="1" x="8"/>
        <item m="1" x="15"/>
        <item m="1" x="6"/>
        <item m="1" x="13"/>
        <item m="1" x="20"/>
        <item m="1" x="10"/>
        <item m="1" x="17"/>
        <item m="1" x="7"/>
        <item m="1" x="14"/>
        <item m="1" x="5"/>
        <item m="1" x="12"/>
        <item m="1" x="19"/>
        <item m="1" x="9"/>
        <item m="1" x="16"/>
        <item x="4"/>
        <item t="default"/>
      </items>
    </pivotField>
    <pivotField showAll="0"/>
    <pivotField numFmtId="2" showAll="0"/>
    <pivotField showAll="0"/>
    <pivotField numFmtId="2" showAll="0"/>
    <pivotField showAll="0"/>
    <pivotField dataField="1" numFmtId="10" showAll="0"/>
    <pivotField numFmtId="2" showAll="0"/>
    <pivotField numFmtId="2" showAll="0"/>
    <pivotField numFmtId="2" showAll="0"/>
  </pivotFields>
  <rowFields count="1">
    <field x="0"/>
  </rowFields>
  <rowItems count="6">
    <i>
      <x/>
    </i>
    <i>
      <x v="1"/>
    </i>
    <i>
      <x v="2"/>
    </i>
    <i>
      <x v="3"/>
    </i>
    <i>
      <x v="20"/>
    </i>
    <i t="grand">
      <x/>
    </i>
  </rowItems>
  <colItems count="1">
    <i/>
  </colItems>
  <dataFields count="1">
    <dataField name="Somme Taux de rémunération" fld="6" baseField="0" baseItem="0" numFmtId="10"/>
  </dataFields>
  <formats count="5">
    <format dxfId="4">
      <pivotArea type="all" dataOnly="0" outline="0" fieldPosition="0"/>
    </format>
    <format dxfId="3">
      <pivotArea type="all" dataOnly="0" outline="0" fieldPosition="0"/>
    </format>
    <format dxfId="2">
      <pivotArea type="all" dataOnly="0" outline="0" fieldPosition="0"/>
    </format>
    <format dxfId="1">
      <pivotArea field="0" type="button" dataOnly="0" labelOnly="1" outline="0" axis="axisRow" fieldPosition="0"/>
    </format>
    <format dxfId="0">
      <pivotArea dataOnly="0" labelOnly="1" outline="0" axis="axisValues" fieldPosition="0"/>
    </format>
  </format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E19:G20" totalsRowShown="0" headerRowDxfId="365" dataDxfId="363" headerRowBorderDxfId="364" tableBorderDxfId="362" totalsRowBorderDxfId="361">
  <tableColumns count="3">
    <tableColumn id="1" name="Année" dataDxfId="360"/>
    <tableColumn id="2" name="2012" dataDxfId="359" dataCellStyle="Pourcentage"/>
    <tableColumn id="3" name="2013" dataDxfId="358" dataCellStyle="Pourcentag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7:F15" totalsRowShown="0" headerRowDxfId="357" dataDxfId="356" tableBorderDxfId="355">
  <tableColumns count="2">
    <tableColumn id="1" name="Données" dataDxfId="354"/>
    <tableColumn id="2" name="Valeurs" dataDxfId="353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C6:L27" totalsRowCount="1" headerRowDxfId="352" dataDxfId="350" totalsRowDxfId="349" headerRowBorderDxfId="351">
  <tableColumns count="10">
    <tableColumn id="6" name="Années" totalsRowLabel="Total" dataDxfId="348" totalsRowDxfId="347"/>
    <tableColumn id="1" name="Années2" dataDxfId="346" totalsRowDxfId="345"/>
    <tableColumn id="2" name="Capital" dataDxfId="344" totalsRowDxfId="343"/>
    <tableColumn id="3" name="Versements annuels" totalsRowFunction="sum" dataDxfId="342" totalsRowDxfId="341">
      <calculatedColumnFormula>IF(D7="","",IF(D7&lt;=Variables!$F$10,Variables!$F$9,""))</calculatedColumnFormula>
    </tableColumn>
    <tableColumn id="4" name="Frais de versement" totalsRowFunction="sum" dataDxfId="340" totalsRowDxfId="339">
      <calculatedColumnFormula>IF(D7="","",(Tableau1[[#This Row],[Versements annuels]]*Variables!$F$12)+Tableau4[[#Totals],[Frais de versement]])</calculatedColumnFormula>
    </tableColumn>
    <tableColumn id="5" name="Versements complémentaires libres autorisés" totalsRowFunction="sum" dataDxfId="338" totalsRowDxfId="337" dataCellStyle="Pourcentage">
      <calculatedColumnFormula>IF(Tableau1[[#This Row],[Années2]]="","",Tableau4[[#Totals],[Versement]])</calculatedColumnFormula>
    </tableColumn>
    <tableColumn id="7" name="Taux de rémunération" dataDxfId="336" totalsRowDxfId="335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34" totalsRowDxfId="333" dataCellStyle="Pourcentage">
      <calculatedColumnFormula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calculatedColumnFormula>
    </tableColumn>
    <tableColumn id="8" name="Frais de gestion" totalsRowFunction="sum" dataDxfId="332" totalsRowDxfId="331">
      <calculatedColumnFormula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calculatedColumnFormula>
    </tableColumn>
    <tableColumn id="9" name="Capitalisation" dataDxfId="330" totalsRowDxfId="329">
      <calculatedColumnFormula>IF(D7="","",Tableau1[[#This Row],[Capital]]+Tableau1[[#This Row],[Versements annuels]]+Tableau1[[#This Row],[Versements complémentaires libres autorisés]]+Tableau1[[#This Row],[Interet]]-Tableau1[[#This Row],[Frais de versement]]-Tableau1[[#This Row],[Frais de gestion]])</calculatedColumn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24" name="Tableau125" displayName="Tableau125" ref="C6:L27" totalsRowCount="1" headerRowDxfId="328" dataDxfId="326" totalsRowDxfId="325" headerRowBorderDxfId="327">
  <tableColumns count="10">
    <tableColumn id="6" name="Années" totalsRowLabel="Total" dataDxfId="324" totalsRowDxfId="323"/>
    <tableColumn id="1" name="Années2" dataDxfId="322" totalsRowDxfId="321"/>
    <tableColumn id="2" name="Capital" dataDxfId="320" totalsRowDxfId="319"/>
    <tableColumn id="3" name="Versements annuels" totalsRowFunction="sum" dataDxfId="318" totalsRowDxfId="317">
      <calculatedColumnFormula>IF(D7="","",IF(D7&lt;=Variables!$F$10,Variables!$F$9,""))</calculatedColumnFormula>
    </tableColumn>
    <tableColumn id="4" name="Frais de versement" totalsRowFunction="sum" dataDxfId="316" totalsRowDxfId="315">
      <calculatedColumnFormula>IF(D7="","",(Tableau125[[#This Row],[Versements annuels]]*Variables!$F$12)+Tableau4[[#Totals],[Frais de versement]])</calculatedColumnFormula>
    </tableColumn>
    <tableColumn id="5" name="Versements complémentaires libres autorisés" totalsRowFunction="sum" dataDxfId="314" totalsRowDxfId="313" dataCellStyle="Pourcentage">
      <calculatedColumnFormula>IF(Tableau125[[#This Row],[Années2]]="","",Tableau4[[#Totals],[Versement]])</calculatedColumnFormula>
    </tableColumn>
    <tableColumn id="7" name="Taux de rémunération" dataDxfId="312" totalsRowDxfId="311" dataCellStyle="Pourcentage">
      <calculatedColumnFormula>IF(AND(Variables!$F$20="",Variables!$G$20=""),"",IF(D7="","",IF(Variables!$F$13*AVERAGE(I6,Variables!$G$20)&gt;1.05%,Variables!$F$13*AVERAGE(I6,Variables!$G$20),1.05%)))</calculatedColumnFormula>
    </tableColumn>
    <tableColumn id="10" name="Interet" totalsRowFunction="sum" dataDxfId="310" totalsRowDxfId="309" dataCellStyle="Pourcentage">
      <calculatedColumnFormula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calculatedColumnFormula>
    </tableColumn>
    <tableColumn id="8" name="Frais de gestion" totalsRowFunction="sum" dataDxfId="308" totalsRowDxfId="307">
      <calculatedColumnFormula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calculatedColumnFormula>
    </tableColumn>
    <tableColumn id="9" name="Capitalisation" dataDxfId="306" totalsRowDxfId="305">
      <calculatedColumnFormula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calculatedColumnFormula>
    </tableColumn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8:G26" totalsRowCount="1" headerRowDxfId="304" dataDxfId="303" totalsRowDxfId="302">
  <tableColumns count="6">
    <tableColumn id="1" name="Date" dataDxfId="301" totalsRowDxfId="300"/>
    <tableColumn id="3" name="Quinzaine écoulée" dataDxfId="299" totalsRowDxfId="298">
      <calculatedColumnFormula>IF(Tableau4[[#This Row],[Date]]="","",INT(DAYS360(DATE(YEAR(B9),1,1),B9,TRUE)/15)+1)</calculatedColumnFormula>
    </tableColumn>
    <tableColumn id="4" name="Quinzaine" dataDxfId="297" totalsRowDxfId="296">
      <calculatedColumnFormula>IF(Tableau4[[#This Row],[Date]]="","",24-C9)</calculatedColumnFormula>
    </tableColumn>
    <tableColumn id="5" name="Versement" totalsRowFunction="custom" dataDxfId="295" totalsRowDxfId="294">
      <totalsRowFormula>SUM(Tableau4[Versement])</totalsRowFormula>
    </tableColumn>
    <tableColumn id="2" name="Frais de versement" totalsRowFunction="sum" dataDxfId="293" totalsRowDxfId="292">
      <calculatedColumnFormula>IF(Tableau4[[#This Row],[Date]]="","",Tableau4[[#This Row],[Versement]]*Variables!$F$12)</calculatedColumnFormula>
    </tableColumn>
    <tableColumn id="6" name="Interet" totalsRowFunction="custom" dataDxfId="291" totalsRowDxfId="290">
      <calculatedColumnFormula>IF(Tableau4[[#This Row],[Date]]="","",(E9*(1+($C$7)/24)^V.Complémentaires!D9)-E9)</calculatedColumnFormula>
      <totalsRowFormula>SUM(Tableau4[Interet])</totalsRowFormula>
    </tableColumn>
  </tableColumns>
  <tableStyleInfo name="TableStyleMedium13" showFirstColumn="0" showLastColumn="0" showRowStripes="1" showColumnStripes="0"/>
</table>
</file>

<file path=xl/tables/table6.xml><?xml version="1.0" encoding="utf-8"?>
<table xmlns="http://schemas.openxmlformats.org/spreadsheetml/2006/main" id="3" name="Tableau44" displayName="Tableau44" ref="B34:G52" totalsRowCount="1" headerRowDxfId="289" dataDxfId="288" totalsRowDxfId="287">
  <tableColumns count="6">
    <tableColumn id="1" name="Date" dataDxfId="286" totalsRowDxfId="285"/>
    <tableColumn id="3" name="Quinzaine écoulée" dataDxfId="284" totalsRowDxfId="283">
      <calculatedColumnFormula>IF(Tableau44[[#This Row],[Date]]="","",INT(DAYS360(DATE(YEAR(B35),1,1),B35,TRUE)/15)+1)</calculatedColumnFormula>
    </tableColumn>
    <tableColumn id="4" name="Quinzaine" dataDxfId="282" totalsRowDxfId="281">
      <calculatedColumnFormula>IF(Tableau44[[#This Row],[Date]]="","",24-C35)</calculatedColumnFormula>
    </tableColumn>
    <tableColumn id="5" name="Versement" totalsRowFunction="custom" dataDxfId="280" totalsRowDxfId="279">
      <totalsRowFormula>SUM(Tableau44[Versement])</totalsRowFormula>
    </tableColumn>
    <tableColumn id="2" name="Frais de versement" totalsRowFunction="sum" dataDxfId="278" totalsRowDxfId="277">
      <calculatedColumnFormula>IF(Tableau44[[#This Row],[Date]]="","",Tableau44[[#This Row],[Versement]]*Variables!$F$12)</calculatedColumnFormula>
    </tableColumn>
    <tableColumn id="6" name="Interet" totalsRowFunction="custom" dataDxfId="276" totalsRowDxfId="275">
      <calculatedColumnFormula>IF(Tableau44[[#This Row],[Date]]="","",(E35*(1+($C$33)/24)^V.Complémentaires!D35)-E35)</calculatedColumnFormula>
      <totalsRowFormula>SUM(Tableau44[Interet])</totalsRowFormula>
    </tableColumn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id="6" name="Tableau447" displayName="Tableau447" ref="B60:G78" totalsRowCount="1" headerRowDxfId="274" dataDxfId="273" totalsRowDxfId="272">
  <tableColumns count="6">
    <tableColumn id="1" name="Date" dataDxfId="271" totalsRowDxfId="270"/>
    <tableColumn id="3" name="Quinzaine écoulée" dataDxfId="269" totalsRowDxfId="268">
      <calculatedColumnFormula>IF(Tableau447[[#This Row],[Date]]="","",INT(DAYS360(DATE(YEAR(B61),1,1),B61,TRUE)/15)+1)</calculatedColumnFormula>
    </tableColumn>
    <tableColumn id="4" name="Quinzaine" dataDxfId="267" totalsRowDxfId="266">
      <calculatedColumnFormula>IF(Tableau447[[#This Row],[Date]]="","",24-C61)</calculatedColumnFormula>
    </tableColumn>
    <tableColumn id="5" name="Versement" totalsRowFunction="custom" dataDxfId="265" totalsRowDxfId="264">
      <totalsRowFormula>SUM(Tableau447[Versement])</totalsRowFormula>
    </tableColumn>
    <tableColumn id="2" name="Frais de versement" totalsRowFunction="sum" dataDxfId="263" totalsRowDxfId="262">
      <calculatedColumnFormula>IF(Tableau447[[#This Row],[Date]]="","",Tableau447[[#This Row],[Versement]]*Variables!$F$12)</calculatedColumnFormula>
    </tableColumn>
    <tableColumn id="6" name="Interet" totalsRowFunction="custom" dataDxfId="261" totalsRowDxfId="260">
      <calculatedColumnFormula>IF(Tableau447[[#This Row],[Date]]="","",(E61*(1+($C$59)/24)^V.Complémentaires!D61)-E61)</calculatedColumnFormula>
      <totalsRowFormula>SUM(Tableau447[Interet])</totalsRowFormula>
    </tableColumn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id="7" name="Tableau4478" displayName="Tableau4478" ref="B86:G104" totalsRowCount="1" headerRowDxfId="259" dataDxfId="258" totalsRowDxfId="257">
  <tableColumns count="6">
    <tableColumn id="1" name="Date" dataDxfId="256" totalsRowDxfId="255"/>
    <tableColumn id="3" name="Quinzaine écoulée" dataDxfId="254" totalsRowDxfId="253">
      <calculatedColumnFormula>IF(Tableau4478[[#This Row],[Date]]="","",INT(DAYS360(DATE(YEAR(B87),1,1),B87,TRUE)/15)+1)</calculatedColumnFormula>
    </tableColumn>
    <tableColumn id="4" name="Quinzaine" dataDxfId="252" totalsRowDxfId="251">
      <calculatedColumnFormula>IF(Tableau4478[[#This Row],[Date]]="","",24-C87)</calculatedColumnFormula>
    </tableColumn>
    <tableColumn id="5" name="Versement" totalsRowFunction="custom" dataDxfId="250" totalsRowDxfId="249">
      <totalsRowFormula>SUM(Tableau4478[Versement])</totalsRowFormula>
    </tableColumn>
    <tableColumn id="2" name="Frais de versement" totalsRowFunction="sum" dataDxfId="248" totalsRowDxfId="247">
      <calculatedColumnFormula>IF(Tableau4478[[#This Row],[Date]]="","",Tableau4478[[#This Row],[Versement]]*Variables!$F$12)</calculatedColumnFormula>
    </tableColumn>
    <tableColumn id="6" name="Interet" totalsRowFunction="custom" dataDxfId="246" totalsRowDxfId="245">
      <calculatedColumnFormula>IF(Tableau4478[[#This Row],[Date]]="","",(E87*(1+($C$85)/24)^V.Complémentaires!D87)-E87)</calculatedColumnFormula>
      <totalsRowFormula>SUM(Tableau4478[Interet])</totalsRowFormula>
    </tableColumn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8" name="Tableau44789" displayName="Tableau44789" ref="B112:G130" totalsRowCount="1" headerRowDxfId="244" dataDxfId="243" totalsRowDxfId="242">
  <tableColumns count="6">
    <tableColumn id="1" name="Date" dataDxfId="241" totalsRowDxfId="240"/>
    <tableColumn id="3" name="Quinzaine écoulée" dataDxfId="239" totalsRowDxfId="238">
      <calculatedColumnFormula>IF(Tableau44789[[#This Row],[Date]]="","",INT(DAYS360(DATE(YEAR(B113),1,1),B113,TRUE)/15)+1)</calculatedColumnFormula>
    </tableColumn>
    <tableColumn id="4" name="Quinzaine" dataDxfId="237" totalsRowDxfId="236">
      <calculatedColumnFormula>IF(Tableau44789[[#This Row],[Date]]="","",24-C113)</calculatedColumnFormula>
    </tableColumn>
    <tableColumn id="5" name="Versement" totalsRowFunction="custom" dataDxfId="235" totalsRowDxfId="234">
      <totalsRowFormula>SUM(Tableau44789[Versement])</totalsRowFormula>
    </tableColumn>
    <tableColumn id="2" name="Frais de versement" totalsRowFunction="sum" dataDxfId="233" totalsRowDxfId="232">
      <calculatedColumnFormula>IF(Tableau44789[[#This Row],[Date]]="","",Tableau44789[[#This Row],[Versement]]*Variables!$F$12)</calculatedColumnFormula>
    </tableColumn>
    <tableColumn id="6" name="Interet" totalsRowFunction="custom" dataDxfId="231" totalsRowDxfId="230">
      <calculatedColumnFormula>IF(Tableau44789[[#This Row],[Date]]="","",(E113*(1+($C$111)/24)^V.Complémentaires!D113)-E113)</calculatedColumnFormula>
      <totalsRowFormula>SUM(Tableau44789[Interet])</totalsRowFormula>
    </tableColumn>
  </tableColumns>
  <tableStyleInfo name="TableStyleMedium13" showFirstColumn="0" showLastColumn="0" showRowStripes="1" showColumnStripes="0"/>
</table>
</file>

<file path=xl/tables/table10.xml><?xml version="1.0" encoding="utf-8"?>
<table xmlns="http://schemas.openxmlformats.org/spreadsheetml/2006/main" id="9" name="Tableau4478910" displayName="Tableau4478910" ref="B138:G156" totalsRowCount="1" headerRowDxfId="229" dataDxfId="228" totalsRowDxfId="227">
  <tableColumns count="6">
    <tableColumn id="1" name="Date" dataDxfId="226" totalsRowDxfId="225"/>
    <tableColumn id="3" name="Quinzaine écoulée" dataDxfId="224" totalsRowDxfId="223">
      <calculatedColumnFormula>IF(Tableau4478910[[#This Row],[Date]]="","",INT(DAYS360(DATE(YEAR(B139),1,1),B139,TRUE)/15)+1)</calculatedColumnFormula>
    </tableColumn>
    <tableColumn id="4" name="Quinzaine" dataDxfId="222" totalsRowDxfId="221">
      <calculatedColumnFormula>IF(Tableau4478910[[#This Row],[Date]]="","",24-C139)</calculatedColumnFormula>
    </tableColumn>
    <tableColumn id="5" name="Versement" totalsRowFunction="custom" dataDxfId="220" totalsRowDxfId="219">
      <totalsRowFormula>SUM(Tableau4478910[Versement])</totalsRowFormula>
    </tableColumn>
    <tableColumn id="2" name="Frais de versement" totalsRowFunction="sum" dataDxfId="218" totalsRowDxfId="217">
      <calculatedColumnFormula>IF(Tableau4478910[[#This Row],[Date]]="","",Tableau4478910[[#This Row],[Versement]]*Variables!$F$12)</calculatedColumnFormula>
    </tableColumn>
    <tableColumn id="6" name="Interet" totalsRowFunction="custom" dataDxfId="216" totalsRowDxfId="215">
      <calculatedColumnFormula>IF(Tableau4478910[[#This Row],[Date]]="","",(E139*(1+($C$137)/24)^V.Complémentaires!D139)-E139)</calculatedColumnFormula>
      <totalsRowFormula>SUM(Tableau4478910[Interet])</totalsRowFormula>
    </tableColumn>
  </tableColumns>
  <tableStyleInfo name="TableStyleMedium13" showFirstColumn="0" showLastColumn="0" showRowStripes="1" showColumnStripes="0"/>
</table>
</file>

<file path=xl/tables/table11.xml><?xml version="1.0" encoding="utf-8"?>
<table xmlns="http://schemas.openxmlformats.org/spreadsheetml/2006/main" id="10" name="Tableau447891011" displayName="Tableau447891011" ref="B164:G182" totalsRowCount="1" headerRowDxfId="214" dataDxfId="213" totalsRowDxfId="212">
  <tableColumns count="6">
    <tableColumn id="1" name="Date" dataDxfId="211" totalsRowDxfId="210"/>
    <tableColumn id="3" name="Quinzaine écoulée" dataDxfId="209" totalsRowDxfId="208">
      <calculatedColumnFormula>IF(Tableau447891011[[#This Row],[Date]]="","",INT(DAYS360(DATE(YEAR(B165),1,1),B165,TRUE)/15)+1)</calculatedColumnFormula>
    </tableColumn>
    <tableColumn id="4" name="Quinzaine" dataDxfId="207" totalsRowDxfId="206">
      <calculatedColumnFormula>IF(Tableau447891011[[#This Row],[Date]]="","",24-C165)</calculatedColumnFormula>
    </tableColumn>
    <tableColumn id="5" name="Versement" totalsRowFunction="custom" dataDxfId="205" totalsRowDxfId="204">
      <totalsRowFormula>SUM(Tableau447891011[Versement])</totalsRowFormula>
    </tableColumn>
    <tableColumn id="2" name="Frais de versement" totalsRowFunction="sum" dataDxfId="203" totalsRowDxfId="202">
      <calculatedColumnFormula>IF(Tableau447891011[[#This Row],[Date]]="","",Tableau447891011[[#This Row],[Versement]]*Variables!$F$12)</calculatedColumnFormula>
    </tableColumn>
    <tableColumn id="6" name="Interet" totalsRowFunction="custom" dataDxfId="201" totalsRowDxfId="200">
      <calculatedColumnFormula>IF(Tableau447891011[[#This Row],[Date]]="","",(E165*(1+($C$163)/24)^V.Complémentaires!D165)-E165)</calculatedColumnFormula>
      <totalsRowFormula>SUM(Tableau447891011[Interet])</totalsRowFormula>
    </tableColumn>
  </tableColumns>
  <tableStyleInfo name="TableStyleMedium13" showFirstColumn="0" showLastColumn="0" showRowStripes="1" showColumnStripes="0"/>
</table>
</file>

<file path=xl/tables/table12.xml><?xml version="1.0" encoding="utf-8"?>
<table xmlns="http://schemas.openxmlformats.org/spreadsheetml/2006/main" id="11" name="Tableau44789101112" displayName="Tableau44789101112" ref="B190:G208" totalsRowCount="1" headerRowDxfId="199" dataDxfId="198" totalsRowDxfId="197">
  <tableColumns count="6">
    <tableColumn id="1" name="Date" dataDxfId="196" totalsRowDxfId="195"/>
    <tableColumn id="3" name="Quinzaine écoulée" dataDxfId="194" totalsRowDxfId="193">
      <calculatedColumnFormula>IF(Tableau44789101112[[#This Row],[Date]]="","",INT(DAYS360(DATE(YEAR(B191),1,1),B191,TRUE)/15)+1)</calculatedColumnFormula>
    </tableColumn>
    <tableColumn id="4" name="Quinzaine" dataDxfId="192" totalsRowDxfId="191">
      <calculatedColumnFormula>IF(Tableau44789101112[[#This Row],[Date]]="","",24-C191)</calculatedColumnFormula>
    </tableColumn>
    <tableColumn id="5" name="Versement" totalsRowFunction="custom" dataDxfId="190" totalsRowDxfId="189">
      <totalsRowFormula>SUM(Tableau44789101112[Versement])</totalsRowFormula>
    </tableColumn>
    <tableColumn id="2" name="Frais de versement" totalsRowFunction="sum" dataDxfId="188" totalsRowDxfId="187">
      <calculatedColumnFormula>IF(Tableau44789101112[[#This Row],[Date]]="","",Tableau44789101112[[#This Row],[Versement]]*Variables!$F$12)</calculatedColumnFormula>
    </tableColumn>
    <tableColumn id="6" name="Interet" totalsRowFunction="custom" dataDxfId="186" totalsRowDxfId="185">
      <calculatedColumnFormula>IF(Tableau44789101112[[#This Row],[Date]]="","",(E191*(1+($C$189)/24)^V.Complémentaires!D191)-E191)</calculatedColumnFormula>
      <totalsRowFormula>SUM(Tableau44789101112[Interet])</totalsRowFormula>
    </tableColumn>
  </tableColumns>
  <tableStyleInfo name="TableStyleMedium13" showFirstColumn="0" showLastColumn="0" showRowStripes="1" showColumnStripes="0"/>
</table>
</file>

<file path=xl/tables/table13.xml><?xml version="1.0" encoding="utf-8"?>
<table xmlns="http://schemas.openxmlformats.org/spreadsheetml/2006/main" id="12" name="Tableau4478910111213" displayName="Tableau4478910111213" ref="B217:G235" totalsRowCount="1" headerRowDxfId="184" dataDxfId="183" totalsRowDxfId="182">
  <tableColumns count="6">
    <tableColumn id="1" name="Date" dataDxfId="181" totalsRowDxfId="180"/>
    <tableColumn id="3" name="Quinzaine écoulée" dataDxfId="179" totalsRowDxfId="178">
      <calculatedColumnFormula>IF(Tableau4478910111213[[#This Row],[Date]]="","",INT(DAYS360(DATE(YEAR(B218),1,1),B218,TRUE)/15)+1)</calculatedColumnFormula>
    </tableColumn>
    <tableColumn id="4" name="Quinzaine" dataDxfId="177" totalsRowDxfId="176">
      <calculatedColumnFormula>IF(Tableau4478910111213[[#This Row],[Date]]="","",24-C218)</calculatedColumnFormula>
    </tableColumn>
    <tableColumn id="5" name="Versement" totalsRowFunction="custom" dataDxfId="175" totalsRowDxfId="174">
      <totalsRowFormula>SUM(Tableau4478910111213[Versement])</totalsRowFormula>
    </tableColumn>
    <tableColumn id="2" name="Frais de versement" totalsRowFunction="sum" dataDxfId="173" totalsRowDxfId="172">
      <calculatedColumnFormula>IF(Tableau4478910111213[[#This Row],[Date]]="","",Tableau4478910111213[[#This Row],[Versement]]*Variables!$F$12)</calculatedColumnFormula>
    </tableColumn>
    <tableColumn id="6" name="Interet" totalsRowFunction="custom" dataDxfId="171" totalsRowDxfId="170">
      <calculatedColumnFormula>IF(Tableau4478910111213[[#This Row],[Date]]="","",(E218*(1+($C$216)/24)^V.Complémentaires!D218)-E218)</calculatedColumnFormula>
      <totalsRowFormula>SUM(Tableau4478910111213[Interet])</totalsRowFormula>
    </tableColumn>
  </tableColumns>
  <tableStyleInfo name="TableStyleMedium13" showFirstColumn="0" showLastColumn="0" showRowStripes="1" showColumnStripes="0"/>
</table>
</file>

<file path=xl/tables/table14.xml><?xml version="1.0" encoding="utf-8"?>
<table xmlns="http://schemas.openxmlformats.org/spreadsheetml/2006/main" id="13" name="Tableau447891011121314" displayName="Tableau447891011121314" ref="B243:G261" totalsRowCount="1" headerRowDxfId="169" dataDxfId="168" totalsRowDxfId="167">
  <tableColumns count="6">
    <tableColumn id="1" name="Date" dataDxfId="166" totalsRowDxfId="165"/>
    <tableColumn id="3" name="Quinzaine écoulée" dataDxfId="164" totalsRowDxfId="163">
      <calculatedColumnFormula>IF(Tableau447891011121314[[#This Row],[Date]]="","",INT(DAYS360(DATE(YEAR(B244),1,1),B244,TRUE)/15)+1)</calculatedColumnFormula>
    </tableColumn>
    <tableColumn id="4" name="Quinzaine" dataDxfId="162" totalsRowDxfId="161">
      <calculatedColumnFormula>IF(Tableau447891011121314[[#This Row],[Date]]="","",24-C244)</calculatedColumnFormula>
    </tableColumn>
    <tableColumn id="5" name="Versement" totalsRowFunction="custom" dataDxfId="160" totalsRowDxfId="159">
      <totalsRowFormula>SUM(Tableau447891011121314[Versement])</totalsRowFormula>
    </tableColumn>
    <tableColumn id="2" name="Frais de versement" totalsRowFunction="sum" dataDxfId="158" totalsRowDxfId="157">
      <calculatedColumnFormula>IF(Tableau447891011121314[[#This Row],[Date]]="","",Tableau447891011121314[[#This Row],[Versement]]*Variables!$F$12)</calculatedColumnFormula>
    </tableColumn>
    <tableColumn id="6" name="Interet" totalsRowFunction="custom" dataDxfId="156" totalsRowDxfId="155">
      <calculatedColumnFormula>IF(Tableau447891011121314[[#This Row],[Date]]="","",(E244*(1+($C$242)/24)^V.Complémentaires!D244)-E244)</calculatedColumnFormula>
      <totalsRowFormula>SUM(Tableau447891011121314[Interet])</totalsRowFormula>
    </tableColumn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id="14" name="Tableau44789101112131415" displayName="Tableau44789101112131415" ref="B269:G287" totalsRowCount="1" headerRowDxfId="154" dataDxfId="153" totalsRowDxfId="152">
  <tableColumns count="6">
    <tableColumn id="1" name="Date" dataDxfId="151" totalsRowDxfId="150"/>
    <tableColumn id="3" name="Quinzaine écoulée" dataDxfId="149" totalsRowDxfId="148">
      <calculatedColumnFormula>IF(Tableau44789101112131415[[#This Row],[Date]]="","",INT(DAYS360(DATE(YEAR(B270),1,1),B270,TRUE)/15)+1)</calculatedColumnFormula>
    </tableColumn>
    <tableColumn id="4" name="Quinzaine" dataDxfId="147" totalsRowDxfId="146">
      <calculatedColumnFormula>IF(Tableau44789101112131415[[#This Row],[Date]]="","",24-C270)</calculatedColumnFormula>
    </tableColumn>
    <tableColumn id="5" name="Versement" totalsRowFunction="custom" dataDxfId="145" totalsRowDxfId="144">
      <totalsRowFormula>SUM(Tableau44789101112131415[Versement])</totalsRowFormula>
    </tableColumn>
    <tableColumn id="2" name="Frais de versement" totalsRowFunction="sum" dataDxfId="143" totalsRowDxfId="142">
      <calculatedColumnFormula>IF(Tableau44789101112131415[[#This Row],[Date]]="","",Tableau44789101112131415[[#This Row],[Versement]]*Variables!$F$12)</calculatedColumnFormula>
    </tableColumn>
    <tableColumn id="6" name="Interet" totalsRowFunction="custom" dataDxfId="141" totalsRowDxfId="140">
      <calculatedColumnFormula>IF(Tableau44789101112131415[[#This Row],[Date]]="","",(E270*(1+($C$268)/24)^V.Complémentaires!D270)-E270)</calculatedColumnFormula>
      <totalsRowFormula>SUM(Tableau44789101112131415[Interet])</totalsRowFormula>
    </tableColumn>
  </tableColumns>
  <tableStyleInfo name="TableStyleMedium13" showFirstColumn="0" showLastColumn="0" showRowStripes="1" showColumnStripes="0"/>
</table>
</file>

<file path=xl/tables/table16.xml><?xml version="1.0" encoding="utf-8"?>
<table xmlns="http://schemas.openxmlformats.org/spreadsheetml/2006/main" id="15" name="Tableau4478910111213141516" displayName="Tableau4478910111213141516" ref="B295:G313" totalsRowCount="1" headerRowDxfId="139" dataDxfId="138" totalsRowDxfId="137">
  <tableColumns count="6">
    <tableColumn id="1" name="Date" dataDxfId="136" totalsRowDxfId="135"/>
    <tableColumn id="3" name="Quinzaine écoulée" dataDxfId="134" totalsRowDxfId="133">
      <calculatedColumnFormula>IF(Tableau4478910111213141516[[#This Row],[Date]]="","",INT(DAYS360(DATE(YEAR(B296),1,1),B296,TRUE)/15)+1)</calculatedColumnFormula>
    </tableColumn>
    <tableColumn id="4" name="Quinzaine" dataDxfId="132" totalsRowDxfId="131">
      <calculatedColumnFormula>IF(Tableau4478910111213141516[[#This Row],[Date]]="","",24-C296)</calculatedColumnFormula>
    </tableColumn>
    <tableColumn id="5" name="Versement" totalsRowFunction="custom" dataDxfId="130" totalsRowDxfId="129">
      <totalsRowFormula>SUM(Tableau4478910111213141516[Versement])</totalsRowFormula>
    </tableColumn>
    <tableColumn id="2" name="Frais de versement" totalsRowFunction="sum" dataDxfId="128" totalsRowDxfId="127">
      <calculatedColumnFormula>IF(Tableau4478910111213141516[[#This Row],[Date]]="","",Tableau4478910111213141516[[#This Row],[Versement]]*Variables!$F$12)</calculatedColumnFormula>
    </tableColumn>
    <tableColumn id="6" name="Interet" totalsRowFunction="custom" dataDxfId="126" totalsRowDxfId="125">
      <calculatedColumnFormula>IF(Tableau4478910111213141516[[#This Row],[Date]]="","",(E296*(1+($C$294)/24)^V.Complémentaires!D296)-E296)</calculatedColumnFormula>
      <totalsRowFormula>SUM(Tableau4478910111213141516[Interet])</totalsRowFormula>
    </tableColumn>
  </tableColumns>
  <tableStyleInfo name="TableStyleMedium13" showFirstColumn="0" showLastColumn="0" showRowStripes="1" showColumnStripes="0"/>
</table>
</file>

<file path=xl/tables/table17.xml><?xml version="1.0" encoding="utf-8"?>
<table xmlns="http://schemas.openxmlformats.org/spreadsheetml/2006/main" id="16" name="Tableau447891011121314151617" displayName="Tableau447891011121314151617" ref="B321:G339" totalsRowCount="1" headerRowDxfId="124" dataDxfId="123" totalsRowDxfId="122">
  <tableColumns count="6">
    <tableColumn id="1" name="Date" dataDxfId="121" totalsRowDxfId="120"/>
    <tableColumn id="3" name="Quinzaine écoulée" dataDxfId="119" totalsRowDxfId="118">
      <calculatedColumnFormula>IF(Tableau447891011121314151617[[#This Row],[Date]]="","",INT(DAYS360(DATE(YEAR(B322),1,1),B322,TRUE)/15)+1)</calculatedColumnFormula>
    </tableColumn>
    <tableColumn id="4" name="Quinzaine" dataDxfId="117" totalsRowDxfId="116">
      <calculatedColumnFormula>IF(Tableau447891011121314151617[[#This Row],[Date]]="","",24-C322)</calculatedColumnFormula>
    </tableColumn>
    <tableColumn id="5" name="Versement" totalsRowFunction="custom" dataDxfId="115" totalsRowDxfId="114">
      <totalsRowFormula>SUM(Tableau447891011121314151617[Versement])</totalsRowFormula>
    </tableColumn>
    <tableColumn id="2" name="Frais de versement" totalsRowFunction="sum" dataDxfId="113" totalsRowDxfId="112">
      <calculatedColumnFormula>IF(Tableau447891011121314151617[[#This Row],[Date]]="","",Tableau447891011121314151617[[#This Row],[Versement]]*Variables!$F$12)</calculatedColumnFormula>
    </tableColumn>
    <tableColumn id="6" name="Interet" totalsRowFunction="custom" dataDxfId="111" totalsRowDxfId="110">
      <calculatedColumnFormula>IF(Tableau447891011121314151617[[#This Row],[Date]]="","",(E322*(1+($C$320)/24)^V.Complémentaires!D322)-E322)</calculatedColumnFormula>
      <totalsRowFormula>SUM(Tableau447891011121314151617[Interet])</totalsRowFormula>
    </tableColumn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id="17" name="Tableau44789101112131415161718" displayName="Tableau44789101112131415161718" ref="B347:G365" totalsRowCount="1" headerRowDxfId="109" dataDxfId="108" totalsRowDxfId="107">
  <tableColumns count="6">
    <tableColumn id="1" name="Date" dataDxfId="106" totalsRowDxfId="105"/>
    <tableColumn id="3" name="Quinzaine écoulée" dataDxfId="104" totalsRowDxfId="103">
      <calculatedColumnFormula>IF(Tableau44789101112131415161718[[#This Row],[Date]]="","",INT(DAYS360(DATE(YEAR(B348),1,1),B348,TRUE)/15)+1)</calculatedColumnFormula>
    </tableColumn>
    <tableColumn id="4" name="Quinzaine" dataDxfId="102" totalsRowDxfId="101">
      <calculatedColumnFormula>IF(Tableau44789101112131415161718[[#This Row],[Date]]="","",24-C348)</calculatedColumnFormula>
    </tableColumn>
    <tableColumn id="5" name="Versement" totalsRowFunction="custom" dataDxfId="100" totalsRowDxfId="99">
      <totalsRowFormula>SUM(Tableau44789101112131415161718[Versement])</totalsRowFormula>
    </tableColumn>
    <tableColumn id="2" name="Frais de versement" totalsRowFunction="sum" dataDxfId="98" totalsRowDxfId="97">
      <calculatedColumnFormula>IF(Tableau44789101112131415161718[[#This Row],[Date]]="","",Tableau44789101112131415161718[[#This Row],[Versement]]*Variables!$F$12)</calculatedColumnFormula>
    </tableColumn>
    <tableColumn id="6" name="Interet" totalsRowFunction="custom" dataDxfId="96" totalsRowDxfId="95">
      <calculatedColumnFormula>IF(Tableau44789101112131415161718[[#This Row],[Date]]="","",(E348*(1+($C$346)/24)^V.Complémentaires!D348)-E348)</calculatedColumnFormula>
      <totalsRowFormula>SUM(Tableau44789101112131415161718[Interet])</totalsRowFormula>
    </tableColumn>
  </tableColumns>
  <tableStyleInfo name="TableStyleMedium13" showFirstColumn="0" showLastColumn="0" showRowStripes="1" showColumnStripes="0"/>
</table>
</file>

<file path=xl/tables/table19.xml><?xml version="1.0" encoding="utf-8"?>
<table xmlns="http://schemas.openxmlformats.org/spreadsheetml/2006/main" id="18" name="Tableau4478910111213141516171819" displayName="Tableau4478910111213141516171819" ref="B373:G391" totalsRowCount="1" headerRowDxfId="94" dataDxfId="93" totalsRowDxfId="92">
  <tableColumns count="6">
    <tableColumn id="1" name="Date" dataDxfId="91" totalsRowDxfId="90"/>
    <tableColumn id="3" name="Quinzaine écoulée" dataDxfId="89" totalsRowDxfId="88">
      <calculatedColumnFormula>IF(Tableau4478910111213141516171819[[#This Row],[Date]]="","",INT(DAYS360(DATE(YEAR(B374),1,1),B374,TRUE)/15)+1)</calculatedColumnFormula>
    </tableColumn>
    <tableColumn id="4" name="Quinzaine" dataDxfId="87" totalsRowDxfId="86">
      <calculatedColumnFormula>IF(Tableau4478910111213141516171819[[#This Row],[Date]]="","",24-C374)</calculatedColumnFormula>
    </tableColumn>
    <tableColumn id="5" name="Versement" totalsRowFunction="custom" dataDxfId="85" totalsRowDxfId="84">
      <totalsRowFormula>SUM(Tableau4478910111213141516171819[Versement])</totalsRowFormula>
    </tableColumn>
    <tableColumn id="2" name="Frais de versement" totalsRowFunction="sum" dataDxfId="83" totalsRowDxfId="82">
      <calculatedColumnFormula>IF(Tableau4478910111213141516171819[[#This Row],[Date]]="","",Tableau4478910111213141516171819[[#This Row],[Versement]]*Variables!$F$12)</calculatedColumnFormula>
    </tableColumn>
    <tableColumn id="6" name="Interet" totalsRowFunction="custom" dataDxfId="81" totalsRowDxfId="80">
      <calculatedColumnFormula>IF(Tableau4478910111213141516171819[[#This Row],[Date]]="","",(E374*(1+($C$372)/24)^V.Complémentaires!D374)-E374)</calculatedColumnFormula>
      <totalsRowFormula>SUM(Tableau4478910111213141516171819[Interet])</totalsRowFormula>
    </tableColumn>
  </tableColumns>
  <tableStyleInfo name="TableStyleMedium13" showFirstColumn="0" showLastColumn="0" showRowStripes="1" showColumnStripes="0"/>
</table>
</file>

<file path=xl/tables/table20.xml><?xml version="1.0" encoding="utf-8"?>
<table xmlns="http://schemas.openxmlformats.org/spreadsheetml/2006/main" id="19" name="Tableau447891011121314151617181920" displayName="Tableau447891011121314151617181920" ref="B399:G417" totalsRowCount="1" headerRowDxfId="79" dataDxfId="78" totalsRowDxfId="77">
  <tableColumns count="6">
    <tableColumn id="1" name="Date" dataDxfId="76" totalsRowDxfId="75"/>
    <tableColumn id="3" name="Quinzaine écoulée" dataDxfId="74" totalsRowDxfId="73">
      <calculatedColumnFormula>IF(Tableau447891011121314151617181920[[#This Row],[Date]]="","",INT(DAYS360(DATE(YEAR(B400),1,1),B400,TRUE)/15)+1)</calculatedColumnFormula>
    </tableColumn>
    <tableColumn id="4" name="Quinzaine" dataDxfId="72" totalsRowDxfId="71">
      <calculatedColumnFormula>IF(Tableau447891011121314151617181920[[#This Row],[Date]]="","",24-C400)</calculatedColumnFormula>
    </tableColumn>
    <tableColumn id="5" name="Versement" totalsRowFunction="custom" dataDxfId="70" totalsRowDxfId="69">
      <totalsRowFormula>SUM(Tableau447891011121314151617181920[Versement])</totalsRowFormula>
    </tableColumn>
    <tableColumn id="2" name="Frais de versement" totalsRowFunction="sum" dataDxfId="68" totalsRowDxfId="67">
      <calculatedColumnFormula>IF(Tableau447891011121314151617181920[[#This Row],[Date]]="","",Tableau447891011121314151617181920[[#This Row],[Versement]]*Variables!$F$12)</calculatedColumnFormula>
    </tableColumn>
    <tableColumn id="6" name="Interet" totalsRowFunction="custom" dataDxfId="66" totalsRowDxfId="65">
      <calculatedColumnFormula>IF(Tableau447891011121314151617181920[[#This Row],[Date]]="","",(E400*(1+($C$398)/24)^V.Complémentaires!D400)-E400)</calculatedColumnFormula>
      <totalsRowFormula>SUM(Tableau447891011121314151617181920[Interet])</totalsRowFormula>
    </tableColumn>
  </tableColumns>
  <tableStyleInfo name="TableStyleMedium13" showFirstColumn="0" showLastColumn="0" showRowStripes="1" showColumnStripes="0"/>
</table>
</file>

<file path=xl/tables/table21.xml><?xml version="1.0" encoding="utf-8"?>
<table xmlns="http://schemas.openxmlformats.org/spreadsheetml/2006/main" id="20" name="Tableau44789101112131415161718192021" displayName="Tableau44789101112131415161718192021" ref="B425:G443" totalsRowCount="1" headerRowDxfId="64" dataDxfId="63" totalsRowDxfId="62">
  <tableColumns count="6">
    <tableColumn id="1" name="Date" dataDxfId="61" totalsRowDxfId="60"/>
    <tableColumn id="3" name="Quinzaine écoulée" dataDxfId="59" totalsRowDxfId="58">
      <calculatedColumnFormula>IF(Tableau44789101112131415161718192021[[#This Row],[Date]]="","",INT(DAYS360(DATE(YEAR(B426),1,1),B426,TRUE)/15)+1)</calculatedColumnFormula>
    </tableColumn>
    <tableColumn id="4" name="Quinzaine" dataDxfId="57" totalsRowDxfId="56">
      <calculatedColumnFormula>IF(Tableau44789101112131415161718192021[[#This Row],[Date]]="","",24-C426)</calculatedColumnFormula>
    </tableColumn>
    <tableColumn id="5" name="Versement" totalsRowFunction="custom" dataDxfId="55" totalsRowDxfId="54">
      <totalsRowFormula>SUM(Tableau44789101112131415161718192021[Versement])</totalsRowFormula>
    </tableColumn>
    <tableColumn id="2" name="Frais de versement" totalsRowFunction="sum" dataDxfId="53" totalsRowDxfId="52">
      <calculatedColumnFormula>IF(Tableau44789101112131415161718192021[[#This Row],[Date]]="","",Tableau44789101112131415161718192021[[#This Row],[Versement]]*Variables!$F$12)</calculatedColumnFormula>
    </tableColumn>
    <tableColumn id="6" name="Interet" totalsRowFunction="custom" dataDxfId="51" totalsRowDxfId="50">
      <calculatedColumnFormula>IF(Tableau44789101112131415161718192021[[#This Row],[Date]]="","",(E426*(1+($C$424)/24)^V.Complémentaires!D426)-E426)</calculatedColumnFormula>
      <totalsRowFormula>SUM(Tableau44789101112131415161718192021[Interet])</totalsRowFormula>
    </tableColumn>
  </tableColumns>
  <tableStyleInfo name="TableStyleMedium13" showFirstColumn="0" showLastColumn="0" showRowStripes="1" showColumnStripes="0"/>
</table>
</file>

<file path=xl/tables/table22.xml><?xml version="1.0" encoding="utf-8"?>
<table xmlns="http://schemas.openxmlformats.org/spreadsheetml/2006/main" id="21" name="Tableau4478910111213141516171819202122" displayName="Tableau4478910111213141516171819202122" ref="B451:G469" totalsRowCount="1" headerRowDxfId="49" dataDxfId="48" totalsRowDxfId="47">
  <tableColumns count="6">
    <tableColumn id="1" name="Date" dataDxfId="46" totalsRowDxfId="45"/>
    <tableColumn id="3" name="Quinzaine écoulée" dataDxfId="44" totalsRowDxfId="43">
      <calculatedColumnFormula>IF(Tableau4478910111213141516171819202122[[#This Row],[Date]]="","",INT(DAYS360(DATE(YEAR(B452),1,1),B452,TRUE)/15)+1)</calculatedColumnFormula>
    </tableColumn>
    <tableColumn id="4" name="Quinzaine" dataDxfId="42" totalsRowDxfId="41">
      <calculatedColumnFormula>IF(Tableau4478910111213141516171819202122[[#This Row],[Date]]="","",24-C452)</calculatedColumnFormula>
    </tableColumn>
    <tableColumn id="5" name="Versement" totalsRowFunction="custom" dataDxfId="40" totalsRowDxfId="39">
      <totalsRowFormula>SUM(Tableau4478910111213141516171819202122[Versement])</totalsRowFormula>
    </tableColumn>
    <tableColumn id="2" name="Frais de versement" totalsRowFunction="sum" dataDxfId="38" totalsRowDxfId="37">
      <calculatedColumnFormula>IF(Tableau4478910111213141516171819202122[[#This Row],[Date]]="","",Tableau4478910111213141516171819202122[[#This Row],[Versement]]*Variables!$F$12)</calculatedColumnFormula>
    </tableColumn>
    <tableColumn id="6" name="Interet" totalsRowFunction="custom" dataDxfId="36" totalsRowDxfId="35">
      <calculatedColumnFormula>IF(Tableau4478910111213141516171819202122[[#This Row],[Date]]="","",(E452*(1+($C$450)/24)^V.Complémentaires!D452)-E452)</calculatedColumnFormula>
      <totalsRowFormula>SUM(Tableau4478910111213141516171819202122[Interet])</totalsRowFormula>
    </tableColumn>
  </tableColumns>
  <tableStyleInfo name="TableStyleMedium13" showFirstColumn="0" showLastColumn="0" showRowStripes="1" showColumnStripes="0"/>
</table>
</file>

<file path=xl/tables/table23.xml><?xml version="1.0" encoding="utf-8"?>
<table xmlns="http://schemas.openxmlformats.org/spreadsheetml/2006/main" id="22" name="Tableau447891011121314151617181920212223" displayName="Tableau447891011121314151617181920212223" ref="B477:G495" totalsRowCount="1" headerRowDxfId="34" dataDxfId="33" totalsRowDxfId="32">
  <tableColumns count="6">
    <tableColumn id="1" name="Date" dataDxfId="31" totalsRowDxfId="30"/>
    <tableColumn id="3" name="Quinzaine écoulée" dataDxfId="29" totalsRowDxfId="28">
      <calculatedColumnFormula>IF(Tableau447891011121314151617181920212223[[#This Row],[Date]]="","",INT(DAYS360(DATE(YEAR(B478),1,1),B478,TRUE)/15)+1)</calculatedColumnFormula>
    </tableColumn>
    <tableColumn id="4" name="Quinzaine" dataDxfId="27" totalsRowDxfId="26">
      <calculatedColumnFormula>IF(Tableau447891011121314151617181920212223[[#This Row],[Date]]="","",24-C478)</calculatedColumnFormula>
    </tableColumn>
    <tableColumn id="5" name="Versement" totalsRowFunction="custom" dataDxfId="25" totalsRowDxfId="24">
      <totalsRowFormula>SUM(Tableau447891011121314151617181920212223[Versement])</totalsRowFormula>
    </tableColumn>
    <tableColumn id="2" name="Frais de versement" totalsRowFunction="sum" dataDxfId="23" totalsRowDxfId="22">
      <calculatedColumnFormula>IF(Tableau447891011121314151617181920212223[[#This Row],[Date]]="","",Tableau447891011121314151617181920212223[[#This Row],[Versement]]*Variables!$F$12)</calculatedColumnFormula>
    </tableColumn>
    <tableColumn id="6" name="Interet" totalsRowFunction="custom" dataDxfId="21" totalsRowDxfId="20">
      <calculatedColumnFormula>IF(Tableau447891011121314151617181920212223[[#This Row],[Date]]="","",(E478*(1+($C$476)/24)^V.Complémentaires!D478)-E478)</calculatedColumnFormula>
      <totalsRowFormula>SUM(Tableau447891011121314151617181920212223[Interet])</totalsRowFormula>
    </tableColumn>
  </tableColumns>
  <tableStyleInfo name="TableStyleMedium13" showFirstColumn="0" showLastColumn="0" showRowStripes="1" showColumnStripes="0"/>
</table>
</file>

<file path=xl/tables/table24.xml><?xml version="1.0" encoding="utf-8"?>
<table xmlns="http://schemas.openxmlformats.org/spreadsheetml/2006/main" id="23" name="Tableau44789101112131415161718192021222324" displayName="Tableau44789101112131415161718192021222324" ref="B503:G521" totalsRowCount="1" headerRowDxfId="19" dataDxfId="18" totalsRowDxfId="17">
  <tableColumns count="6">
    <tableColumn id="1" name="Date" dataDxfId="16" totalsRowDxfId="15"/>
    <tableColumn id="3" name="Quinzaine écoulée" dataDxfId="14" totalsRowDxfId="13">
      <calculatedColumnFormula>IF(Tableau44789101112131415161718192021222324[[#This Row],[Date]]="","",INT(DAYS360(DATE(YEAR(B504),1,1),B504,TRUE)/15)+1)</calculatedColumnFormula>
    </tableColumn>
    <tableColumn id="4" name="Quinzaine" dataDxfId="12" totalsRowDxfId="11">
      <calculatedColumnFormula>IF(Tableau44789101112131415161718192021222324[[#This Row],[Date]]="","",24-C504)</calculatedColumnFormula>
    </tableColumn>
    <tableColumn id="5" name="Versement" totalsRowFunction="custom" dataDxfId="10" totalsRowDxfId="9">
      <totalsRowFormula>SUM(Tableau44789101112131415161718192021222324[Versement])</totalsRowFormula>
    </tableColumn>
    <tableColumn id="2" name="Frais de versement" totalsRowFunction="sum" dataDxfId="8" totalsRowDxfId="7">
      <calculatedColumnFormula>IF(Tableau44789101112131415161718192021222324[[#This Row],[Date]]="","",Tableau44789101112131415161718192021222324[[#This Row],[Versement]]*Variables!$F$12)</calculatedColumnFormula>
    </tableColumn>
    <tableColumn id="6" name="Interet" totalsRowFunction="custom" dataDxfId="6" totalsRowDxfId="5">
      <calculatedColumnFormula>IF(Tableau44789101112131415161718192021222324[[#This Row],[Date]]="","",(E504*(1+($C$502)/24)^V.Complémentaires!D504)-E504)</calculatedColumnFormula>
      <totalsRowFormula>SUM(Tableau44789101112131415161718192021222324[Interet])</totalsRow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table" Target="../tables/table3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4" Type="http://schemas.openxmlformats.org/officeDocument/2006/relationships/ctrlProp" Target="../ctrlProps/ctrlProp5.xml"/><Relationship Id="rId5" Type="http://schemas.openxmlformats.org/officeDocument/2006/relationships/table" Target="../tables/table4.xml"/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table" Target="../tables/table10.xml"/><Relationship Id="rId20" Type="http://schemas.openxmlformats.org/officeDocument/2006/relationships/table" Target="../tables/table21.xml"/><Relationship Id="rId21" Type="http://schemas.openxmlformats.org/officeDocument/2006/relationships/table" Target="../tables/table22.xml"/><Relationship Id="rId22" Type="http://schemas.openxmlformats.org/officeDocument/2006/relationships/table" Target="../tables/table23.xml"/><Relationship Id="rId23" Type="http://schemas.openxmlformats.org/officeDocument/2006/relationships/table" Target="../tables/table24.xml"/><Relationship Id="rId10" Type="http://schemas.openxmlformats.org/officeDocument/2006/relationships/table" Target="../tables/table11.xml"/><Relationship Id="rId11" Type="http://schemas.openxmlformats.org/officeDocument/2006/relationships/table" Target="../tables/table12.xml"/><Relationship Id="rId12" Type="http://schemas.openxmlformats.org/officeDocument/2006/relationships/table" Target="../tables/table13.xml"/><Relationship Id="rId13" Type="http://schemas.openxmlformats.org/officeDocument/2006/relationships/table" Target="../tables/table14.xml"/><Relationship Id="rId14" Type="http://schemas.openxmlformats.org/officeDocument/2006/relationships/table" Target="../tables/table15.xml"/><Relationship Id="rId15" Type="http://schemas.openxmlformats.org/officeDocument/2006/relationships/table" Target="../tables/table16.xml"/><Relationship Id="rId16" Type="http://schemas.openxmlformats.org/officeDocument/2006/relationships/table" Target="../tables/table17.xml"/><Relationship Id="rId17" Type="http://schemas.openxmlformats.org/officeDocument/2006/relationships/table" Target="../tables/table18.xml"/><Relationship Id="rId18" Type="http://schemas.openxmlformats.org/officeDocument/2006/relationships/table" Target="../tables/table19.xml"/><Relationship Id="rId19" Type="http://schemas.openxmlformats.org/officeDocument/2006/relationships/table" Target="../tables/table20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3.vml"/><Relationship Id="rId3" Type="http://schemas.openxmlformats.org/officeDocument/2006/relationships/ctrlProp" Target="../ctrlProps/ctrlProp6.xml"/><Relationship Id="rId4" Type="http://schemas.openxmlformats.org/officeDocument/2006/relationships/table" Target="../tables/table5.xml"/><Relationship Id="rId5" Type="http://schemas.openxmlformats.org/officeDocument/2006/relationships/table" Target="../tables/table6.xml"/><Relationship Id="rId6" Type="http://schemas.openxmlformats.org/officeDocument/2006/relationships/table" Target="../tables/table7.xml"/><Relationship Id="rId7" Type="http://schemas.openxmlformats.org/officeDocument/2006/relationships/table" Target="../tables/table8.xml"/><Relationship Id="rId8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Relationship Id="rId2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FF0000"/>
  </sheetPr>
  <dimension ref="K6"/>
  <sheetViews>
    <sheetView showGridLines="0" showRowColHeaders="0" workbookViewId="0">
      <selection activeCell="H74" sqref="H74"/>
    </sheetView>
  </sheetViews>
  <sheetFormatPr baseColWidth="10" defaultColWidth="10.83203125" defaultRowHeight="14" x14ac:dyDescent="0"/>
  <cols>
    <col min="1" max="16384" width="10.83203125" style="4"/>
  </cols>
  <sheetData>
    <row r="6" spans="11:11">
      <c r="K6" s="58"/>
    </row>
  </sheetData>
  <phoneticPr fontId="15" type="noConversion"/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20"/>
  <sheetViews>
    <sheetView workbookViewId="0">
      <selection activeCell="B21" sqref="B21"/>
    </sheetView>
  </sheetViews>
  <sheetFormatPr baseColWidth="10" defaultRowHeight="14" x14ac:dyDescent="0"/>
  <sheetData>
    <row r="1" spans="1:2">
      <c r="A1">
        <f ca="1">YEAR('Tableau Projection'!A1)</f>
        <v>2014</v>
      </c>
      <c r="B1">
        <v>1</v>
      </c>
    </row>
    <row r="2" spans="1:2">
      <c r="A2">
        <f ca="1">A1+1</f>
        <v>2015</v>
      </c>
      <c r="B2">
        <v>30</v>
      </c>
    </row>
    <row r="3" spans="1:2">
      <c r="A3">
        <f ca="1">A2+1</f>
        <v>2016</v>
      </c>
      <c r="B3">
        <v>56</v>
      </c>
    </row>
    <row r="4" spans="1:2">
      <c r="A4">
        <f t="shared" ref="A4:A20" ca="1" si="0">A3+1</f>
        <v>2017</v>
      </c>
      <c r="B4">
        <v>82</v>
      </c>
    </row>
    <row r="5" spans="1:2">
      <c r="A5">
        <f t="shared" ca="1" si="0"/>
        <v>2018</v>
      </c>
      <c r="B5">
        <v>108</v>
      </c>
    </row>
    <row r="6" spans="1:2">
      <c r="A6">
        <f t="shared" ca="1" si="0"/>
        <v>2019</v>
      </c>
      <c r="B6">
        <v>134</v>
      </c>
    </row>
    <row r="7" spans="1:2">
      <c r="A7">
        <f t="shared" ca="1" si="0"/>
        <v>2020</v>
      </c>
      <c r="B7">
        <v>160</v>
      </c>
    </row>
    <row r="8" spans="1:2">
      <c r="A8">
        <f t="shared" ca="1" si="0"/>
        <v>2021</v>
      </c>
      <c r="B8">
        <v>186</v>
      </c>
    </row>
    <row r="9" spans="1:2">
      <c r="A9">
        <f t="shared" ca="1" si="0"/>
        <v>2022</v>
      </c>
      <c r="B9">
        <v>213</v>
      </c>
    </row>
    <row r="10" spans="1:2">
      <c r="A10">
        <f t="shared" ca="1" si="0"/>
        <v>2023</v>
      </c>
      <c r="B10">
        <v>239</v>
      </c>
    </row>
    <row r="11" spans="1:2">
      <c r="A11">
        <f t="shared" ca="1" si="0"/>
        <v>2024</v>
      </c>
      <c r="B11">
        <v>265</v>
      </c>
    </row>
    <row r="12" spans="1:2">
      <c r="A12">
        <f t="shared" ca="1" si="0"/>
        <v>2025</v>
      </c>
      <c r="B12">
        <v>291</v>
      </c>
    </row>
    <row r="13" spans="1:2">
      <c r="A13">
        <f t="shared" ca="1" si="0"/>
        <v>2026</v>
      </c>
      <c r="B13">
        <v>317</v>
      </c>
    </row>
    <row r="14" spans="1:2">
      <c r="A14">
        <f t="shared" ca="1" si="0"/>
        <v>2027</v>
      </c>
      <c r="B14">
        <v>343</v>
      </c>
    </row>
    <row r="15" spans="1:2">
      <c r="A15">
        <f t="shared" ca="1" si="0"/>
        <v>2028</v>
      </c>
      <c r="B15">
        <v>369</v>
      </c>
    </row>
    <row r="16" spans="1:2">
      <c r="A16">
        <f t="shared" ca="1" si="0"/>
        <v>2029</v>
      </c>
      <c r="B16">
        <v>395</v>
      </c>
    </row>
    <row r="17" spans="1:2">
      <c r="A17">
        <f t="shared" ca="1" si="0"/>
        <v>2030</v>
      </c>
      <c r="B17">
        <v>421</v>
      </c>
    </row>
    <row r="18" spans="1:2">
      <c r="A18">
        <f t="shared" ca="1" si="0"/>
        <v>2031</v>
      </c>
      <c r="B18">
        <v>447</v>
      </c>
    </row>
    <row r="19" spans="1:2">
      <c r="A19">
        <f t="shared" ca="1" si="0"/>
        <v>2032</v>
      </c>
      <c r="B19">
        <v>473</v>
      </c>
    </row>
    <row r="20" spans="1:2">
      <c r="A20">
        <f t="shared" ca="1" si="0"/>
        <v>2033</v>
      </c>
      <c r="B20">
        <v>499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E7:G20"/>
  <sheetViews>
    <sheetView showGridLines="0" zoomScale="77" zoomScaleNormal="77" zoomScalePageLayoutView="77" workbookViewId="0">
      <selection activeCell="F15" sqref="F15"/>
    </sheetView>
  </sheetViews>
  <sheetFormatPr baseColWidth="10" defaultColWidth="10.83203125" defaultRowHeight="19" customHeight="1" x14ac:dyDescent="0"/>
  <cols>
    <col min="1" max="1" width="16.5" style="13" customWidth="1"/>
    <col min="2" max="4" width="10.83203125" style="13"/>
    <col min="5" max="5" width="33" style="13" bestFit="1" customWidth="1"/>
    <col min="6" max="7" width="14.33203125" style="13" customWidth="1"/>
    <col min="8" max="16384" width="10.83203125" style="13"/>
  </cols>
  <sheetData>
    <row r="7" spans="5:7" ht="19" customHeight="1">
      <c r="E7" s="21" t="s">
        <v>0</v>
      </c>
      <c r="F7" s="21" t="s">
        <v>13</v>
      </c>
      <c r="G7" s="22"/>
    </row>
    <row r="8" spans="5:7" ht="19" customHeight="1">
      <c r="E8" s="22" t="s">
        <v>1</v>
      </c>
      <c r="F8" s="22">
        <v>2000</v>
      </c>
      <c r="G8" s="22"/>
    </row>
    <row r="9" spans="5:7" ht="19" customHeight="1">
      <c r="E9" s="22" t="s">
        <v>2</v>
      </c>
      <c r="F9" s="22">
        <v>950</v>
      </c>
      <c r="G9" s="22"/>
    </row>
    <row r="10" spans="5:7" ht="19" customHeight="1">
      <c r="E10" s="22" t="s">
        <v>7</v>
      </c>
      <c r="F10" s="22">
        <v>4</v>
      </c>
      <c r="G10" s="22"/>
    </row>
    <row r="11" spans="5:7" ht="19" customHeight="1">
      <c r="E11" s="22" t="s">
        <v>4</v>
      </c>
      <c r="F11" s="23">
        <v>1.25E-3</v>
      </c>
      <c r="G11" s="22"/>
    </row>
    <row r="12" spans="5:7" ht="19" customHeight="1">
      <c r="E12" s="22" t="s">
        <v>3</v>
      </c>
      <c r="F12" s="24">
        <v>1.2500000000000001E-2</v>
      </c>
      <c r="G12" s="22"/>
    </row>
    <row r="13" spans="5:7" ht="19" customHeight="1">
      <c r="E13" s="22" t="s">
        <v>16</v>
      </c>
      <c r="F13" s="25">
        <v>0.7</v>
      </c>
      <c r="G13" s="22"/>
    </row>
    <row r="14" spans="5:7" ht="19" customHeight="1">
      <c r="E14" s="22" t="s">
        <v>17</v>
      </c>
      <c r="F14" s="26">
        <v>1.0500000000000001E-2</v>
      </c>
      <c r="G14" s="22"/>
    </row>
    <row r="15" spans="5:7" ht="19" customHeight="1">
      <c r="E15" s="22" t="s">
        <v>26</v>
      </c>
      <c r="F15" s="24">
        <v>6.0000000000000001E-3</v>
      </c>
      <c r="G15" s="22"/>
    </row>
    <row r="16" spans="5:7" ht="19" customHeight="1">
      <c r="E16" s="22"/>
      <c r="F16" s="22"/>
      <c r="G16" s="22"/>
    </row>
    <row r="17" spans="5:7" ht="19" customHeight="1">
      <c r="E17" s="22"/>
      <c r="F17" s="22"/>
      <c r="G17" s="22"/>
    </row>
    <row r="18" spans="5:7" ht="19" customHeight="1">
      <c r="E18" s="22"/>
      <c r="F18" s="22"/>
      <c r="G18" s="22"/>
    </row>
    <row r="19" spans="5:7" ht="19" customHeight="1">
      <c r="E19" s="27" t="s">
        <v>7</v>
      </c>
      <c r="F19" s="28" t="s">
        <v>14</v>
      </c>
      <c r="G19" s="29" t="s">
        <v>15</v>
      </c>
    </row>
    <row r="20" spans="5:7" ht="19" customHeight="1">
      <c r="E20" s="30" t="s">
        <v>11</v>
      </c>
      <c r="F20" s="31">
        <v>2.2000000000000002E-2</v>
      </c>
      <c r="G20" s="32">
        <v>0.02</v>
      </c>
    </row>
  </sheetData>
  <pageMargins left="0.7" right="0.7" top="0.75" bottom="0.75" header="0.3" footer="0.3"/>
  <pageSetup paperSize="9" orientation="portrait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theme="4" tint="-0.249977111117893"/>
  </sheetPr>
  <dimension ref="A1:N56"/>
  <sheetViews>
    <sheetView showGridLines="0" zoomScale="64" zoomScaleNormal="64" zoomScalePageLayoutView="64" workbookViewId="0">
      <selection activeCell="N19" sqref="N19"/>
    </sheetView>
  </sheetViews>
  <sheetFormatPr baseColWidth="10" defaultColWidth="10.83203125" defaultRowHeight="14" x14ac:dyDescent="0"/>
  <cols>
    <col min="1" max="2" width="10.83203125" style="1"/>
    <col min="3" max="3" width="21.33203125" style="1" customWidth="1"/>
    <col min="4" max="4" width="21.33203125" style="1" hidden="1" customWidth="1"/>
    <col min="5" max="5" width="20" style="1" customWidth="1"/>
    <col min="6" max="6" width="43.83203125" style="1" customWidth="1"/>
    <col min="7" max="7" width="32.6640625" style="1" customWidth="1"/>
    <col min="8" max="8" width="33.83203125" style="2" customWidth="1"/>
    <col min="9" max="10" width="18.1640625" style="1" customWidth="1"/>
    <col min="11" max="11" width="12.1640625" style="1" customWidth="1"/>
    <col min="12" max="12" width="19.33203125" style="1" customWidth="1"/>
    <col min="13" max="13" width="10.83203125" style="1"/>
    <col min="14" max="14" width="24" style="64" customWidth="1"/>
    <col min="15" max="16384" width="10.83203125" style="1"/>
  </cols>
  <sheetData>
    <row r="1" spans="1:14">
      <c r="A1" s="33">
        <f ca="1">TODAY()</f>
        <v>41981</v>
      </c>
      <c r="N1" s="63"/>
    </row>
    <row r="6" spans="1:14" ht="59.25" customHeight="1">
      <c r="C6" s="35" t="s">
        <v>6</v>
      </c>
      <c r="D6" s="36" t="s">
        <v>24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8" customHeight="1">
      <c r="C7" s="38">
        <f ca="1">IF(Tableau1[[#This Row],[Années2]]="","",YEAR(A1))</f>
        <v>2014</v>
      </c>
      <c r="D7" s="38">
        <f>IF(OR(ISBLANK(Variables!$F$10),Variables!$F$10=0),"",1)</f>
        <v>1</v>
      </c>
      <c r="E7" s="39">
        <f>IF(Tableau1[[#This Row],[Années2]]="","",Variables!F8)</f>
        <v>2000</v>
      </c>
      <c r="F7" s="38">
        <f>IF(D7="","",IF(D7&lt;=Variables!$F$10,Variables!$F$9,""))</f>
        <v>950</v>
      </c>
      <c r="G7" s="39">
        <f>IF(D7="","",(Tableau1[[#This Row],[Versements annuels]]*Variables!$F$12)+Tableau4[[#Totals],[Frais de versement]])</f>
        <v>11.875</v>
      </c>
      <c r="H7" s="38">
        <f>IF(Tableau1[[#This Row],[Années2]]="","",Tableau4[[#Totals],[Versement]])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43.364999999999782</v>
      </c>
      <c r="K7" s="39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3.7268624999999997</v>
      </c>
      <c r="L7" s="39">
        <f>IF(D7="","",Tableau1[[#This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2977.7631374999996</v>
      </c>
    </row>
    <row r="8" spans="1:14" ht="28" customHeight="1">
      <c r="C8" s="42">
        <f ca="1">IF(Tableau1[[#This Row],[Années2]]="","",C7+1)</f>
        <v>2015</v>
      </c>
      <c r="D8" s="42">
        <f>IF(D7="","",IF(D7+1&gt;Variables!$F$10,"",'Tableau Projection'!D7+1))</f>
        <v>2</v>
      </c>
      <c r="E8" s="43">
        <f>IF(D7="","",IF(D7+1&gt;Variables!$F$10,"",'Tableau Projection'!L7))</f>
        <v>2977.7631374999996</v>
      </c>
      <c r="F8" s="42">
        <f>IF(D8="","",IF(D8&lt;=Variables!$F$10,Variables!$F$9,""))</f>
        <v>950</v>
      </c>
      <c r="G8" s="43">
        <f>IF(D8="","",(Tableau1[[#This Row],[Versements annuels]]*Variables!$F$12)+Tableau44[[#Totals],[Frais de versement]])</f>
        <v>11.875</v>
      </c>
      <c r="H8" s="42">
        <f>IF(Tableau1[[#This Row],[Années2]]="","",Tableau44[[#Totals],[Versement]])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47.702683304937636</v>
      </c>
      <c r="K8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4.9544885260061715</v>
      </c>
      <c r="L8" s="43">
        <f>IF(D8="","",Tableau1[[#This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3958.6363322789311</v>
      </c>
    </row>
    <row r="9" spans="1:14" ht="28" customHeight="1">
      <c r="C9" s="42">
        <f ca="1">IF(Tableau1[[#This Row],[Années2]]="","",C8+1)</f>
        <v>2016</v>
      </c>
      <c r="D9" s="42">
        <f>IF(D8="","",IF(D8+1&gt;Variables!$F$10,"",'Tableau Projection'!D8+1))</f>
        <v>3</v>
      </c>
      <c r="E9" s="43">
        <f>IF(D8="","",IF(D8+1&gt;Variables!$F$10,"",'Tableau Projection'!L8))</f>
        <v>3958.6363322789311</v>
      </c>
      <c r="F9" s="42">
        <f>IF(D9="","",IF(D9&lt;=Variables!$F$10,Variables!$F$9,""))</f>
        <v>950</v>
      </c>
      <c r="G9" s="43">
        <f>IF(D9="","",(Tableau1[[#This Row],[Versements annuels]]*Variables!$F$12)+Tableau447[[#Totals],[Frais de versement]])</f>
        <v>11.875</v>
      </c>
      <c r="H9" s="42">
        <f>IF(Tableau1[[#This Row],[Années2]]="","",Tableau447[[#Totals],[Versement]])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51.540681488928385</v>
      </c>
      <c r="K9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6.1853775172098242</v>
      </c>
      <c r="L9" s="43">
        <f>IF(D9="","",Tableau1[[#This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4942.1166362506501</v>
      </c>
    </row>
    <row r="10" spans="1:14" ht="28" customHeight="1">
      <c r="C10" s="42">
        <f ca="1">IF(Tableau1[[#This Row],[Années2]]="","",C9+1)</f>
        <v>2017</v>
      </c>
      <c r="D10" s="42">
        <f>IF(D9="","",IF(D9+1&gt;Variables!$F$10,"",'Tableau Projection'!D9+1))</f>
        <v>4</v>
      </c>
      <c r="E10" s="43">
        <f>IF(D9="","",IF(D9+1&gt;Variables!$F$10,"",'Tableau Projection'!L9))</f>
        <v>4942.1166362506501</v>
      </c>
      <c r="F10" s="42">
        <f>IF(D10="","",IF(D10&lt;=Variables!$F$10,Variables!$F$9,""))</f>
        <v>950</v>
      </c>
      <c r="G10" s="43">
        <f>IF(D10="","",(Tableau1[[#This Row],[Versements annuels]]*Variables!$F$12)+Tableau4478[[#Totals],[Frais de versement]])</f>
        <v>11.875</v>
      </c>
      <c r="H10" s="42">
        <f>IF(Tableau1[[#This Row],[Années2]]="","",Tableau4478[[#Totals],[Versement]])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>61.867224680631807</v>
      </c>
      <c r="K10" s="43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>7.4276360761641023</v>
      </c>
      <c r="L10" s="43">
        <f>IF(D10="","",Tableau1[[#This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>5934.6812248551178</v>
      </c>
    </row>
    <row r="11" spans="1:14" ht="28" customHeight="1">
      <c r="C11" s="42" t="str">
        <f>IF(Tableau1[[#This Row],[Années2]]="","",C10+1)</f>
        <v/>
      </c>
      <c r="D11" s="42" t="str">
        <f>IF(D10="","",IF(D10+1&gt;Variables!$F$10,"",'Tableau Projection'!D10+1))</f>
        <v/>
      </c>
      <c r="E11" s="43" t="str">
        <f>IF(D10="","",IF(D10+1&gt;Variables!$F$10,"",'Tableau Projection'!L10))</f>
        <v/>
      </c>
      <c r="F11" s="42" t="str">
        <f>IF(D11="","",IF(D11&lt;=Variables!$F$10,Variables!$F$9,""))</f>
        <v/>
      </c>
      <c r="G11" s="43" t="str">
        <f>IF(D11="","",(Tableau1[[#This Row],[Versements annuels]]*Variables!$F$12)+Tableau44789[[#Totals],[Frais de versement]])</f>
        <v/>
      </c>
      <c r="H11" s="42" t="str">
        <f>IF(Tableau1[[#This Row],[Années2]]="","",Tableau44789[[#Totals],[Versement]])</f>
        <v/>
      </c>
      <c r="I11" s="44" t="str">
        <f>IF(D11="","",IF(Variables!$F$13*AVERAGE(I10,I9)&gt;1.05%,Variables!$F$13*AVERAGE(I10,I9),1.05%))</f>
        <v/>
      </c>
      <c r="J11" s="45" t="str">
        <f>IF(D11="","",Tableau4[[#Totals],[Interet]]+((Tableau1[[#This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1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1" s="43" t="str">
        <f>IF(D11="","",Tableau1[[#This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2" spans="1:14" ht="28" customHeight="1">
      <c r="C12" s="42" t="str">
        <f>IF(Tableau1[[#This Row],[Années2]]="","",C11+1)</f>
        <v/>
      </c>
      <c r="D12" s="42" t="str">
        <f>IF(D11="","",IF(D11+1&gt;Variables!$F$10,"",'Tableau Projection'!D11+1))</f>
        <v/>
      </c>
      <c r="E12" s="43" t="str">
        <f>IF(D11="","",IF(D11+1&gt;Variables!$F$10,"",'Tableau Projection'!L11))</f>
        <v/>
      </c>
      <c r="F12" s="42" t="str">
        <f>IF(D12="","",IF(D12&lt;=Variables!$F$10,Variables!$F$9,""))</f>
        <v/>
      </c>
      <c r="G12" s="43" t="str">
        <f>IF(D12="","",(Tableau1[[#This Row],[Versements annuels]]*Variables!$F$12)+Tableau4478910[[#Totals],[Frais de versement]])</f>
        <v/>
      </c>
      <c r="H12" s="42" t="str">
        <f>IF(Tableau1[[#This Row],[Années2]]="","",Tableau4478910[[#Totals],[Versement]])</f>
        <v/>
      </c>
      <c r="I12" s="44" t="str">
        <f>IF(D12="","",IF(Variables!$F$13*AVERAGE(I11,I10)&gt;1.05%,Variables!$F$13*AVERAGE(I11,I10),1.05%))</f>
        <v/>
      </c>
      <c r="J12" s="45" t="str">
        <f>IF(D12="","",Tableau4[[#Totals],[Interet]]+((Tableau1[[#This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2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2" s="43" t="str">
        <f>IF(D12="","",Tableau1[[#This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3" spans="1:14" ht="28" customHeight="1">
      <c r="C13" s="42" t="str">
        <f>IF(Tableau1[[#This Row],[Années2]]="","",C12+1)</f>
        <v/>
      </c>
      <c r="D13" s="42" t="str">
        <f>IF(D12="","",IF(D12+1&gt;Variables!$F$10,"",'Tableau Projection'!D12+1))</f>
        <v/>
      </c>
      <c r="E13" s="43" t="str">
        <f>IF(D12="","",IF(D12+1&gt;Variables!$F$10,"",'Tableau Projection'!L12))</f>
        <v/>
      </c>
      <c r="F13" s="42" t="str">
        <f>IF(D13="","",IF(D13&lt;=Variables!$F$10,Variables!$F$9,""))</f>
        <v/>
      </c>
      <c r="G13" s="43" t="str">
        <f>IF(D13="","",(Tableau1[[#This Row],[Versements annuels]]*Variables!$F$12)+Tableau447891011[[#Totals],[Frais de versement]])</f>
        <v/>
      </c>
      <c r="H13" s="42" t="str">
        <f>IF(Tableau1[[#This Row],[Années2]]="","",Tableau447891011[[#Totals],[Versement]])</f>
        <v/>
      </c>
      <c r="I13" s="44" t="str">
        <f>IF(D13="","",IF(Variables!$F$13*AVERAGE(I12,I11)&gt;1.05%,Variables!$F$13*AVERAGE(I12,I11),1.05%))</f>
        <v/>
      </c>
      <c r="J13" s="45" t="str">
        <f>IF(D13="","",Tableau4[[#Totals],[Interet]]+((Tableau1[[#This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3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3" s="43" t="str">
        <f>IF(D13="","",Tableau1[[#This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4" spans="1:14" ht="28" customHeight="1">
      <c r="C14" s="42" t="str">
        <f>IF(Tableau1[[#This Row],[Années2]]="","",C13+1)</f>
        <v/>
      </c>
      <c r="D14" s="42" t="str">
        <f>IF(D13="","",IF(D13+1&gt;Variables!$F$10,"",'Tableau Projection'!D13+1))</f>
        <v/>
      </c>
      <c r="E14" s="43" t="str">
        <f>IF(D13="","",IF(D13+1&gt;Variables!$F$10,"",'Tableau Projection'!L13))</f>
        <v/>
      </c>
      <c r="F14" s="42" t="str">
        <f>IF(D14="","",IF(D14&lt;=Variables!$F$10,Variables!$F$9,""))</f>
        <v/>
      </c>
      <c r="G14" s="43" t="str">
        <f>IF(D14="","",(Tableau1[[#This Row],[Versements annuels]]*Variables!$F$12)+Tableau44789101112[[#Totals],[Frais de versement]])</f>
        <v/>
      </c>
      <c r="H14" s="42" t="str">
        <f>IF(Tableau1[[#This Row],[Années2]]="","",Tableau44789101112[[#Totals],[Versement]])</f>
        <v/>
      </c>
      <c r="I14" s="44" t="str">
        <f>IF(D14="","",IF(Variables!$F$13*AVERAGE(I13,I12)&gt;1.05%,Variables!$F$13*AVERAGE(I13,I12),1.05%))</f>
        <v/>
      </c>
      <c r="J14" s="45" t="str">
        <f>IF(D14="","",Tableau4[[#Totals],[Interet]]+((Tableau1[[#This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4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4" s="43" t="str">
        <f>IF(D14="","",Tableau1[[#This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5" spans="1:14" ht="28" customHeight="1">
      <c r="C15" s="42" t="str">
        <f>IF(Tableau1[[#This Row],[Années2]]="","",C14+1)</f>
        <v/>
      </c>
      <c r="D15" s="42" t="str">
        <f>IF(D14="","",IF(D14+1&gt;Variables!$F$10,"",'Tableau Projection'!D14+1))</f>
        <v/>
      </c>
      <c r="E15" s="43" t="str">
        <f>IF(D14="","",IF(D14+1&gt;Variables!$F$10,"",'Tableau Projection'!L14))</f>
        <v/>
      </c>
      <c r="F15" s="42" t="str">
        <f>IF(D15="","",IF(D15&lt;=Variables!$F$10,Variables!$F$9,""))</f>
        <v/>
      </c>
      <c r="G15" s="43" t="str">
        <f>IF(D15="","",(Tableau1[[#This Row],[Versements annuels]]*Variables!$F$12)+Tableau4478910111213[[#Totals],[Frais de versement]])</f>
        <v/>
      </c>
      <c r="H15" s="42" t="str">
        <f>IF(Tableau1[[#This Row],[Années2]]="","",Tableau4478910111213[[#Totals],[Versement]])</f>
        <v/>
      </c>
      <c r="I15" s="44" t="str">
        <f>IF(D15="","",IF(Variables!$F$13*AVERAGE(I14,I13)&gt;1.05%,Variables!$F$13*AVERAGE(I14,I13),1.05%))</f>
        <v/>
      </c>
      <c r="J15" s="45" t="str">
        <f>IF(D15="","",Tableau4[[#Totals],[Interet]]+((Tableau1[[#This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5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5" s="43" t="str">
        <f>IF(D15="","",Tableau1[[#This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6" spans="1:14" ht="28" customHeight="1">
      <c r="C16" s="42" t="str">
        <f>IF(Tableau1[[#This Row],[Années2]]="","",C15+1)</f>
        <v/>
      </c>
      <c r="D16" s="42" t="str">
        <f>IF(D15="","",IF(D15+1&gt;Variables!$F$10,"",'Tableau Projection'!D15+1))</f>
        <v/>
      </c>
      <c r="E16" s="43" t="str">
        <f>IF(D15="","",IF(D15+1&gt;Variables!$F$10,"",'Tableau Projection'!L15))</f>
        <v/>
      </c>
      <c r="F16" s="42" t="str">
        <f>IF(D16="","",IF(D16&lt;=Variables!$F$10,Variables!$F$9,""))</f>
        <v/>
      </c>
      <c r="G16" s="43" t="str">
        <f>IF(D16="","",(Tableau1[[#This Row],[Versements annuels]]*Variables!$F$12)+Tableau447891011121314[[#Totals],[Frais de versement]])</f>
        <v/>
      </c>
      <c r="H16" s="42" t="str">
        <f>IF(Tableau1[[#This Row],[Années2]]="","",Tableau447891011121314[[#Totals],[Versement]])</f>
        <v/>
      </c>
      <c r="I16" s="44" t="str">
        <f>IF(D16="","",IF(Variables!$F$13*AVERAGE(I15,I14)&gt;1.05%,Variables!$F$13*AVERAGE(I15,I14),1.05%))</f>
        <v/>
      </c>
      <c r="J16" s="45" t="str">
        <f>IF(D16="","",Tableau4[[#Totals],[Interet]]+((Tableau1[[#This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6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6" s="43" t="str">
        <f>IF(D16="","",Tableau1[[#This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7" spans="3:12" ht="28" customHeight="1">
      <c r="C17" s="42" t="str">
        <f>IF(Tableau1[[#This Row],[Années2]]="","",C16+1)</f>
        <v/>
      </c>
      <c r="D17" s="42" t="str">
        <f>IF(D16="","",IF(D16+1&gt;Variables!$F$10,"",'Tableau Projection'!D16+1))</f>
        <v/>
      </c>
      <c r="E17" s="43" t="str">
        <f>IF(D16="","",IF(D16+1&gt;Variables!$F$10,"",'Tableau Projection'!L16))</f>
        <v/>
      </c>
      <c r="F17" s="42" t="str">
        <f>IF(D17="","",IF(D17&lt;=Variables!$F$10,Variables!$F$9,""))</f>
        <v/>
      </c>
      <c r="G17" s="43" t="str">
        <f>IF(D17="","",(Tableau1[[#This Row],[Versements annuels]]*Variables!$F$12)+Tableau44789101112131415[[#Totals],[Frais de versement]])</f>
        <v/>
      </c>
      <c r="H17" s="46" t="str">
        <f>IF(Tableau1[[#This Row],[Années2]]="","",Tableau44789101112131415[[#Totals],[Versement]])</f>
        <v/>
      </c>
      <c r="I17" s="44" t="str">
        <f>IF(D17="","",IF(Variables!$F$13*AVERAGE(I16,I15)&gt;1.05%,Variables!$F$13*AVERAGE(I16,I15),1.05%))</f>
        <v/>
      </c>
      <c r="J17" s="45" t="str">
        <f>IF(D17="","",Tableau4[[#Totals],[Interet]]+((Tableau1[[#This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7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7" s="43" t="str">
        <f>IF(D17="","",Tableau1[[#This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8" spans="3:12" ht="28" customHeight="1">
      <c r="C18" s="42" t="str">
        <f>IF(Tableau1[[#This Row],[Années2]]="","",C17+1)</f>
        <v/>
      </c>
      <c r="D18" s="42" t="str">
        <f>IF(D17="","",IF(D17+1&gt;Variables!$F$10,"",'Tableau Projection'!D17+1))</f>
        <v/>
      </c>
      <c r="E18" s="43" t="str">
        <f>IF(D17="","",IF(D17+1&gt;Variables!$F$10,"",'Tableau Projection'!L17))</f>
        <v/>
      </c>
      <c r="F18" s="42" t="str">
        <f>IF(D18="","",IF(D18&lt;=Variables!$F$10,Variables!$F$9,""))</f>
        <v/>
      </c>
      <c r="G18" s="43" t="str">
        <f>IF(D18="","",(Tableau1[[#This Row],[Versements annuels]]*Variables!$F$12)+Tableau4478910111213141516[[#Totals],[Frais de versement]])</f>
        <v/>
      </c>
      <c r="H18" s="46" t="str">
        <f>IF(Tableau1[[#This Row],[Années2]]="","",Tableau4478910111213141516[[#Totals],[Versement]])</f>
        <v/>
      </c>
      <c r="I18" s="44" t="str">
        <f>IF(D18="","",IF(Variables!$F$13*AVERAGE(I17,I16)&gt;1.05%,Variables!$F$13*AVERAGE(I17,I16),1.05%))</f>
        <v/>
      </c>
      <c r="J18" s="45" t="str">
        <f>IF(D18="","",Tableau4[[#Totals],[Interet]]+((Tableau1[[#This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8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8" s="43" t="str">
        <f>IF(D18="","",Tableau1[[#This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19" spans="3:12" ht="28" customHeight="1">
      <c r="C19" s="42" t="str">
        <f>IF(Tableau1[[#This Row],[Années2]]="","",C18+1)</f>
        <v/>
      </c>
      <c r="D19" s="42" t="str">
        <f>IF(D18="","",IF(D18+1&gt;Variables!$F$10,"",'Tableau Projection'!D18+1))</f>
        <v/>
      </c>
      <c r="E19" s="43" t="str">
        <f>IF(D18="","",IF(D18+1&gt;Variables!$F$10,"",'Tableau Projection'!L18))</f>
        <v/>
      </c>
      <c r="F19" s="42" t="str">
        <f>IF(D19="","",IF(D19&lt;=Variables!$F$10,Variables!$F$9,""))</f>
        <v/>
      </c>
      <c r="G19" s="43" t="str">
        <f>IF(D19="","",(Tableau1[[#This Row],[Versements annuels]]*Variables!$F$12)+Tableau447891011121314151617[[#Totals],[Frais de versement]])</f>
        <v/>
      </c>
      <c r="H19" s="46" t="str">
        <f>IF(Tableau1[[#This Row],[Années2]]="","",Tableau447891011121314151617[[#Totals],[Versement]])</f>
        <v/>
      </c>
      <c r="I19" s="44" t="str">
        <f>IF(D19="","",IF(Variables!$F$13*AVERAGE(I18,I17)&gt;1.05%,Variables!$F$13*AVERAGE(I18,I17),1.05%))</f>
        <v/>
      </c>
      <c r="J19" s="45" t="str">
        <f>IF(D19="","",Tableau4[[#Totals],[Interet]]+((Tableau1[[#This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19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19" s="43" t="str">
        <f>IF(D19="","",Tableau1[[#This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0" spans="3:12" ht="28" customHeight="1">
      <c r="C20" s="42" t="str">
        <f>IF(Tableau1[[#This Row],[Années2]]="","",C19+1)</f>
        <v/>
      </c>
      <c r="D20" s="42" t="str">
        <f>IF(D19="","",IF(D19+1&gt;Variables!$F$10,"",'Tableau Projection'!D19+1))</f>
        <v/>
      </c>
      <c r="E20" s="43" t="str">
        <f>IF(D19="","",IF(D19+1&gt;Variables!$F$10,"",'Tableau Projection'!L19))</f>
        <v/>
      </c>
      <c r="F20" s="42" t="str">
        <f>IF(D20="","",IF(D20&lt;=Variables!$F$10,Variables!$F$9,""))</f>
        <v/>
      </c>
      <c r="G20" s="43" t="str">
        <f>IF(D20="","",(Tableau1[[#This Row],[Versements annuels]]*Variables!$F$12)+Tableau44789101112131415161718[[#Totals],[Frais de versement]])</f>
        <v/>
      </c>
      <c r="H20" s="46" t="str">
        <f>IF(Tableau1[[#This Row],[Années2]]="","",Tableau44789101112131415161718[[#Totals],[Versement]])</f>
        <v/>
      </c>
      <c r="I20" s="44" t="str">
        <f>IF(D20="","",IF(Variables!$F$13*AVERAGE(I19,I18)&gt;1.05%,Variables!$F$13*AVERAGE(I19,I18),1.05%))</f>
        <v/>
      </c>
      <c r="J20" s="45" t="str">
        <f>IF(D20="","",Tableau4[[#Totals],[Interet]]+((Tableau1[[#This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0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0" s="43" t="str">
        <f>IF(D20="","",Tableau1[[#This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1" spans="3:12" ht="28" customHeight="1">
      <c r="C21" s="42" t="str">
        <f>IF(Tableau1[[#This Row],[Années2]]="","",C20+1)</f>
        <v/>
      </c>
      <c r="D21" s="42" t="str">
        <f>IF(D20="","",IF(D20+1&gt;Variables!$F$10,"",'Tableau Projection'!D20+1))</f>
        <v/>
      </c>
      <c r="E21" s="43" t="str">
        <f>IF(D20="","",IF(D20+1&gt;Variables!$F$10,"",'Tableau Projection'!L20))</f>
        <v/>
      </c>
      <c r="F21" s="42" t="str">
        <f>IF(D21="","",IF(D21&lt;=Variables!$F$10,Variables!$F$9,""))</f>
        <v/>
      </c>
      <c r="G21" s="43" t="str">
        <f>IF(D21="","",(Tableau1[[#This Row],[Versements annuels]]*Variables!$F$12)+Tableau4478910111213141516171819[[#Totals],[Frais de versement]])</f>
        <v/>
      </c>
      <c r="H21" s="46" t="str">
        <f>IF(Tableau1[[#This Row],[Années2]]="","",Tableau4478910111213141516171819[[#Totals],[Versement]])</f>
        <v/>
      </c>
      <c r="I21" s="44" t="str">
        <f>IF(D21="","",IF(Variables!$F$13*AVERAGE(I20,I19)&gt;1.05%,Variables!$F$13*AVERAGE(I20,I19),1.05%))</f>
        <v/>
      </c>
      <c r="J21" s="45" t="str">
        <f>IF(D21="","",Tableau4[[#Totals],[Interet]]+((Tableau1[[#This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1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1" s="43" t="str">
        <f>IF(D21="","",Tableau1[[#This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2" spans="3:12" ht="28" customHeight="1">
      <c r="C22" s="42" t="str">
        <f>IF(Tableau1[[#This Row],[Années2]]="","",C21+1)</f>
        <v/>
      </c>
      <c r="D22" s="42" t="str">
        <f>IF(D21="","",IF(D21+1&gt;Variables!$F$10,"",'Tableau Projection'!D21+1))</f>
        <v/>
      </c>
      <c r="E22" s="43" t="str">
        <f>IF(D21="","",IF(D21+1&gt;Variables!$F$10,"",'Tableau Projection'!L21))</f>
        <v/>
      </c>
      <c r="F22" s="42" t="str">
        <f>IF(D22="","",IF(D22&lt;=Variables!$F$10,Variables!$F$9,""))</f>
        <v/>
      </c>
      <c r="G22" s="43" t="str">
        <f>IF(D22="","",(Tableau1[[#This Row],[Versements annuels]]*Variables!$F$12)+Tableau447891011121314151617181920[[#Totals],[Frais de versement]])</f>
        <v/>
      </c>
      <c r="H22" s="46" t="str">
        <f>IF(Tableau1[[#This Row],[Années2]]="","",Tableau447891011121314151617181920[[#Totals],[Versement]])</f>
        <v/>
      </c>
      <c r="I22" s="44" t="str">
        <f>IF(D22="","",IF(Variables!$F$13*AVERAGE(I21,I20)&gt;1.05%,Variables!$F$13*AVERAGE(I21,I20),1.05%))</f>
        <v/>
      </c>
      <c r="J22" s="45" t="str">
        <f>IF(D22="","",Tableau4[[#Totals],[Interet]]+((Tableau1[[#This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2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2" s="43" t="str">
        <f>IF(D22="","",Tableau1[[#This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3" spans="3:12" ht="28" customHeight="1">
      <c r="C23" s="42" t="str">
        <f>IF(Tableau1[[#This Row],[Années2]]="","",C22+1)</f>
        <v/>
      </c>
      <c r="D23" s="42" t="str">
        <f>IF(D22="","",IF(D22+1&gt;Variables!$F$10,"",'Tableau Projection'!D22+1))</f>
        <v/>
      </c>
      <c r="E23" s="43" t="str">
        <f>IF(D22="","",IF(D22+1&gt;Variables!$F$10,"",'Tableau Projection'!L22))</f>
        <v/>
      </c>
      <c r="F23" s="42" t="str">
        <f>IF(D23="","",IF(D23&lt;=Variables!$F$10,Variables!$F$9,""))</f>
        <v/>
      </c>
      <c r="G23" s="43" t="str">
        <f>IF(D23="","",(Tableau1[[#This Row],[Versements annuels]]*Variables!$F$12)+Tableau44789101112131415161718192021[[#Totals],[Frais de versement]])</f>
        <v/>
      </c>
      <c r="H23" s="46" t="str">
        <f>IF(Tableau1[[#This Row],[Années2]]="","",Tableau44789101112131415161718192021[[#Totals],[Versement]])</f>
        <v/>
      </c>
      <c r="I23" s="44" t="str">
        <f>IF(D23="","",IF(Variables!$F$13*AVERAGE(I22,I21)&gt;1.05%,Variables!$F$13*AVERAGE(I22,I21),1.05%))</f>
        <v/>
      </c>
      <c r="J23" s="45" t="str">
        <f>IF(D23="","",Tableau4[[#Totals],[Interet]]+((Tableau1[[#This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3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3" s="43" t="str">
        <f>IF(D23="","",Tableau1[[#This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4" spans="3:12" ht="28" customHeight="1">
      <c r="C24" s="42" t="str">
        <f>IF(Tableau1[[#This Row],[Années2]]="","",C23+1)</f>
        <v/>
      </c>
      <c r="D24" s="42" t="str">
        <f>IF(D23="","",IF(D23+1&gt;Variables!$F$10,"",'Tableau Projection'!D23+1))</f>
        <v/>
      </c>
      <c r="E24" s="43" t="str">
        <f>IF(D23="","",IF(D23+1&gt;Variables!$F$10,"",'Tableau Projection'!L23))</f>
        <v/>
      </c>
      <c r="F24" s="42" t="str">
        <f>IF(D24="","",IF(D24&lt;=Variables!$F$10,Variables!$F$9,""))</f>
        <v/>
      </c>
      <c r="G24" s="43" t="str">
        <f>IF(D24="","",(Tableau1[[#This Row],[Versements annuels]]*Variables!$F$12)+Tableau4478910111213141516171819202122[[#Totals],[Frais de versement]])</f>
        <v/>
      </c>
      <c r="H24" s="46" t="str">
        <f>IF(Tableau1[[#This Row],[Années2]]="","",Tableau4478910111213141516171819202122[[#Totals],[Versement]])</f>
        <v/>
      </c>
      <c r="I24" s="44" t="str">
        <f>IF(D24="","",IF(Variables!$F$13*AVERAGE(I23,I22)&gt;1.05%,Variables!$F$13*AVERAGE(I23,I22),1.05%))</f>
        <v/>
      </c>
      <c r="J24" s="45" t="str">
        <f>IF(D24="","",Tableau4[[#Totals],[Interet]]+((Tableau1[[#This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4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4" s="43" t="str">
        <f>IF(D24="","",Tableau1[[#This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5" spans="3:12" ht="28" customHeight="1">
      <c r="C25" s="42" t="str">
        <f>IF(Tableau1[[#This Row],[Années2]]="","",C24+1)</f>
        <v/>
      </c>
      <c r="D25" s="42" t="str">
        <f>IF(D24="","",IF(D24+1&gt;Variables!$F$10,"",'Tableau Projection'!D24+1))</f>
        <v/>
      </c>
      <c r="E25" s="43" t="str">
        <f>IF(D24="","",IF(D24+1&gt;Variables!$F$10,"",'Tableau Projection'!L24))</f>
        <v/>
      </c>
      <c r="F25" s="42" t="str">
        <f>IF(D25="","",IF(D25&lt;=Variables!$F$10,Variables!$F$9,""))</f>
        <v/>
      </c>
      <c r="G25" s="43" t="str">
        <f>IF(D25="","",(Tableau1[[#This Row],[Versements annuels]]*Variables!$F$12)+Tableau447891011121314151617181920212223[[#Totals],[Frais de versement]])</f>
        <v/>
      </c>
      <c r="H25" s="46" t="str">
        <f>IF(Tableau1[[#This Row],[Années2]]="","",Tableau447891011121314151617181920212223[[#Totals],[Versement]])</f>
        <v/>
      </c>
      <c r="I25" s="44" t="str">
        <f>IF(D25="","",IF(Variables!$F$13*AVERAGE(I24,I23)&gt;1.05%,Variables!$F$13*AVERAGE(I24,I23),1.05%))</f>
        <v/>
      </c>
      <c r="J25" s="45" t="str">
        <f>IF(D25="","",Tableau4[[#Totals],[Interet]]+((Tableau1[[#This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5" s="43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5" s="43" t="str">
        <f>IF(D25="","",Tableau1[[#This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6" spans="3:12" ht="28" customHeight="1">
      <c r="C26" s="47" t="str">
        <f>IF(Tableau1[[#This Row],[Années2]]="","",C25+1)</f>
        <v/>
      </c>
      <c r="D26" s="47" t="str">
        <f>IF(D25="","",IF(D25+1&gt;Variables!$F$10,"",'Tableau Projection'!D25+1))</f>
        <v/>
      </c>
      <c r="E26" s="48" t="str">
        <f>IF(D25="","",IF(D25+1&gt;Variables!$F$10,"",'Tableau Projection'!L25))</f>
        <v/>
      </c>
      <c r="F26" s="47" t="str">
        <f>IF(D26="","",IF(D26&lt;=Variables!$F$10,Variables!$F$9,""))</f>
        <v/>
      </c>
      <c r="G26" s="48" t="str">
        <f>IF(D26="","",(Tableau1[[#This Row],[Versements annuels]]*Variables!$F$12)+Tableau44789101112131415161718192021222324[[#Totals],[Frais de versement]])</f>
        <v/>
      </c>
      <c r="H26" s="49" t="str">
        <f>IF(Tableau1[[#This Row],[Années2]]="","",Tableau44789101112131415161718192021222324[[#Totals],[Versement]])</f>
        <v/>
      </c>
      <c r="I26" s="50" t="str">
        <f>IF(D26="","",IF(Variables!$F$13*AVERAGE(I25,I24)&gt;1.05%,Variables!$F$13*AVERAGE(I25,I24),1.05%))</f>
        <v/>
      </c>
      <c r="J26" s="51" t="str">
        <f>IF(D26="","",Tableau4[[#Totals],[Interet]]+((Tableau1[[#This Row],[Capital]]+Tableau1[[#This Row],[Versements annuels]]+Tableau1[[#This Row],[Versements complémentaires libres autorisés]]))*(1+Tableau1[[#This Row],[Taux de rémunération]])-(Tableau1[[#This Row],[Capital]]+Tableau1[[#This Row],[Versements annuels]]+Tableau1[[#This Row],[Versements complémentaires libres autorisés]]))</f>
        <v/>
      </c>
      <c r="K26" s="48" t="str">
        <f>IF(Tableau1[[#This Row],[Années2]]="","",(Tableau1[[#This Row],[Capital]]+Tableau1[[#This Row],[Versements annuels]]+Tableau1[[#This Row],[Versements complémentaires libres autorisés]]+Tableau1[[#This Row],[Interet]]-Tableau1[[#This Row],[Frais de versement]])*Variables!$F$11)</f>
        <v/>
      </c>
      <c r="L26" s="48" t="str">
        <f>IF(D26="","",Tableau1[[#This Row],[Capital]]+Tableau1[[#This Row],[Versements annuels]]+Tableau1[[#This Row],[Versements complémentaires libres autorisés]]+Tableau1[[#This Row],[Interet]]-Tableau1[[#This Row],[Frais de versement]]-Tableau1[[#This Row],[Frais de gestion]])</f>
        <v/>
      </c>
    </row>
    <row r="27" spans="3:12" ht="28" customHeight="1">
      <c r="C27" s="42" t="s">
        <v>25</v>
      </c>
      <c r="D27" s="52"/>
      <c r="E27" s="43"/>
      <c r="F27" s="46">
        <f>SUBTOTAL(109,Tableau1[Versements annuels])</f>
        <v>3800</v>
      </c>
      <c r="G27" s="43">
        <f>SUBTOTAL(109,Tableau1[Frais de versement])</f>
        <v>47.5</v>
      </c>
      <c r="H27" s="46">
        <f>SUBTOTAL(109,Tableau1[Versements complémentaires libres autorisés])</f>
        <v>0</v>
      </c>
      <c r="I27" s="53"/>
      <c r="J27" s="54">
        <f>SUBTOTAL(109,Tableau1[Interet])</f>
        <v>204.47558947449761</v>
      </c>
      <c r="K27" s="43">
        <f>SUBTOTAL(109,Tableau1[Frais de gestion])</f>
        <v>22.294364619380097</v>
      </c>
      <c r="L27" s="43"/>
    </row>
    <row r="28" spans="3:12">
      <c r="F28" s="3"/>
    </row>
    <row r="29" spans="3:12">
      <c r="F29" s="3"/>
    </row>
    <row r="30" spans="3:12">
      <c r="F30" s="3"/>
    </row>
    <row r="31" spans="3:12">
      <c r="F31" s="3"/>
    </row>
    <row r="32" spans="3:12">
      <c r="F32" s="3"/>
    </row>
    <row r="33" spans="6:6">
      <c r="F33" s="3"/>
    </row>
    <row r="34" spans="6:6">
      <c r="F34" s="3"/>
    </row>
    <row r="35" spans="6:6">
      <c r="F35" s="3"/>
    </row>
    <row r="36" spans="6:6">
      <c r="F36" s="3"/>
    </row>
    <row r="37" spans="6:6">
      <c r="F37" s="3"/>
    </row>
    <row r="38" spans="6:6">
      <c r="F38" s="3"/>
    </row>
    <row r="39" spans="6:6">
      <c r="F39" s="3"/>
    </row>
    <row r="40" spans="6:6">
      <c r="F40" s="3"/>
    </row>
    <row r="41" spans="6:6">
      <c r="F41" s="3"/>
    </row>
    <row r="42" spans="6:6">
      <c r="F42" s="3"/>
    </row>
    <row r="43" spans="6:6">
      <c r="F43" s="3"/>
    </row>
    <row r="44" spans="6:6">
      <c r="F44" s="3"/>
    </row>
    <row r="45" spans="6:6">
      <c r="F45" s="3"/>
    </row>
    <row r="46" spans="6:6">
      <c r="F46" s="3"/>
    </row>
    <row r="47" spans="6:6">
      <c r="F47" s="3"/>
    </row>
    <row r="48" spans="6:6">
      <c r="F48" s="3"/>
    </row>
    <row r="49" spans="6:6">
      <c r="F49" s="3"/>
    </row>
    <row r="50" spans="6:6">
      <c r="F50" s="3"/>
    </row>
    <row r="51" spans="6:6">
      <c r="F51" s="3"/>
    </row>
    <row r="52" spans="6:6">
      <c r="F52" s="3"/>
    </row>
    <row r="53" spans="6:6">
      <c r="F53" s="3"/>
    </row>
    <row r="54" spans="6:6">
      <c r="F54" s="3"/>
    </row>
    <row r="55" spans="6:6">
      <c r="F55" s="3"/>
    </row>
    <row r="56" spans="6:6">
      <c r="F56" s="3"/>
    </row>
  </sheetData>
  <pageMargins left="0.7" right="0.7" top="0.75" bottom="0.75" header="0.3" footer="0.3"/>
  <pageSetup paperSize="9" orientation="portrait" horizontalDpi="1200" verticalDpi="1200"/>
  <ignoredErrors>
    <ignoredError sqref="I7:I9 I10:I26 G8:G9 H8:H11 G10:G11 H13:H26 G12:H12 G13 G14:G15 G16:G26" calculatedColumn="1"/>
    <ignoredError sqref="D8:F26 F7 J8:J26 D7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_xludf.GCD">
                <anchor moveWithCells="1" sizeWithCells="1">
                  <from>
                    <xdr:col>13</xdr:col>
                    <xdr:colOff>12700</xdr:colOff>
                    <xdr:row>9</xdr:row>
                    <xdr:rowOff>38100</xdr:rowOff>
                  </from>
                  <to>
                    <xdr:col>13</xdr:col>
                    <xdr:colOff>1803400</xdr:colOff>
                    <xdr:row>10</xdr:row>
                    <xdr:rowOff>292100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Projection_avec_inflation">
                <anchor moveWithCells="1" sizeWithCells="1">
                  <from>
                    <xdr:col>13</xdr:col>
                    <xdr:colOff>25400</xdr:colOff>
                    <xdr:row>5</xdr:row>
                    <xdr:rowOff>114300</xdr:rowOff>
                  </from>
                  <to>
                    <xdr:col>13</xdr:col>
                    <xdr:colOff>1803400</xdr:colOff>
                    <xdr:row>6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VComplémentaires">
                <anchor moveWithCells="1" sizeWithCells="1">
                  <from>
                    <xdr:col>13</xdr:col>
                    <xdr:colOff>25400</xdr:colOff>
                    <xdr:row>6</xdr:row>
                    <xdr:rowOff>279400</xdr:rowOff>
                  </from>
                  <to>
                    <xdr:col>13</xdr:col>
                    <xdr:colOff>1803400</xdr:colOff>
                    <xdr:row>8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6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enableFormatConditionsCalculation="0">
    <tabColor theme="4" tint="0.39997558519241921"/>
  </sheetPr>
  <dimension ref="A1:O27"/>
  <sheetViews>
    <sheetView showGridLines="0" zoomScale="64" zoomScaleNormal="64" zoomScalePageLayoutView="64" workbookViewId="0">
      <selection activeCell="H35" sqref="H35"/>
    </sheetView>
  </sheetViews>
  <sheetFormatPr baseColWidth="10" defaultRowHeight="14" x14ac:dyDescent="0"/>
  <cols>
    <col min="3" max="3" width="21.33203125" customWidth="1"/>
    <col min="4" max="4" width="0" hidden="1" customWidth="1"/>
    <col min="5" max="5" width="20" customWidth="1"/>
    <col min="6" max="6" width="43.6640625" customWidth="1"/>
    <col min="7" max="7" width="32.5" customWidth="1"/>
    <col min="8" max="8" width="33.83203125" customWidth="1"/>
    <col min="9" max="10" width="18.1640625" customWidth="1"/>
    <col min="11" max="11" width="12.1640625" customWidth="1"/>
    <col min="12" max="12" width="19.1640625" customWidth="1"/>
    <col min="14" max="14" width="23.83203125" style="64" customWidth="1"/>
    <col min="15" max="15" width="10.83203125" style="1"/>
  </cols>
  <sheetData>
    <row r="1" spans="1:14">
      <c r="A1" s="59">
        <f ca="1">TODAY()</f>
        <v>41981</v>
      </c>
      <c r="N1" s="63"/>
    </row>
    <row r="6" spans="1:14" ht="59" customHeight="1">
      <c r="C6" s="35" t="s">
        <v>6</v>
      </c>
      <c r="D6" s="36" t="s">
        <v>24</v>
      </c>
      <c r="E6" s="36" t="s">
        <v>8</v>
      </c>
      <c r="F6" s="36" t="s">
        <v>9</v>
      </c>
      <c r="G6" s="36" t="s">
        <v>3</v>
      </c>
      <c r="H6" s="36" t="s">
        <v>10</v>
      </c>
      <c r="I6" s="37" t="s">
        <v>5</v>
      </c>
      <c r="J6" s="37" t="s">
        <v>21</v>
      </c>
      <c r="K6" s="36" t="s">
        <v>4</v>
      </c>
      <c r="L6" s="36" t="s">
        <v>12</v>
      </c>
    </row>
    <row r="7" spans="1:14" ht="28" customHeight="1">
      <c r="C7" s="38">
        <f ca="1">IF(Tableau125[[#This Row],[Années2]]="","",YEAR(A1))</f>
        <v>2014</v>
      </c>
      <c r="D7" s="38">
        <f>IF(OR(ISBLANK(Variables!$F$10),Variables!$F$10=0),"",1)</f>
        <v>1</v>
      </c>
      <c r="E7" s="39">
        <f>IF(Tableau125[[#This Row],[Années2]]="","",Variables!F8)</f>
        <v>2000</v>
      </c>
      <c r="F7" s="38">
        <f>IF(D7="","",IF(D7&lt;=Variables!$F$10,Variables!$F$9,""))</f>
        <v>950</v>
      </c>
      <c r="G7" s="39">
        <f>IF(D7="","",(Tableau125[[#This Row],[Versements annuels]]*Variables!$F$12)+Tableau4[[#Totals],[Frais de versement]])</f>
        <v>11.875</v>
      </c>
      <c r="H7" s="38">
        <f>IF(Tableau125[[#This Row],[Années2]]="","",Tableau4[[#Totals],[Versement]])</f>
        <v>0</v>
      </c>
      <c r="I7" s="40">
        <f>IF(D7="","",IF(Variables!$F$13*AVERAGE(Variables!$F$20,Variables!$G$20)&gt;1.05%,Variables!$F$13*AVERAGE(Variables!$F$20,Variables!$G$20),1.05%))</f>
        <v>1.47E-2</v>
      </c>
      <c r="J7" s="41">
        <f>IF(D7="","",(Tableau4[[#Totals],[Interet]]+(Tableau125[[#This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43.364999999999782</v>
      </c>
      <c r="K7" s="39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3.7268624999999997</v>
      </c>
      <c r="L7" s="39">
        <f>IF(D7="","",Tableau125[[#This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2977.7631374999996</v>
      </c>
    </row>
    <row r="8" spans="1:14" ht="28" customHeight="1">
      <c r="C8" s="42">
        <f ca="1">IF(Tableau125[[#This Row],[Années2]]="","",C7+1)</f>
        <v>2015</v>
      </c>
      <c r="D8" s="42">
        <f>IF(D7="","",IF(D7+1&gt;Variables!$F$10,"",'Tableau Projection'!D7+1))</f>
        <v>2</v>
      </c>
      <c r="E8" s="43">
        <f>IF(D7="","",IF(D7+1&gt;Variables!$F$10,"",L7))</f>
        <v>2977.7631374999996</v>
      </c>
      <c r="F8" s="42">
        <f>IF(D8="","",IF(D8&lt;=Variables!$F$10,Variables!$F$9,""))</f>
        <v>950</v>
      </c>
      <c r="G8" s="43">
        <f>IF(D8="","",(Tableau125[[#This Row],[Versements annuels]]*Variables!$F$12)+Tableau44[[#Totals],[Frais de versement]])</f>
        <v>11.875</v>
      </c>
      <c r="H8" s="42">
        <f>IF(Tableau125[[#This Row],[Années2]]="","",Tableau44[[#Totals],[Versement]])</f>
        <v>0</v>
      </c>
      <c r="I8" s="44">
        <f>IF(D8="","",IF(Variables!$F$13*AVERAGE(I7,Variables!$G$20)&gt;1.05%,Variables!$F$13*AVERAGE(I7,Variables!$G$20),1.05%))</f>
        <v>1.2145E-2</v>
      </c>
      <c r="J8" s="45">
        <f>IF(D8="","",(Tableau4[[#Totals],[Interet]]+(Tableau125[[#This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47.702683304937636</v>
      </c>
      <c r="K8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4.9544885260061715</v>
      </c>
      <c r="L8" s="43">
        <f>IF(D8="","",Tableau125[[#This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3958.6363322789311</v>
      </c>
    </row>
    <row r="9" spans="1:14" ht="28" customHeight="1">
      <c r="C9" s="42">
        <f ca="1">IF(Tableau125[[#This Row],[Années2]]="","",C8+1)</f>
        <v>2016</v>
      </c>
      <c r="D9" s="42">
        <f>IF(D8="","",IF(D8+1&gt;Variables!$F$10,"",'Tableau Projection'!D8+1))</f>
        <v>3</v>
      </c>
      <c r="E9" s="43">
        <f>IF(D8="","",IF(D8+1&gt;Variables!$F$10,"",L8))</f>
        <v>3958.6363322789311</v>
      </c>
      <c r="F9" s="42">
        <f>IF(D9="","",IF(D9&lt;=Variables!$F$10,Variables!$F$9,""))</f>
        <v>950</v>
      </c>
      <c r="G9" s="43">
        <f>IF(D9="","",(Tableau125[[#This Row],[Versements annuels]]*Variables!$F$12)+Tableau447[[#Totals],[Frais de versement]])</f>
        <v>11.875</v>
      </c>
      <c r="H9" s="42">
        <f>IF(Tableau125[[#This Row],[Années2]]="","",Tableau447[[#Totals],[Versement]])</f>
        <v>0</v>
      </c>
      <c r="I9" s="44">
        <f>IF(D9="","",IF(Variables!$F$13*AVERAGE(I8,I7)&gt;1.05%,Variables!$F$13*AVERAGE(I8,I7),1.05%))</f>
        <v>1.0500000000000001E-2</v>
      </c>
      <c r="J9" s="45">
        <f>IF(D9="","",(Tableau4[[#Totals],[Interet]]+(Tableau125[[#This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51.540681488928385</v>
      </c>
      <c r="K9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6.1853775172098242</v>
      </c>
      <c r="L9" s="43">
        <f>IF(D9="","",Tableau125[[#This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4942.1166362506501</v>
      </c>
    </row>
    <row r="10" spans="1:14" ht="28" customHeight="1">
      <c r="C10" s="42">
        <f ca="1">IF(Tableau125[[#This Row],[Années2]]="","",C9+1)</f>
        <v>2017</v>
      </c>
      <c r="D10" s="42">
        <f>IF(D9="","",IF(D9+1&gt;Variables!$F$10,"",'Tableau Projection'!D9+1))</f>
        <v>4</v>
      </c>
      <c r="E10" s="43">
        <f>IF(D9="","",IF(D9+1&gt;Variables!$F$10,"",L9))</f>
        <v>4942.1166362506501</v>
      </c>
      <c r="F10" s="42">
        <f>IF(D10="","",IF(D10&lt;=Variables!$F$10,Variables!$F$9,""))</f>
        <v>950</v>
      </c>
      <c r="G10" s="43">
        <f>IF(D10="","",(Tableau125[[#This Row],[Versements annuels]]*Variables!$F$12)+Tableau4478[[#Totals],[Frais de versement]])</f>
        <v>11.875</v>
      </c>
      <c r="H10" s="42">
        <f>IF(Tableau125[[#This Row],[Années2]]="","",Tableau4478[[#Totals],[Versement]])</f>
        <v>0</v>
      </c>
      <c r="I10" s="44">
        <f>IF(D10="","",IF(Variables!$F$13*AVERAGE(I9,I8)&gt;1.05%,Variables!$F$13*AVERAGE(I9,I8),1.05%))</f>
        <v>1.0500000000000001E-2</v>
      </c>
      <c r="J10" s="45">
        <f>IF(D10="","",(Tableau4[[#Totals],[Interet]]+(Tableau125[[#This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>61.867224680631807</v>
      </c>
      <c r="K10" s="43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>7.4276360761641023</v>
      </c>
      <c r="L10" s="43">
        <f>IF(D10="","",Tableau125[[#This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>5934.6812248551178</v>
      </c>
    </row>
    <row r="11" spans="1:14" ht="28" customHeight="1">
      <c r="C11" s="42" t="str">
        <f>IF(Tableau125[[#This Row],[Années2]]="","",C10+1)</f>
        <v/>
      </c>
      <c r="D11" s="42" t="str">
        <f>IF(D10="","",IF(D10+1&gt;Variables!$F$10,"",'Tableau Projection'!D10+1))</f>
        <v/>
      </c>
      <c r="E11" s="43" t="str">
        <f>IF(D10="","",IF(D10+1&gt;Variables!$F$10,"",L10))</f>
        <v/>
      </c>
      <c r="F11" s="42" t="str">
        <f>IF(D11="","",IF(D11&lt;=Variables!$F$10,Variables!$F$9,""))</f>
        <v/>
      </c>
      <c r="G11" s="43" t="str">
        <f>IF(D11="","",(Tableau125[[#This Row],[Versements annuels]]*Variables!$F$12)+Tableau44789[[#Totals],[Frais de versement]])</f>
        <v/>
      </c>
      <c r="H11" s="42" t="str">
        <f>IF(Tableau125[[#This Row],[Années2]]="","",Tableau44789[[#Totals],[Versement]])</f>
        <v/>
      </c>
      <c r="I11" s="44" t="str">
        <f>IF(D11="","",IF(Variables!$F$13*AVERAGE(I10,I9)&gt;1.05%,Variables!$F$13*AVERAGE(I10,I9),1.05%))</f>
        <v/>
      </c>
      <c r="J11" s="45" t="str">
        <f>IF(D11="","",(Tableau4[[#Totals],[Interet]]+(Tableau125[[#This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1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1" s="43" t="str">
        <f>IF(D11="","",Tableau125[[#This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2" spans="1:14" ht="28" customHeight="1">
      <c r="C12" s="42" t="str">
        <f>IF(Tableau125[[#This Row],[Années2]]="","",C11+1)</f>
        <v/>
      </c>
      <c r="D12" s="42" t="str">
        <f>IF(D11="","",IF(D11+1&gt;Variables!$F$10,"",'Tableau Projection'!D11+1))</f>
        <v/>
      </c>
      <c r="E12" s="43" t="str">
        <f>IF(D11="","",IF(D11+1&gt;Variables!$F$10,"",L11))</f>
        <v/>
      </c>
      <c r="F12" s="42" t="str">
        <f>IF(D12="","",IF(D12&lt;=Variables!$F$10,Variables!$F$9,""))</f>
        <v/>
      </c>
      <c r="G12" s="43" t="str">
        <f>IF(D12="","",(Tableau125[[#This Row],[Versements annuels]]*Variables!$F$12)+Tableau4478910[[#Totals],[Frais de versement]])</f>
        <v/>
      </c>
      <c r="H12" s="42" t="str">
        <f>IF(Tableau125[[#This Row],[Années2]]="","",Tableau4478910[[#Totals],[Versement]])</f>
        <v/>
      </c>
      <c r="I12" s="44" t="str">
        <f>IF(D12="","",IF(Variables!$F$13*AVERAGE(I11,I10)&gt;1.05%,Variables!$F$13*AVERAGE(I11,I10),1.05%))</f>
        <v/>
      </c>
      <c r="J12" s="45" t="str">
        <f>IF(D12="","",(Tableau4[[#Totals],[Interet]]+(Tableau125[[#This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2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2" s="43" t="str">
        <f>IF(D12="","",Tableau125[[#This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3" spans="1:14" ht="28" customHeight="1">
      <c r="C13" s="42" t="str">
        <f>IF(Tableau125[[#This Row],[Années2]]="","",C12+1)</f>
        <v/>
      </c>
      <c r="D13" s="42" t="str">
        <f>IF(D12="","",IF(D12+1&gt;Variables!$F$10,"",'Tableau Projection'!D12+1))</f>
        <v/>
      </c>
      <c r="E13" s="43" t="str">
        <f>IF(D12="","",IF(D12+1&gt;Variables!$F$10,"",L12))</f>
        <v/>
      </c>
      <c r="F13" s="42" t="str">
        <f>IF(D13="","",IF(D13&lt;=Variables!$F$10,Variables!$F$9,""))</f>
        <v/>
      </c>
      <c r="G13" s="43" t="str">
        <f>IF(D13="","",(Tableau125[[#This Row],[Versements annuels]]*Variables!$F$12)+Tableau447891011[[#Totals],[Frais de versement]])</f>
        <v/>
      </c>
      <c r="H13" s="42" t="str">
        <f>IF(Tableau125[[#This Row],[Années2]]="","",Tableau447891011[[#Totals],[Versement]])</f>
        <v/>
      </c>
      <c r="I13" s="44" t="str">
        <f>IF(D13="","",IF(Variables!$F$13*AVERAGE(I12,I11)&gt;1.05%,Variables!$F$13*AVERAGE(I12,I11),1.05%))</f>
        <v/>
      </c>
      <c r="J13" s="45" t="str">
        <f>IF(D13="","",(Tableau4[[#Totals],[Interet]]+(Tableau125[[#This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3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3" s="43" t="str">
        <f>IF(D13="","",Tableau125[[#This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4" spans="1:14" ht="28" customHeight="1">
      <c r="C14" s="42" t="str">
        <f>IF(Tableau125[[#This Row],[Années2]]="","",C13+1)</f>
        <v/>
      </c>
      <c r="D14" s="42" t="str">
        <f>IF(D13="","",IF(D13+1&gt;Variables!$F$10,"",'Tableau Projection'!D13+1))</f>
        <v/>
      </c>
      <c r="E14" s="43" t="str">
        <f>IF(D13="","",IF(D13+1&gt;Variables!$F$10,"",L13))</f>
        <v/>
      </c>
      <c r="F14" s="42" t="str">
        <f>IF(D14="","",IF(D14&lt;=Variables!$F$10,Variables!$F$9,""))</f>
        <v/>
      </c>
      <c r="G14" s="43" t="str">
        <f>IF(D14="","",(Tableau125[[#This Row],[Versements annuels]]*Variables!$F$12)+Tableau44789101112[[#Totals],[Frais de versement]])</f>
        <v/>
      </c>
      <c r="H14" s="42" t="str">
        <f>IF(Tableau125[[#This Row],[Années2]]="","",Tableau44789101112[[#Totals],[Versement]])</f>
        <v/>
      </c>
      <c r="I14" s="44" t="str">
        <f>IF(D14="","",IF(Variables!$F$13*AVERAGE(I13,I12)&gt;1.05%,Variables!$F$13*AVERAGE(I13,I12),1.05%))</f>
        <v/>
      </c>
      <c r="J14" s="45" t="str">
        <f>IF(D14="","",(Tableau4[[#Totals],[Interet]]+(Tableau125[[#This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4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4" s="43" t="str">
        <f>IF(D14="","",Tableau125[[#This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5" spans="1:14" ht="28" customHeight="1">
      <c r="C15" s="42" t="str">
        <f>IF(Tableau125[[#This Row],[Années2]]="","",C14+1)</f>
        <v/>
      </c>
      <c r="D15" s="42" t="str">
        <f>IF(D14="","",IF(D14+1&gt;Variables!$F$10,"",'Tableau Projection'!D14+1))</f>
        <v/>
      </c>
      <c r="E15" s="43" t="str">
        <f>IF(D14="","",IF(D14+1&gt;Variables!$F$10,"",L14))</f>
        <v/>
      </c>
      <c r="F15" s="42" t="str">
        <f>IF(D15="","",IF(D15&lt;=Variables!$F$10,Variables!$F$9,""))</f>
        <v/>
      </c>
      <c r="G15" s="43" t="str">
        <f>IF(D15="","",(Tableau125[[#This Row],[Versements annuels]]*Variables!$F$12)+Tableau4478910111213[[#Totals],[Frais de versement]])</f>
        <v/>
      </c>
      <c r="H15" s="42" t="str">
        <f>IF(Tableau125[[#This Row],[Années2]]="","",Tableau4478910111213[[#Totals],[Versement]])</f>
        <v/>
      </c>
      <c r="I15" s="44" t="str">
        <f>IF(D15="","",IF(Variables!$F$13*AVERAGE(I14,I13)&gt;1.05%,Variables!$F$13*AVERAGE(I14,I13),1.05%))</f>
        <v/>
      </c>
      <c r="J15" s="45" t="str">
        <f>IF(D15="","",(Tableau4[[#Totals],[Interet]]+(Tableau125[[#This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5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5" s="43" t="str">
        <f>IF(D15="","",Tableau125[[#This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6" spans="1:14" ht="28" customHeight="1">
      <c r="C16" s="42" t="str">
        <f>IF(Tableau125[[#This Row],[Années2]]="","",C15+1)</f>
        <v/>
      </c>
      <c r="D16" s="42" t="str">
        <f>IF(D15="","",IF(D15+1&gt;Variables!$F$10,"",'Tableau Projection'!D15+1))</f>
        <v/>
      </c>
      <c r="E16" s="43" t="str">
        <f>IF(D15="","",IF(D15+1&gt;Variables!$F$10,"",L15))</f>
        <v/>
      </c>
      <c r="F16" s="42" t="str">
        <f>IF(D16="","",IF(D16&lt;=Variables!$F$10,Variables!$F$9,""))</f>
        <v/>
      </c>
      <c r="G16" s="43" t="str">
        <f>IF(D16="","",(Tableau125[[#This Row],[Versements annuels]]*Variables!$F$12)+Tableau447891011121314[[#Totals],[Frais de versement]])</f>
        <v/>
      </c>
      <c r="H16" s="42" t="str">
        <f>IF(Tableau125[[#This Row],[Années2]]="","",Tableau447891011121314[[#Totals],[Versement]])</f>
        <v/>
      </c>
      <c r="I16" s="44" t="str">
        <f>IF(D16="","",IF(Variables!$F$13*AVERAGE(I15,I14)&gt;1.05%,Variables!$F$13*AVERAGE(I15,I14),1.05%))</f>
        <v/>
      </c>
      <c r="J16" s="45" t="str">
        <f>IF(D16="","",(Tableau4[[#Totals],[Interet]]+(Tableau125[[#This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6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6" s="43" t="str">
        <f>IF(D16="","",Tableau125[[#This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7" spans="3:12" ht="28" customHeight="1">
      <c r="C17" s="42" t="str">
        <f>IF(Tableau125[[#This Row],[Années2]]="","",C16+1)</f>
        <v/>
      </c>
      <c r="D17" s="42" t="str">
        <f>IF(D16="","",IF(D16+1&gt;Variables!$F$10,"",'Tableau Projection'!D16+1))</f>
        <v/>
      </c>
      <c r="E17" s="43" t="str">
        <f>IF(D16="","",IF(D16+1&gt;Variables!$F$10,"",L16))</f>
        <v/>
      </c>
      <c r="F17" s="42" t="str">
        <f>IF(D17="","",IF(D17&lt;=Variables!$F$10,Variables!$F$9,""))</f>
        <v/>
      </c>
      <c r="G17" s="43" t="str">
        <f>IF(D17="","",(Tableau125[[#This Row],[Versements annuels]]*Variables!$F$12)+Tableau44789101112131415[[#Totals],[Frais de versement]])</f>
        <v/>
      </c>
      <c r="H17" s="46" t="str">
        <f>IF(Tableau125[[#This Row],[Années2]]="","",Tableau44789101112131415[[#Totals],[Versement]])</f>
        <v/>
      </c>
      <c r="I17" s="44" t="str">
        <f>IF(D17="","",IF(Variables!$F$13*AVERAGE(I16,I15)&gt;1.05%,Variables!$F$13*AVERAGE(I16,I15),1.05%))</f>
        <v/>
      </c>
      <c r="J17" s="45" t="str">
        <f>IF(D17="","",(Tableau4[[#Totals],[Interet]]+(Tableau125[[#This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7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7" s="43" t="str">
        <f>IF(D17="","",Tableau125[[#This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8" spans="3:12" ht="28" customHeight="1">
      <c r="C18" s="42" t="str">
        <f>IF(Tableau125[[#This Row],[Années2]]="","",C17+1)</f>
        <v/>
      </c>
      <c r="D18" s="42" t="str">
        <f>IF(D17="","",IF(D17+1&gt;Variables!$F$10,"",'Tableau Projection'!D17+1))</f>
        <v/>
      </c>
      <c r="E18" s="43" t="str">
        <f>IF(D17="","",IF(D17+1&gt;Variables!$F$10,"",L17))</f>
        <v/>
      </c>
      <c r="F18" s="42" t="str">
        <f>IF(D18="","",IF(D18&lt;=Variables!$F$10,Variables!$F$9,""))</f>
        <v/>
      </c>
      <c r="G18" s="43" t="str">
        <f>IF(D18="","",(Tableau125[[#This Row],[Versements annuels]]*Variables!$F$12)+Tableau4478910111213141516[[#Totals],[Frais de versement]])</f>
        <v/>
      </c>
      <c r="H18" s="46" t="str">
        <f>IF(Tableau125[[#This Row],[Années2]]="","",Tableau4478910111213141516[[#Totals],[Versement]])</f>
        <v/>
      </c>
      <c r="I18" s="44" t="str">
        <f>IF(D18="","",IF(Variables!$F$13*AVERAGE(I17,I16)&gt;1.05%,Variables!$F$13*AVERAGE(I17,I16),1.05%))</f>
        <v/>
      </c>
      <c r="J18" s="45" t="str">
        <f>IF(D18="","",(Tableau4[[#Totals],[Interet]]+(Tableau125[[#This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8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8" s="43" t="str">
        <f>IF(D18="","",Tableau125[[#This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19" spans="3:12" ht="28" customHeight="1">
      <c r="C19" s="42" t="str">
        <f>IF(Tableau125[[#This Row],[Années2]]="","",C18+1)</f>
        <v/>
      </c>
      <c r="D19" s="42" t="str">
        <f>IF(D18="","",IF(D18+1&gt;Variables!$F$10,"",'Tableau Projection'!D18+1))</f>
        <v/>
      </c>
      <c r="E19" s="43" t="str">
        <f>IF(D18="","",IF(D18+1&gt;Variables!$F$10,"",L18))</f>
        <v/>
      </c>
      <c r="F19" s="42" t="str">
        <f>IF(D19="","",IF(D19&lt;=Variables!$F$10,Variables!$F$9,""))</f>
        <v/>
      </c>
      <c r="G19" s="43" t="str">
        <f>IF(D19="","",(Tableau125[[#This Row],[Versements annuels]]*Variables!$F$12)+Tableau447891011121314151617[[#Totals],[Frais de versement]])</f>
        <v/>
      </c>
      <c r="H19" s="46" t="str">
        <f>IF(Tableau125[[#This Row],[Années2]]="","",Tableau447891011121314151617[[#Totals],[Versement]])</f>
        <v/>
      </c>
      <c r="I19" s="44" t="str">
        <f>IF(D19="","",IF(Variables!$F$13*AVERAGE(I18,I17)&gt;1.05%,Variables!$F$13*AVERAGE(I18,I17),1.05%))</f>
        <v/>
      </c>
      <c r="J19" s="45" t="str">
        <f>IF(D19="","",(Tableau4[[#Totals],[Interet]]+(Tableau125[[#This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19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19" s="43" t="str">
        <f>IF(D19="","",Tableau125[[#This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0" spans="3:12" ht="28" customHeight="1">
      <c r="C20" s="42" t="str">
        <f>IF(Tableau125[[#This Row],[Années2]]="","",C19+1)</f>
        <v/>
      </c>
      <c r="D20" s="42" t="str">
        <f>IF(D19="","",IF(D19+1&gt;Variables!$F$10,"",'Tableau Projection'!D19+1))</f>
        <v/>
      </c>
      <c r="E20" s="43" t="str">
        <f>IF(D19="","",IF(D19+1&gt;Variables!$F$10,"",L19))</f>
        <v/>
      </c>
      <c r="F20" s="42" t="str">
        <f>IF(D20="","",IF(D20&lt;=Variables!$F$10,Variables!$F$9,""))</f>
        <v/>
      </c>
      <c r="G20" s="43" t="str">
        <f>IF(D20="","",(Tableau125[[#This Row],[Versements annuels]]*Variables!$F$12)+Tableau44789101112131415161718[[#Totals],[Frais de versement]])</f>
        <v/>
      </c>
      <c r="H20" s="46" t="str">
        <f>IF(Tableau125[[#This Row],[Années2]]="","",Tableau44789101112131415161718[[#Totals],[Versement]])</f>
        <v/>
      </c>
      <c r="I20" s="44" t="str">
        <f>IF(D20="","",IF(Variables!$F$13*AVERAGE(I19,I18)&gt;1.05%,Variables!$F$13*AVERAGE(I19,I18),1.05%))</f>
        <v/>
      </c>
      <c r="J20" s="45" t="str">
        <f>IF(D20="","",(Tableau4[[#Totals],[Interet]]+(Tableau125[[#This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0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0" s="43" t="str">
        <f>IF(D20="","",Tableau125[[#This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1" spans="3:12" ht="28" customHeight="1">
      <c r="C21" s="42" t="str">
        <f>IF(Tableau125[[#This Row],[Années2]]="","",C20+1)</f>
        <v/>
      </c>
      <c r="D21" s="42" t="str">
        <f>IF(D20="","",IF(D20+1&gt;Variables!$F$10,"",'Tableau Projection'!D20+1))</f>
        <v/>
      </c>
      <c r="E21" s="43" t="str">
        <f>IF(D20="","",IF(D20+1&gt;Variables!$F$10,"",L20))</f>
        <v/>
      </c>
      <c r="F21" s="42" t="str">
        <f>IF(D21="","",IF(D21&lt;=Variables!$F$10,Variables!$F$9,""))</f>
        <v/>
      </c>
      <c r="G21" s="43" t="str">
        <f>IF(D21="","",(Tableau125[[#This Row],[Versements annuels]]*Variables!$F$12)+Tableau4478910111213141516171819[[#Totals],[Frais de versement]])</f>
        <v/>
      </c>
      <c r="H21" s="46" t="str">
        <f>IF(Tableau125[[#This Row],[Années2]]="","",Tableau4478910111213141516171819[[#Totals],[Versement]])</f>
        <v/>
      </c>
      <c r="I21" s="44" t="str">
        <f>IF(D21="","",IF(Variables!$F$13*AVERAGE(I20,I19)&gt;1.05%,Variables!$F$13*AVERAGE(I20,I19),1.05%))</f>
        <v/>
      </c>
      <c r="J21" s="45" t="str">
        <f>IF(D21="","",(Tableau4[[#Totals],[Interet]]+(Tableau125[[#This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1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1" s="43" t="str">
        <f>IF(D21="","",Tableau125[[#This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2" spans="3:12" ht="28" customHeight="1">
      <c r="C22" s="42" t="str">
        <f>IF(Tableau125[[#This Row],[Années2]]="","",C21+1)</f>
        <v/>
      </c>
      <c r="D22" s="42" t="str">
        <f>IF(D21="","",IF(D21+1&gt;Variables!$F$10,"",'Tableau Projection'!D21+1))</f>
        <v/>
      </c>
      <c r="E22" s="43" t="str">
        <f>IF(D21="","",IF(D21+1&gt;Variables!$F$10,"",L21))</f>
        <v/>
      </c>
      <c r="F22" s="42" t="str">
        <f>IF(D22="","",IF(D22&lt;=Variables!$F$10,Variables!$F$9,""))</f>
        <v/>
      </c>
      <c r="G22" s="43" t="str">
        <f>IF(D22="","",(Tableau125[[#This Row],[Versements annuels]]*Variables!$F$12)+Tableau447891011121314151617181920[[#Totals],[Frais de versement]])</f>
        <v/>
      </c>
      <c r="H22" s="46" t="str">
        <f>IF(Tableau125[[#This Row],[Années2]]="","",Tableau447891011121314151617181920[[#Totals],[Versement]])</f>
        <v/>
      </c>
      <c r="I22" s="44" t="str">
        <f>IF(D22="","",IF(Variables!$F$13*AVERAGE(I21,I20)&gt;1.05%,Variables!$F$13*AVERAGE(I21,I20),1.05%))</f>
        <v/>
      </c>
      <c r="J22" s="45" t="str">
        <f>IF(D22="","",(Tableau4[[#Totals],[Interet]]+(Tableau125[[#This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2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2" s="43" t="str">
        <f>IF(D22="","",Tableau125[[#This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3" spans="3:12" ht="28" customHeight="1">
      <c r="C23" s="42" t="str">
        <f>IF(Tableau125[[#This Row],[Années2]]="","",C22+1)</f>
        <v/>
      </c>
      <c r="D23" s="42" t="str">
        <f>IF(D22="","",IF(D22+1&gt;Variables!$F$10,"",'Tableau Projection'!D22+1))</f>
        <v/>
      </c>
      <c r="E23" s="43" t="str">
        <f>IF(D22="","",IF(D22+1&gt;Variables!$F$10,"",L22))</f>
        <v/>
      </c>
      <c r="F23" s="42" t="str">
        <f>IF(D23="","",IF(D23&lt;=Variables!$F$10,Variables!$F$9,""))</f>
        <v/>
      </c>
      <c r="G23" s="43" t="str">
        <f>IF(D23="","",(Tableau125[[#This Row],[Versements annuels]]*Variables!$F$12)+Tableau44789101112131415161718192021[[#Totals],[Frais de versement]])</f>
        <v/>
      </c>
      <c r="H23" s="46" t="str">
        <f>IF(Tableau125[[#This Row],[Années2]]="","",Tableau44789101112131415161718192021[[#Totals],[Versement]])</f>
        <v/>
      </c>
      <c r="I23" s="44" t="str">
        <f>IF(D23="","",IF(Variables!$F$13*AVERAGE(I22,I21)&gt;1.05%,Variables!$F$13*AVERAGE(I22,I21),1.05%))</f>
        <v/>
      </c>
      <c r="J23" s="45" t="str">
        <f>IF(D23="","",(Tableau4[[#Totals],[Interet]]+(Tableau125[[#This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3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3" s="43" t="str">
        <f>IF(D23="","",Tableau125[[#This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4" spans="3:12" ht="28" customHeight="1">
      <c r="C24" s="42" t="str">
        <f>IF(Tableau125[[#This Row],[Années2]]="","",C23+1)</f>
        <v/>
      </c>
      <c r="D24" s="42" t="str">
        <f>IF(D23="","",IF(D23+1&gt;Variables!$F$10,"",'Tableau Projection'!D23+1))</f>
        <v/>
      </c>
      <c r="E24" s="43" t="str">
        <f>IF(D23="","",IF(D23+1&gt;Variables!$F$10,"",L23))</f>
        <v/>
      </c>
      <c r="F24" s="42" t="str">
        <f>IF(D24="","",IF(D24&lt;=Variables!$F$10,Variables!$F$9,""))</f>
        <v/>
      </c>
      <c r="G24" s="43" t="str">
        <f>IF(D24="","",(Tableau125[[#This Row],[Versements annuels]]*Variables!$F$12)+Tableau4478910111213141516171819202122[[#Totals],[Frais de versement]])</f>
        <v/>
      </c>
      <c r="H24" s="46" t="str">
        <f>IF(Tableau125[[#This Row],[Années2]]="","",Tableau4478910111213141516171819202122[[#Totals],[Versement]])</f>
        <v/>
      </c>
      <c r="I24" s="44" t="str">
        <f>IF(D24="","",IF(Variables!$F$13*AVERAGE(I23,I22)&gt;1.05%,Variables!$F$13*AVERAGE(I23,I22),1.05%))</f>
        <v/>
      </c>
      <c r="J24" s="45" t="str">
        <f>IF(D24="","",(Tableau4[[#Totals],[Interet]]+(Tableau125[[#This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4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4" s="43" t="str">
        <f>IF(D24="","",Tableau125[[#This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5" spans="3:12" ht="28" customHeight="1">
      <c r="C25" s="42" t="str">
        <f>IF(Tableau125[[#This Row],[Années2]]="","",C24+1)</f>
        <v/>
      </c>
      <c r="D25" s="42" t="str">
        <f>IF(D24="","",IF(D24+1&gt;Variables!$F$10,"",'Tableau Projection'!D24+1))</f>
        <v/>
      </c>
      <c r="E25" s="43" t="str">
        <f>IF(D24="","",IF(D24+1&gt;Variables!$F$10,"",L24))</f>
        <v/>
      </c>
      <c r="F25" s="42" t="str">
        <f>IF(D25="","",IF(D25&lt;=Variables!$F$10,Variables!$F$9,""))</f>
        <v/>
      </c>
      <c r="G25" s="43" t="str">
        <f>IF(D25="","",(Tableau125[[#This Row],[Versements annuels]]*Variables!$F$12)+Tableau447891011121314151617181920212223[[#Totals],[Frais de versement]])</f>
        <v/>
      </c>
      <c r="H25" s="46" t="str">
        <f>IF(Tableau125[[#This Row],[Années2]]="","",Tableau447891011121314151617181920212223[[#Totals],[Versement]])</f>
        <v/>
      </c>
      <c r="I25" s="44" t="str">
        <f>IF(D25="","",IF(Variables!$F$13*AVERAGE(I24,I23)&gt;1.05%,Variables!$F$13*AVERAGE(I24,I23),1.05%))</f>
        <v/>
      </c>
      <c r="J25" s="45" t="str">
        <f>IF(D25="","",(Tableau4[[#Totals],[Interet]]+(Tableau125[[#This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5" s="43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5" s="43" t="str">
        <f>IF(D25="","",Tableau125[[#This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6" spans="3:12" ht="28" customHeight="1">
      <c r="C26" s="47" t="str">
        <f>IF(Tableau125[[#This Row],[Années2]]="","",C25+1)</f>
        <v/>
      </c>
      <c r="D26" s="47" t="str">
        <f>IF(D25="","",IF(D25+1&gt;Variables!$F$10,"",'Tableau Projection'!D25+1))</f>
        <v/>
      </c>
      <c r="E26" s="48" t="str">
        <f>IF(D25="","",IF(D25+1&gt;Variables!$F$10,"",L25))</f>
        <v/>
      </c>
      <c r="F26" s="47" t="str">
        <f>IF(D26="","",IF(D26&lt;=Variables!$F$10,Variables!$F$9,""))</f>
        <v/>
      </c>
      <c r="G26" s="48" t="str">
        <f>IF(D26="","",(Tableau125[[#This Row],[Versements annuels]]*Variables!$F$12)+Tableau44789101112131415161718192021222324[[#Totals],[Frais de versement]])</f>
        <v/>
      </c>
      <c r="H26" s="49" t="str">
        <f>IF(Tableau125[[#This Row],[Années2]]="","",Tableau44789101112131415161718192021222324[[#Totals],[Versement]])</f>
        <v/>
      </c>
      <c r="I26" s="44" t="str">
        <f>IF(D26="","",IF(Variables!$F$13*AVERAGE(I25,I24)&gt;1.05%,Variables!$F$13*AVERAGE(I25,I24),1.05%))</f>
        <v/>
      </c>
      <c r="J26" s="51" t="str">
        <f>IF(D26="","",(Tableau4[[#Totals],[Interet]]+(Tableau125[[#This Row],[Capital]]+Tableau125[[#This Row],[Versements annuels]]+Tableau125[[#This Row],[Versements complémentaires libres autorisés]]))*(1+Tableau125[[#This Row],[Taux de rémunération]])-(Tableau125[[#This Row],[Capital]]+Tableau125[[#This Row],[Versements annuels]]+Tableau125[[#This Row],[Versements complémentaires libres autorisés]]))</f>
        <v/>
      </c>
      <c r="K26" s="48" t="str">
        <f>IF(Tableau125[[#This Row],[Années2]]="","",(Tableau125[[#This Row],[Capital]]+Tableau125[[#This Row],[Versements annuels]]+Tableau125[[#This Row],[Versements complémentaires libres autorisés]]+Tableau125[[#This Row],[Interet]]-Tableau125[[#This Row],[Frais de versement]])*Variables!$F$11)</f>
        <v/>
      </c>
      <c r="L26" s="48" t="str">
        <f>IF(D26="","",Tableau125[[#This Row],[Capital]]+Tableau125[[#This Row],[Versements annuels]]+Tableau125[[#This Row],[Versements complémentaires libres autorisés]]+Tableau125[[#This Row],[Interet]]-Tableau125[[#This Row],[Frais de versement]]-Tableau125[[#This Row],[Frais de gestion]])</f>
        <v/>
      </c>
    </row>
    <row r="27" spans="3:12" ht="28" customHeight="1">
      <c r="C27" s="42" t="s">
        <v>25</v>
      </c>
      <c r="D27" s="52"/>
      <c r="E27" s="43"/>
      <c r="F27" s="46">
        <f>SUBTOTAL(109,Tableau125[Versements annuels])</f>
        <v>3800</v>
      </c>
      <c r="G27" s="43">
        <f>SUBTOTAL(109,Tableau125[Frais de versement])</f>
        <v>47.5</v>
      </c>
      <c r="H27" s="46">
        <f>SUBTOTAL(109,Tableau125[Versements complémentaires libres autorisés])</f>
        <v>0</v>
      </c>
      <c r="I27" s="60"/>
      <c r="J27" s="54">
        <f>SUBTOTAL(109,Tableau125[Interet])</f>
        <v>204.47558947449761</v>
      </c>
      <c r="K27" s="43">
        <f>SUBTOTAL(109,Tableau125[Frais de gestion])</f>
        <v>22.294364619380097</v>
      </c>
      <c r="L27" s="43"/>
    </row>
  </sheetData>
  <pageMargins left="0.75" right="0.75" top="1" bottom="1" header="0.5" footer="0.5"/>
  <pageSetup paperSize="9" orientation="portrait" horizontalDpi="4294967292" verticalDpi="4294967292"/>
  <ignoredErrors>
    <ignoredError sqref="F8 F7 F10:F26 F9" emptyCellReference="1"/>
    <ignoredError sqref="G8:G26 H8:H26" emptyCellReference="1" calculatedColumn="1"/>
    <ignoredError sqref="I7:I26" calculatedColumn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Valider">
                <anchor moveWithCells="1" sizeWithCells="1">
                  <from>
                    <xdr:col>13</xdr:col>
                    <xdr:colOff>12700</xdr:colOff>
                    <xdr:row>5</xdr:row>
                    <xdr:rowOff>203200</xdr:rowOff>
                  </from>
                  <to>
                    <xdr:col>14</xdr:col>
                    <xdr:colOff>0</xdr:colOff>
                    <xdr:row>6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VComplémentaires">
                <anchor moveWithCells="1" sizeWithCells="1">
                  <from>
                    <xdr:col>13</xdr:col>
                    <xdr:colOff>25400</xdr:colOff>
                    <xdr:row>6</xdr:row>
                    <xdr:rowOff>342900</xdr:rowOff>
                  </from>
                  <to>
                    <xdr:col>13</xdr:col>
                    <xdr:colOff>1816100</xdr:colOff>
                    <xdr:row>8</xdr:row>
                    <xdr:rowOff>241300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theme="4" tint="-0.249977111117893"/>
  </sheetPr>
  <dimension ref="A1:G521"/>
  <sheetViews>
    <sheetView showGridLines="0" workbookViewId="0">
      <selection activeCell="D8" sqref="D8"/>
    </sheetView>
  </sheetViews>
  <sheetFormatPr baseColWidth="10" defaultColWidth="10.83203125" defaultRowHeight="20" customHeight="1" x14ac:dyDescent="0"/>
  <cols>
    <col min="1" max="1" width="10.83203125" style="6"/>
    <col min="2" max="5" width="17.1640625" style="6" customWidth="1"/>
    <col min="6" max="7" width="17.1640625" style="56" customWidth="1"/>
    <col min="8" max="16384" width="10.83203125" style="6"/>
  </cols>
  <sheetData>
    <row r="1" spans="1:7" s="5" customFormat="1" ht="20" customHeight="1" thickBot="1">
      <c r="A1" s="6"/>
      <c r="C1" s="7">
        <f ca="1">VLOOKUP(B2,Macro_V.Compl!A1:B20,2,FALSE)</f>
        <v>343</v>
      </c>
      <c r="F1" s="55"/>
      <c r="G1" s="55"/>
    </row>
    <row r="2" spans="1:7" s="5" customFormat="1" ht="20" customHeight="1" thickBot="1">
      <c r="B2" s="10">
        <v>2027</v>
      </c>
      <c r="F2" s="55"/>
      <c r="G2" s="55"/>
    </row>
    <row r="3" spans="1:7" s="5" customFormat="1" ht="20" customHeight="1">
      <c r="B3" s="6"/>
      <c r="C3" s="6"/>
      <c r="D3" s="6"/>
      <c r="E3" s="6"/>
      <c r="F3" s="56"/>
      <c r="G3" s="56"/>
    </row>
    <row r="4" spans="1:7" s="5" customFormat="1" ht="20" customHeight="1">
      <c r="B4" s="6"/>
      <c r="C4" s="6"/>
      <c r="D4" s="6"/>
      <c r="E4" s="6"/>
      <c r="F4" s="56"/>
      <c r="G4" s="56"/>
    </row>
    <row r="5" spans="1:7" s="5" customFormat="1" ht="20" customHeight="1" thickBot="1">
      <c r="B5" s="6"/>
      <c r="C5" s="6"/>
      <c r="D5" s="6"/>
      <c r="E5" s="6"/>
      <c r="F5" s="56"/>
      <c r="G5" s="56"/>
    </row>
    <row r="6" spans="1:7" s="5" customFormat="1" ht="20" customHeight="1" thickBot="1">
      <c r="B6" s="10" t="s">
        <v>7</v>
      </c>
      <c r="C6" s="19">
        <f ca="1">YEAR('Tableau Projection'!A1)</f>
        <v>2014</v>
      </c>
      <c r="D6" s="13"/>
      <c r="E6" s="13"/>
      <c r="F6" s="34"/>
      <c r="G6" s="34"/>
    </row>
    <row r="7" spans="1:7" s="5" customFormat="1" ht="20" customHeight="1" thickBot="1">
      <c r="B7" s="14" t="s">
        <v>23</v>
      </c>
      <c r="C7" s="20">
        <f ca="1">IF(Tableau1[[#This Row],[Taux de rémunération]]="","",VLOOKUP(C6,'Tableau Projection'!$C$6:$L$28,7,FALSE))</f>
        <v>1.47E-2</v>
      </c>
      <c r="D7" s="13"/>
      <c r="E7" s="13"/>
      <c r="F7" s="34"/>
      <c r="G7" s="34"/>
    </row>
    <row r="8" spans="1:7" s="5" customFormat="1" ht="37" customHeight="1">
      <c r="B8" s="13" t="s">
        <v>18</v>
      </c>
      <c r="C8" s="18" t="s">
        <v>22</v>
      </c>
      <c r="D8" s="13" t="s">
        <v>19</v>
      </c>
      <c r="E8" s="13" t="s">
        <v>20</v>
      </c>
      <c r="F8" s="57" t="s">
        <v>3</v>
      </c>
      <c r="G8" s="34" t="s">
        <v>21</v>
      </c>
    </row>
    <row r="9" spans="1:7" s="5" customFormat="1" ht="20" customHeight="1">
      <c r="B9" s="15"/>
      <c r="C9" s="16" t="str">
        <f>IF(Tableau4[[#This Row],[Date]]="","",INT(DAYS360(DATE(YEAR(B9),1,1),B9,TRUE)/15)+1)</f>
        <v/>
      </c>
      <c r="D9" s="13" t="str">
        <f>IF(Tableau4[[#This Row],[Date]]="","",24-C9)</f>
        <v/>
      </c>
      <c r="E9" s="17"/>
      <c r="F9" s="34" t="str">
        <f>IF(Tableau4[[#This Row],[Date]]="","",Tableau4[[#This Row],[Versement]]*Variables!$F$12)</f>
        <v/>
      </c>
      <c r="G9" s="34" t="str">
        <f>IF(Tableau4[[#This Row],[Date]]="","",(E9*(1+($C$7)/24)^V.Complémentaires!D9)-E9)</f>
        <v/>
      </c>
    </row>
    <row r="10" spans="1:7" s="5" customFormat="1" ht="20" customHeight="1">
      <c r="B10" s="15"/>
      <c r="C10" s="16" t="str">
        <f>IF(Tableau4[[#This Row],[Date]]="","",INT(DAYS360(DATE(YEAR(B10),1,1),B10,TRUE)/15)+1)</f>
        <v/>
      </c>
      <c r="D10" s="13" t="str">
        <f>IF(Tableau4[[#This Row],[Date]]="","",24-C10)</f>
        <v/>
      </c>
      <c r="E10" s="13"/>
      <c r="F10" s="34" t="str">
        <f>IF(Tableau4[[#This Row],[Date]]="","",Tableau4[[#This Row],[Versement]]*Variables!$F$12)</f>
        <v/>
      </c>
      <c r="G10" s="34" t="str">
        <f>IF(Tableau4[[#This Row],[Date]]="","",(E10*(1+($C$7)/24)^V.Complémentaires!D10)-E10)</f>
        <v/>
      </c>
    </row>
    <row r="11" spans="1:7" s="5" customFormat="1" ht="20" customHeight="1">
      <c r="B11" s="15"/>
      <c r="C11" s="16" t="str">
        <f>IF(Tableau4[[#This Row],[Date]]="","",INT(DAYS360(DATE(YEAR(B11),1,1),B11,TRUE)/15)+1)</f>
        <v/>
      </c>
      <c r="D11" s="13" t="str">
        <f>IF(Tableau4[[#This Row],[Date]]="","",24-C11)</f>
        <v/>
      </c>
      <c r="E11" s="13"/>
      <c r="F11" s="34" t="str">
        <f>IF(Tableau4[[#This Row],[Date]]="","",Tableau4[[#This Row],[Versement]]*Variables!$F$12)</f>
        <v/>
      </c>
      <c r="G11" s="34" t="str">
        <f>IF(Tableau4[[#This Row],[Date]]="","",(E11*(1+($C$7)/24)^V.Complémentaires!D11)-E11)</f>
        <v/>
      </c>
    </row>
    <row r="12" spans="1:7" s="5" customFormat="1" ht="20" customHeight="1">
      <c r="B12" s="13"/>
      <c r="C12" s="16" t="str">
        <f>IF(Tableau4[[#This Row],[Date]]="","",INT(DAYS360(DATE(YEAR(B12),1,1),B12,TRUE)/15)+1)</f>
        <v/>
      </c>
      <c r="D12" s="13" t="str">
        <f>IF(Tableau4[[#This Row],[Date]]="","",24-C12)</f>
        <v/>
      </c>
      <c r="E12" s="13"/>
      <c r="F12" s="34" t="str">
        <f>IF(Tableau4[[#This Row],[Date]]="","",Tableau4[[#This Row],[Versement]]*Variables!$F$12)</f>
        <v/>
      </c>
      <c r="G12" s="34" t="str">
        <f>IF(Tableau4[[#This Row],[Date]]="","",(E12*(1+($C$7)/24)^V.Complémentaires!D12)-E12)</f>
        <v/>
      </c>
    </row>
    <row r="13" spans="1:7" s="5" customFormat="1" ht="20" customHeight="1">
      <c r="B13" s="13"/>
      <c r="C13" s="16" t="str">
        <f>IF(Tableau4[[#This Row],[Date]]="","",INT(DAYS360(DATE(YEAR(B13),1,1),B13,TRUE)/15)+1)</f>
        <v/>
      </c>
      <c r="D13" s="13" t="str">
        <f>IF(Tableau4[[#This Row],[Date]]="","",24-C13)</f>
        <v/>
      </c>
      <c r="E13" s="13"/>
      <c r="F13" s="34" t="str">
        <f>IF(Tableau4[[#This Row],[Date]]="","",Tableau4[[#This Row],[Versement]]*Variables!$F$12)</f>
        <v/>
      </c>
      <c r="G13" s="34" t="str">
        <f>IF(Tableau4[[#This Row],[Date]]="","",(E13*(1+($C$7)/24)^V.Complémentaires!D13)-E13)</f>
        <v/>
      </c>
    </row>
    <row r="14" spans="1:7" s="5" customFormat="1" ht="20" customHeight="1">
      <c r="B14" s="13"/>
      <c r="C14" s="16" t="str">
        <f>IF(Tableau4[[#This Row],[Date]]="","",INT(DAYS360(DATE(YEAR(B14),1,1),B14,TRUE)/15)+1)</f>
        <v/>
      </c>
      <c r="D14" s="13" t="str">
        <f>IF(Tableau4[[#This Row],[Date]]="","",24-C14)</f>
        <v/>
      </c>
      <c r="E14" s="13"/>
      <c r="F14" s="34" t="str">
        <f>IF(Tableau4[[#This Row],[Date]]="","",Tableau4[[#This Row],[Versement]]*Variables!$F$12)</f>
        <v/>
      </c>
      <c r="G14" s="34" t="str">
        <f>IF(Tableau4[[#This Row],[Date]]="","",(E14*(1+($C$7)/24)^V.Complémentaires!D14)-E14)</f>
        <v/>
      </c>
    </row>
    <row r="15" spans="1:7" s="5" customFormat="1" ht="20" customHeight="1">
      <c r="B15" s="13"/>
      <c r="C15" s="16" t="str">
        <f>IF(Tableau4[[#This Row],[Date]]="","",INT(DAYS360(DATE(YEAR(B15),1,1),B15,TRUE)/15)+1)</f>
        <v/>
      </c>
      <c r="D15" s="13" t="str">
        <f>IF(Tableau4[[#This Row],[Date]]="","",24-C15)</f>
        <v/>
      </c>
      <c r="E15" s="13"/>
      <c r="F15" s="34" t="str">
        <f>IF(Tableau4[[#This Row],[Date]]="","",Tableau4[[#This Row],[Versement]]*Variables!$F$12)</f>
        <v/>
      </c>
      <c r="G15" s="34" t="str">
        <f>IF(Tableau4[[#This Row],[Date]]="","",(E15*(1+($C$7)/24)^V.Complémentaires!D15)-E15)</f>
        <v/>
      </c>
    </row>
    <row r="16" spans="1:7" s="5" customFormat="1" ht="20" customHeight="1">
      <c r="B16" s="13"/>
      <c r="C16" s="16" t="str">
        <f>IF(Tableau4[[#This Row],[Date]]="","",INT(DAYS360(DATE(YEAR(B16),1,1),B16,TRUE)/15)+1)</f>
        <v/>
      </c>
      <c r="D16" s="13" t="str">
        <f>IF(Tableau4[[#This Row],[Date]]="","",24-C16)</f>
        <v/>
      </c>
      <c r="E16" s="13"/>
      <c r="F16" s="34" t="str">
        <f>IF(Tableau4[[#This Row],[Date]]="","",Tableau4[[#This Row],[Versement]]*Variables!$F$12)</f>
        <v/>
      </c>
      <c r="G16" s="34" t="str">
        <f>IF(Tableau4[[#This Row],[Date]]="","",(E16*(1+($C$7)/24)^V.Complémentaires!D16)-E16)</f>
        <v/>
      </c>
    </row>
    <row r="17" spans="2:7" s="5" customFormat="1" ht="20" customHeight="1">
      <c r="B17" s="15"/>
      <c r="C17" s="16" t="str">
        <f>IF(Tableau4[[#This Row],[Date]]="","",INT(DAYS360(DATE(YEAR(B17),1,1),B17,TRUE)/15)+1)</f>
        <v/>
      </c>
      <c r="D17" s="13" t="str">
        <f>IF(Tableau4[[#This Row],[Date]]="","",24-C17)</f>
        <v/>
      </c>
      <c r="E17" s="13"/>
      <c r="F17" s="34" t="str">
        <f>IF(Tableau4[[#This Row],[Date]]="","",Tableau4[[#This Row],[Versement]]*Variables!$F$12)</f>
        <v/>
      </c>
      <c r="G17" s="34" t="str">
        <f>IF(Tableau4[[#This Row],[Date]]="","",(E17*(1+($C$7)/24)^V.Complémentaires!D17)-E17)</f>
        <v/>
      </c>
    </row>
    <row r="18" spans="2:7" s="5" customFormat="1" ht="20" customHeight="1">
      <c r="B18" s="13"/>
      <c r="C18" s="16" t="str">
        <f>IF(Tableau4[[#This Row],[Date]]="","",INT(DAYS360(DATE(YEAR(B18),1,1),B18,TRUE)/15)+1)</f>
        <v/>
      </c>
      <c r="D18" s="13" t="str">
        <f>IF(Tableau4[[#This Row],[Date]]="","",24-C18)</f>
        <v/>
      </c>
      <c r="E18" s="13"/>
      <c r="F18" s="34" t="str">
        <f>IF(Tableau4[[#This Row],[Date]]="","",Tableau4[[#This Row],[Versement]]*Variables!$F$12)</f>
        <v/>
      </c>
      <c r="G18" s="34" t="str">
        <f>IF(Tableau4[[#This Row],[Date]]="","",(E18*(1+($C$7)/24)^V.Complémentaires!D18)-E18)</f>
        <v/>
      </c>
    </row>
    <row r="19" spans="2:7" s="5" customFormat="1" ht="20" customHeight="1">
      <c r="B19" s="13"/>
      <c r="C19" s="16" t="str">
        <f>IF(Tableau4[[#This Row],[Date]]="","",INT(DAYS360(DATE(YEAR(B19),1,1),B19,TRUE)/15)+1)</f>
        <v/>
      </c>
      <c r="D19" s="13" t="str">
        <f>IF(Tableau4[[#This Row],[Date]]="","",24-C19)</f>
        <v/>
      </c>
      <c r="E19" s="13"/>
      <c r="F19" s="34" t="str">
        <f>IF(Tableau4[[#This Row],[Date]]="","",Tableau4[[#This Row],[Versement]]*Variables!$F$12)</f>
        <v/>
      </c>
      <c r="G19" s="34" t="str">
        <f>IF(Tableau4[[#This Row],[Date]]="","",(E19*(1+($C$7)/24)^V.Complémentaires!D19)-E19)</f>
        <v/>
      </c>
    </row>
    <row r="20" spans="2:7" s="5" customFormat="1" ht="20" customHeight="1">
      <c r="B20" s="13"/>
      <c r="C20" s="16" t="str">
        <f>IF(Tableau4[[#This Row],[Date]]="","",INT(DAYS360(DATE(YEAR(B20),1,1),B20,TRUE)/15)+1)</f>
        <v/>
      </c>
      <c r="D20" s="13" t="str">
        <f>IF(Tableau4[[#This Row],[Date]]="","",24-C20)</f>
        <v/>
      </c>
      <c r="E20" s="13"/>
      <c r="F20" s="34" t="str">
        <f>IF(Tableau4[[#This Row],[Date]]="","",Tableau4[[#This Row],[Versement]]*Variables!$F$12)</f>
        <v/>
      </c>
      <c r="G20" s="34" t="str">
        <f>IF(Tableau4[[#This Row],[Date]]="","",(E20*(1+($C$7)/24)^V.Complémentaires!D20)-E20)</f>
        <v/>
      </c>
    </row>
    <row r="21" spans="2:7" s="5" customFormat="1" ht="20" customHeight="1">
      <c r="B21" s="13"/>
      <c r="C21" s="16" t="str">
        <f>IF(Tableau4[[#This Row],[Date]]="","",INT(DAYS360(DATE(YEAR(B21),1,1),B21,TRUE)/15)+1)</f>
        <v/>
      </c>
      <c r="D21" s="13" t="str">
        <f>IF(Tableau4[[#This Row],[Date]]="","",24-C21)</f>
        <v/>
      </c>
      <c r="E21" s="13"/>
      <c r="F21" s="34" t="str">
        <f>IF(Tableau4[[#This Row],[Date]]="","",Tableau4[[#This Row],[Versement]]*Variables!$F$12)</f>
        <v/>
      </c>
      <c r="G21" s="34" t="str">
        <f>IF(Tableau4[[#This Row],[Date]]="","",(E21*(1+($C$7)/24)^V.Complémentaires!D21)-E21)</f>
        <v/>
      </c>
    </row>
    <row r="22" spans="2:7" s="5" customFormat="1" ht="20" customHeight="1">
      <c r="B22" s="13"/>
      <c r="C22" s="16" t="str">
        <f>IF(Tableau4[[#This Row],[Date]]="","",INT(DAYS360(DATE(YEAR(B22),1,1),B22,TRUE)/15)+1)</f>
        <v/>
      </c>
      <c r="D22" s="13" t="str">
        <f>IF(Tableau4[[#This Row],[Date]]="","",24-C22)</f>
        <v/>
      </c>
      <c r="E22" s="13"/>
      <c r="F22" s="34" t="str">
        <f>IF(Tableau4[[#This Row],[Date]]="","",Tableau4[[#This Row],[Versement]]*Variables!$F$12)</f>
        <v/>
      </c>
      <c r="G22" s="34" t="str">
        <f>IF(Tableau4[[#This Row],[Date]]="","",(E22*(1+($C$7)/24)^V.Complémentaires!D22)-E22)</f>
        <v/>
      </c>
    </row>
    <row r="23" spans="2:7" s="5" customFormat="1" ht="20" customHeight="1">
      <c r="B23" s="13"/>
      <c r="C23" s="16" t="str">
        <f>IF(Tableau4[[#This Row],[Date]]="","",INT(DAYS360(DATE(YEAR(B23),1,1),B23,TRUE)/15)+1)</f>
        <v/>
      </c>
      <c r="D23" s="13" t="str">
        <f>IF(Tableau4[[#This Row],[Date]]="","",24-C23)</f>
        <v/>
      </c>
      <c r="E23" s="13"/>
      <c r="F23" s="34" t="str">
        <f>IF(Tableau4[[#This Row],[Date]]="","",Tableau4[[#This Row],[Versement]]*Variables!$F$12)</f>
        <v/>
      </c>
      <c r="G23" s="34" t="str">
        <f>IF(Tableau4[[#This Row],[Date]]="","",(E23*(1+($C$7)/24)^V.Complémentaires!D23)-E23)</f>
        <v/>
      </c>
    </row>
    <row r="24" spans="2:7" ht="20" customHeight="1">
      <c r="B24" s="13"/>
      <c r="C24" s="16" t="str">
        <f>IF(Tableau4[[#This Row],[Date]]="","",INT(DAYS360(DATE(YEAR(B24),1,1),B24,TRUE)/15)+1)</f>
        <v/>
      </c>
      <c r="D24" s="13" t="str">
        <f>IF(Tableau4[[#This Row],[Date]]="","",24-C24)</f>
        <v/>
      </c>
      <c r="E24" s="13"/>
      <c r="F24" s="34" t="str">
        <f>IF(Tableau4[[#This Row],[Date]]="","",Tableau4[[#This Row],[Versement]]*Variables!$F$12)</f>
        <v/>
      </c>
      <c r="G24" s="34" t="str">
        <f>IF(Tableau4[[#This Row],[Date]]="","",(E24*(1+($C$7)/24)^V.Complémentaires!D24)-E24)</f>
        <v/>
      </c>
    </row>
    <row r="25" spans="2:7" ht="20" customHeight="1">
      <c r="B25" s="13"/>
      <c r="C25" s="16" t="str">
        <f>IF(Tableau4[[#This Row],[Date]]="","",INT(DAYS360(DATE(YEAR(B25),1,1),B25,TRUE)/15)+1)</f>
        <v/>
      </c>
      <c r="D25" s="13" t="str">
        <f>IF(Tableau4[[#This Row],[Date]]="","",24-C25)</f>
        <v/>
      </c>
      <c r="E25" s="13"/>
      <c r="F25" s="34" t="str">
        <f>IF(Tableau4[[#This Row],[Date]]="","",Tableau4[[#This Row],[Versement]]*Variables!$F$12)</f>
        <v/>
      </c>
      <c r="G25" s="34" t="str">
        <f>IF(Tableau4[[#This Row],[Date]]="","",(E25*(1+($C$7)/24)^V.Complémentaires!D25)-E25)</f>
        <v/>
      </c>
    </row>
    <row r="26" spans="2:7" ht="20" customHeight="1">
      <c r="B26" s="13"/>
      <c r="C26" s="13"/>
      <c r="D26" s="13"/>
      <c r="E26" s="13">
        <f>SUM(Tableau4[Versement])</f>
        <v>0</v>
      </c>
      <c r="F26" s="34">
        <f>SUBTOTAL(109,Tableau4[Frais de versement])</f>
        <v>0</v>
      </c>
      <c r="G26" s="34">
        <f>SUM(Tableau4[Interet])</f>
        <v>0</v>
      </c>
    </row>
    <row r="28" spans="2:7" ht="20" customHeight="1">
      <c r="B28" s="8"/>
      <c r="C28" s="11"/>
      <c r="E28" s="9"/>
    </row>
    <row r="29" spans="2:7" ht="20" customHeight="1">
      <c r="B29" s="8"/>
      <c r="C29" s="12"/>
    </row>
    <row r="31" spans="2:7" ht="20" customHeight="1" thickBot="1"/>
    <row r="32" spans="2:7" ht="20" customHeight="1" thickBot="1">
      <c r="B32" s="10" t="s">
        <v>7</v>
      </c>
      <c r="C32" s="19">
        <f ca="1">C6+1</f>
        <v>2015</v>
      </c>
      <c r="D32" s="13"/>
      <c r="E32" s="13"/>
      <c r="F32" s="34"/>
      <c r="G32" s="34"/>
    </row>
    <row r="33" spans="2:7" ht="20" customHeight="1" thickBot="1">
      <c r="B33" s="14" t="s">
        <v>23</v>
      </c>
      <c r="C33" s="20">
        <f ca="1">IF('Tableau Projection'!I8="","",VLOOKUP(C32,'Tableau Projection'!$C$6:$L$28,7,FALSE))</f>
        <v>1.2145E-2</v>
      </c>
      <c r="D33" s="13"/>
      <c r="E33" s="13"/>
      <c r="F33" s="34"/>
      <c r="G33" s="34"/>
    </row>
    <row r="34" spans="2:7" ht="35" customHeight="1">
      <c r="B34" s="13" t="s">
        <v>18</v>
      </c>
      <c r="C34" s="18" t="s">
        <v>22</v>
      </c>
      <c r="D34" s="13" t="s">
        <v>19</v>
      </c>
      <c r="E34" s="13" t="s">
        <v>20</v>
      </c>
      <c r="F34" s="57" t="s">
        <v>3</v>
      </c>
      <c r="G34" s="34" t="s">
        <v>21</v>
      </c>
    </row>
    <row r="35" spans="2:7" ht="20" customHeight="1">
      <c r="B35" s="15"/>
      <c r="C35" s="16" t="str">
        <f>IF(Tableau44[[#This Row],[Date]]="","",INT(DAYS360(DATE(YEAR(B35),1,1),B35,TRUE)/15)+1)</f>
        <v/>
      </c>
      <c r="D35" s="13" t="str">
        <f>IF(Tableau44[[#This Row],[Date]]="","",24-C35)</f>
        <v/>
      </c>
      <c r="E35" s="17"/>
      <c r="F35" s="34" t="str">
        <f>IF(Tableau44[[#This Row],[Date]]="","",Tableau44[[#This Row],[Versement]]*Variables!$F$12)</f>
        <v/>
      </c>
      <c r="G35" s="34" t="str">
        <f>IF(Tableau44[[#This Row],[Date]]="","",(E35*(1+($C$33)/24)^V.Complémentaires!D35)-E35)</f>
        <v/>
      </c>
    </row>
    <row r="36" spans="2:7" ht="20" customHeight="1">
      <c r="B36" s="15"/>
      <c r="C36" s="16" t="str">
        <f>IF(Tableau44[[#This Row],[Date]]="","",INT(DAYS360(DATE(YEAR(B36),1,1),B36,TRUE)/15)+1)</f>
        <v/>
      </c>
      <c r="D36" s="13" t="str">
        <f>IF(Tableau44[[#This Row],[Date]]="","",24-C36)</f>
        <v/>
      </c>
      <c r="E36" s="13"/>
      <c r="F36" s="34" t="str">
        <f>IF(Tableau44[[#This Row],[Date]]="","",Tableau44[[#This Row],[Versement]]*Variables!$F$12)</f>
        <v/>
      </c>
      <c r="G36" s="34" t="str">
        <f>IF(Tableau44[[#This Row],[Date]]="","",(E36*(1+($C$33)/24)^V.Complémentaires!D36)-E36)</f>
        <v/>
      </c>
    </row>
    <row r="37" spans="2:7" ht="20" customHeight="1">
      <c r="B37" s="15"/>
      <c r="C37" s="16" t="str">
        <f>IF(Tableau44[[#This Row],[Date]]="","",INT(DAYS360(DATE(YEAR(B37),1,1),B37,TRUE)/15)+1)</f>
        <v/>
      </c>
      <c r="D37" s="13" t="str">
        <f>IF(Tableau44[[#This Row],[Date]]="","",24-C37)</f>
        <v/>
      </c>
      <c r="E37" s="13"/>
      <c r="F37" s="34" t="str">
        <f>IF(Tableau44[[#This Row],[Date]]="","",Tableau44[[#This Row],[Versement]]*Variables!$F$12)</f>
        <v/>
      </c>
      <c r="G37" s="34" t="str">
        <f>IF(Tableau44[[#This Row],[Date]]="","",(E37*(1+($C$33)/24)^V.Complémentaires!D37)-E37)</f>
        <v/>
      </c>
    </row>
    <row r="38" spans="2:7" ht="20" customHeight="1">
      <c r="B38" s="13"/>
      <c r="C38" s="16" t="str">
        <f>IF(Tableau44[[#This Row],[Date]]="","",INT(DAYS360(DATE(YEAR(B38),1,1),B38,TRUE)/15)+1)</f>
        <v/>
      </c>
      <c r="D38" s="13" t="str">
        <f>IF(Tableau44[[#This Row],[Date]]="","",24-C38)</f>
        <v/>
      </c>
      <c r="E38" s="13"/>
      <c r="F38" s="34" t="str">
        <f>IF(Tableau44[[#This Row],[Date]]="","",Tableau44[[#This Row],[Versement]]*Variables!$F$12)</f>
        <v/>
      </c>
      <c r="G38" s="34" t="str">
        <f>IF(Tableau44[[#This Row],[Date]]="","",(E38*(1+($C$33)/24)^V.Complémentaires!D38)-E38)</f>
        <v/>
      </c>
    </row>
    <row r="39" spans="2:7" ht="20" customHeight="1">
      <c r="B39" s="13"/>
      <c r="C39" s="16" t="str">
        <f>IF(Tableau44[[#This Row],[Date]]="","",INT(DAYS360(DATE(YEAR(B39),1,1),B39,TRUE)/15)+1)</f>
        <v/>
      </c>
      <c r="D39" s="13" t="str">
        <f>IF(Tableau44[[#This Row],[Date]]="","",24-C39)</f>
        <v/>
      </c>
      <c r="E39" s="13"/>
      <c r="F39" s="34" t="str">
        <f>IF(Tableau44[[#This Row],[Date]]="","",Tableau44[[#This Row],[Versement]]*Variables!$F$12)</f>
        <v/>
      </c>
      <c r="G39" s="34" t="str">
        <f>IF(Tableau44[[#This Row],[Date]]="","",(E39*(1+($C$33)/24)^V.Complémentaires!D39)-E39)</f>
        <v/>
      </c>
    </row>
    <row r="40" spans="2:7" ht="20" customHeight="1">
      <c r="B40" s="13"/>
      <c r="C40" s="16" t="str">
        <f>IF(Tableau44[[#This Row],[Date]]="","",INT(DAYS360(DATE(YEAR(B40),1,1),B40,TRUE)/15)+1)</f>
        <v/>
      </c>
      <c r="D40" s="13" t="str">
        <f>IF(Tableau44[[#This Row],[Date]]="","",24-C40)</f>
        <v/>
      </c>
      <c r="E40" s="13"/>
      <c r="F40" s="34" t="str">
        <f>IF(Tableau44[[#This Row],[Date]]="","",Tableau44[[#This Row],[Versement]]*Variables!$F$12)</f>
        <v/>
      </c>
      <c r="G40" s="34" t="str">
        <f>IF(Tableau44[[#This Row],[Date]]="","",(E40*(1+($C$33)/24)^V.Complémentaires!D40)-E40)</f>
        <v/>
      </c>
    </row>
    <row r="41" spans="2:7" ht="20" customHeight="1">
      <c r="B41" s="13"/>
      <c r="C41" s="16" t="str">
        <f>IF(Tableau44[[#This Row],[Date]]="","",INT(DAYS360(DATE(YEAR(B41),1,1),B41,TRUE)/15)+1)</f>
        <v/>
      </c>
      <c r="D41" s="13" t="str">
        <f>IF(Tableau44[[#This Row],[Date]]="","",24-C41)</f>
        <v/>
      </c>
      <c r="E41" s="13"/>
      <c r="F41" s="34" t="str">
        <f>IF(Tableau44[[#This Row],[Date]]="","",Tableau44[[#This Row],[Versement]]*Variables!$F$12)</f>
        <v/>
      </c>
      <c r="G41" s="34" t="str">
        <f>IF(Tableau44[[#This Row],[Date]]="","",(E41*(1+($C$33)/24)^V.Complémentaires!D41)-E41)</f>
        <v/>
      </c>
    </row>
    <row r="42" spans="2:7" ht="20" customHeight="1">
      <c r="B42" s="13"/>
      <c r="C42" s="16" t="str">
        <f>IF(Tableau44[[#This Row],[Date]]="","",INT(DAYS360(DATE(YEAR(B42),1,1),B42,TRUE)/15)+1)</f>
        <v/>
      </c>
      <c r="D42" s="13" t="str">
        <f>IF(Tableau44[[#This Row],[Date]]="","",24-C42)</f>
        <v/>
      </c>
      <c r="E42" s="13"/>
      <c r="F42" s="34" t="str">
        <f>IF(Tableau44[[#This Row],[Date]]="","",Tableau44[[#This Row],[Versement]]*Variables!$F$12)</f>
        <v/>
      </c>
      <c r="G42" s="34" t="str">
        <f>IF(Tableau44[[#This Row],[Date]]="","",(E42*(1+($C$33)/24)^V.Complémentaires!D42)-E42)</f>
        <v/>
      </c>
    </row>
    <row r="43" spans="2:7" ht="20" customHeight="1">
      <c r="B43" s="15"/>
      <c r="C43" s="16" t="str">
        <f>IF(Tableau44[[#This Row],[Date]]="","",INT(DAYS360(DATE(YEAR(B43),1,1),B43,TRUE)/15)+1)</f>
        <v/>
      </c>
      <c r="D43" s="13" t="str">
        <f>IF(Tableau44[[#This Row],[Date]]="","",24-C43)</f>
        <v/>
      </c>
      <c r="E43" s="13"/>
      <c r="F43" s="34" t="str">
        <f>IF(Tableau44[[#This Row],[Date]]="","",Tableau44[[#This Row],[Versement]]*Variables!$F$12)</f>
        <v/>
      </c>
      <c r="G43" s="34" t="str">
        <f>IF(Tableau44[[#This Row],[Date]]="","",(E43*(1+($C$33)/24)^V.Complémentaires!D43)-E43)</f>
        <v/>
      </c>
    </row>
    <row r="44" spans="2:7" ht="20" customHeight="1">
      <c r="B44" s="13"/>
      <c r="C44" s="16" t="str">
        <f>IF(Tableau44[[#This Row],[Date]]="","",INT(DAYS360(DATE(YEAR(B44),1,1),B44,TRUE)/15)+1)</f>
        <v/>
      </c>
      <c r="D44" s="13" t="str">
        <f>IF(Tableau44[[#This Row],[Date]]="","",24-C44)</f>
        <v/>
      </c>
      <c r="E44" s="13"/>
      <c r="F44" s="34" t="str">
        <f>IF(Tableau44[[#This Row],[Date]]="","",Tableau44[[#This Row],[Versement]]*Variables!$F$12)</f>
        <v/>
      </c>
      <c r="G44" s="34" t="str">
        <f>IF(Tableau44[[#This Row],[Date]]="","",(E44*(1+($C$33)/24)^V.Complémentaires!D44)-E44)</f>
        <v/>
      </c>
    </row>
    <row r="45" spans="2:7" ht="20" customHeight="1">
      <c r="B45" s="13"/>
      <c r="C45" s="16" t="str">
        <f>IF(Tableau44[[#This Row],[Date]]="","",INT(DAYS360(DATE(YEAR(B45),1,1),B45,TRUE)/15)+1)</f>
        <v/>
      </c>
      <c r="D45" s="13" t="str">
        <f>IF(Tableau44[[#This Row],[Date]]="","",24-C45)</f>
        <v/>
      </c>
      <c r="E45" s="13"/>
      <c r="F45" s="34" t="str">
        <f>IF(Tableau44[[#This Row],[Date]]="","",Tableau44[[#This Row],[Versement]]*Variables!$F$12)</f>
        <v/>
      </c>
      <c r="G45" s="34" t="str">
        <f>IF(Tableau44[[#This Row],[Date]]="","",(E45*(1+($C$33)/24)^V.Complémentaires!D45)-E45)</f>
        <v/>
      </c>
    </row>
    <row r="46" spans="2:7" ht="20" customHeight="1">
      <c r="B46" s="13"/>
      <c r="C46" s="16" t="str">
        <f>IF(Tableau44[[#This Row],[Date]]="","",INT(DAYS360(DATE(YEAR(B46),1,1),B46,TRUE)/15)+1)</f>
        <v/>
      </c>
      <c r="D46" s="13" t="str">
        <f>IF(Tableau44[[#This Row],[Date]]="","",24-C46)</f>
        <v/>
      </c>
      <c r="E46" s="13"/>
      <c r="F46" s="34" t="str">
        <f>IF(Tableau44[[#This Row],[Date]]="","",Tableau44[[#This Row],[Versement]]*Variables!$F$12)</f>
        <v/>
      </c>
      <c r="G46" s="34" t="str">
        <f>IF(Tableau44[[#This Row],[Date]]="","",(E46*(1+($C$33)/24)^V.Complémentaires!D46)-E46)</f>
        <v/>
      </c>
    </row>
    <row r="47" spans="2:7" ht="20" customHeight="1">
      <c r="B47" s="13"/>
      <c r="C47" s="16" t="str">
        <f>IF(Tableau44[[#This Row],[Date]]="","",INT(DAYS360(DATE(YEAR(B47),1,1),B47,TRUE)/15)+1)</f>
        <v/>
      </c>
      <c r="D47" s="13" t="str">
        <f>IF(Tableau44[[#This Row],[Date]]="","",24-C47)</f>
        <v/>
      </c>
      <c r="E47" s="13"/>
      <c r="F47" s="34" t="str">
        <f>IF(Tableau44[[#This Row],[Date]]="","",Tableau44[[#This Row],[Versement]]*Variables!$F$12)</f>
        <v/>
      </c>
      <c r="G47" s="34" t="str">
        <f>IF(Tableau44[[#This Row],[Date]]="","",(E47*(1+($C$33)/24)^V.Complémentaires!D47)-E47)</f>
        <v/>
      </c>
    </row>
    <row r="48" spans="2:7" ht="20" customHeight="1">
      <c r="B48" s="13"/>
      <c r="C48" s="16" t="str">
        <f>IF(Tableau44[[#This Row],[Date]]="","",INT(DAYS360(DATE(YEAR(B48),1,1),B48,TRUE)/15)+1)</f>
        <v/>
      </c>
      <c r="D48" s="13" t="str">
        <f>IF(Tableau44[[#This Row],[Date]]="","",24-C48)</f>
        <v/>
      </c>
      <c r="E48" s="13"/>
      <c r="F48" s="34" t="str">
        <f>IF(Tableau44[[#This Row],[Date]]="","",Tableau44[[#This Row],[Versement]]*Variables!$F$12)</f>
        <v/>
      </c>
      <c r="G48" s="34" t="str">
        <f>IF(Tableau44[[#This Row],[Date]]="","",(E48*(1+($C$33)/24)^V.Complémentaires!D48)-E48)</f>
        <v/>
      </c>
    </row>
    <row r="49" spans="2:7" ht="20" customHeight="1">
      <c r="B49" s="13"/>
      <c r="C49" s="16" t="str">
        <f>IF(Tableau44[[#This Row],[Date]]="","",INT(DAYS360(DATE(YEAR(B49),1,1),B49,TRUE)/15)+1)</f>
        <v/>
      </c>
      <c r="D49" s="13" t="str">
        <f>IF(Tableau44[[#This Row],[Date]]="","",24-C49)</f>
        <v/>
      </c>
      <c r="E49" s="13"/>
      <c r="F49" s="34" t="str">
        <f>IF(Tableau44[[#This Row],[Date]]="","",Tableau44[[#This Row],[Versement]]*Variables!$F$12)</f>
        <v/>
      </c>
      <c r="G49" s="34" t="str">
        <f>IF(Tableau44[[#This Row],[Date]]="","",(E49*(1+($C$33)/24)^V.Complémentaires!D49)-E49)</f>
        <v/>
      </c>
    </row>
    <row r="50" spans="2:7" ht="20" customHeight="1">
      <c r="B50" s="13"/>
      <c r="C50" s="16" t="str">
        <f>IF(Tableau44[[#This Row],[Date]]="","",INT(DAYS360(DATE(YEAR(B50),1,1),B50,TRUE)/15)+1)</f>
        <v/>
      </c>
      <c r="D50" s="13" t="str">
        <f>IF(Tableau44[[#This Row],[Date]]="","",24-C50)</f>
        <v/>
      </c>
      <c r="E50" s="13"/>
      <c r="F50" s="34" t="str">
        <f>IF(Tableau44[[#This Row],[Date]]="","",Tableau44[[#This Row],[Versement]]*Variables!$F$12)</f>
        <v/>
      </c>
      <c r="G50" s="34" t="str">
        <f>IF(Tableau44[[#This Row],[Date]]="","",(E50*(1+($C$33)/24)^V.Complémentaires!D50)-E50)</f>
        <v/>
      </c>
    </row>
    <row r="51" spans="2:7" ht="20" customHeight="1">
      <c r="B51" s="13"/>
      <c r="C51" s="16" t="str">
        <f>IF(Tableau44[[#This Row],[Date]]="","",INT(DAYS360(DATE(YEAR(B51),1,1),B51,TRUE)/15)+1)</f>
        <v/>
      </c>
      <c r="D51" s="13" t="str">
        <f>IF(Tableau44[[#This Row],[Date]]="","",24-C51)</f>
        <v/>
      </c>
      <c r="E51" s="13"/>
      <c r="F51" s="34" t="str">
        <f>IF(Tableau44[[#This Row],[Date]]="","",Tableau44[[#This Row],[Versement]]*Variables!$F$12)</f>
        <v/>
      </c>
      <c r="G51" s="34" t="str">
        <f>IF(Tableau44[[#This Row],[Date]]="","",(E51*(1+($C$33)/24)^V.Complémentaires!D51)-E51)</f>
        <v/>
      </c>
    </row>
    <row r="52" spans="2:7" ht="20" customHeight="1">
      <c r="B52" s="13"/>
      <c r="C52" s="13"/>
      <c r="D52" s="13"/>
      <c r="E52" s="13">
        <f>SUM(Tableau44[Versement])</f>
        <v>0</v>
      </c>
      <c r="F52" s="34">
        <f>SUBTOTAL(109,Tableau44[Frais de versement])</f>
        <v>0</v>
      </c>
      <c r="G52" s="34">
        <f>SUM(Tableau44[Interet])</f>
        <v>0</v>
      </c>
    </row>
    <row r="57" spans="2:7" ht="20" customHeight="1" thickBot="1"/>
    <row r="58" spans="2:7" ht="20" customHeight="1" thickBot="1">
      <c r="B58" s="10" t="s">
        <v>7</v>
      </c>
      <c r="C58" s="19">
        <f ca="1">C32+1</f>
        <v>2016</v>
      </c>
      <c r="D58" s="13"/>
      <c r="E58" s="13"/>
      <c r="F58" s="34"/>
      <c r="G58" s="34"/>
    </row>
    <row r="59" spans="2:7" ht="20" customHeight="1" thickBot="1">
      <c r="B59" s="14" t="s">
        <v>23</v>
      </c>
      <c r="C59" s="20">
        <f ca="1">IF('Tableau Projection'!I9="","",VLOOKUP(C58,'Tableau Projection'!$C$6:$L$28,7,FALSE))</f>
        <v>1.0500000000000001E-2</v>
      </c>
      <c r="D59" s="13"/>
      <c r="E59" s="13"/>
      <c r="F59" s="34"/>
      <c r="G59" s="34"/>
    </row>
    <row r="60" spans="2:7" ht="35" customHeight="1">
      <c r="B60" s="13" t="s">
        <v>18</v>
      </c>
      <c r="C60" s="18" t="s">
        <v>22</v>
      </c>
      <c r="D60" s="13" t="s">
        <v>19</v>
      </c>
      <c r="E60" s="13" t="s">
        <v>20</v>
      </c>
      <c r="F60" s="57" t="s">
        <v>3</v>
      </c>
      <c r="G60" s="34" t="s">
        <v>21</v>
      </c>
    </row>
    <row r="61" spans="2:7" ht="20" customHeight="1">
      <c r="B61" s="15"/>
      <c r="C61" s="16" t="str">
        <f>IF(Tableau447[[#This Row],[Date]]="","",INT(DAYS360(DATE(YEAR(B61),1,1),B61,TRUE)/15)+1)</f>
        <v/>
      </c>
      <c r="D61" s="13" t="str">
        <f>IF(Tableau447[[#This Row],[Date]]="","",24-C61)</f>
        <v/>
      </c>
      <c r="E61" s="17"/>
      <c r="F61" s="34" t="str">
        <f>IF(Tableau447[[#This Row],[Date]]="","",Tableau447[[#This Row],[Versement]]*Variables!$F$12)</f>
        <v/>
      </c>
      <c r="G61" s="34" t="str">
        <f>IF(Tableau447[[#This Row],[Date]]="","",(E61*(1+($C$59)/24)^V.Complémentaires!D61)-E61)</f>
        <v/>
      </c>
    </row>
    <row r="62" spans="2:7" ht="20" customHeight="1">
      <c r="B62" s="15"/>
      <c r="C62" s="16" t="str">
        <f>IF(Tableau447[[#This Row],[Date]]="","",INT(DAYS360(DATE(YEAR(B62),1,1),B62,TRUE)/15)+1)</f>
        <v/>
      </c>
      <c r="D62" s="13" t="str">
        <f>IF(Tableau447[[#This Row],[Date]]="","",24-C62)</f>
        <v/>
      </c>
      <c r="E62" s="13"/>
      <c r="F62" s="34" t="str">
        <f>IF(Tableau447[[#This Row],[Date]]="","",Tableau447[[#This Row],[Versement]]*Variables!$F$12)</f>
        <v/>
      </c>
      <c r="G62" s="34" t="str">
        <f>IF(Tableau447[[#This Row],[Date]]="","",(E62*(1+($C$59)/24)^V.Complémentaires!D62)-E62)</f>
        <v/>
      </c>
    </row>
    <row r="63" spans="2:7" ht="20" customHeight="1">
      <c r="B63" s="15"/>
      <c r="C63" s="16" t="str">
        <f>IF(Tableau447[[#This Row],[Date]]="","",INT(DAYS360(DATE(YEAR(B63),1,1),B63,TRUE)/15)+1)</f>
        <v/>
      </c>
      <c r="D63" s="13" t="str">
        <f>IF(Tableau447[[#This Row],[Date]]="","",24-C63)</f>
        <v/>
      </c>
      <c r="E63" s="13"/>
      <c r="F63" s="34" t="str">
        <f>IF(Tableau447[[#This Row],[Date]]="","",Tableau447[[#This Row],[Versement]]*Variables!$F$12)</f>
        <v/>
      </c>
      <c r="G63" s="34" t="str">
        <f>IF(Tableau447[[#This Row],[Date]]="","",(E63*(1+($C$59)/24)^V.Complémentaires!D63)-E63)</f>
        <v/>
      </c>
    </row>
    <row r="64" spans="2:7" ht="20" customHeight="1">
      <c r="B64" s="13"/>
      <c r="C64" s="16" t="str">
        <f>IF(Tableau447[[#This Row],[Date]]="","",INT(DAYS360(DATE(YEAR(B64),1,1),B64,TRUE)/15)+1)</f>
        <v/>
      </c>
      <c r="D64" s="13" t="str">
        <f>IF(Tableau447[[#This Row],[Date]]="","",24-C64)</f>
        <v/>
      </c>
      <c r="E64" s="13"/>
      <c r="F64" s="34" t="str">
        <f>IF(Tableau447[[#This Row],[Date]]="","",Tableau447[[#This Row],[Versement]]*Variables!$F$12)</f>
        <v/>
      </c>
      <c r="G64" s="34" t="str">
        <f>IF(Tableau447[[#This Row],[Date]]="","",(E64*(1+($C$59)/24)^V.Complémentaires!D64)-E64)</f>
        <v/>
      </c>
    </row>
    <row r="65" spans="2:7" ht="20" customHeight="1">
      <c r="B65" s="13"/>
      <c r="C65" s="16" t="str">
        <f>IF(Tableau447[[#This Row],[Date]]="","",INT(DAYS360(DATE(YEAR(B65),1,1),B65,TRUE)/15)+1)</f>
        <v/>
      </c>
      <c r="D65" s="13" t="str">
        <f>IF(Tableau447[[#This Row],[Date]]="","",24-C65)</f>
        <v/>
      </c>
      <c r="E65" s="13"/>
      <c r="F65" s="34" t="str">
        <f>IF(Tableau447[[#This Row],[Date]]="","",Tableau447[[#This Row],[Versement]]*Variables!$F$12)</f>
        <v/>
      </c>
      <c r="G65" s="34" t="str">
        <f>IF(Tableau447[[#This Row],[Date]]="","",(E65*(1+($C$59)/24)^V.Complémentaires!D65)-E65)</f>
        <v/>
      </c>
    </row>
    <row r="66" spans="2:7" ht="20" customHeight="1">
      <c r="B66" s="13"/>
      <c r="C66" s="16" t="str">
        <f>IF(Tableau447[[#This Row],[Date]]="","",INT(DAYS360(DATE(YEAR(B66),1,1),B66,TRUE)/15)+1)</f>
        <v/>
      </c>
      <c r="D66" s="13" t="str">
        <f>IF(Tableau447[[#This Row],[Date]]="","",24-C66)</f>
        <v/>
      </c>
      <c r="E66" s="13"/>
      <c r="F66" s="34" t="str">
        <f>IF(Tableau447[[#This Row],[Date]]="","",Tableau447[[#This Row],[Versement]]*Variables!$F$12)</f>
        <v/>
      </c>
      <c r="G66" s="34" t="str">
        <f>IF(Tableau447[[#This Row],[Date]]="","",(E66*(1+($C$59)/24)^V.Complémentaires!D66)-E66)</f>
        <v/>
      </c>
    </row>
    <row r="67" spans="2:7" ht="20" customHeight="1">
      <c r="B67" s="13"/>
      <c r="C67" s="16" t="str">
        <f>IF(Tableau447[[#This Row],[Date]]="","",INT(DAYS360(DATE(YEAR(B67),1,1),B67,TRUE)/15)+1)</f>
        <v/>
      </c>
      <c r="D67" s="13" t="str">
        <f>IF(Tableau447[[#This Row],[Date]]="","",24-C67)</f>
        <v/>
      </c>
      <c r="E67" s="13"/>
      <c r="F67" s="34" t="str">
        <f>IF(Tableau447[[#This Row],[Date]]="","",Tableau447[[#This Row],[Versement]]*Variables!$F$12)</f>
        <v/>
      </c>
      <c r="G67" s="34" t="str">
        <f>IF(Tableau447[[#This Row],[Date]]="","",(E67*(1+($C$59)/24)^V.Complémentaires!D67)-E67)</f>
        <v/>
      </c>
    </row>
    <row r="68" spans="2:7" ht="20" customHeight="1">
      <c r="B68" s="13"/>
      <c r="C68" s="16" t="str">
        <f>IF(Tableau447[[#This Row],[Date]]="","",INT(DAYS360(DATE(YEAR(B68),1,1),B68,TRUE)/15)+1)</f>
        <v/>
      </c>
      <c r="D68" s="13" t="str">
        <f>IF(Tableau447[[#This Row],[Date]]="","",24-C68)</f>
        <v/>
      </c>
      <c r="E68" s="13"/>
      <c r="F68" s="34" t="str">
        <f>IF(Tableau447[[#This Row],[Date]]="","",Tableau447[[#This Row],[Versement]]*Variables!$F$12)</f>
        <v/>
      </c>
      <c r="G68" s="34" t="str">
        <f>IF(Tableau447[[#This Row],[Date]]="","",(E68*(1+($C$59)/24)^V.Complémentaires!D68)-E68)</f>
        <v/>
      </c>
    </row>
    <row r="69" spans="2:7" ht="20" customHeight="1">
      <c r="B69" s="15"/>
      <c r="C69" s="16" t="str">
        <f>IF(Tableau447[[#This Row],[Date]]="","",INT(DAYS360(DATE(YEAR(B69),1,1),B69,TRUE)/15)+1)</f>
        <v/>
      </c>
      <c r="D69" s="13" t="str">
        <f>IF(Tableau447[[#This Row],[Date]]="","",24-C69)</f>
        <v/>
      </c>
      <c r="E69" s="13"/>
      <c r="F69" s="34" t="str">
        <f>IF(Tableau447[[#This Row],[Date]]="","",Tableau447[[#This Row],[Versement]]*Variables!$F$12)</f>
        <v/>
      </c>
      <c r="G69" s="34" t="str">
        <f>IF(Tableau447[[#This Row],[Date]]="","",(E69*(1+($C$59)/24)^V.Complémentaires!D69)-E69)</f>
        <v/>
      </c>
    </row>
    <row r="70" spans="2:7" ht="20" customHeight="1">
      <c r="B70" s="13"/>
      <c r="C70" s="16" t="str">
        <f>IF(Tableau447[[#This Row],[Date]]="","",INT(DAYS360(DATE(YEAR(B70),1,1),B70,TRUE)/15)+1)</f>
        <v/>
      </c>
      <c r="D70" s="13" t="str">
        <f>IF(Tableau447[[#This Row],[Date]]="","",24-C70)</f>
        <v/>
      </c>
      <c r="E70" s="13"/>
      <c r="F70" s="34" t="str">
        <f>IF(Tableau447[[#This Row],[Date]]="","",Tableau447[[#This Row],[Versement]]*Variables!$F$12)</f>
        <v/>
      </c>
      <c r="G70" s="34" t="str">
        <f>IF(Tableau447[[#This Row],[Date]]="","",(E70*(1+($C$59)/24)^V.Complémentaires!D70)-E70)</f>
        <v/>
      </c>
    </row>
    <row r="71" spans="2:7" ht="20" customHeight="1">
      <c r="B71" s="13"/>
      <c r="C71" s="16" t="str">
        <f>IF(Tableau447[[#This Row],[Date]]="","",INT(DAYS360(DATE(YEAR(B71),1,1),B71,TRUE)/15)+1)</f>
        <v/>
      </c>
      <c r="D71" s="13" t="str">
        <f>IF(Tableau447[[#This Row],[Date]]="","",24-C71)</f>
        <v/>
      </c>
      <c r="E71" s="13"/>
      <c r="F71" s="34" t="str">
        <f>IF(Tableau447[[#This Row],[Date]]="","",Tableau447[[#This Row],[Versement]]*Variables!$F$12)</f>
        <v/>
      </c>
      <c r="G71" s="34" t="str">
        <f>IF(Tableau447[[#This Row],[Date]]="","",(E71*(1+($C$59)/24)^V.Complémentaires!D71)-E71)</f>
        <v/>
      </c>
    </row>
    <row r="72" spans="2:7" ht="20" customHeight="1">
      <c r="B72" s="13"/>
      <c r="C72" s="16" t="str">
        <f>IF(Tableau447[[#This Row],[Date]]="","",INT(DAYS360(DATE(YEAR(B72),1,1),B72,TRUE)/15)+1)</f>
        <v/>
      </c>
      <c r="D72" s="13" t="str">
        <f>IF(Tableau447[[#This Row],[Date]]="","",24-C72)</f>
        <v/>
      </c>
      <c r="E72" s="13"/>
      <c r="F72" s="34" t="str">
        <f>IF(Tableau447[[#This Row],[Date]]="","",Tableau447[[#This Row],[Versement]]*Variables!$F$12)</f>
        <v/>
      </c>
      <c r="G72" s="34" t="str">
        <f>IF(Tableau447[[#This Row],[Date]]="","",(E72*(1+($C$59)/24)^V.Complémentaires!D72)-E72)</f>
        <v/>
      </c>
    </row>
    <row r="73" spans="2:7" ht="20" customHeight="1">
      <c r="B73" s="13"/>
      <c r="C73" s="16" t="str">
        <f>IF(Tableau447[[#This Row],[Date]]="","",INT(DAYS360(DATE(YEAR(B73),1,1),B73,TRUE)/15)+1)</f>
        <v/>
      </c>
      <c r="D73" s="13" t="str">
        <f>IF(Tableau447[[#This Row],[Date]]="","",24-C73)</f>
        <v/>
      </c>
      <c r="E73" s="13"/>
      <c r="F73" s="34" t="str">
        <f>IF(Tableau447[[#This Row],[Date]]="","",Tableau447[[#This Row],[Versement]]*Variables!$F$12)</f>
        <v/>
      </c>
      <c r="G73" s="34" t="str">
        <f>IF(Tableau447[[#This Row],[Date]]="","",(E73*(1+($C$59)/24)^V.Complémentaires!D73)-E73)</f>
        <v/>
      </c>
    </row>
    <row r="74" spans="2:7" ht="20" customHeight="1">
      <c r="B74" s="13"/>
      <c r="C74" s="16" t="str">
        <f>IF(Tableau447[[#This Row],[Date]]="","",INT(DAYS360(DATE(YEAR(B74),1,1),B74,TRUE)/15)+1)</f>
        <v/>
      </c>
      <c r="D74" s="13" t="str">
        <f>IF(Tableau447[[#This Row],[Date]]="","",24-C74)</f>
        <v/>
      </c>
      <c r="E74" s="13"/>
      <c r="F74" s="34" t="str">
        <f>IF(Tableau447[[#This Row],[Date]]="","",Tableau447[[#This Row],[Versement]]*Variables!$F$12)</f>
        <v/>
      </c>
      <c r="G74" s="34" t="str">
        <f>IF(Tableau447[[#This Row],[Date]]="","",(E74*(1+($C$59)/24)^V.Complémentaires!D74)-E74)</f>
        <v/>
      </c>
    </row>
    <row r="75" spans="2:7" ht="20" customHeight="1">
      <c r="B75" s="13"/>
      <c r="C75" s="16" t="str">
        <f>IF(Tableau447[[#This Row],[Date]]="","",INT(DAYS360(DATE(YEAR(B75),1,1),B75,TRUE)/15)+1)</f>
        <v/>
      </c>
      <c r="D75" s="13" t="str">
        <f>IF(Tableau447[[#This Row],[Date]]="","",24-C75)</f>
        <v/>
      </c>
      <c r="E75" s="13"/>
      <c r="F75" s="34" t="str">
        <f>IF(Tableau447[[#This Row],[Date]]="","",Tableau447[[#This Row],[Versement]]*Variables!$F$12)</f>
        <v/>
      </c>
      <c r="G75" s="34" t="str">
        <f>IF(Tableau447[[#This Row],[Date]]="","",(E75*(1+($C$59)/24)^V.Complémentaires!D75)-E75)</f>
        <v/>
      </c>
    </row>
    <row r="76" spans="2:7" ht="20" customHeight="1">
      <c r="B76" s="13"/>
      <c r="C76" s="16" t="str">
        <f>IF(Tableau447[[#This Row],[Date]]="","",INT(DAYS360(DATE(YEAR(B76),1,1),B76,TRUE)/15)+1)</f>
        <v/>
      </c>
      <c r="D76" s="13" t="str">
        <f>IF(Tableau447[[#This Row],[Date]]="","",24-C76)</f>
        <v/>
      </c>
      <c r="E76" s="13"/>
      <c r="F76" s="34" t="str">
        <f>IF(Tableau447[[#This Row],[Date]]="","",Tableau447[[#This Row],[Versement]]*Variables!$F$12)</f>
        <v/>
      </c>
      <c r="G76" s="34" t="str">
        <f>IF(Tableau447[[#This Row],[Date]]="","",(E76*(1+($C$59)/24)^V.Complémentaires!D76)-E76)</f>
        <v/>
      </c>
    </row>
    <row r="77" spans="2:7" ht="20" customHeight="1">
      <c r="B77" s="13"/>
      <c r="C77" s="16" t="str">
        <f>IF(Tableau447[[#This Row],[Date]]="","",INT(DAYS360(DATE(YEAR(B77),1,1),B77,TRUE)/15)+1)</f>
        <v/>
      </c>
      <c r="D77" s="13" t="str">
        <f>IF(Tableau447[[#This Row],[Date]]="","",24-C77)</f>
        <v/>
      </c>
      <c r="E77" s="13"/>
      <c r="F77" s="34" t="str">
        <f>IF(Tableau447[[#This Row],[Date]]="","",Tableau447[[#This Row],[Versement]]*Variables!$F$12)</f>
        <v/>
      </c>
      <c r="G77" s="34" t="str">
        <f>IF(Tableau447[[#This Row],[Date]]="","",(E77*(1+($C$59)/24)^V.Complémentaires!D77)-E77)</f>
        <v/>
      </c>
    </row>
    <row r="78" spans="2:7" ht="20" customHeight="1">
      <c r="B78" s="13"/>
      <c r="C78" s="13"/>
      <c r="D78" s="13"/>
      <c r="E78" s="13">
        <f>SUM(Tableau447[Versement])</f>
        <v>0</v>
      </c>
      <c r="F78" s="34">
        <f>SUBTOTAL(109,Tableau447[Frais de versement])</f>
        <v>0</v>
      </c>
      <c r="G78" s="34">
        <f>SUM(Tableau447[Interet])</f>
        <v>0</v>
      </c>
    </row>
    <row r="83" spans="2:7" ht="20" customHeight="1" thickBot="1"/>
    <row r="84" spans="2:7" ht="20" customHeight="1" thickBot="1">
      <c r="B84" s="10" t="s">
        <v>7</v>
      </c>
      <c r="C84" s="19">
        <f ca="1">C58+1</f>
        <v>2017</v>
      </c>
      <c r="D84" s="13"/>
      <c r="E84" s="13"/>
      <c r="F84" s="34"/>
      <c r="G84" s="34"/>
    </row>
    <row r="85" spans="2:7" ht="20" customHeight="1" thickBot="1">
      <c r="B85" s="14" t="s">
        <v>23</v>
      </c>
      <c r="C85" s="20">
        <f ca="1">IF('Tableau Projection'!I10="","",VLOOKUP(C84,'Tableau Projection'!$C$6:$L$28,7,FALSE))</f>
        <v>1.0500000000000001E-2</v>
      </c>
      <c r="D85" s="13"/>
      <c r="E85" s="13"/>
      <c r="F85" s="34"/>
      <c r="G85" s="34"/>
    </row>
    <row r="86" spans="2:7" ht="35" customHeight="1">
      <c r="B86" s="13" t="s">
        <v>18</v>
      </c>
      <c r="C86" s="18" t="s">
        <v>22</v>
      </c>
      <c r="D86" s="13" t="s">
        <v>19</v>
      </c>
      <c r="E86" s="13" t="s">
        <v>20</v>
      </c>
      <c r="F86" s="57" t="s">
        <v>3</v>
      </c>
      <c r="G86" s="34" t="s">
        <v>21</v>
      </c>
    </row>
    <row r="87" spans="2:7" ht="20" customHeight="1">
      <c r="B87" s="15"/>
      <c r="C87" s="16" t="str">
        <f>IF(Tableau4478[[#This Row],[Date]]="","",INT(DAYS360(DATE(YEAR(B87),1,1),B87,TRUE)/15)+1)</f>
        <v/>
      </c>
      <c r="D87" s="13" t="str">
        <f>IF(Tableau4478[[#This Row],[Date]]="","",24-C87)</f>
        <v/>
      </c>
      <c r="E87" s="17"/>
      <c r="F87" s="34" t="str">
        <f>IF(Tableau4478[[#This Row],[Date]]="","",Tableau4478[[#This Row],[Versement]]*Variables!$F$12)</f>
        <v/>
      </c>
      <c r="G87" s="34" t="str">
        <f>IF(Tableau4478[[#This Row],[Date]]="","",(E87*(1+($C$85)/24)^V.Complémentaires!D87)-E87)</f>
        <v/>
      </c>
    </row>
    <row r="88" spans="2:7" ht="20" customHeight="1">
      <c r="B88" s="15"/>
      <c r="C88" s="16" t="str">
        <f>IF(Tableau4478[[#This Row],[Date]]="","",INT(DAYS360(DATE(YEAR(B88),1,1),B88,TRUE)/15)+1)</f>
        <v/>
      </c>
      <c r="D88" s="13" t="str">
        <f>IF(Tableau4478[[#This Row],[Date]]="","",24-C88)</f>
        <v/>
      </c>
      <c r="E88" s="13"/>
      <c r="F88" s="34" t="str">
        <f>IF(Tableau4478[[#This Row],[Date]]="","",Tableau4478[[#This Row],[Versement]]*Variables!$F$12)</f>
        <v/>
      </c>
      <c r="G88" s="34" t="str">
        <f>IF(Tableau4478[[#This Row],[Date]]="","",(E88*(1+($C$85)/24)^V.Complémentaires!D88)-E88)</f>
        <v/>
      </c>
    </row>
    <row r="89" spans="2:7" ht="20" customHeight="1">
      <c r="B89" s="15"/>
      <c r="C89" s="16" t="str">
        <f>IF(Tableau4478[[#This Row],[Date]]="","",INT(DAYS360(DATE(YEAR(B89),1,1),B89,TRUE)/15)+1)</f>
        <v/>
      </c>
      <c r="D89" s="13" t="str">
        <f>IF(Tableau4478[[#This Row],[Date]]="","",24-C89)</f>
        <v/>
      </c>
      <c r="E89" s="13"/>
      <c r="F89" s="34" t="str">
        <f>IF(Tableau4478[[#This Row],[Date]]="","",Tableau4478[[#This Row],[Versement]]*Variables!$F$12)</f>
        <v/>
      </c>
      <c r="G89" s="34" t="str">
        <f>IF(Tableau4478[[#This Row],[Date]]="","",(E89*(1+($C$85)/24)^V.Complémentaires!D89)-E89)</f>
        <v/>
      </c>
    </row>
    <row r="90" spans="2:7" ht="20" customHeight="1">
      <c r="B90" s="13"/>
      <c r="C90" s="16" t="str">
        <f>IF(Tableau4478[[#This Row],[Date]]="","",INT(DAYS360(DATE(YEAR(B90),1,1),B90,TRUE)/15)+1)</f>
        <v/>
      </c>
      <c r="D90" s="13" t="str">
        <f>IF(Tableau4478[[#This Row],[Date]]="","",24-C90)</f>
        <v/>
      </c>
      <c r="E90" s="13"/>
      <c r="F90" s="34" t="str">
        <f>IF(Tableau4478[[#This Row],[Date]]="","",Tableau4478[[#This Row],[Versement]]*Variables!$F$12)</f>
        <v/>
      </c>
      <c r="G90" s="34" t="str">
        <f>IF(Tableau4478[[#This Row],[Date]]="","",(E90*(1+($C$85)/24)^V.Complémentaires!D90)-E90)</f>
        <v/>
      </c>
    </row>
    <row r="91" spans="2:7" ht="20" customHeight="1">
      <c r="B91" s="13"/>
      <c r="C91" s="16" t="str">
        <f>IF(Tableau4478[[#This Row],[Date]]="","",INT(DAYS360(DATE(YEAR(B91),1,1),B91,TRUE)/15)+1)</f>
        <v/>
      </c>
      <c r="D91" s="13" t="str">
        <f>IF(Tableau4478[[#This Row],[Date]]="","",24-C91)</f>
        <v/>
      </c>
      <c r="E91" s="13"/>
      <c r="F91" s="34" t="str">
        <f>IF(Tableau4478[[#This Row],[Date]]="","",Tableau4478[[#This Row],[Versement]]*Variables!$F$12)</f>
        <v/>
      </c>
      <c r="G91" s="34" t="str">
        <f>IF(Tableau4478[[#This Row],[Date]]="","",(E91*(1+($C$85)/24)^V.Complémentaires!D91)-E91)</f>
        <v/>
      </c>
    </row>
    <row r="92" spans="2:7" ht="20" customHeight="1">
      <c r="B92" s="13"/>
      <c r="C92" s="16" t="str">
        <f>IF(Tableau4478[[#This Row],[Date]]="","",INT(DAYS360(DATE(YEAR(B92),1,1),B92,TRUE)/15)+1)</f>
        <v/>
      </c>
      <c r="D92" s="13" t="str">
        <f>IF(Tableau4478[[#This Row],[Date]]="","",24-C92)</f>
        <v/>
      </c>
      <c r="E92" s="13"/>
      <c r="F92" s="34" t="str">
        <f>IF(Tableau4478[[#This Row],[Date]]="","",Tableau4478[[#This Row],[Versement]]*Variables!$F$12)</f>
        <v/>
      </c>
      <c r="G92" s="34" t="str">
        <f>IF(Tableau4478[[#This Row],[Date]]="","",(E92*(1+($C$85)/24)^V.Complémentaires!D92)-E92)</f>
        <v/>
      </c>
    </row>
    <row r="93" spans="2:7" ht="20" customHeight="1">
      <c r="B93" s="13"/>
      <c r="C93" s="16" t="str">
        <f>IF(Tableau4478[[#This Row],[Date]]="","",INT(DAYS360(DATE(YEAR(B93),1,1),B93,TRUE)/15)+1)</f>
        <v/>
      </c>
      <c r="D93" s="13" t="str">
        <f>IF(Tableau4478[[#This Row],[Date]]="","",24-C93)</f>
        <v/>
      </c>
      <c r="E93" s="13"/>
      <c r="F93" s="34" t="str">
        <f>IF(Tableau4478[[#This Row],[Date]]="","",Tableau4478[[#This Row],[Versement]]*Variables!$F$12)</f>
        <v/>
      </c>
      <c r="G93" s="34" t="str">
        <f>IF(Tableau4478[[#This Row],[Date]]="","",(E93*(1+($C$85)/24)^V.Complémentaires!D93)-E93)</f>
        <v/>
      </c>
    </row>
    <row r="94" spans="2:7" ht="20" customHeight="1">
      <c r="B94" s="13"/>
      <c r="C94" s="16" t="str">
        <f>IF(Tableau4478[[#This Row],[Date]]="","",INT(DAYS360(DATE(YEAR(B94),1,1),B94,TRUE)/15)+1)</f>
        <v/>
      </c>
      <c r="D94" s="13" t="str">
        <f>IF(Tableau4478[[#This Row],[Date]]="","",24-C94)</f>
        <v/>
      </c>
      <c r="E94" s="13"/>
      <c r="F94" s="34" t="str">
        <f>IF(Tableau4478[[#This Row],[Date]]="","",Tableau4478[[#This Row],[Versement]]*Variables!$F$12)</f>
        <v/>
      </c>
      <c r="G94" s="34" t="str">
        <f>IF(Tableau4478[[#This Row],[Date]]="","",(E94*(1+($C$85)/24)^V.Complémentaires!D94)-E94)</f>
        <v/>
      </c>
    </row>
    <row r="95" spans="2:7" ht="20" customHeight="1">
      <c r="B95" s="15"/>
      <c r="C95" s="16" t="str">
        <f>IF(Tableau4478[[#This Row],[Date]]="","",INT(DAYS360(DATE(YEAR(B95),1,1),B95,TRUE)/15)+1)</f>
        <v/>
      </c>
      <c r="D95" s="13" t="str">
        <f>IF(Tableau4478[[#This Row],[Date]]="","",24-C95)</f>
        <v/>
      </c>
      <c r="E95" s="13"/>
      <c r="F95" s="34" t="str">
        <f>IF(Tableau4478[[#This Row],[Date]]="","",Tableau4478[[#This Row],[Versement]]*Variables!$F$12)</f>
        <v/>
      </c>
      <c r="G95" s="34" t="str">
        <f>IF(Tableau4478[[#This Row],[Date]]="","",(E95*(1+($C$85)/24)^V.Complémentaires!D95)-E95)</f>
        <v/>
      </c>
    </row>
    <row r="96" spans="2:7" ht="20" customHeight="1">
      <c r="B96" s="13"/>
      <c r="C96" s="16" t="str">
        <f>IF(Tableau4478[[#This Row],[Date]]="","",INT(DAYS360(DATE(YEAR(B96),1,1),B96,TRUE)/15)+1)</f>
        <v/>
      </c>
      <c r="D96" s="13" t="str">
        <f>IF(Tableau4478[[#This Row],[Date]]="","",24-C96)</f>
        <v/>
      </c>
      <c r="E96" s="13"/>
      <c r="F96" s="34" t="str">
        <f>IF(Tableau4478[[#This Row],[Date]]="","",Tableau4478[[#This Row],[Versement]]*Variables!$F$12)</f>
        <v/>
      </c>
      <c r="G96" s="34" t="str">
        <f>IF(Tableau4478[[#This Row],[Date]]="","",(E96*(1+($C$85)/24)^V.Complémentaires!D96)-E96)</f>
        <v/>
      </c>
    </row>
    <row r="97" spans="2:7" ht="20" customHeight="1">
      <c r="B97" s="13"/>
      <c r="C97" s="16" t="str">
        <f>IF(Tableau4478[[#This Row],[Date]]="","",INT(DAYS360(DATE(YEAR(B97),1,1),B97,TRUE)/15)+1)</f>
        <v/>
      </c>
      <c r="D97" s="13" t="str">
        <f>IF(Tableau4478[[#This Row],[Date]]="","",24-C97)</f>
        <v/>
      </c>
      <c r="E97" s="13"/>
      <c r="F97" s="34" t="str">
        <f>IF(Tableau4478[[#This Row],[Date]]="","",Tableau4478[[#This Row],[Versement]]*Variables!$F$12)</f>
        <v/>
      </c>
      <c r="G97" s="34" t="str">
        <f>IF(Tableau4478[[#This Row],[Date]]="","",(E97*(1+($C$85)/24)^V.Complémentaires!D97)-E97)</f>
        <v/>
      </c>
    </row>
    <row r="98" spans="2:7" ht="20" customHeight="1">
      <c r="B98" s="13"/>
      <c r="C98" s="16" t="str">
        <f>IF(Tableau4478[[#This Row],[Date]]="","",INT(DAYS360(DATE(YEAR(B98),1,1),B98,TRUE)/15)+1)</f>
        <v/>
      </c>
      <c r="D98" s="13" t="str">
        <f>IF(Tableau4478[[#This Row],[Date]]="","",24-C98)</f>
        <v/>
      </c>
      <c r="E98" s="13"/>
      <c r="F98" s="34" t="str">
        <f>IF(Tableau4478[[#This Row],[Date]]="","",Tableau4478[[#This Row],[Versement]]*Variables!$F$12)</f>
        <v/>
      </c>
      <c r="G98" s="34" t="str">
        <f>IF(Tableau4478[[#This Row],[Date]]="","",(E98*(1+($C$85)/24)^V.Complémentaires!D98)-E98)</f>
        <v/>
      </c>
    </row>
    <row r="99" spans="2:7" ht="20" customHeight="1">
      <c r="B99" s="13"/>
      <c r="C99" s="16" t="str">
        <f>IF(Tableau4478[[#This Row],[Date]]="","",INT(DAYS360(DATE(YEAR(B99),1,1),B99,TRUE)/15)+1)</f>
        <v/>
      </c>
      <c r="D99" s="13" t="str">
        <f>IF(Tableau4478[[#This Row],[Date]]="","",24-C99)</f>
        <v/>
      </c>
      <c r="E99" s="13"/>
      <c r="F99" s="34" t="str">
        <f>IF(Tableau4478[[#This Row],[Date]]="","",Tableau4478[[#This Row],[Versement]]*Variables!$F$12)</f>
        <v/>
      </c>
      <c r="G99" s="34" t="str">
        <f>IF(Tableau4478[[#This Row],[Date]]="","",(E99*(1+($C$85)/24)^V.Complémentaires!D99)-E99)</f>
        <v/>
      </c>
    </row>
    <row r="100" spans="2:7" ht="20" customHeight="1">
      <c r="B100" s="13"/>
      <c r="C100" s="16" t="str">
        <f>IF(Tableau4478[[#This Row],[Date]]="","",INT(DAYS360(DATE(YEAR(B100),1,1),B100,TRUE)/15)+1)</f>
        <v/>
      </c>
      <c r="D100" s="13" t="str">
        <f>IF(Tableau4478[[#This Row],[Date]]="","",24-C100)</f>
        <v/>
      </c>
      <c r="E100" s="13"/>
      <c r="F100" s="34" t="str">
        <f>IF(Tableau4478[[#This Row],[Date]]="","",Tableau4478[[#This Row],[Versement]]*Variables!$F$12)</f>
        <v/>
      </c>
      <c r="G100" s="34" t="str">
        <f>IF(Tableau4478[[#This Row],[Date]]="","",(E100*(1+($C$85)/24)^V.Complémentaires!D100)-E100)</f>
        <v/>
      </c>
    </row>
    <row r="101" spans="2:7" ht="20" customHeight="1">
      <c r="B101" s="13"/>
      <c r="C101" s="16" t="str">
        <f>IF(Tableau4478[[#This Row],[Date]]="","",INT(DAYS360(DATE(YEAR(B101),1,1),B101,TRUE)/15)+1)</f>
        <v/>
      </c>
      <c r="D101" s="13" t="str">
        <f>IF(Tableau4478[[#This Row],[Date]]="","",24-C101)</f>
        <v/>
      </c>
      <c r="E101" s="13"/>
      <c r="F101" s="34" t="str">
        <f>IF(Tableau4478[[#This Row],[Date]]="","",Tableau4478[[#This Row],[Versement]]*Variables!$F$12)</f>
        <v/>
      </c>
      <c r="G101" s="34" t="str">
        <f>IF(Tableau4478[[#This Row],[Date]]="","",(E101*(1+($C$85)/24)^V.Complémentaires!D101)-E101)</f>
        <v/>
      </c>
    </row>
    <row r="102" spans="2:7" ht="20" customHeight="1">
      <c r="B102" s="13"/>
      <c r="C102" s="16" t="str">
        <f>IF(Tableau4478[[#This Row],[Date]]="","",INT(DAYS360(DATE(YEAR(B102),1,1),B102,TRUE)/15)+1)</f>
        <v/>
      </c>
      <c r="D102" s="13" t="str">
        <f>IF(Tableau4478[[#This Row],[Date]]="","",24-C102)</f>
        <v/>
      </c>
      <c r="E102" s="13"/>
      <c r="F102" s="34" t="str">
        <f>IF(Tableau4478[[#This Row],[Date]]="","",Tableau4478[[#This Row],[Versement]]*Variables!$F$12)</f>
        <v/>
      </c>
      <c r="G102" s="34" t="str">
        <f>IF(Tableau4478[[#This Row],[Date]]="","",(E102*(1+($C$85)/24)^V.Complémentaires!D102)-E102)</f>
        <v/>
      </c>
    </row>
    <row r="103" spans="2:7" ht="20" customHeight="1">
      <c r="B103" s="13"/>
      <c r="C103" s="16" t="str">
        <f>IF(Tableau4478[[#This Row],[Date]]="","",INT(DAYS360(DATE(YEAR(B103),1,1),B103,TRUE)/15)+1)</f>
        <v/>
      </c>
      <c r="D103" s="13" t="str">
        <f>IF(Tableau4478[[#This Row],[Date]]="","",24-C103)</f>
        <v/>
      </c>
      <c r="E103" s="13"/>
      <c r="F103" s="34" t="str">
        <f>IF(Tableau4478[[#This Row],[Date]]="","",Tableau4478[[#This Row],[Versement]]*Variables!$F$12)</f>
        <v/>
      </c>
      <c r="G103" s="34" t="str">
        <f>IF(Tableau4478[[#This Row],[Date]]="","",(E103*(1+($C$85)/24)^V.Complémentaires!D103)-E103)</f>
        <v/>
      </c>
    </row>
    <row r="104" spans="2:7" ht="20" customHeight="1">
      <c r="B104" s="13"/>
      <c r="C104" s="13"/>
      <c r="D104" s="13"/>
      <c r="E104" s="13">
        <f>SUM(Tableau4478[Versement])</f>
        <v>0</v>
      </c>
      <c r="F104" s="34">
        <f>SUBTOTAL(109,Tableau4478[Frais de versement])</f>
        <v>0</v>
      </c>
      <c r="G104" s="34">
        <f>SUM(Tableau4478[Interet])</f>
        <v>0</v>
      </c>
    </row>
    <row r="109" spans="2:7" ht="20" customHeight="1" thickBot="1"/>
    <row r="110" spans="2:7" ht="20" customHeight="1" thickBot="1">
      <c r="B110" s="10" t="s">
        <v>7</v>
      </c>
      <c r="C110" s="19">
        <f ca="1">C84+1</f>
        <v>2018</v>
      </c>
      <c r="D110" s="13"/>
      <c r="E110" s="13"/>
      <c r="F110" s="34"/>
      <c r="G110" s="34"/>
    </row>
    <row r="111" spans="2:7" ht="20" customHeight="1" thickBot="1">
      <c r="B111" s="14" t="s">
        <v>23</v>
      </c>
      <c r="C111" s="20" t="str">
        <f>IF('Tableau Projection'!I11="","",VLOOKUP(C110,'Tableau Projection'!$C$6:$L$28,7,FALSE))</f>
        <v/>
      </c>
      <c r="D111" s="13"/>
      <c r="E111" s="13"/>
      <c r="F111" s="34"/>
      <c r="G111" s="34"/>
    </row>
    <row r="112" spans="2:7" ht="35" customHeight="1">
      <c r="B112" s="13" t="s">
        <v>18</v>
      </c>
      <c r="C112" s="18" t="s">
        <v>22</v>
      </c>
      <c r="D112" s="13" t="s">
        <v>19</v>
      </c>
      <c r="E112" s="13" t="s">
        <v>20</v>
      </c>
      <c r="F112" s="57" t="s">
        <v>3</v>
      </c>
      <c r="G112" s="34" t="s">
        <v>21</v>
      </c>
    </row>
    <row r="113" spans="2:7" ht="20" customHeight="1">
      <c r="B113" s="15"/>
      <c r="C113" s="16" t="str">
        <f>IF(Tableau44789[[#This Row],[Date]]="","",INT(DAYS360(DATE(YEAR(B113),1,1),B113,TRUE)/15)+1)</f>
        <v/>
      </c>
      <c r="D113" s="13" t="str">
        <f>IF(Tableau44789[[#This Row],[Date]]="","",24-C113)</f>
        <v/>
      </c>
      <c r="E113" s="17"/>
      <c r="F113" s="34" t="str">
        <f>IF(Tableau44789[[#This Row],[Date]]="","",Tableau44789[[#This Row],[Versement]]*Variables!$F$12)</f>
        <v/>
      </c>
      <c r="G113" s="34" t="str">
        <f>IF(Tableau44789[[#This Row],[Date]]="","",(E113*(1+($C$111)/24)^V.Complémentaires!D113)-E113)</f>
        <v/>
      </c>
    </row>
    <row r="114" spans="2:7" ht="20" customHeight="1">
      <c r="B114" s="15"/>
      <c r="C114" s="16" t="str">
        <f>IF(Tableau44789[[#This Row],[Date]]="","",INT(DAYS360(DATE(YEAR(B114),1,1),B114,TRUE)/15)+1)</f>
        <v/>
      </c>
      <c r="D114" s="13" t="str">
        <f>IF(Tableau44789[[#This Row],[Date]]="","",24-C114)</f>
        <v/>
      </c>
      <c r="E114" s="13"/>
      <c r="F114" s="34" t="str">
        <f>IF(Tableau44789[[#This Row],[Date]]="","",Tableau44789[[#This Row],[Versement]]*Variables!$F$12)</f>
        <v/>
      </c>
      <c r="G114" s="34" t="str">
        <f>IF(Tableau44789[[#This Row],[Date]]="","",(E114*(1+($C$111)/24)^V.Complémentaires!D114)-E114)</f>
        <v/>
      </c>
    </row>
    <row r="115" spans="2:7" ht="20" customHeight="1">
      <c r="B115" s="15"/>
      <c r="C115" s="16" t="str">
        <f>IF(Tableau44789[[#This Row],[Date]]="","",INT(DAYS360(DATE(YEAR(B115),1,1),B115,TRUE)/15)+1)</f>
        <v/>
      </c>
      <c r="D115" s="13" t="str">
        <f>IF(Tableau44789[[#This Row],[Date]]="","",24-C115)</f>
        <v/>
      </c>
      <c r="E115" s="13"/>
      <c r="F115" s="34" t="str">
        <f>IF(Tableau44789[[#This Row],[Date]]="","",Tableau44789[[#This Row],[Versement]]*Variables!$F$12)</f>
        <v/>
      </c>
      <c r="G115" s="34" t="str">
        <f>IF(Tableau44789[[#This Row],[Date]]="","",(E115*(1+($C$111)/24)^V.Complémentaires!D115)-E115)</f>
        <v/>
      </c>
    </row>
    <row r="116" spans="2:7" ht="20" customHeight="1">
      <c r="B116" s="13"/>
      <c r="C116" s="16" t="str">
        <f>IF(Tableau44789[[#This Row],[Date]]="","",INT(DAYS360(DATE(YEAR(B116),1,1),B116,TRUE)/15)+1)</f>
        <v/>
      </c>
      <c r="D116" s="13" t="str">
        <f>IF(Tableau44789[[#This Row],[Date]]="","",24-C116)</f>
        <v/>
      </c>
      <c r="E116" s="13"/>
      <c r="F116" s="34" t="str">
        <f>IF(Tableau44789[[#This Row],[Date]]="","",Tableau44789[[#This Row],[Versement]]*Variables!$F$12)</f>
        <v/>
      </c>
      <c r="G116" s="34" t="str">
        <f>IF(Tableau44789[[#This Row],[Date]]="","",(E116*(1+($C$111)/24)^V.Complémentaires!D116)-E116)</f>
        <v/>
      </c>
    </row>
    <row r="117" spans="2:7" ht="20" customHeight="1">
      <c r="B117" s="13"/>
      <c r="C117" s="16" t="str">
        <f>IF(Tableau44789[[#This Row],[Date]]="","",INT(DAYS360(DATE(YEAR(B117),1,1),B117,TRUE)/15)+1)</f>
        <v/>
      </c>
      <c r="D117" s="13" t="str">
        <f>IF(Tableau44789[[#This Row],[Date]]="","",24-C117)</f>
        <v/>
      </c>
      <c r="E117" s="13"/>
      <c r="F117" s="34" t="str">
        <f>IF(Tableau44789[[#This Row],[Date]]="","",Tableau44789[[#This Row],[Versement]]*Variables!$F$12)</f>
        <v/>
      </c>
      <c r="G117" s="34" t="str">
        <f>IF(Tableau44789[[#This Row],[Date]]="","",(E117*(1+($C$111)/24)^V.Complémentaires!D117)-E117)</f>
        <v/>
      </c>
    </row>
    <row r="118" spans="2:7" ht="20" customHeight="1">
      <c r="B118" s="13"/>
      <c r="C118" s="16" t="str">
        <f>IF(Tableau44789[[#This Row],[Date]]="","",INT(DAYS360(DATE(YEAR(B118),1,1),B118,TRUE)/15)+1)</f>
        <v/>
      </c>
      <c r="D118" s="13" t="str">
        <f>IF(Tableau44789[[#This Row],[Date]]="","",24-C118)</f>
        <v/>
      </c>
      <c r="E118" s="13"/>
      <c r="F118" s="34" t="str">
        <f>IF(Tableau44789[[#This Row],[Date]]="","",Tableau44789[[#This Row],[Versement]]*Variables!$F$12)</f>
        <v/>
      </c>
      <c r="G118" s="34" t="str">
        <f>IF(Tableau44789[[#This Row],[Date]]="","",(E118*(1+($C$111)/24)^V.Complémentaires!D118)-E118)</f>
        <v/>
      </c>
    </row>
    <row r="119" spans="2:7" ht="20" customHeight="1">
      <c r="B119" s="13"/>
      <c r="C119" s="16" t="str">
        <f>IF(Tableau44789[[#This Row],[Date]]="","",INT(DAYS360(DATE(YEAR(B119),1,1),B119,TRUE)/15)+1)</f>
        <v/>
      </c>
      <c r="D119" s="13" t="str">
        <f>IF(Tableau44789[[#This Row],[Date]]="","",24-C119)</f>
        <v/>
      </c>
      <c r="E119" s="13"/>
      <c r="F119" s="34" t="str">
        <f>IF(Tableau44789[[#This Row],[Date]]="","",Tableau44789[[#This Row],[Versement]]*Variables!$F$12)</f>
        <v/>
      </c>
      <c r="G119" s="34" t="str">
        <f>IF(Tableau44789[[#This Row],[Date]]="","",(E119*(1+($C$111)/24)^V.Complémentaires!D119)-E119)</f>
        <v/>
      </c>
    </row>
    <row r="120" spans="2:7" ht="20" customHeight="1">
      <c r="B120" s="13"/>
      <c r="C120" s="16" t="str">
        <f>IF(Tableau44789[[#This Row],[Date]]="","",INT(DAYS360(DATE(YEAR(B120),1,1),B120,TRUE)/15)+1)</f>
        <v/>
      </c>
      <c r="D120" s="13" t="str">
        <f>IF(Tableau44789[[#This Row],[Date]]="","",24-C120)</f>
        <v/>
      </c>
      <c r="E120" s="13"/>
      <c r="F120" s="34" t="str">
        <f>IF(Tableau44789[[#This Row],[Date]]="","",Tableau44789[[#This Row],[Versement]]*Variables!$F$12)</f>
        <v/>
      </c>
      <c r="G120" s="34" t="str">
        <f>IF(Tableau44789[[#This Row],[Date]]="","",(E120*(1+($C$111)/24)^V.Complémentaires!D120)-E120)</f>
        <v/>
      </c>
    </row>
    <row r="121" spans="2:7" ht="20" customHeight="1">
      <c r="B121" s="15"/>
      <c r="C121" s="16" t="str">
        <f>IF(Tableau44789[[#This Row],[Date]]="","",INT(DAYS360(DATE(YEAR(B121),1,1),B121,TRUE)/15)+1)</f>
        <v/>
      </c>
      <c r="D121" s="13" t="str">
        <f>IF(Tableau44789[[#This Row],[Date]]="","",24-C121)</f>
        <v/>
      </c>
      <c r="E121" s="13"/>
      <c r="F121" s="34" t="str">
        <f>IF(Tableau44789[[#This Row],[Date]]="","",Tableau44789[[#This Row],[Versement]]*Variables!$F$12)</f>
        <v/>
      </c>
      <c r="G121" s="34" t="str">
        <f>IF(Tableau44789[[#This Row],[Date]]="","",(E121*(1+($C$111)/24)^V.Complémentaires!D121)-E121)</f>
        <v/>
      </c>
    </row>
    <row r="122" spans="2:7" ht="20" customHeight="1">
      <c r="B122" s="13"/>
      <c r="C122" s="16" t="str">
        <f>IF(Tableau44789[[#This Row],[Date]]="","",INT(DAYS360(DATE(YEAR(B122),1,1),B122,TRUE)/15)+1)</f>
        <v/>
      </c>
      <c r="D122" s="13" t="str">
        <f>IF(Tableau44789[[#This Row],[Date]]="","",24-C122)</f>
        <v/>
      </c>
      <c r="E122" s="13"/>
      <c r="F122" s="34" t="str">
        <f>IF(Tableau44789[[#This Row],[Date]]="","",Tableau44789[[#This Row],[Versement]]*Variables!$F$12)</f>
        <v/>
      </c>
      <c r="G122" s="34" t="str">
        <f>IF(Tableau44789[[#This Row],[Date]]="","",(E122*(1+($C$111)/24)^V.Complémentaires!D122)-E122)</f>
        <v/>
      </c>
    </row>
    <row r="123" spans="2:7" ht="20" customHeight="1">
      <c r="B123" s="13"/>
      <c r="C123" s="16" t="str">
        <f>IF(Tableau44789[[#This Row],[Date]]="","",INT(DAYS360(DATE(YEAR(B123),1,1),B123,TRUE)/15)+1)</f>
        <v/>
      </c>
      <c r="D123" s="13" t="str">
        <f>IF(Tableau44789[[#This Row],[Date]]="","",24-C123)</f>
        <v/>
      </c>
      <c r="E123" s="13"/>
      <c r="F123" s="34" t="str">
        <f>IF(Tableau44789[[#This Row],[Date]]="","",Tableau44789[[#This Row],[Versement]]*Variables!$F$12)</f>
        <v/>
      </c>
      <c r="G123" s="34" t="str">
        <f>IF(Tableau44789[[#This Row],[Date]]="","",(E123*(1+($C$111)/24)^V.Complémentaires!D123)-E123)</f>
        <v/>
      </c>
    </row>
    <row r="124" spans="2:7" ht="20" customHeight="1">
      <c r="B124" s="13"/>
      <c r="C124" s="16" t="str">
        <f>IF(Tableau44789[[#This Row],[Date]]="","",INT(DAYS360(DATE(YEAR(B124),1,1),B124,TRUE)/15)+1)</f>
        <v/>
      </c>
      <c r="D124" s="13" t="str">
        <f>IF(Tableau44789[[#This Row],[Date]]="","",24-C124)</f>
        <v/>
      </c>
      <c r="E124" s="13"/>
      <c r="F124" s="34" t="str">
        <f>IF(Tableau44789[[#This Row],[Date]]="","",Tableau44789[[#This Row],[Versement]]*Variables!$F$12)</f>
        <v/>
      </c>
      <c r="G124" s="34" t="str">
        <f>IF(Tableau44789[[#This Row],[Date]]="","",(E124*(1+($C$111)/24)^V.Complémentaires!D124)-E124)</f>
        <v/>
      </c>
    </row>
    <row r="125" spans="2:7" ht="20" customHeight="1">
      <c r="B125" s="13"/>
      <c r="C125" s="16" t="str">
        <f>IF(Tableau44789[[#This Row],[Date]]="","",INT(DAYS360(DATE(YEAR(B125),1,1),B125,TRUE)/15)+1)</f>
        <v/>
      </c>
      <c r="D125" s="13" t="str">
        <f>IF(Tableau44789[[#This Row],[Date]]="","",24-C125)</f>
        <v/>
      </c>
      <c r="E125" s="13"/>
      <c r="F125" s="34" t="str">
        <f>IF(Tableau44789[[#This Row],[Date]]="","",Tableau44789[[#This Row],[Versement]]*Variables!$F$12)</f>
        <v/>
      </c>
      <c r="G125" s="34" t="str">
        <f>IF(Tableau44789[[#This Row],[Date]]="","",(E125*(1+($C$111)/24)^V.Complémentaires!D125)-E125)</f>
        <v/>
      </c>
    </row>
    <row r="126" spans="2:7" ht="20" customHeight="1">
      <c r="B126" s="13"/>
      <c r="C126" s="16" t="str">
        <f>IF(Tableau44789[[#This Row],[Date]]="","",INT(DAYS360(DATE(YEAR(B126),1,1),B126,TRUE)/15)+1)</f>
        <v/>
      </c>
      <c r="D126" s="13" t="str">
        <f>IF(Tableau44789[[#This Row],[Date]]="","",24-C126)</f>
        <v/>
      </c>
      <c r="E126" s="13"/>
      <c r="F126" s="34" t="str">
        <f>IF(Tableau44789[[#This Row],[Date]]="","",Tableau44789[[#This Row],[Versement]]*Variables!$F$12)</f>
        <v/>
      </c>
      <c r="G126" s="34" t="str">
        <f>IF(Tableau44789[[#This Row],[Date]]="","",(E126*(1+($C$111)/24)^V.Complémentaires!D126)-E126)</f>
        <v/>
      </c>
    </row>
    <row r="127" spans="2:7" ht="20" customHeight="1">
      <c r="B127" s="13"/>
      <c r="C127" s="16" t="str">
        <f>IF(Tableau44789[[#This Row],[Date]]="","",INT(DAYS360(DATE(YEAR(B127),1,1),B127,TRUE)/15)+1)</f>
        <v/>
      </c>
      <c r="D127" s="13" t="str">
        <f>IF(Tableau44789[[#This Row],[Date]]="","",24-C127)</f>
        <v/>
      </c>
      <c r="E127" s="13"/>
      <c r="F127" s="34" t="str">
        <f>IF(Tableau44789[[#This Row],[Date]]="","",Tableau44789[[#This Row],[Versement]]*Variables!$F$12)</f>
        <v/>
      </c>
      <c r="G127" s="34" t="str">
        <f>IF(Tableau44789[[#This Row],[Date]]="","",(E127*(1+($C$111)/24)^V.Complémentaires!D127)-E127)</f>
        <v/>
      </c>
    </row>
    <row r="128" spans="2:7" ht="20" customHeight="1">
      <c r="B128" s="13"/>
      <c r="C128" s="16" t="str">
        <f>IF(Tableau44789[[#This Row],[Date]]="","",INT(DAYS360(DATE(YEAR(B128),1,1),B128,TRUE)/15)+1)</f>
        <v/>
      </c>
      <c r="D128" s="13" t="str">
        <f>IF(Tableau44789[[#This Row],[Date]]="","",24-C128)</f>
        <v/>
      </c>
      <c r="E128" s="13"/>
      <c r="F128" s="34" t="str">
        <f>IF(Tableau44789[[#This Row],[Date]]="","",Tableau44789[[#This Row],[Versement]]*Variables!$F$12)</f>
        <v/>
      </c>
      <c r="G128" s="34" t="str">
        <f>IF(Tableau44789[[#This Row],[Date]]="","",(E128*(1+($C$111)/24)^V.Complémentaires!D128)-E128)</f>
        <v/>
      </c>
    </row>
    <row r="129" spans="2:7" ht="20" customHeight="1">
      <c r="B129" s="13"/>
      <c r="C129" s="16" t="str">
        <f>IF(Tableau44789[[#This Row],[Date]]="","",INT(DAYS360(DATE(YEAR(B129),1,1),B129,TRUE)/15)+1)</f>
        <v/>
      </c>
      <c r="D129" s="13" t="str">
        <f>IF(Tableau44789[[#This Row],[Date]]="","",24-C129)</f>
        <v/>
      </c>
      <c r="E129" s="13"/>
      <c r="F129" s="34" t="str">
        <f>IF(Tableau44789[[#This Row],[Date]]="","",Tableau44789[[#This Row],[Versement]]*Variables!$F$12)</f>
        <v/>
      </c>
      <c r="G129" s="34" t="str">
        <f>IF(Tableau44789[[#This Row],[Date]]="","",(E129*(1+($C$111)/24)^V.Complémentaires!D129)-E129)</f>
        <v/>
      </c>
    </row>
    <row r="130" spans="2:7" ht="20" customHeight="1">
      <c r="B130" s="13"/>
      <c r="C130" s="13"/>
      <c r="D130" s="13"/>
      <c r="E130" s="13">
        <f>SUM(Tableau44789[Versement])</f>
        <v>0</v>
      </c>
      <c r="F130" s="34">
        <f>SUBTOTAL(109,Tableau44789[Frais de versement])</f>
        <v>0</v>
      </c>
      <c r="G130" s="34">
        <f>SUM(Tableau44789[Interet])</f>
        <v>0</v>
      </c>
    </row>
    <row r="135" spans="2:7" ht="20" customHeight="1" thickBot="1"/>
    <row r="136" spans="2:7" ht="20" customHeight="1" thickBot="1">
      <c r="B136" s="10" t="s">
        <v>7</v>
      </c>
      <c r="C136" s="19">
        <f ca="1">C110+1</f>
        <v>2019</v>
      </c>
      <c r="D136" s="13"/>
      <c r="E136" s="13"/>
      <c r="F136" s="34"/>
      <c r="G136" s="34"/>
    </row>
    <row r="137" spans="2:7" ht="20" customHeight="1" thickBot="1">
      <c r="B137" s="14" t="s">
        <v>23</v>
      </c>
      <c r="C137" s="20" t="str">
        <f>IF('Tableau Projection'!I12="","",VLOOKUP(C136,'Tableau Projection'!$C$6:$L$28,7,FALSE))</f>
        <v/>
      </c>
      <c r="D137" s="13"/>
      <c r="E137" s="13"/>
      <c r="F137" s="34"/>
      <c r="G137" s="34"/>
    </row>
    <row r="138" spans="2:7" ht="35" customHeight="1">
      <c r="B138" s="13" t="s">
        <v>18</v>
      </c>
      <c r="C138" s="18" t="s">
        <v>22</v>
      </c>
      <c r="D138" s="13" t="s">
        <v>19</v>
      </c>
      <c r="E138" s="13" t="s">
        <v>20</v>
      </c>
      <c r="F138" s="57" t="s">
        <v>3</v>
      </c>
      <c r="G138" s="34" t="s">
        <v>21</v>
      </c>
    </row>
    <row r="139" spans="2:7" ht="20" customHeight="1">
      <c r="B139" s="15"/>
      <c r="C139" s="16" t="str">
        <f>IF(Tableau4478910[[#This Row],[Date]]="","",INT(DAYS360(DATE(YEAR(B139),1,1),B139,TRUE)/15)+1)</f>
        <v/>
      </c>
      <c r="D139" s="13" t="str">
        <f>IF(Tableau4478910[[#This Row],[Date]]="","",24-C139)</f>
        <v/>
      </c>
      <c r="E139" s="17"/>
      <c r="F139" s="34" t="str">
        <f>IF(Tableau4478910[[#This Row],[Date]]="","",Tableau4478910[[#This Row],[Versement]]*Variables!$F$12)</f>
        <v/>
      </c>
      <c r="G139" s="34" t="str">
        <f>IF(Tableau4478910[[#This Row],[Date]]="","",(E139*(1+($C$137)/24)^V.Complémentaires!D139)-E139)</f>
        <v/>
      </c>
    </row>
    <row r="140" spans="2:7" ht="20" customHeight="1">
      <c r="B140" s="15"/>
      <c r="C140" s="16" t="str">
        <f>IF(Tableau4478910[[#This Row],[Date]]="","",INT(DAYS360(DATE(YEAR(B140),1,1),B140,TRUE)/15)+1)</f>
        <v/>
      </c>
      <c r="D140" s="13" t="str">
        <f>IF(Tableau4478910[[#This Row],[Date]]="","",24-C140)</f>
        <v/>
      </c>
      <c r="E140" s="13"/>
      <c r="F140" s="34" t="str">
        <f>IF(Tableau4478910[[#This Row],[Date]]="","",Tableau4478910[[#This Row],[Versement]]*Variables!$F$12)</f>
        <v/>
      </c>
      <c r="G140" s="34" t="str">
        <f>IF(Tableau4478910[[#This Row],[Date]]="","",(E140*(1+($C$137)/24)^V.Complémentaires!D140)-E140)</f>
        <v/>
      </c>
    </row>
    <row r="141" spans="2:7" ht="20" customHeight="1">
      <c r="B141" s="15"/>
      <c r="C141" s="16" t="str">
        <f>IF(Tableau4478910[[#This Row],[Date]]="","",INT(DAYS360(DATE(YEAR(B141),1,1),B141,TRUE)/15)+1)</f>
        <v/>
      </c>
      <c r="D141" s="13" t="str">
        <f>IF(Tableau4478910[[#This Row],[Date]]="","",24-C141)</f>
        <v/>
      </c>
      <c r="E141" s="13"/>
      <c r="F141" s="34" t="str">
        <f>IF(Tableau4478910[[#This Row],[Date]]="","",Tableau4478910[[#This Row],[Versement]]*Variables!$F$12)</f>
        <v/>
      </c>
      <c r="G141" s="34" t="str">
        <f>IF(Tableau4478910[[#This Row],[Date]]="","",(E141*(1+($C$137)/24)^V.Complémentaires!D141)-E141)</f>
        <v/>
      </c>
    </row>
    <row r="142" spans="2:7" ht="20" customHeight="1">
      <c r="B142" s="13"/>
      <c r="C142" s="16" t="str">
        <f>IF(Tableau4478910[[#This Row],[Date]]="","",INT(DAYS360(DATE(YEAR(B142),1,1),B142,TRUE)/15)+1)</f>
        <v/>
      </c>
      <c r="D142" s="13" t="str">
        <f>IF(Tableau4478910[[#This Row],[Date]]="","",24-C142)</f>
        <v/>
      </c>
      <c r="E142" s="13"/>
      <c r="F142" s="34" t="str">
        <f>IF(Tableau4478910[[#This Row],[Date]]="","",Tableau4478910[[#This Row],[Versement]]*Variables!$F$12)</f>
        <v/>
      </c>
      <c r="G142" s="34" t="str">
        <f>IF(Tableau4478910[[#This Row],[Date]]="","",(E142*(1+($C$137)/24)^V.Complémentaires!D142)-E142)</f>
        <v/>
      </c>
    </row>
    <row r="143" spans="2:7" ht="20" customHeight="1">
      <c r="B143" s="13"/>
      <c r="C143" s="16" t="str">
        <f>IF(Tableau4478910[[#This Row],[Date]]="","",INT(DAYS360(DATE(YEAR(B143),1,1),B143,TRUE)/15)+1)</f>
        <v/>
      </c>
      <c r="D143" s="13" t="str">
        <f>IF(Tableau4478910[[#This Row],[Date]]="","",24-C143)</f>
        <v/>
      </c>
      <c r="E143" s="13"/>
      <c r="F143" s="34" t="str">
        <f>IF(Tableau4478910[[#This Row],[Date]]="","",Tableau4478910[[#This Row],[Versement]]*Variables!$F$12)</f>
        <v/>
      </c>
      <c r="G143" s="34" t="str">
        <f>IF(Tableau4478910[[#This Row],[Date]]="","",(E143*(1+($C$137)/24)^V.Complémentaires!D143)-E143)</f>
        <v/>
      </c>
    </row>
    <row r="144" spans="2:7" ht="20" customHeight="1">
      <c r="B144" s="13"/>
      <c r="C144" s="16" t="str">
        <f>IF(Tableau4478910[[#This Row],[Date]]="","",INT(DAYS360(DATE(YEAR(B144),1,1),B144,TRUE)/15)+1)</f>
        <v/>
      </c>
      <c r="D144" s="13" t="str">
        <f>IF(Tableau4478910[[#This Row],[Date]]="","",24-C144)</f>
        <v/>
      </c>
      <c r="E144" s="13"/>
      <c r="F144" s="34" t="str">
        <f>IF(Tableau4478910[[#This Row],[Date]]="","",Tableau4478910[[#This Row],[Versement]]*Variables!$F$12)</f>
        <v/>
      </c>
      <c r="G144" s="34" t="str">
        <f>IF(Tableau4478910[[#This Row],[Date]]="","",(E144*(1+($C$137)/24)^V.Complémentaires!D144)-E144)</f>
        <v/>
      </c>
    </row>
    <row r="145" spans="2:7" ht="20" customHeight="1">
      <c r="B145" s="13"/>
      <c r="C145" s="16" t="str">
        <f>IF(Tableau4478910[[#This Row],[Date]]="","",INT(DAYS360(DATE(YEAR(B145),1,1),B145,TRUE)/15)+1)</f>
        <v/>
      </c>
      <c r="D145" s="13" t="str">
        <f>IF(Tableau4478910[[#This Row],[Date]]="","",24-C145)</f>
        <v/>
      </c>
      <c r="E145" s="13"/>
      <c r="F145" s="34" t="str">
        <f>IF(Tableau4478910[[#This Row],[Date]]="","",Tableau4478910[[#This Row],[Versement]]*Variables!$F$12)</f>
        <v/>
      </c>
      <c r="G145" s="34" t="str">
        <f>IF(Tableau4478910[[#This Row],[Date]]="","",(E145*(1+($C$137)/24)^V.Complémentaires!D145)-E145)</f>
        <v/>
      </c>
    </row>
    <row r="146" spans="2:7" ht="20" customHeight="1">
      <c r="B146" s="13"/>
      <c r="C146" s="16" t="str">
        <f>IF(Tableau4478910[[#This Row],[Date]]="","",INT(DAYS360(DATE(YEAR(B146),1,1),B146,TRUE)/15)+1)</f>
        <v/>
      </c>
      <c r="D146" s="13" t="str">
        <f>IF(Tableau4478910[[#This Row],[Date]]="","",24-C146)</f>
        <v/>
      </c>
      <c r="E146" s="13"/>
      <c r="F146" s="34" t="str">
        <f>IF(Tableau4478910[[#This Row],[Date]]="","",Tableau4478910[[#This Row],[Versement]]*Variables!$F$12)</f>
        <v/>
      </c>
      <c r="G146" s="34" t="str">
        <f>IF(Tableau4478910[[#This Row],[Date]]="","",(E146*(1+($C$137)/24)^V.Complémentaires!D146)-E146)</f>
        <v/>
      </c>
    </row>
    <row r="147" spans="2:7" ht="20" customHeight="1">
      <c r="B147" s="15"/>
      <c r="C147" s="16" t="str">
        <f>IF(Tableau4478910[[#This Row],[Date]]="","",INT(DAYS360(DATE(YEAR(B147),1,1),B147,TRUE)/15)+1)</f>
        <v/>
      </c>
      <c r="D147" s="13" t="str">
        <f>IF(Tableau4478910[[#This Row],[Date]]="","",24-C147)</f>
        <v/>
      </c>
      <c r="E147" s="13"/>
      <c r="F147" s="34" t="str">
        <f>IF(Tableau4478910[[#This Row],[Date]]="","",Tableau4478910[[#This Row],[Versement]]*Variables!$F$12)</f>
        <v/>
      </c>
      <c r="G147" s="34" t="str">
        <f>IF(Tableau4478910[[#This Row],[Date]]="","",(E147*(1+($C$137)/24)^V.Complémentaires!D147)-E147)</f>
        <v/>
      </c>
    </row>
    <row r="148" spans="2:7" ht="20" customHeight="1">
      <c r="B148" s="13"/>
      <c r="C148" s="16" t="str">
        <f>IF(Tableau4478910[[#This Row],[Date]]="","",INT(DAYS360(DATE(YEAR(B148),1,1),B148,TRUE)/15)+1)</f>
        <v/>
      </c>
      <c r="D148" s="13" t="str">
        <f>IF(Tableau4478910[[#This Row],[Date]]="","",24-C148)</f>
        <v/>
      </c>
      <c r="E148" s="13"/>
      <c r="F148" s="34" t="str">
        <f>IF(Tableau4478910[[#This Row],[Date]]="","",Tableau4478910[[#This Row],[Versement]]*Variables!$F$12)</f>
        <v/>
      </c>
      <c r="G148" s="34" t="str">
        <f>IF(Tableau4478910[[#This Row],[Date]]="","",(E148*(1+($C$137)/24)^V.Complémentaires!D148)-E148)</f>
        <v/>
      </c>
    </row>
    <row r="149" spans="2:7" ht="20" customHeight="1">
      <c r="B149" s="13"/>
      <c r="C149" s="16" t="str">
        <f>IF(Tableau4478910[[#This Row],[Date]]="","",INT(DAYS360(DATE(YEAR(B149),1,1),B149,TRUE)/15)+1)</f>
        <v/>
      </c>
      <c r="D149" s="13" t="str">
        <f>IF(Tableau4478910[[#This Row],[Date]]="","",24-C149)</f>
        <v/>
      </c>
      <c r="E149" s="13"/>
      <c r="F149" s="34" t="str">
        <f>IF(Tableau4478910[[#This Row],[Date]]="","",Tableau4478910[[#This Row],[Versement]]*Variables!$F$12)</f>
        <v/>
      </c>
      <c r="G149" s="34" t="str">
        <f>IF(Tableau4478910[[#This Row],[Date]]="","",(E149*(1+($C$137)/24)^V.Complémentaires!D149)-E149)</f>
        <v/>
      </c>
    </row>
    <row r="150" spans="2:7" ht="20" customHeight="1">
      <c r="B150" s="13"/>
      <c r="C150" s="16" t="str">
        <f>IF(Tableau4478910[[#This Row],[Date]]="","",INT(DAYS360(DATE(YEAR(B150),1,1),B150,TRUE)/15)+1)</f>
        <v/>
      </c>
      <c r="D150" s="13" t="str">
        <f>IF(Tableau4478910[[#This Row],[Date]]="","",24-C150)</f>
        <v/>
      </c>
      <c r="E150" s="13"/>
      <c r="F150" s="34" t="str">
        <f>IF(Tableau4478910[[#This Row],[Date]]="","",Tableau4478910[[#This Row],[Versement]]*Variables!$F$12)</f>
        <v/>
      </c>
      <c r="G150" s="34" t="str">
        <f>IF(Tableau4478910[[#This Row],[Date]]="","",(E150*(1+($C$137)/24)^V.Complémentaires!D150)-E150)</f>
        <v/>
      </c>
    </row>
    <row r="151" spans="2:7" ht="20" customHeight="1">
      <c r="B151" s="13"/>
      <c r="C151" s="16" t="str">
        <f>IF(Tableau4478910[[#This Row],[Date]]="","",INT(DAYS360(DATE(YEAR(B151),1,1),B151,TRUE)/15)+1)</f>
        <v/>
      </c>
      <c r="D151" s="13" t="str">
        <f>IF(Tableau4478910[[#This Row],[Date]]="","",24-C151)</f>
        <v/>
      </c>
      <c r="E151" s="13"/>
      <c r="F151" s="34" t="str">
        <f>IF(Tableau4478910[[#This Row],[Date]]="","",Tableau4478910[[#This Row],[Versement]]*Variables!$F$12)</f>
        <v/>
      </c>
      <c r="G151" s="34" t="str">
        <f>IF(Tableau4478910[[#This Row],[Date]]="","",(E151*(1+($C$137)/24)^V.Complémentaires!D151)-E151)</f>
        <v/>
      </c>
    </row>
    <row r="152" spans="2:7" ht="20" customHeight="1">
      <c r="B152" s="13"/>
      <c r="C152" s="16" t="str">
        <f>IF(Tableau4478910[[#This Row],[Date]]="","",INT(DAYS360(DATE(YEAR(B152),1,1),B152,TRUE)/15)+1)</f>
        <v/>
      </c>
      <c r="D152" s="13" t="str">
        <f>IF(Tableau4478910[[#This Row],[Date]]="","",24-C152)</f>
        <v/>
      </c>
      <c r="E152" s="13"/>
      <c r="F152" s="34" t="str">
        <f>IF(Tableau4478910[[#This Row],[Date]]="","",Tableau4478910[[#This Row],[Versement]]*Variables!$F$12)</f>
        <v/>
      </c>
      <c r="G152" s="34" t="str">
        <f>IF(Tableau4478910[[#This Row],[Date]]="","",(E152*(1+($C$137)/24)^V.Complémentaires!D152)-E152)</f>
        <v/>
      </c>
    </row>
    <row r="153" spans="2:7" ht="20" customHeight="1">
      <c r="B153" s="13"/>
      <c r="C153" s="16" t="str">
        <f>IF(Tableau4478910[[#This Row],[Date]]="","",INT(DAYS360(DATE(YEAR(B153),1,1),B153,TRUE)/15)+1)</f>
        <v/>
      </c>
      <c r="D153" s="13" t="str">
        <f>IF(Tableau4478910[[#This Row],[Date]]="","",24-C153)</f>
        <v/>
      </c>
      <c r="E153" s="13"/>
      <c r="F153" s="34" t="str">
        <f>IF(Tableau4478910[[#This Row],[Date]]="","",Tableau4478910[[#This Row],[Versement]]*Variables!$F$12)</f>
        <v/>
      </c>
      <c r="G153" s="34" t="str">
        <f>IF(Tableau4478910[[#This Row],[Date]]="","",(E153*(1+($C$137)/24)^V.Complémentaires!D153)-E153)</f>
        <v/>
      </c>
    </row>
    <row r="154" spans="2:7" ht="20" customHeight="1">
      <c r="B154" s="13"/>
      <c r="C154" s="16" t="str">
        <f>IF(Tableau4478910[[#This Row],[Date]]="","",INT(DAYS360(DATE(YEAR(B154),1,1),B154,TRUE)/15)+1)</f>
        <v/>
      </c>
      <c r="D154" s="13" t="str">
        <f>IF(Tableau4478910[[#This Row],[Date]]="","",24-C154)</f>
        <v/>
      </c>
      <c r="E154" s="13"/>
      <c r="F154" s="34" t="str">
        <f>IF(Tableau4478910[[#This Row],[Date]]="","",Tableau4478910[[#This Row],[Versement]]*Variables!$F$12)</f>
        <v/>
      </c>
      <c r="G154" s="34" t="str">
        <f>IF(Tableau4478910[[#This Row],[Date]]="","",(E154*(1+($C$137)/24)^V.Complémentaires!D154)-E154)</f>
        <v/>
      </c>
    </row>
    <row r="155" spans="2:7" ht="20" customHeight="1">
      <c r="B155" s="13"/>
      <c r="C155" s="16" t="str">
        <f>IF(Tableau4478910[[#This Row],[Date]]="","",INT(DAYS360(DATE(YEAR(B155),1,1),B155,TRUE)/15)+1)</f>
        <v/>
      </c>
      <c r="D155" s="13" t="str">
        <f>IF(Tableau4478910[[#This Row],[Date]]="","",24-C155)</f>
        <v/>
      </c>
      <c r="E155" s="13"/>
      <c r="F155" s="34" t="str">
        <f>IF(Tableau4478910[[#This Row],[Date]]="","",Tableau4478910[[#This Row],[Versement]]*Variables!$F$12)</f>
        <v/>
      </c>
      <c r="G155" s="34" t="str">
        <f>IF(Tableau4478910[[#This Row],[Date]]="","",(E155*(1+($C$137)/24)^V.Complémentaires!D155)-E155)</f>
        <v/>
      </c>
    </row>
    <row r="156" spans="2:7" ht="20" customHeight="1">
      <c r="B156" s="13"/>
      <c r="C156" s="13"/>
      <c r="D156" s="13"/>
      <c r="E156" s="13">
        <f>SUM(Tableau4478910[Versement])</f>
        <v>0</v>
      </c>
      <c r="F156" s="34">
        <f>SUBTOTAL(109,Tableau4478910[Frais de versement])</f>
        <v>0</v>
      </c>
      <c r="G156" s="34">
        <f>SUM(Tableau4478910[Interet])</f>
        <v>0</v>
      </c>
    </row>
    <row r="161" spans="2:7" ht="20" customHeight="1" thickBot="1"/>
    <row r="162" spans="2:7" ht="20" customHeight="1" thickBot="1">
      <c r="B162" s="10" t="s">
        <v>7</v>
      </c>
      <c r="C162" s="19">
        <f ca="1">C136+1</f>
        <v>2020</v>
      </c>
      <c r="D162" s="13"/>
      <c r="E162" s="13"/>
      <c r="F162" s="34"/>
      <c r="G162" s="34"/>
    </row>
    <row r="163" spans="2:7" ht="20" customHeight="1" thickBot="1">
      <c r="B163" s="14" t="s">
        <v>23</v>
      </c>
      <c r="C163" s="20" t="str">
        <f>IF('Tableau Projection'!I13="","",VLOOKUP(C162,'Tableau Projection'!$C$6:$L$28,7,FALSE))</f>
        <v/>
      </c>
      <c r="D163" s="13"/>
      <c r="E163" s="13"/>
      <c r="F163" s="34"/>
      <c r="G163" s="34"/>
    </row>
    <row r="164" spans="2:7" ht="35" customHeight="1">
      <c r="B164" s="13" t="s">
        <v>18</v>
      </c>
      <c r="C164" s="18" t="s">
        <v>22</v>
      </c>
      <c r="D164" s="13" t="s">
        <v>19</v>
      </c>
      <c r="E164" s="13" t="s">
        <v>20</v>
      </c>
      <c r="F164" s="57" t="s">
        <v>3</v>
      </c>
      <c r="G164" s="34" t="s">
        <v>21</v>
      </c>
    </row>
    <row r="165" spans="2:7" ht="20" customHeight="1">
      <c r="B165" s="15"/>
      <c r="C165" s="16" t="str">
        <f>IF(Tableau447891011[[#This Row],[Date]]="","",INT(DAYS360(DATE(YEAR(B165),1,1),B165,TRUE)/15)+1)</f>
        <v/>
      </c>
      <c r="D165" s="13" t="str">
        <f>IF(Tableau447891011[[#This Row],[Date]]="","",24-C165)</f>
        <v/>
      </c>
      <c r="E165" s="17"/>
      <c r="F165" s="34" t="str">
        <f>IF(Tableau447891011[[#This Row],[Date]]="","",Tableau447891011[[#This Row],[Versement]]*Variables!$F$12)</f>
        <v/>
      </c>
      <c r="G165" s="34" t="str">
        <f>IF(Tableau447891011[[#This Row],[Date]]="","",(E165*(1+($C$163)/24)^V.Complémentaires!D165)-E165)</f>
        <v/>
      </c>
    </row>
    <row r="166" spans="2:7" ht="20" customHeight="1">
      <c r="B166" s="15"/>
      <c r="C166" s="16" t="str">
        <f>IF(Tableau447891011[[#This Row],[Date]]="","",INT(DAYS360(DATE(YEAR(B166),1,1),B166,TRUE)/15)+1)</f>
        <v/>
      </c>
      <c r="D166" s="13" t="str">
        <f>IF(Tableau447891011[[#This Row],[Date]]="","",24-C166)</f>
        <v/>
      </c>
      <c r="E166" s="13"/>
      <c r="F166" s="34" t="str">
        <f>IF(Tableau447891011[[#This Row],[Date]]="","",Tableau447891011[[#This Row],[Versement]]*Variables!$F$12)</f>
        <v/>
      </c>
      <c r="G166" s="34" t="str">
        <f>IF(Tableau447891011[[#This Row],[Date]]="","",(E166*(1+($C$163)/24)^V.Complémentaires!D166)-E166)</f>
        <v/>
      </c>
    </row>
    <row r="167" spans="2:7" ht="20" customHeight="1">
      <c r="B167" s="15"/>
      <c r="C167" s="16" t="str">
        <f>IF(Tableau447891011[[#This Row],[Date]]="","",INT(DAYS360(DATE(YEAR(B167),1,1),B167,TRUE)/15)+1)</f>
        <v/>
      </c>
      <c r="D167" s="13" t="str">
        <f>IF(Tableau447891011[[#This Row],[Date]]="","",24-C167)</f>
        <v/>
      </c>
      <c r="E167" s="13"/>
      <c r="F167" s="34" t="str">
        <f>IF(Tableau447891011[[#This Row],[Date]]="","",Tableau447891011[[#This Row],[Versement]]*Variables!$F$12)</f>
        <v/>
      </c>
      <c r="G167" s="34" t="str">
        <f>IF(Tableau447891011[[#This Row],[Date]]="","",(E167*(1+($C$163)/24)^V.Complémentaires!D167)-E167)</f>
        <v/>
      </c>
    </row>
    <row r="168" spans="2:7" ht="20" customHeight="1">
      <c r="B168" s="13"/>
      <c r="C168" s="16" t="str">
        <f>IF(Tableau447891011[[#This Row],[Date]]="","",INT(DAYS360(DATE(YEAR(B168),1,1),B168,TRUE)/15)+1)</f>
        <v/>
      </c>
      <c r="D168" s="13" t="str">
        <f>IF(Tableau447891011[[#This Row],[Date]]="","",24-C168)</f>
        <v/>
      </c>
      <c r="E168" s="13"/>
      <c r="F168" s="34" t="str">
        <f>IF(Tableau447891011[[#This Row],[Date]]="","",Tableau447891011[[#This Row],[Versement]]*Variables!$F$12)</f>
        <v/>
      </c>
      <c r="G168" s="34" t="str">
        <f>IF(Tableau447891011[[#This Row],[Date]]="","",(E168*(1+($C$163)/24)^V.Complémentaires!D168)-E168)</f>
        <v/>
      </c>
    </row>
    <row r="169" spans="2:7" ht="20" customHeight="1">
      <c r="B169" s="13"/>
      <c r="C169" s="16" t="str">
        <f>IF(Tableau447891011[[#This Row],[Date]]="","",INT(DAYS360(DATE(YEAR(B169),1,1),B169,TRUE)/15)+1)</f>
        <v/>
      </c>
      <c r="D169" s="13" t="str">
        <f>IF(Tableau447891011[[#This Row],[Date]]="","",24-C169)</f>
        <v/>
      </c>
      <c r="E169" s="13"/>
      <c r="F169" s="34" t="str">
        <f>IF(Tableau447891011[[#This Row],[Date]]="","",Tableau447891011[[#This Row],[Versement]]*Variables!$F$12)</f>
        <v/>
      </c>
      <c r="G169" s="34" t="str">
        <f>IF(Tableau447891011[[#This Row],[Date]]="","",(E169*(1+($C$163)/24)^V.Complémentaires!D169)-E169)</f>
        <v/>
      </c>
    </row>
    <row r="170" spans="2:7" ht="20" customHeight="1">
      <c r="B170" s="13"/>
      <c r="C170" s="16" t="str">
        <f>IF(Tableau447891011[[#This Row],[Date]]="","",INT(DAYS360(DATE(YEAR(B170),1,1),B170,TRUE)/15)+1)</f>
        <v/>
      </c>
      <c r="D170" s="13" t="str">
        <f>IF(Tableau447891011[[#This Row],[Date]]="","",24-C170)</f>
        <v/>
      </c>
      <c r="E170" s="13"/>
      <c r="F170" s="34" t="str">
        <f>IF(Tableau447891011[[#This Row],[Date]]="","",Tableau447891011[[#This Row],[Versement]]*Variables!$F$12)</f>
        <v/>
      </c>
      <c r="G170" s="34" t="str">
        <f>IF(Tableau447891011[[#This Row],[Date]]="","",(E170*(1+($C$163)/24)^V.Complémentaires!D170)-E170)</f>
        <v/>
      </c>
    </row>
    <row r="171" spans="2:7" ht="20" customHeight="1">
      <c r="B171" s="13"/>
      <c r="C171" s="16" t="str">
        <f>IF(Tableau447891011[[#This Row],[Date]]="","",INT(DAYS360(DATE(YEAR(B171),1,1),B171,TRUE)/15)+1)</f>
        <v/>
      </c>
      <c r="D171" s="13" t="str">
        <f>IF(Tableau447891011[[#This Row],[Date]]="","",24-C171)</f>
        <v/>
      </c>
      <c r="E171" s="13"/>
      <c r="F171" s="34" t="str">
        <f>IF(Tableau447891011[[#This Row],[Date]]="","",Tableau447891011[[#This Row],[Versement]]*Variables!$F$12)</f>
        <v/>
      </c>
      <c r="G171" s="34" t="str">
        <f>IF(Tableau447891011[[#This Row],[Date]]="","",(E171*(1+($C$163)/24)^V.Complémentaires!D171)-E171)</f>
        <v/>
      </c>
    </row>
    <row r="172" spans="2:7" ht="20" customHeight="1">
      <c r="B172" s="13"/>
      <c r="C172" s="16" t="str">
        <f>IF(Tableau447891011[[#This Row],[Date]]="","",INT(DAYS360(DATE(YEAR(B172),1,1),B172,TRUE)/15)+1)</f>
        <v/>
      </c>
      <c r="D172" s="13" t="str">
        <f>IF(Tableau447891011[[#This Row],[Date]]="","",24-C172)</f>
        <v/>
      </c>
      <c r="E172" s="13"/>
      <c r="F172" s="34" t="str">
        <f>IF(Tableau447891011[[#This Row],[Date]]="","",Tableau447891011[[#This Row],[Versement]]*Variables!$F$12)</f>
        <v/>
      </c>
      <c r="G172" s="34" t="str">
        <f>IF(Tableau447891011[[#This Row],[Date]]="","",(E172*(1+($C$163)/24)^V.Complémentaires!D172)-E172)</f>
        <v/>
      </c>
    </row>
    <row r="173" spans="2:7" ht="20" customHeight="1">
      <c r="B173" s="15"/>
      <c r="C173" s="16" t="str">
        <f>IF(Tableau447891011[[#This Row],[Date]]="","",INT(DAYS360(DATE(YEAR(B173),1,1),B173,TRUE)/15)+1)</f>
        <v/>
      </c>
      <c r="D173" s="13" t="str">
        <f>IF(Tableau447891011[[#This Row],[Date]]="","",24-C173)</f>
        <v/>
      </c>
      <c r="E173" s="13"/>
      <c r="F173" s="34" t="str">
        <f>IF(Tableau447891011[[#This Row],[Date]]="","",Tableau447891011[[#This Row],[Versement]]*Variables!$F$12)</f>
        <v/>
      </c>
      <c r="G173" s="34" t="str">
        <f>IF(Tableau447891011[[#This Row],[Date]]="","",(E173*(1+($C$163)/24)^V.Complémentaires!D173)-E173)</f>
        <v/>
      </c>
    </row>
    <row r="174" spans="2:7" ht="20" customHeight="1">
      <c r="B174" s="13"/>
      <c r="C174" s="16" t="str">
        <f>IF(Tableau447891011[[#This Row],[Date]]="","",INT(DAYS360(DATE(YEAR(B174),1,1),B174,TRUE)/15)+1)</f>
        <v/>
      </c>
      <c r="D174" s="13" t="str">
        <f>IF(Tableau447891011[[#This Row],[Date]]="","",24-C174)</f>
        <v/>
      </c>
      <c r="E174" s="13"/>
      <c r="F174" s="34" t="str">
        <f>IF(Tableau447891011[[#This Row],[Date]]="","",Tableau447891011[[#This Row],[Versement]]*Variables!$F$12)</f>
        <v/>
      </c>
      <c r="G174" s="34" t="str">
        <f>IF(Tableau447891011[[#This Row],[Date]]="","",(E174*(1+($C$163)/24)^V.Complémentaires!D174)-E174)</f>
        <v/>
      </c>
    </row>
    <row r="175" spans="2:7" ht="20" customHeight="1">
      <c r="B175" s="13"/>
      <c r="C175" s="16" t="str">
        <f>IF(Tableau447891011[[#This Row],[Date]]="","",INT(DAYS360(DATE(YEAR(B175),1,1),B175,TRUE)/15)+1)</f>
        <v/>
      </c>
      <c r="D175" s="13" t="str">
        <f>IF(Tableau447891011[[#This Row],[Date]]="","",24-C175)</f>
        <v/>
      </c>
      <c r="E175" s="13"/>
      <c r="F175" s="34" t="str">
        <f>IF(Tableau447891011[[#This Row],[Date]]="","",Tableau447891011[[#This Row],[Versement]]*Variables!$F$12)</f>
        <v/>
      </c>
      <c r="G175" s="34" t="str">
        <f>IF(Tableau447891011[[#This Row],[Date]]="","",(E175*(1+($C$163)/24)^V.Complémentaires!D175)-E175)</f>
        <v/>
      </c>
    </row>
    <row r="176" spans="2:7" ht="20" customHeight="1">
      <c r="B176" s="13"/>
      <c r="C176" s="16" t="str">
        <f>IF(Tableau447891011[[#This Row],[Date]]="","",INT(DAYS360(DATE(YEAR(B176),1,1),B176,TRUE)/15)+1)</f>
        <v/>
      </c>
      <c r="D176" s="13" t="str">
        <f>IF(Tableau447891011[[#This Row],[Date]]="","",24-C176)</f>
        <v/>
      </c>
      <c r="E176" s="13"/>
      <c r="F176" s="34" t="str">
        <f>IF(Tableau447891011[[#This Row],[Date]]="","",Tableau447891011[[#This Row],[Versement]]*Variables!$F$12)</f>
        <v/>
      </c>
      <c r="G176" s="34" t="str">
        <f>IF(Tableau447891011[[#This Row],[Date]]="","",(E176*(1+($C$163)/24)^V.Complémentaires!D176)-E176)</f>
        <v/>
      </c>
    </row>
    <row r="177" spans="2:7" ht="20" customHeight="1">
      <c r="B177" s="13"/>
      <c r="C177" s="16" t="str">
        <f>IF(Tableau447891011[[#This Row],[Date]]="","",INT(DAYS360(DATE(YEAR(B177),1,1),B177,TRUE)/15)+1)</f>
        <v/>
      </c>
      <c r="D177" s="13" t="str">
        <f>IF(Tableau447891011[[#This Row],[Date]]="","",24-C177)</f>
        <v/>
      </c>
      <c r="E177" s="13"/>
      <c r="F177" s="34" t="str">
        <f>IF(Tableau447891011[[#This Row],[Date]]="","",Tableau447891011[[#This Row],[Versement]]*Variables!$F$12)</f>
        <v/>
      </c>
      <c r="G177" s="34" t="str">
        <f>IF(Tableau447891011[[#This Row],[Date]]="","",(E177*(1+($C$163)/24)^V.Complémentaires!D177)-E177)</f>
        <v/>
      </c>
    </row>
    <row r="178" spans="2:7" ht="20" customHeight="1">
      <c r="B178" s="13"/>
      <c r="C178" s="16" t="str">
        <f>IF(Tableau447891011[[#This Row],[Date]]="","",INT(DAYS360(DATE(YEAR(B178),1,1),B178,TRUE)/15)+1)</f>
        <v/>
      </c>
      <c r="D178" s="13" t="str">
        <f>IF(Tableau447891011[[#This Row],[Date]]="","",24-C178)</f>
        <v/>
      </c>
      <c r="E178" s="13"/>
      <c r="F178" s="34" t="str">
        <f>IF(Tableau447891011[[#This Row],[Date]]="","",Tableau447891011[[#This Row],[Versement]]*Variables!$F$12)</f>
        <v/>
      </c>
      <c r="G178" s="34" t="str">
        <f>IF(Tableau447891011[[#This Row],[Date]]="","",(E178*(1+($C$163)/24)^V.Complémentaires!D178)-E178)</f>
        <v/>
      </c>
    </row>
    <row r="179" spans="2:7" ht="20" customHeight="1">
      <c r="B179" s="13"/>
      <c r="C179" s="16" t="str">
        <f>IF(Tableau447891011[[#This Row],[Date]]="","",INT(DAYS360(DATE(YEAR(B179),1,1),B179,TRUE)/15)+1)</f>
        <v/>
      </c>
      <c r="D179" s="13" t="str">
        <f>IF(Tableau447891011[[#This Row],[Date]]="","",24-C179)</f>
        <v/>
      </c>
      <c r="E179" s="13"/>
      <c r="F179" s="34" t="str">
        <f>IF(Tableau447891011[[#This Row],[Date]]="","",Tableau447891011[[#This Row],[Versement]]*Variables!$F$12)</f>
        <v/>
      </c>
      <c r="G179" s="34" t="str">
        <f>IF(Tableau447891011[[#This Row],[Date]]="","",(E179*(1+($C$163)/24)^V.Complémentaires!D179)-E179)</f>
        <v/>
      </c>
    </row>
    <row r="180" spans="2:7" ht="20" customHeight="1">
      <c r="B180" s="13"/>
      <c r="C180" s="16" t="str">
        <f>IF(Tableau447891011[[#This Row],[Date]]="","",INT(DAYS360(DATE(YEAR(B180),1,1),B180,TRUE)/15)+1)</f>
        <v/>
      </c>
      <c r="D180" s="13" t="str">
        <f>IF(Tableau447891011[[#This Row],[Date]]="","",24-C180)</f>
        <v/>
      </c>
      <c r="E180" s="13"/>
      <c r="F180" s="34" t="str">
        <f>IF(Tableau447891011[[#This Row],[Date]]="","",Tableau447891011[[#This Row],[Versement]]*Variables!$F$12)</f>
        <v/>
      </c>
      <c r="G180" s="34" t="str">
        <f>IF(Tableau447891011[[#This Row],[Date]]="","",(E180*(1+($C$163)/24)^V.Complémentaires!D180)-E180)</f>
        <v/>
      </c>
    </row>
    <row r="181" spans="2:7" ht="20" customHeight="1">
      <c r="B181" s="13"/>
      <c r="C181" s="16" t="str">
        <f>IF(Tableau447891011[[#This Row],[Date]]="","",INT(DAYS360(DATE(YEAR(B181),1,1),B181,TRUE)/15)+1)</f>
        <v/>
      </c>
      <c r="D181" s="13" t="str">
        <f>IF(Tableau447891011[[#This Row],[Date]]="","",24-C181)</f>
        <v/>
      </c>
      <c r="E181" s="13"/>
      <c r="F181" s="34" t="str">
        <f>IF(Tableau447891011[[#This Row],[Date]]="","",Tableau447891011[[#This Row],[Versement]]*Variables!$F$12)</f>
        <v/>
      </c>
      <c r="G181" s="34" t="str">
        <f>IF(Tableau447891011[[#This Row],[Date]]="","",(E181*(1+($C$163)/24)^V.Complémentaires!D181)-E181)</f>
        <v/>
      </c>
    </row>
    <row r="182" spans="2:7" ht="20" customHeight="1">
      <c r="B182" s="13"/>
      <c r="C182" s="13"/>
      <c r="D182" s="13"/>
      <c r="E182" s="13">
        <f>SUM(Tableau447891011[Versement])</f>
        <v>0</v>
      </c>
      <c r="F182" s="34">
        <f>SUBTOTAL(109,Tableau447891011[Frais de versement])</f>
        <v>0</v>
      </c>
      <c r="G182" s="34">
        <f>SUM(Tableau447891011[Interet])</f>
        <v>0</v>
      </c>
    </row>
    <row r="187" spans="2:7" ht="20" customHeight="1" thickBot="1"/>
    <row r="188" spans="2:7" ht="20" customHeight="1" thickBot="1">
      <c r="B188" s="10" t="s">
        <v>7</v>
      </c>
      <c r="C188" s="19">
        <f ca="1">C162+1</f>
        <v>2021</v>
      </c>
      <c r="D188" s="13"/>
      <c r="E188" s="13"/>
      <c r="F188" s="34"/>
      <c r="G188" s="34"/>
    </row>
    <row r="189" spans="2:7" ht="20" customHeight="1" thickBot="1">
      <c r="B189" s="14" t="s">
        <v>23</v>
      </c>
      <c r="C189" s="20" t="str">
        <f>IF('Tableau Projection'!I14="","",VLOOKUP(C188,'Tableau Projection'!$C$6:$L$28,7,FALSE))</f>
        <v/>
      </c>
      <c r="D189" s="13"/>
      <c r="E189" s="13"/>
      <c r="F189" s="34"/>
      <c r="G189" s="34"/>
    </row>
    <row r="190" spans="2:7" ht="35" customHeight="1">
      <c r="B190" s="13" t="s">
        <v>18</v>
      </c>
      <c r="C190" s="18" t="s">
        <v>22</v>
      </c>
      <c r="D190" s="13" t="s">
        <v>19</v>
      </c>
      <c r="E190" s="13" t="s">
        <v>20</v>
      </c>
      <c r="F190" s="57" t="s">
        <v>3</v>
      </c>
      <c r="G190" s="34" t="s">
        <v>21</v>
      </c>
    </row>
    <row r="191" spans="2:7" ht="20" customHeight="1">
      <c r="B191" s="15"/>
      <c r="C191" s="16" t="str">
        <f>IF(Tableau44789101112[[#This Row],[Date]]="","",INT(DAYS360(DATE(YEAR(B191),1,1),B191,TRUE)/15)+1)</f>
        <v/>
      </c>
      <c r="D191" s="13" t="str">
        <f>IF(Tableau44789101112[[#This Row],[Date]]="","",24-C191)</f>
        <v/>
      </c>
      <c r="E191" s="17"/>
      <c r="F191" s="34" t="str">
        <f>IF(Tableau44789101112[[#This Row],[Date]]="","",Tableau44789101112[[#This Row],[Versement]]*Variables!$F$12)</f>
        <v/>
      </c>
      <c r="G191" s="34" t="str">
        <f>IF(Tableau44789101112[[#This Row],[Date]]="","",(E191*(1+($C$189)/24)^V.Complémentaires!D191)-E191)</f>
        <v/>
      </c>
    </row>
    <row r="192" spans="2:7" ht="20" customHeight="1">
      <c r="B192" s="15"/>
      <c r="C192" s="16" t="str">
        <f>IF(Tableau44789101112[[#This Row],[Date]]="","",INT(DAYS360(DATE(YEAR(B192),1,1),B192,TRUE)/15)+1)</f>
        <v/>
      </c>
      <c r="D192" s="13" t="str">
        <f>IF(Tableau44789101112[[#This Row],[Date]]="","",24-C192)</f>
        <v/>
      </c>
      <c r="E192" s="13"/>
      <c r="F192" s="34" t="str">
        <f>IF(Tableau44789101112[[#This Row],[Date]]="","",Tableau44789101112[[#This Row],[Versement]]*Variables!$F$12)</f>
        <v/>
      </c>
      <c r="G192" s="34" t="str">
        <f>IF(Tableau44789101112[[#This Row],[Date]]="","",(E192*(1+($C$189)/24)^V.Complémentaires!D192)-E192)</f>
        <v/>
      </c>
    </row>
    <row r="193" spans="2:7" ht="20" customHeight="1">
      <c r="B193" s="15"/>
      <c r="C193" s="16" t="str">
        <f>IF(Tableau44789101112[[#This Row],[Date]]="","",INT(DAYS360(DATE(YEAR(B193),1,1),B193,TRUE)/15)+1)</f>
        <v/>
      </c>
      <c r="D193" s="13" t="str">
        <f>IF(Tableau44789101112[[#This Row],[Date]]="","",24-C193)</f>
        <v/>
      </c>
      <c r="E193" s="13"/>
      <c r="F193" s="34" t="str">
        <f>IF(Tableau44789101112[[#This Row],[Date]]="","",Tableau44789101112[[#This Row],[Versement]]*Variables!$F$12)</f>
        <v/>
      </c>
      <c r="G193" s="34" t="str">
        <f>IF(Tableau44789101112[[#This Row],[Date]]="","",(E193*(1+($C$189)/24)^V.Complémentaires!D193)-E193)</f>
        <v/>
      </c>
    </row>
    <row r="194" spans="2:7" ht="20" customHeight="1">
      <c r="B194" s="13"/>
      <c r="C194" s="16" t="str">
        <f>IF(Tableau44789101112[[#This Row],[Date]]="","",INT(DAYS360(DATE(YEAR(B194),1,1),B194,TRUE)/15)+1)</f>
        <v/>
      </c>
      <c r="D194" s="13" t="str">
        <f>IF(Tableau44789101112[[#This Row],[Date]]="","",24-C194)</f>
        <v/>
      </c>
      <c r="E194" s="13"/>
      <c r="F194" s="34" t="str">
        <f>IF(Tableau44789101112[[#This Row],[Date]]="","",Tableau44789101112[[#This Row],[Versement]]*Variables!$F$12)</f>
        <v/>
      </c>
      <c r="G194" s="34" t="str">
        <f>IF(Tableau44789101112[[#This Row],[Date]]="","",(E194*(1+($C$189)/24)^V.Complémentaires!D194)-E194)</f>
        <v/>
      </c>
    </row>
    <row r="195" spans="2:7" ht="20" customHeight="1">
      <c r="B195" s="13"/>
      <c r="C195" s="16" t="str">
        <f>IF(Tableau44789101112[[#This Row],[Date]]="","",INT(DAYS360(DATE(YEAR(B195),1,1),B195,TRUE)/15)+1)</f>
        <v/>
      </c>
      <c r="D195" s="13" t="str">
        <f>IF(Tableau44789101112[[#This Row],[Date]]="","",24-C195)</f>
        <v/>
      </c>
      <c r="E195" s="13"/>
      <c r="F195" s="34" t="str">
        <f>IF(Tableau44789101112[[#This Row],[Date]]="","",Tableau44789101112[[#This Row],[Versement]]*Variables!$F$12)</f>
        <v/>
      </c>
      <c r="G195" s="34" t="str">
        <f>IF(Tableau44789101112[[#This Row],[Date]]="","",(E195*(1+($C$189)/24)^V.Complémentaires!D195)-E195)</f>
        <v/>
      </c>
    </row>
    <row r="196" spans="2:7" ht="20" customHeight="1">
      <c r="B196" s="13"/>
      <c r="C196" s="16" t="str">
        <f>IF(Tableau44789101112[[#This Row],[Date]]="","",INT(DAYS360(DATE(YEAR(B196),1,1),B196,TRUE)/15)+1)</f>
        <v/>
      </c>
      <c r="D196" s="13" t="str">
        <f>IF(Tableau44789101112[[#This Row],[Date]]="","",24-C196)</f>
        <v/>
      </c>
      <c r="E196" s="13"/>
      <c r="F196" s="34" t="str">
        <f>IF(Tableau44789101112[[#This Row],[Date]]="","",Tableau44789101112[[#This Row],[Versement]]*Variables!$F$12)</f>
        <v/>
      </c>
      <c r="G196" s="34" t="str">
        <f>IF(Tableau44789101112[[#This Row],[Date]]="","",(E196*(1+($C$189)/24)^V.Complémentaires!D196)-E196)</f>
        <v/>
      </c>
    </row>
    <row r="197" spans="2:7" ht="20" customHeight="1">
      <c r="B197" s="13"/>
      <c r="C197" s="16" t="str">
        <f>IF(Tableau44789101112[[#This Row],[Date]]="","",INT(DAYS360(DATE(YEAR(B197),1,1),B197,TRUE)/15)+1)</f>
        <v/>
      </c>
      <c r="D197" s="13" t="str">
        <f>IF(Tableau44789101112[[#This Row],[Date]]="","",24-C197)</f>
        <v/>
      </c>
      <c r="E197" s="13"/>
      <c r="F197" s="34" t="str">
        <f>IF(Tableau44789101112[[#This Row],[Date]]="","",Tableau44789101112[[#This Row],[Versement]]*Variables!$F$12)</f>
        <v/>
      </c>
      <c r="G197" s="34" t="str">
        <f>IF(Tableau44789101112[[#This Row],[Date]]="","",(E197*(1+($C$189)/24)^V.Complémentaires!D197)-E197)</f>
        <v/>
      </c>
    </row>
    <row r="198" spans="2:7" ht="20" customHeight="1">
      <c r="B198" s="13"/>
      <c r="C198" s="16" t="str">
        <f>IF(Tableau44789101112[[#This Row],[Date]]="","",INT(DAYS360(DATE(YEAR(B198),1,1),B198,TRUE)/15)+1)</f>
        <v/>
      </c>
      <c r="D198" s="13" t="str">
        <f>IF(Tableau44789101112[[#This Row],[Date]]="","",24-C198)</f>
        <v/>
      </c>
      <c r="E198" s="13"/>
      <c r="F198" s="34" t="str">
        <f>IF(Tableau44789101112[[#This Row],[Date]]="","",Tableau44789101112[[#This Row],[Versement]]*Variables!$F$12)</f>
        <v/>
      </c>
      <c r="G198" s="34" t="str">
        <f>IF(Tableau44789101112[[#This Row],[Date]]="","",(E198*(1+($C$189)/24)^V.Complémentaires!D198)-E198)</f>
        <v/>
      </c>
    </row>
    <row r="199" spans="2:7" ht="20" customHeight="1">
      <c r="B199" s="15"/>
      <c r="C199" s="16" t="str">
        <f>IF(Tableau44789101112[[#This Row],[Date]]="","",INT(DAYS360(DATE(YEAR(B199),1,1),B199,TRUE)/15)+1)</f>
        <v/>
      </c>
      <c r="D199" s="13" t="str">
        <f>IF(Tableau44789101112[[#This Row],[Date]]="","",24-C199)</f>
        <v/>
      </c>
      <c r="E199" s="13"/>
      <c r="F199" s="34" t="str">
        <f>IF(Tableau44789101112[[#This Row],[Date]]="","",Tableau44789101112[[#This Row],[Versement]]*Variables!$F$12)</f>
        <v/>
      </c>
      <c r="G199" s="34" t="str">
        <f>IF(Tableau44789101112[[#This Row],[Date]]="","",(E199*(1+($C$189)/24)^V.Complémentaires!D199)-E199)</f>
        <v/>
      </c>
    </row>
    <row r="200" spans="2:7" ht="20" customHeight="1">
      <c r="B200" s="13"/>
      <c r="C200" s="16" t="str">
        <f>IF(Tableau44789101112[[#This Row],[Date]]="","",INT(DAYS360(DATE(YEAR(B200),1,1),B200,TRUE)/15)+1)</f>
        <v/>
      </c>
      <c r="D200" s="13" t="str">
        <f>IF(Tableau44789101112[[#This Row],[Date]]="","",24-C200)</f>
        <v/>
      </c>
      <c r="E200" s="13"/>
      <c r="F200" s="34" t="str">
        <f>IF(Tableau44789101112[[#This Row],[Date]]="","",Tableau44789101112[[#This Row],[Versement]]*Variables!$F$12)</f>
        <v/>
      </c>
      <c r="G200" s="34" t="str">
        <f>IF(Tableau44789101112[[#This Row],[Date]]="","",(E200*(1+($C$189)/24)^V.Complémentaires!D200)-E200)</f>
        <v/>
      </c>
    </row>
    <row r="201" spans="2:7" ht="20" customHeight="1">
      <c r="B201" s="13"/>
      <c r="C201" s="16" t="str">
        <f>IF(Tableau44789101112[[#This Row],[Date]]="","",INT(DAYS360(DATE(YEAR(B201),1,1),B201,TRUE)/15)+1)</f>
        <v/>
      </c>
      <c r="D201" s="13" t="str">
        <f>IF(Tableau44789101112[[#This Row],[Date]]="","",24-C201)</f>
        <v/>
      </c>
      <c r="E201" s="13"/>
      <c r="F201" s="34" t="str">
        <f>IF(Tableau44789101112[[#This Row],[Date]]="","",Tableau44789101112[[#This Row],[Versement]]*Variables!$F$12)</f>
        <v/>
      </c>
      <c r="G201" s="34" t="str">
        <f>IF(Tableau44789101112[[#This Row],[Date]]="","",(E201*(1+($C$189)/24)^V.Complémentaires!D201)-E201)</f>
        <v/>
      </c>
    </row>
    <row r="202" spans="2:7" ht="20" customHeight="1">
      <c r="B202" s="13"/>
      <c r="C202" s="16" t="str">
        <f>IF(Tableau44789101112[[#This Row],[Date]]="","",INT(DAYS360(DATE(YEAR(B202),1,1),B202,TRUE)/15)+1)</f>
        <v/>
      </c>
      <c r="D202" s="13" t="str">
        <f>IF(Tableau44789101112[[#This Row],[Date]]="","",24-C202)</f>
        <v/>
      </c>
      <c r="E202" s="13"/>
      <c r="F202" s="34" t="str">
        <f>IF(Tableau44789101112[[#This Row],[Date]]="","",Tableau44789101112[[#This Row],[Versement]]*Variables!$F$12)</f>
        <v/>
      </c>
      <c r="G202" s="34" t="str">
        <f>IF(Tableau44789101112[[#This Row],[Date]]="","",(E202*(1+($C$189)/24)^V.Complémentaires!D202)-E202)</f>
        <v/>
      </c>
    </row>
    <row r="203" spans="2:7" ht="20" customHeight="1">
      <c r="B203" s="13"/>
      <c r="C203" s="16" t="str">
        <f>IF(Tableau44789101112[[#This Row],[Date]]="","",INT(DAYS360(DATE(YEAR(B203),1,1),B203,TRUE)/15)+1)</f>
        <v/>
      </c>
      <c r="D203" s="13" t="str">
        <f>IF(Tableau44789101112[[#This Row],[Date]]="","",24-C203)</f>
        <v/>
      </c>
      <c r="E203" s="13"/>
      <c r="F203" s="34" t="str">
        <f>IF(Tableau44789101112[[#This Row],[Date]]="","",Tableau44789101112[[#This Row],[Versement]]*Variables!$F$12)</f>
        <v/>
      </c>
      <c r="G203" s="34" t="str">
        <f>IF(Tableau44789101112[[#This Row],[Date]]="","",(E203*(1+($C$189)/24)^V.Complémentaires!D203)-E203)</f>
        <v/>
      </c>
    </row>
    <row r="204" spans="2:7" ht="20" customHeight="1">
      <c r="B204" s="13"/>
      <c r="C204" s="16" t="str">
        <f>IF(Tableau44789101112[[#This Row],[Date]]="","",INT(DAYS360(DATE(YEAR(B204),1,1),B204,TRUE)/15)+1)</f>
        <v/>
      </c>
      <c r="D204" s="13" t="str">
        <f>IF(Tableau44789101112[[#This Row],[Date]]="","",24-C204)</f>
        <v/>
      </c>
      <c r="E204" s="13"/>
      <c r="F204" s="34" t="str">
        <f>IF(Tableau44789101112[[#This Row],[Date]]="","",Tableau44789101112[[#This Row],[Versement]]*Variables!$F$12)</f>
        <v/>
      </c>
      <c r="G204" s="34" t="str">
        <f>IF(Tableau44789101112[[#This Row],[Date]]="","",(E204*(1+($C$189)/24)^V.Complémentaires!D204)-E204)</f>
        <v/>
      </c>
    </row>
    <row r="205" spans="2:7" ht="20" customHeight="1">
      <c r="B205" s="13"/>
      <c r="C205" s="16" t="str">
        <f>IF(Tableau44789101112[[#This Row],[Date]]="","",INT(DAYS360(DATE(YEAR(B205),1,1),B205,TRUE)/15)+1)</f>
        <v/>
      </c>
      <c r="D205" s="13" t="str">
        <f>IF(Tableau44789101112[[#This Row],[Date]]="","",24-C205)</f>
        <v/>
      </c>
      <c r="E205" s="13"/>
      <c r="F205" s="34" t="str">
        <f>IF(Tableau44789101112[[#This Row],[Date]]="","",Tableau44789101112[[#This Row],[Versement]]*Variables!$F$12)</f>
        <v/>
      </c>
      <c r="G205" s="34" t="str">
        <f>IF(Tableau44789101112[[#This Row],[Date]]="","",(E205*(1+($C$189)/24)^V.Complémentaires!D205)-E205)</f>
        <v/>
      </c>
    </row>
    <row r="206" spans="2:7" ht="20" customHeight="1">
      <c r="B206" s="13"/>
      <c r="C206" s="16" t="str">
        <f>IF(Tableau44789101112[[#This Row],[Date]]="","",INT(DAYS360(DATE(YEAR(B206),1,1),B206,TRUE)/15)+1)</f>
        <v/>
      </c>
      <c r="D206" s="13" t="str">
        <f>IF(Tableau44789101112[[#This Row],[Date]]="","",24-C206)</f>
        <v/>
      </c>
      <c r="E206" s="13"/>
      <c r="F206" s="34" t="str">
        <f>IF(Tableau44789101112[[#This Row],[Date]]="","",Tableau44789101112[[#This Row],[Versement]]*Variables!$F$12)</f>
        <v/>
      </c>
      <c r="G206" s="34" t="str">
        <f>IF(Tableau44789101112[[#This Row],[Date]]="","",(E206*(1+($C$189)/24)^V.Complémentaires!D206)-E206)</f>
        <v/>
      </c>
    </row>
    <row r="207" spans="2:7" ht="20" customHeight="1">
      <c r="B207" s="13"/>
      <c r="C207" s="16" t="str">
        <f>IF(Tableau44789101112[[#This Row],[Date]]="","",INT(DAYS360(DATE(YEAR(B207),1,1),B207,TRUE)/15)+1)</f>
        <v/>
      </c>
      <c r="D207" s="13" t="str">
        <f>IF(Tableau44789101112[[#This Row],[Date]]="","",24-C207)</f>
        <v/>
      </c>
      <c r="E207" s="13"/>
      <c r="F207" s="34" t="str">
        <f>IF(Tableau44789101112[[#This Row],[Date]]="","",Tableau44789101112[[#This Row],[Versement]]*Variables!$F$12)</f>
        <v/>
      </c>
      <c r="G207" s="34" t="str">
        <f>IF(Tableau44789101112[[#This Row],[Date]]="","",(E207*(1+($C$189)/24)^V.Complémentaires!D207)-E207)</f>
        <v/>
      </c>
    </row>
    <row r="208" spans="2:7" ht="20" customHeight="1">
      <c r="B208" s="13"/>
      <c r="C208" s="13"/>
      <c r="D208" s="13"/>
      <c r="E208" s="13">
        <f>SUM(Tableau44789101112[Versement])</f>
        <v>0</v>
      </c>
      <c r="F208" s="34">
        <f>SUBTOTAL(109,Tableau44789101112[Frais de versement])</f>
        <v>0</v>
      </c>
      <c r="G208" s="34">
        <f>SUM(Tableau44789101112[Interet])</f>
        <v>0</v>
      </c>
    </row>
    <row r="214" spans="2:7" ht="20" customHeight="1" thickBot="1"/>
    <row r="215" spans="2:7" ht="20" customHeight="1" thickBot="1">
      <c r="B215" s="10" t="s">
        <v>7</v>
      </c>
      <c r="C215" s="19">
        <f ca="1">C188+1</f>
        <v>2022</v>
      </c>
      <c r="D215" s="13"/>
      <c r="E215" s="13"/>
      <c r="F215" s="34"/>
      <c r="G215" s="34"/>
    </row>
    <row r="216" spans="2:7" ht="20" customHeight="1" thickBot="1">
      <c r="B216" s="14" t="s">
        <v>23</v>
      </c>
      <c r="C216" s="20" t="str">
        <f>IF('Tableau Projection'!I15="","",VLOOKUP(C215,'Tableau Projection'!$C$6:$L$28,7,FALSE))</f>
        <v/>
      </c>
      <c r="D216" s="13"/>
      <c r="E216" s="13"/>
      <c r="F216" s="34"/>
      <c r="G216" s="34"/>
    </row>
    <row r="217" spans="2:7" ht="35" customHeight="1">
      <c r="B217" s="13" t="s">
        <v>18</v>
      </c>
      <c r="C217" s="18" t="s">
        <v>22</v>
      </c>
      <c r="D217" s="13" t="s">
        <v>19</v>
      </c>
      <c r="E217" s="13" t="s">
        <v>20</v>
      </c>
      <c r="F217" s="57" t="s">
        <v>3</v>
      </c>
      <c r="G217" s="34" t="s">
        <v>21</v>
      </c>
    </row>
    <row r="218" spans="2:7" ht="20" customHeight="1">
      <c r="B218" s="15"/>
      <c r="C218" s="16" t="str">
        <f>IF(Tableau4478910111213[[#This Row],[Date]]="","",INT(DAYS360(DATE(YEAR(B218),1,1),B218,TRUE)/15)+1)</f>
        <v/>
      </c>
      <c r="D218" s="13" t="str">
        <f>IF(Tableau4478910111213[[#This Row],[Date]]="","",24-C218)</f>
        <v/>
      </c>
      <c r="E218" s="17"/>
      <c r="F218" s="34" t="str">
        <f>IF(Tableau4478910111213[[#This Row],[Date]]="","",Tableau4478910111213[[#This Row],[Versement]]*Variables!$F$12)</f>
        <v/>
      </c>
      <c r="G218" s="34" t="str">
        <f>IF(Tableau4478910111213[[#This Row],[Date]]="","",(E218*(1+($C$216)/24)^V.Complémentaires!D218)-E218)</f>
        <v/>
      </c>
    </row>
    <row r="219" spans="2:7" ht="20" customHeight="1">
      <c r="B219" s="15"/>
      <c r="C219" s="16" t="str">
        <f>IF(Tableau4478910111213[[#This Row],[Date]]="","",INT(DAYS360(DATE(YEAR(B219),1,1),B219,TRUE)/15)+1)</f>
        <v/>
      </c>
      <c r="D219" s="13" t="str">
        <f>IF(Tableau4478910111213[[#This Row],[Date]]="","",24-C219)</f>
        <v/>
      </c>
      <c r="E219" s="13"/>
      <c r="F219" s="34" t="str">
        <f>IF(Tableau4478910111213[[#This Row],[Date]]="","",Tableau4478910111213[[#This Row],[Versement]]*Variables!$F$12)</f>
        <v/>
      </c>
      <c r="G219" s="34" t="str">
        <f>IF(Tableau4478910111213[[#This Row],[Date]]="","",(E219*(1+($C$216)/24)^V.Complémentaires!D219)-E219)</f>
        <v/>
      </c>
    </row>
    <row r="220" spans="2:7" ht="20" customHeight="1">
      <c r="B220" s="15"/>
      <c r="C220" s="16" t="str">
        <f>IF(Tableau4478910111213[[#This Row],[Date]]="","",INT(DAYS360(DATE(YEAR(B220),1,1),B220,TRUE)/15)+1)</f>
        <v/>
      </c>
      <c r="D220" s="13" t="str">
        <f>IF(Tableau4478910111213[[#This Row],[Date]]="","",24-C220)</f>
        <v/>
      </c>
      <c r="E220" s="13"/>
      <c r="F220" s="34" t="str">
        <f>IF(Tableau4478910111213[[#This Row],[Date]]="","",Tableau4478910111213[[#This Row],[Versement]]*Variables!$F$12)</f>
        <v/>
      </c>
      <c r="G220" s="34" t="str">
        <f>IF(Tableau4478910111213[[#This Row],[Date]]="","",(E220*(1+($C$216)/24)^V.Complémentaires!D220)-E220)</f>
        <v/>
      </c>
    </row>
    <row r="221" spans="2:7" ht="20" customHeight="1">
      <c r="B221" s="13"/>
      <c r="C221" s="16" t="str">
        <f>IF(Tableau4478910111213[[#This Row],[Date]]="","",INT(DAYS360(DATE(YEAR(B221),1,1),B221,TRUE)/15)+1)</f>
        <v/>
      </c>
      <c r="D221" s="13" t="str">
        <f>IF(Tableau4478910111213[[#This Row],[Date]]="","",24-C221)</f>
        <v/>
      </c>
      <c r="E221" s="13"/>
      <c r="F221" s="34" t="str">
        <f>IF(Tableau4478910111213[[#This Row],[Date]]="","",Tableau4478910111213[[#This Row],[Versement]]*Variables!$F$12)</f>
        <v/>
      </c>
      <c r="G221" s="34" t="str">
        <f>IF(Tableau4478910111213[[#This Row],[Date]]="","",(E221*(1+($C$216)/24)^V.Complémentaires!D221)-E221)</f>
        <v/>
      </c>
    </row>
    <row r="222" spans="2:7" ht="20" customHeight="1">
      <c r="B222" s="13"/>
      <c r="C222" s="16" t="str">
        <f>IF(Tableau4478910111213[[#This Row],[Date]]="","",INT(DAYS360(DATE(YEAR(B222),1,1),B222,TRUE)/15)+1)</f>
        <v/>
      </c>
      <c r="D222" s="13" t="str">
        <f>IF(Tableau4478910111213[[#This Row],[Date]]="","",24-C222)</f>
        <v/>
      </c>
      <c r="E222" s="13"/>
      <c r="F222" s="34" t="str">
        <f>IF(Tableau4478910111213[[#This Row],[Date]]="","",Tableau4478910111213[[#This Row],[Versement]]*Variables!$F$12)</f>
        <v/>
      </c>
      <c r="G222" s="34" t="str">
        <f>IF(Tableau4478910111213[[#This Row],[Date]]="","",(E222*(1+($C$216)/24)^V.Complémentaires!D222)-E222)</f>
        <v/>
      </c>
    </row>
    <row r="223" spans="2:7" ht="20" customHeight="1">
      <c r="B223" s="13"/>
      <c r="C223" s="16" t="str">
        <f>IF(Tableau4478910111213[[#This Row],[Date]]="","",INT(DAYS360(DATE(YEAR(B223),1,1),B223,TRUE)/15)+1)</f>
        <v/>
      </c>
      <c r="D223" s="13" t="str">
        <f>IF(Tableau4478910111213[[#This Row],[Date]]="","",24-C223)</f>
        <v/>
      </c>
      <c r="E223" s="13"/>
      <c r="F223" s="34" t="str">
        <f>IF(Tableau4478910111213[[#This Row],[Date]]="","",Tableau4478910111213[[#This Row],[Versement]]*Variables!$F$12)</f>
        <v/>
      </c>
      <c r="G223" s="34" t="str">
        <f>IF(Tableau4478910111213[[#This Row],[Date]]="","",(E223*(1+($C$216)/24)^V.Complémentaires!D223)-E223)</f>
        <v/>
      </c>
    </row>
    <row r="224" spans="2:7" ht="20" customHeight="1">
      <c r="B224" s="13"/>
      <c r="C224" s="16" t="str">
        <f>IF(Tableau4478910111213[[#This Row],[Date]]="","",INT(DAYS360(DATE(YEAR(B224),1,1),B224,TRUE)/15)+1)</f>
        <v/>
      </c>
      <c r="D224" s="13" t="str">
        <f>IF(Tableau4478910111213[[#This Row],[Date]]="","",24-C224)</f>
        <v/>
      </c>
      <c r="E224" s="13"/>
      <c r="F224" s="34" t="str">
        <f>IF(Tableau4478910111213[[#This Row],[Date]]="","",Tableau4478910111213[[#This Row],[Versement]]*Variables!$F$12)</f>
        <v/>
      </c>
      <c r="G224" s="34" t="str">
        <f>IF(Tableau4478910111213[[#This Row],[Date]]="","",(E224*(1+($C$216)/24)^V.Complémentaires!D224)-E224)</f>
        <v/>
      </c>
    </row>
    <row r="225" spans="2:7" ht="20" customHeight="1">
      <c r="B225" s="13"/>
      <c r="C225" s="16" t="str">
        <f>IF(Tableau4478910111213[[#This Row],[Date]]="","",INT(DAYS360(DATE(YEAR(B225),1,1),B225,TRUE)/15)+1)</f>
        <v/>
      </c>
      <c r="D225" s="13" t="str">
        <f>IF(Tableau4478910111213[[#This Row],[Date]]="","",24-C225)</f>
        <v/>
      </c>
      <c r="E225" s="13"/>
      <c r="F225" s="34" t="str">
        <f>IF(Tableau4478910111213[[#This Row],[Date]]="","",Tableau4478910111213[[#This Row],[Versement]]*Variables!$F$12)</f>
        <v/>
      </c>
      <c r="G225" s="34" t="str">
        <f>IF(Tableau4478910111213[[#This Row],[Date]]="","",(E225*(1+($C$216)/24)^V.Complémentaires!D225)-E225)</f>
        <v/>
      </c>
    </row>
    <row r="226" spans="2:7" ht="20" customHeight="1">
      <c r="B226" s="15"/>
      <c r="C226" s="16" t="str">
        <f>IF(Tableau4478910111213[[#This Row],[Date]]="","",INT(DAYS360(DATE(YEAR(B226),1,1),B226,TRUE)/15)+1)</f>
        <v/>
      </c>
      <c r="D226" s="13" t="str">
        <f>IF(Tableau4478910111213[[#This Row],[Date]]="","",24-C226)</f>
        <v/>
      </c>
      <c r="E226" s="13"/>
      <c r="F226" s="34" t="str">
        <f>IF(Tableau4478910111213[[#This Row],[Date]]="","",Tableau4478910111213[[#This Row],[Versement]]*Variables!$F$12)</f>
        <v/>
      </c>
      <c r="G226" s="34" t="str">
        <f>IF(Tableau4478910111213[[#This Row],[Date]]="","",(E226*(1+($C$216)/24)^V.Complémentaires!D226)-E226)</f>
        <v/>
      </c>
    </row>
    <row r="227" spans="2:7" ht="20" customHeight="1">
      <c r="B227" s="13"/>
      <c r="C227" s="16" t="str">
        <f>IF(Tableau4478910111213[[#This Row],[Date]]="","",INT(DAYS360(DATE(YEAR(B227),1,1),B227,TRUE)/15)+1)</f>
        <v/>
      </c>
      <c r="D227" s="13" t="str">
        <f>IF(Tableau4478910111213[[#This Row],[Date]]="","",24-C227)</f>
        <v/>
      </c>
      <c r="E227" s="13"/>
      <c r="F227" s="34" t="str">
        <f>IF(Tableau4478910111213[[#This Row],[Date]]="","",Tableau4478910111213[[#This Row],[Versement]]*Variables!$F$12)</f>
        <v/>
      </c>
      <c r="G227" s="34" t="str">
        <f>IF(Tableau4478910111213[[#This Row],[Date]]="","",(E227*(1+($C$216)/24)^V.Complémentaires!D227)-E227)</f>
        <v/>
      </c>
    </row>
    <row r="228" spans="2:7" ht="20" customHeight="1">
      <c r="B228" s="13"/>
      <c r="C228" s="16" t="str">
        <f>IF(Tableau4478910111213[[#This Row],[Date]]="","",INT(DAYS360(DATE(YEAR(B228),1,1),B228,TRUE)/15)+1)</f>
        <v/>
      </c>
      <c r="D228" s="13" t="str">
        <f>IF(Tableau4478910111213[[#This Row],[Date]]="","",24-C228)</f>
        <v/>
      </c>
      <c r="E228" s="13"/>
      <c r="F228" s="34" t="str">
        <f>IF(Tableau4478910111213[[#This Row],[Date]]="","",Tableau4478910111213[[#This Row],[Versement]]*Variables!$F$12)</f>
        <v/>
      </c>
      <c r="G228" s="34" t="str">
        <f>IF(Tableau4478910111213[[#This Row],[Date]]="","",(E228*(1+($C$216)/24)^V.Complémentaires!D228)-E228)</f>
        <v/>
      </c>
    </row>
    <row r="229" spans="2:7" ht="20" customHeight="1">
      <c r="B229" s="13"/>
      <c r="C229" s="16" t="str">
        <f>IF(Tableau4478910111213[[#This Row],[Date]]="","",INT(DAYS360(DATE(YEAR(B229),1,1),B229,TRUE)/15)+1)</f>
        <v/>
      </c>
      <c r="D229" s="13" t="str">
        <f>IF(Tableau4478910111213[[#This Row],[Date]]="","",24-C229)</f>
        <v/>
      </c>
      <c r="E229" s="13"/>
      <c r="F229" s="34" t="str">
        <f>IF(Tableau4478910111213[[#This Row],[Date]]="","",Tableau4478910111213[[#This Row],[Versement]]*Variables!$F$12)</f>
        <v/>
      </c>
      <c r="G229" s="34" t="str">
        <f>IF(Tableau4478910111213[[#This Row],[Date]]="","",(E229*(1+($C$216)/24)^V.Complémentaires!D229)-E229)</f>
        <v/>
      </c>
    </row>
    <row r="230" spans="2:7" ht="20" customHeight="1">
      <c r="B230" s="13"/>
      <c r="C230" s="16" t="str">
        <f>IF(Tableau4478910111213[[#This Row],[Date]]="","",INT(DAYS360(DATE(YEAR(B230),1,1),B230,TRUE)/15)+1)</f>
        <v/>
      </c>
      <c r="D230" s="13" t="str">
        <f>IF(Tableau4478910111213[[#This Row],[Date]]="","",24-C230)</f>
        <v/>
      </c>
      <c r="E230" s="13"/>
      <c r="F230" s="34" t="str">
        <f>IF(Tableau4478910111213[[#This Row],[Date]]="","",Tableau4478910111213[[#This Row],[Versement]]*Variables!$F$12)</f>
        <v/>
      </c>
      <c r="G230" s="34" t="str">
        <f>IF(Tableau4478910111213[[#This Row],[Date]]="","",(E230*(1+($C$216)/24)^V.Complémentaires!D230)-E230)</f>
        <v/>
      </c>
    </row>
    <row r="231" spans="2:7" ht="20" customHeight="1">
      <c r="B231" s="13"/>
      <c r="C231" s="16" t="str">
        <f>IF(Tableau4478910111213[[#This Row],[Date]]="","",INT(DAYS360(DATE(YEAR(B231),1,1),B231,TRUE)/15)+1)</f>
        <v/>
      </c>
      <c r="D231" s="13" t="str">
        <f>IF(Tableau4478910111213[[#This Row],[Date]]="","",24-C231)</f>
        <v/>
      </c>
      <c r="E231" s="13"/>
      <c r="F231" s="34" t="str">
        <f>IF(Tableau4478910111213[[#This Row],[Date]]="","",Tableau4478910111213[[#This Row],[Versement]]*Variables!$F$12)</f>
        <v/>
      </c>
      <c r="G231" s="34" t="str">
        <f>IF(Tableau4478910111213[[#This Row],[Date]]="","",(E231*(1+($C$216)/24)^V.Complémentaires!D231)-E231)</f>
        <v/>
      </c>
    </row>
    <row r="232" spans="2:7" ht="20" customHeight="1">
      <c r="B232" s="13"/>
      <c r="C232" s="16" t="str">
        <f>IF(Tableau4478910111213[[#This Row],[Date]]="","",INT(DAYS360(DATE(YEAR(B232),1,1),B232,TRUE)/15)+1)</f>
        <v/>
      </c>
      <c r="D232" s="13" t="str">
        <f>IF(Tableau4478910111213[[#This Row],[Date]]="","",24-C232)</f>
        <v/>
      </c>
      <c r="E232" s="13"/>
      <c r="F232" s="34" t="str">
        <f>IF(Tableau4478910111213[[#This Row],[Date]]="","",Tableau4478910111213[[#This Row],[Versement]]*Variables!$F$12)</f>
        <v/>
      </c>
      <c r="G232" s="34" t="str">
        <f>IF(Tableau4478910111213[[#This Row],[Date]]="","",(E232*(1+($C$216)/24)^V.Complémentaires!D232)-E232)</f>
        <v/>
      </c>
    </row>
    <row r="233" spans="2:7" ht="20" customHeight="1">
      <c r="B233" s="13"/>
      <c r="C233" s="16" t="str">
        <f>IF(Tableau4478910111213[[#This Row],[Date]]="","",INT(DAYS360(DATE(YEAR(B233),1,1),B233,TRUE)/15)+1)</f>
        <v/>
      </c>
      <c r="D233" s="13" t="str">
        <f>IF(Tableau4478910111213[[#This Row],[Date]]="","",24-C233)</f>
        <v/>
      </c>
      <c r="E233" s="13"/>
      <c r="F233" s="34" t="str">
        <f>IF(Tableau4478910111213[[#This Row],[Date]]="","",Tableau4478910111213[[#This Row],[Versement]]*Variables!$F$12)</f>
        <v/>
      </c>
      <c r="G233" s="34" t="str">
        <f>IF(Tableau4478910111213[[#This Row],[Date]]="","",(E233*(1+($C$216)/24)^V.Complémentaires!D233)-E233)</f>
        <v/>
      </c>
    </row>
    <row r="234" spans="2:7" ht="20" customHeight="1">
      <c r="B234" s="13"/>
      <c r="C234" s="16" t="str">
        <f>IF(Tableau4478910111213[[#This Row],[Date]]="","",INT(DAYS360(DATE(YEAR(B234),1,1),B234,TRUE)/15)+1)</f>
        <v/>
      </c>
      <c r="D234" s="13" t="str">
        <f>IF(Tableau4478910111213[[#This Row],[Date]]="","",24-C234)</f>
        <v/>
      </c>
      <c r="E234" s="13"/>
      <c r="F234" s="34" t="str">
        <f>IF(Tableau4478910111213[[#This Row],[Date]]="","",Tableau4478910111213[[#This Row],[Versement]]*Variables!$F$12)</f>
        <v/>
      </c>
      <c r="G234" s="34" t="str">
        <f>IF(Tableau4478910111213[[#This Row],[Date]]="","",(E234*(1+($C$216)/24)^V.Complémentaires!D234)-E234)</f>
        <v/>
      </c>
    </row>
    <row r="235" spans="2:7" ht="20" customHeight="1">
      <c r="B235" s="13"/>
      <c r="C235" s="13"/>
      <c r="D235" s="13"/>
      <c r="E235" s="13">
        <f>SUM(Tableau4478910111213[Versement])</f>
        <v>0</v>
      </c>
      <c r="F235" s="34">
        <f>SUBTOTAL(109,Tableau4478910111213[Frais de versement])</f>
        <v>0</v>
      </c>
      <c r="G235" s="34">
        <f>SUM(Tableau4478910111213[Interet])</f>
        <v>0</v>
      </c>
    </row>
    <row r="240" spans="2:7" ht="20" customHeight="1" thickBot="1"/>
    <row r="241" spans="2:7" ht="20" customHeight="1" thickBot="1">
      <c r="B241" s="10" t="s">
        <v>7</v>
      </c>
      <c r="C241" s="19">
        <f ca="1">C215+1</f>
        <v>2023</v>
      </c>
      <c r="D241" s="13"/>
      <c r="E241" s="13"/>
      <c r="F241" s="34"/>
      <c r="G241" s="34"/>
    </row>
    <row r="242" spans="2:7" ht="20" customHeight="1" thickBot="1">
      <c r="B242" s="14" t="s">
        <v>23</v>
      </c>
      <c r="C242" s="20" t="str">
        <f>IF('Tableau Projection'!I16="","",VLOOKUP(C241,'Tableau Projection'!$C$6:$L$28,7,FALSE))</f>
        <v/>
      </c>
      <c r="D242" s="13"/>
      <c r="E242" s="13"/>
      <c r="F242" s="34"/>
      <c r="G242" s="34"/>
    </row>
    <row r="243" spans="2:7" ht="35" customHeight="1">
      <c r="B243" s="13" t="s">
        <v>18</v>
      </c>
      <c r="C243" s="18" t="s">
        <v>22</v>
      </c>
      <c r="D243" s="13" t="s">
        <v>19</v>
      </c>
      <c r="E243" s="13" t="s">
        <v>20</v>
      </c>
      <c r="F243" s="57" t="s">
        <v>3</v>
      </c>
      <c r="G243" s="34" t="s">
        <v>21</v>
      </c>
    </row>
    <row r="244" spans="2:7" ht="20" customHeight="1">
      <c r="B244" s="15"/>
      <c r="C244" s="16" t="str">
        <f>IF(Tableau447891011121314[[#This Row],[Date]]="","",INT(DAYS360(DATE(YEAR(B244),1,1),B244,TRUE)/15)+1)</f>
        <v/>
      </c>
      <c r="D244" s="13" t="str">
        <f>IF(Tableau447891011121314[[#This Row],[Date]]="","",24-C244)</f>
        <v/>
      </c>
      <c r="E244" s="17"/>
      <c r="F244" s="34" t="str">
        <f>IF(Tableau447891011121314[[#This Row],[Date]]="","",Tableau447891011121314[[#This Row],[Versement]]*Variables!$F$12)</f>
        <v/>
      </c>
      <c r="G244" s="34" t="str">
        <f>IF(Tableau447891011121314[[#This Row],[Date]]="","",(E244*(1+($C$242)/24)^V.Complémentaires!D244)-E244)</f>
        <v/>
      </c>
    </row>
    <row r="245" spans="2:7" ht="20" customHeight="1">
      <c r="B245" s="15"/>
      <c r="C245" s="16" t="str">
        <f>IF(Tableau447891011121314[[#This Row],[Date]]="","",INT(DAYS360(DATE(YEAR(B245),1,1),B245,TRUE)/15)+1)</f>
        <v/>
      </c>
      <c r="D245" s="13" t="str">
        <f>IF(Tableau447891011121314[[#This Row],[Date]]="","",24-C245)</f>
        <v/>
      </c>
      <c r="E245" s="13"/>
      <c r="F245" s="34" t="str">
        <f>IF(Tableau447891011121314[[#This Row],[Date]]="","",Tableau447891011121314[[#This Row],[Versement]]*Variables!$F$12)</f>
        <v/>
      </c>
      <c r="G245" s="34" t="str">
        <f>IF(Tableau447891011121314[[#This Row],[Date]]="","",(E245*(1+($C$242)/24)^V.Complémentaires!D245)-E245)</f>
        <v/>
      </c>
    </row>
    <row r="246" spans="2:7" ht="20" customHeight="1">
      <c r="B246" s="15"/>
      <c r="C246" s="16" t="str">
        <f>IF(Tableau447891011121314[[#This Row],[Date]]="","",INT(DAYS360(DATE(YEAR(B246),1,1),B246,TRUE)/15)+1)</f>
        <v/>
      </c>
      <c r="D246" s="13" t="str">
        <f>IF(Tableau447891011121314[[#This Row],[Date]]="","",24-C246)</f>
        <v/>
      </c>
      <c r="E246" s="13"/>
      <c r="F246" s="34" t="str">
        <f>IF(Tableau447891011121314[[#This Row],[Date]]="","",Tableau447891011121314[[#This Row],[Versement]]*Variables!$F$12)</f>
        <v/>
      </c>
      <c r="G246" s="34" t="str">
        <f>IF(Tableau447891011121314[[#This Row],[Date]]="","",(E246*(1+($C$242)/24)^V.Complémentaires!D246)-E246)</f>
        <v/>
      </c>
    </row>
    <row r="247" spans="2:7" ht="20" customHeight="1">
      <c r="B247" s="13"/>
      <c r="C247" s="16" t="str">
        <f>IF(Tableau447891011121314[[#This Row],[Date]]="","",INT(DAYS360(DATE(YEAR(B247),1,1),B247,TRUE)/15)+1)</f>
        <v/>
      </c>
      <c r="D247" s="13" t="str">
        <f>IF(Tableau447891011121314[[#This Row],[Date]]="","",24-C247)</f>
        <v/>
      </c>
      <c r="E247" s="13"/>
      <c r="F247" s="34" t="str">
        <f>IF(Tableau447891011121314[[#This Row],[Date]]="","",Tableau447891011121314[[#This Row],[Versement]]*Variables!$F$12)</f>
        <v/>
      </c>
      <c r="G247" s="34" t="str">
        <f>IF(Tableau447891011121314[[#This Row],[Date]]="","",(E247*(1+($C$242)/24)^V.Complémentaires!D247)-E247)</f>
        <v/>
      </c>
    </row>
    <row r="248" spans="2:7" ht="20" customHeight="1">
      <c r="B248" s="13"/>
      <c r="C248" s="16" t="str">
        <f>IF(Tableau447891011121314[[#This Row],[Date]]="","",INT(DAYS360(DATE(YEAR(B248),1,1),B248,TRUE)/15)+1)</f>
        <v/>
      </c>
      <c r="D248" s="13" t="str">
        <f>IF(Tableau447891011121314[[#This Row],[Date]]="","",24-C248)</f>
        <v/>
      </c>
      <c r="E248" s="13"/>
      <c r="F248" s="34" t="str">
        <f>IF(Tableau447891011121314[[#This Row],[Date]]="","",Tableau447891011121314[[#This Row],[Versement]]*Variables!$F$12)</f>
        <v/>
      </c>
      <c r="G248" s="34" t="str">
        <f>IF(Tableau447891011121314[[#This Row],[Date]]="","",(E248*(1+($C$242)/24)^V.Complémentaires!D248)-E248)</f>
        <v/>
      </c>
    </row>
    <row r="249" spans="2:7" ht="20" customHeight="1">
      <c r="B249" s="13"/>
      <c r="C249" s="16" t="str">
        <f>IF(Tableau447891011121314[[#This Row],[Date]]="","",INT(DAYS360(DATE(YEAR(B249),1,1),B249,TRUE)/15)+1)</f>
        <v/>
      </c>
      <c r="D249" s="13" t="str">
        <f>IF(Tableau447891011121314[[#This Row],[Date]]="","",24-C249)</f>
        <v/>
      </c>
      <c r="E249" s="13"/>
      <c r="F249" s="34" t="str">
        <f>IF(Tableau447891011121314[[#This Row],[Date]]="","",Tableau447891011121314[[#This Row],[Versement]]*Variables!$F$12)</f>
        <v/>
      </c>
      <c r="G249" s="34" t="str">
        <f>IF(Tableau447891011121314[[#This Row],[Date]]="","",(E249*(1+($C$242)/24)^V.Complémentaires!D249)-E249)</f>
        <v/>
      </c>
    </row>
    <row r="250" spans="2:7" ht="20" customHeight="1">
      <c r="B250" s="13"/>
      <c r="C250" s="16" t="str">
        <f>IF(Tableau447891011121314[[#This Row],[Date]]="","",INT(DAYS360(DATE(YEAR(B250),1,1),B250,TRUE)/15)+1)</f>
        <v/>
      </c>
      <c r="D250" s="13" t="str">
        <f>IF(Tableau447891011121314[[#This Row],[Date]]="","",24-C250)</f>
        <v/>
      </c>
      <c r="E250" s="13"/>
      <c r="F250" s="34" t="str">
        <f>IF(Tableau447891011121314[[#This Row],[Date]]="","",Tableau447891011121314[[#This Row],[Versement]]*Variables!$F$12)</f>
        <v/>
      </c>
      <c r="G250" s="34" t="str">
        <f>IF(Tableau447891011121314[[#This Row],[Date]]="","",(E250*(1+($C$242)/24)^V.Complémentaires!D250)-E250)</f>
        <v/>
      </c>
    </row>
    <row r="251" spans="2:7" ht="20" customHeight="1">
      <c r="B251" s="13"/>
      <c r="C251" s="16" t="str">
        <f>IF(Tableau447891011121314[[#This Row],[Date]]="","",INT(DAYS360(DATE(YEAR(B251),1,1),B251,TRUE)/15)+1)</f>
        <v/>
      </c>
      <c r="D251" s="13" t="str">
        <f>IF(Tableau447891011121314[[#This Row],[Date]]="","",24-C251)</f>
        <v/>
      </c>
      <c r="E251" s="13"/>
      <c r="F251" s="34" t="str">
        <f>IF(Tableau447891011121314[[#This Row],[Date]]="","",Tableau447891011121314[[#This Row],[Versement]]*Variables!$F$12)</f>
        <v/>
      </c>
      <c r="G251" s="34" t="str">
        <f>IF(Tableau447891011121314[[#This Row],[Date]]="","",(E251*(1+($C$242)/24)^V.Complémentaires!D251)-E251)</f>
        <v/>
      </c>
    </row>
    <row r="252" spans="2:7" ht="20" customHeight="1">
      <c r="B252" s="15"/>
      <c r="C252" s="16" t="str">
        <f>IF(Tableau447891011121314[[#This Row],[Date]]="","",INT(DAYS360(DATE(YEAR(B252),1,1),B252,TRUE)/15)+1)</f>
        <v/>
      </c>
      <c r="D252" s="13" t="str">
        <f>IF(Tableau447891011121314[[#This Row],[Date]]="","",24-C252)</f>
        <v/>
      </c>
      <c r="E252" s="13"/>
      <c r="F252" s="34" t="str">
        <f>IF(Tableau447891011121314[[#This Row],[Date]]="","",Tableau447891011121314[[#This Row],[Versement]]*Variables!$F$12)</f>
        <v/>
      </c>
      <c r="G252" s="34" t="str">
        <f>IF(Tableau447891011121314[[#This Row],[Date]]="","",(E252*(1+($C$242)/24)^V.Complémentaires!D252)-E252)</f>
        <v/>
      </c>
    </row>
    <row r="253" spans="2:7" ht="20" customHeight="1">
      <c r="B253" s="13"/>
      <c r="C253" s="16" t="str">
        <f>IF(Tableau447891011121314[[#This Row],[Date]]="","",INT(DAYS360(DATE(YEAR(B253),1,1),B253,TRUE)/15)+1)</f>
        <v/>
      </c>
      <c r="D253" s="13" t="str">
        <f>IF(Tableau447891011121314[[#This Row],[Date]]="","",24-C253)</f>
        <v/>
      </c>
      <c r="E253" s="13"/>
      <c r="F253" s="34" t="str">
        <f>IF(Tableau447891011121314[[#This Row],[Date]]="","",Tableau447891011121314[[#This Row],[Versement]]*Variables!$F$12)</f>
        <v/>
      </c>
      <c r="G253" s="34" t="str">
        <f>IF(Tableau447891011121314[[#This Row],[Date]]="","",(E253*(1+($C$242)/24)^V.Complémentaires!D253)-E253)</f>
        <v/>
      </c>
    </row>
    <row r="254" spans="2:7" ht="20" customHeight="1">
      <c r="B254" s="13"/>
      <c r="C254" s="16" t="str">
        <f>IF(Tableau447891011121314[[#This Row],[Date]]="","",INT(DAYS360(DATE(YEAR(B254),1,1),B254,TRUE)/15)+1)</f>
        <v/>
      </c>
      <c r="D254" s="13" t="str">
        <f>IF(Tableau447891011121314[[#This Row],[Date]]="","",24-C254)</f>
        <v/>
      </c>
      <c r="E254" s="13"/>
      <c r="F254" s="34" t="str">
        <f>IF(Tableau447891011121314[[#This Row],[Date]]="","",Tableau447891011121314[[#This Row],[Versement]]*Variables!$F$12)</f>
        <v/>
      </c>
      <c r="G254" s="34" t="str">
        <f>IF(Tableau447891011121314[[#This Row],[Date]]="","",(E254*(1+($C$242)/24)^V.Complémentaires!D254)-E254)</f>
        <v/>
      </c>
    </row>
    <row r="255" spans="2:7" ht="20" customHeight="1">
      <c r="B255" s="13"/>
      <c r="C255" s="16" t="str">
        <f>IF(Tableau447891011121314[[#This Row],[Date]]="","",INT(DAYS360(DATE(YEAR(B255),1,1),B255,TRUE)/15)+1)</f>
        <v/>
      </c>
      <c r="D255" s="13" t="str">
        <f>IF(Tableau447891011121314[[#This Row],[Date]]="","",24-C255)</f>
        <v/>
      </c>
      <c r="E255" s="13"/>
      <c r="F255" s="34" t="str">
        <f>IF(Tableau447891011121314[[#This Row],[Date]]="","",Tableau447891011121314[[#This Row],[Versement]]*Variables!$F$12)</f>
        <v/>
      </c>
      <c r="G255" s="34" t="str">
        <f>IF(Tableau447891011121314[[#This Row],[Date]]="","",(E255*(1+($C$242)/24)^V.Complémentaires!D255)-E255)</f>
        <v/>
      </c>
    </row>
    <row r="256" spans="2:7" ht="20" customHeight="1">
      <c r="B256" s="13"/>
      <c r="C256" s="16" t="str">
        <f>IF(Tableau447891011121314[[#This Row],[Date]]="","",INT(DAYS360(DATE(YEAR(B256),1,1),B256,TRUE)/15)+1)</f>
        <v/>
      </c>
      <c r="D256" s="13" t="str">
        <f>IF(Tableau447891011121314[[#This Row],[Date]]="","",24-C256)</f>
        <v/>
      </c>
      <c r="E256" s="13"/>
      <c r="F256" s="34" t="str">
        <f>IF(Tableau447891011121314[[#This Row],[Date]]="","",Tableau447891011121314[[#This Row],[Versement]]*Variables!$F$12)</f>
        <v/>
      </c>
      <c r="G256" s="34" t="str">
        <f>IF(Tableau447891011121314[[#This Row],[Date]]="","",(E256*(1+($C$242)/24)^V.Complémentaires!D256)-E256)</f>
        <v/>
      </c>
    </row>
    <row r="257" spans="2:7" ht="20" customHeight="1">
      <c r="B257" s="13"/>
      <c r="C257" s="16" t="str">
        <f>IF(Tableau447891011121314[[#This Row],[Date]]="","",INT(DAYS360(DATE(YEAR(B257),1,1),B257,TRUE)/15)+1)</f>
        <v/>
      </c>
      <c r="D257" s="13" t="str">
        <f>IF(Tableau447891011121314[[#This Row],[Date]]="","",24-C257)</f>
        <v/>
      </c>
      <c r="E257" s="13"/>
      <c r="F257" s="34" t="str">
        <f>IF(Tableau447891011121314[[#This Row],[Date]]="","",Tableau447891011121314[[#This Row],[Versement]]*Variables!$F$12)</f>
        <v/>
      </c>
      <c r="G257" s="34" t="str">
        <f>IF(Tableau447891011121314[[#This Row],[Date]]="","",(E257*(1+($C$242)/24)^V.Complémentaires!D257)-E257)</f>
        <v/>
      </c>
    </row>
    <row r="258" spans="2:7" ht="20" customHeight="1">
      <c r="B258" s="13"/>
      <c r="C258" s="16" t="str">
        <f>IF(Tableau447891011121314[[#This Row],[Date]]="","",INT(DAYS360(DATE(YEAR(B258),1,1),B258,TRUE)/15)+1)</f>
        <v/>
      </c>
      <c r="D258" s="13" t="str">
        <f>IF(Tableau447891011121314[[#This Row],[Date]]="","",24-C258)</f>
        <v/>
      </c>
      <c r="E258" s="13"/>
      <c r="F258" s="34" t="str">
        <f>IF(Tableau447891011121314[[#This Row],[Date]]="","",Tableau447891011121314[[#This Row],[Versement]]*Variables!$F$12)</f>
        <v/>
      </c>
      <c r="G258" s="34" t="str">
        <f>IF(Tableau447891011121314[[#This Row],[Date]]="","",(E258*(1+($C$242)/24)^V.Complémentaires!D258)-E258)</f>
        <v/>
      </c>
    </row>
    <row r="259" spans="2:7" ht="20" customHeight="1">
      <c r="B259" s="13"/>
      <c r="C259" s="16" t="str">
        <f>IF(Tableau447891011121314[[#This Row],[Date]]="","",INT(DAYS360(DATE(YEAR(B259),1,1),B259,TRUE)/15)+1)</f>
        <v/>
      </c>
      <c r="D259" s="13" t="str">
        <f>IF(Tableau447891011121314[[#This Row],[Date]]="","",24-C259)</f>
        <v/>
      </c>
      <c r="E259" s="13"/>
      <c r="F259" s="34" t="str">
        <f>IF(Tableau447891011121314[[#This Row],[Date]]="","",Tableau447891011121314[[#This Row],[Versement]]*Variables!$F$12)</f>
        <v/>
      </c>
      <c r="G259" s="34" t="str">
        <f>IF(Tableau447891011121314[[#This Row],[Date]]="","",(E259*(1+($C$242)/24)^V.Complémentaires!D259)-E259)</f>
        <v/>
      </c>
    </row>
    <row r="260" spans="2:7" ht="20" customHeight="1">
      <c r="B260" s="13"/>
      <c r="C260" s="16" t="str">
        <f>IF(Tableau447891011121314[[#This Row],[Date]]="","",INT(DAYS360(DATE(YEAR(B260),1,1),B260,TRUE)/15)+1)</f>
        <v/>
      </c>
      <c r="D260" s="13" t="str">
        <f>IF(Tableau447891011121314[[#This Row],[Date]]="","",24-C260)</f>
        <v/>
      </c>
      <c r="E260" s="13"/>
      <c r="F260" s="34" t="str">
        <f>IF(Tableau447891011121314[[#This Row],[Date]]="","",Tableau447891011121314[[#This Row],[Versement]]*Variables!$F$12)</f>
        <v/>
      </c>
      <c r="G260" s="34" t="str">
        <f>IF(Tableau447891011121314[[#This Row],[Date]]="","",(E260*(1+($C$242)/24)^V.Complémentaires!D260)-E260)</f>
        <v/>
      </c>
    </row>
    <row r="261" spans="2:7" ht="20" customHeight="1">
      <c r="B261" s="13"/>
      <c r="C261" s="13"/>
      <c r="D261" s="13"/>
      <c r="E261" s="13">
        <f>SUM(Tableau447891011121314[Versement])</f>
        <v>0</v>
      </c>
      <c r="F261" s="34">
        <f>SUBTOTAL(109,Tableau447891011121314[Frais de versement])</f>
        <v>0</v>
      </c>
      <c r="G261" s="34">
        <f>SUM(Tableau447891011121314[Interet])</f>
        <v>0</v>
      </c>
    </row>
    <row r="266" spans="2:7" ht="20" customHeight="1" thickBot="1"/>
    <row r="267" spans="2:7" ht="20" customHeight="1" thickBot="1">
      <c r="B267" s="10" t="s">
        <v>7</v>
      </c>
      <c r="C267" s="19">
        <f ca="1">C241+1</f>
        <v>2024</v>
      </c>
      <c r="D267" s="13"/>
      <c r="E267" s="13"/>
      <c r="F267" s="34"/>
      <c r="G267" s="34"/>
    </row>
    <row r="268" spans="2:7" ht="20" customHeight="1" thickBot="1">
      <c r="B268" s="14" t="s">
        <v>23</v>
      </c>
      <c r="C268" s="20" t="str">
        <f>IF('Tableau Projection'!I17="","",VLOOKUP(C267,'Tableau Projection'!$C$6:$L$28,7,FALSE))</f>
        <v/>
      </c>
      <c r="D268" s="13"/>
      <c r="E268" s="13"/>
      <c r="F268" s="34"/>
      <c r="G268" s="34"/>
    </row>
    <row r="269" spans="2:7" ht="35" customHeight="1">
      <c r="B269" s="13" t="s">
        <v>18</v>
      </c>
      <c r="C269" s="18" t="s">
        <v>22</v>
      </c>
      <c r="D269" s="13" t="s">
        <v>19</v>
      </c>
      <c r="E269" s="13" t="s">
        <v>20</v>
      </c>
      <c r="F269" s="57" t="s">
        <v>3</v>
      </c>
      <c r="G269" s="34" t="s">
        <v>21</v>
      </c>
    </row>
    <row r="270" spans="2:7" ht="20" customHeight="1">
      <c r="B270" s="15"/>
      <c r="C270" s="16" t="str">
        <f>IF(Tableau44789101112131415[[#This Row],[Date]]="","",INT(DAYS360(DATE(YEAR(B270),1,1),B270,TRUE)/15)+1)</f>
        <v/>
      </c>
      <c r="D270" s="13" t="str">
        <f>IF(Tableau44789101112131415[[#This Row],[Date]]="","",24-C270)</f>
        <v/>
      </c>
      <c r="E270" s="17"/>
      <c r="F270" s="34" t="str">
        <f>IF(Tableau44789101112131415[[#This Row],[Date]]="","",Tableau44789101112131415[[#This Row],[Versement]]*Variables!$F$12)</f>
        <v/>
      </c>
      <c r="G270" s="34" t="str">
        <f>IF(Tableau44789101112131415[[#This Row],[Date]]="","",(E270*(1+($C$268)/24)^V.Complémentaires!D270)-E270)</f>
        <v/>
      </c>
    </row>
    <row r="271" spans="2:7" ht="20" customHeight="1">
      <c r="B271" s="15"/>
      <c r="C271" s="16" t="str">
        <f>IF(Tableau44789101112131415[[#This Row],[Date]]="","",INT(DAYS360(DATE(YEAR(B271),1,1),B271,TRUE)/15)+1)</f>
        <v/>
      </c>
      <c r="D271" s="13" t="str">
        <f>IF(Tableau44789101112131415[[#This Row],[Date]]="","",24-C271)</f>
        <v/>
      </c>
      <c r="E271" s="13"/>
      <c r="F271" s="34" t="str">
        <f>IF(Tableau44789101112131415[[#This Row],[Date]]="","",Tableau44789101112131415[[#This Row],[Versement]]*Variables!$F$12)</f>
        <v/>
      </c>
      <c r="G271" s="34" t="str">
        <f>IF(Tableau44789101112131415[[#This Row],[Date]]="","",(E271*(1+($C$268)/24)^V.Complémentaires!D271)-E271)</f>
        <v/>
      </c>
    </row>
    <row r="272" spans="2:7" ht="20" customHeight="1">
      <c r="B272" s="15"/>
      <c r="C272" s="16" t="str">
        <f>IF(Tableau44789101112131415[[#This Row],[Date]]="","",INT(DAYS360(DATE(YEAR(B272),1,1),B272,TRUE)/15)+1)</f>
        <v/>
      </c>
      <c r="D272" s="13" t="str">
        <f>IF(Tableau44789101112131415[[#This Row],[Date]]="","",24-C272)</f>
        <v/>
      </c>
      <c r="E272" s="13"/>
      <c r="F272" s="34" t="str">
        <f>IF(Tableau44789101112131415[[#This Row],[Date]]="","",Tableau44789101112131415[[#This Row],[Versement]]*Variables!$F$12)</f>
        <v/>
      </c>
      <c r="G272" s="34" t="str">
        <f>IF(Tableau44789101112131415[[#This Row],[Date]]="","",(E272*(1+($C$268)/24)^V.Complémentaires!D272)-E272)</f>
        <v/>
      </c>
    </row>
    <row r="273" spans="2:7" ht="20" customHeight="1">
      <c r="B273" s="13"/>
      <c r="C273" s="16" t="str">
        <f>IF(Tableau44789101112131415[[#This Row],[Date]]="","",INT(DAYS360(DATE(YEAR(B273),1,1),B273,TRUE)/15)+1)</f>
        <v/>
      </c>
      <c r="D273" s="13" t="str">
        <f>IF(Tableau44789101112131415[[#This Row],[Date]]="","",24-C273)</f>
        <v/>
      </c>
      <c r="E273" s="13"/>
      <c r="F273" s="34" t="str">
        <f>IF(Tableau44789101112131415[[#This Row],[Date]]="","",Tableau44789101112131415[[#This Row],[Versement]]*Variables!$F$12)</f>
        <v/>
      </c>
      <c r="G273" s="34" t="str">
        <f>IF(Tableau44789101112131415[[#This Row],[Date]]="","",(E273*(1+($C$268)/24)^V.Complémentaires!D273)-E273)</f>
        <v/>
      </c>
    </row>
    <row r="274" spans="2:7" ht="20" customHeight="1">
      <c r="B274" s="13"/>
      <c r="C274" s="16" t="str">
        <f>IF(Tableau44789101112131415[[#This Row],[Date]]="","",INT(DAYS360(DATE(YEAR(B274),1,1),B274,TRUE)/15)+1)</f>
        <v/>
      </c>
      <c r="D274" s="13" t="str">
        <f>IF(Tableau44789101112131415[[#This Row],[Date]]="","",24-C274)</f>
        <v/>
      </c>
      <c r="E274" s="13"/>
      <c r="F274" s="34" t="str">
        <f>IF(Tableau44789101112131415[[#This Row],[Date]]="","",Tableau44789101112131415[[#This Row],[Versement]]*Variables!$F$12)</f>
        <v/>
      </c>
      <c r="G274" s="34" t="str">
        <f>IF(Tableau44789101112131415[[#This Row],[Date]]="","",(E274*(1+($C$268)/24)^V.Complémentaires!D274)-E274)</f>
        <v/>
      </c>
    </row>
    <row r="275" spans="2:7" ht="20" customHeight="1">
      <c r="B275" s="13"/>
      <c r="C275" s="16" t="str">
        <f>IF(Tableau44789101112131415[[#This Row],[Date]]="","",INT(DAYS360(DATE(YEAR(B275),1,1),B275,TRUE)/15)+1)</f>
        <v/>
      </c>
      <c r="D275" s="13" t="str">
        <f>IF(Tableau44789101112131415[[#This Row],[Date]]="","",24-C275)</f>
        <v/>
      </c>
      <c r="E275" s="13"/>
      <c r="F275" s="34" t="str">
        <f>IF(Tableau44789101112131415[[#This Row],[Date]]="","",Tableau44789101112131415[[#This Row],[Versement]]*Variables!$F$12)</f>
        <v/>
      </c>
      <c r="G275" s="34" t="str">
        <f>IF(Tableau44789101112131415[[#This Row],[Date]]="","",(E275*(1+($C$268)/24)^V.Complémentaires!D275)-E275)</f>
        <v/>
      </c>
    </row>
    <row r="276" spans="2:7" ht="20" customHeight="1">
      <c r="B276" s="13"/>
      <c r="C276" s="16" t="str">
        <f>IF(Tableau44789101112131415[[#This Row],[Date]]="","",INT(DAYS360(DATE(YEAR(B276),1,1),B276,TRUE)/15)+1)</f>
        <v/>
      </c>
      <c r="D276" s="13" t="str">
        <f>IF(Tableau44789101112131415[[#This Row],[Date]]="","",24-C276)</f>
        <v/>
      </c>
      <c r="E276" s="13"/>
      <c r="F276" s="34" t="str">
        <f>IF(Tableau44789101112131415[[#This Row],[Date]]="","",Tableau44789101112131415[[#This Row],[Versement]]*Variables!$F$12)</f>
        <v/>
      </c>
      <c r="G276" s="34" t="str">
        <f>IF(Tableau44789101112131415[[#This Row],[Date]]="","",(E276*(1+($C$268)/24)^V.Complémentaires!D276)-E276)</f>
        <v/>
      </c>
    </row>
    <row r="277" spans="2:7" ht="20" customHeight="1">
      <c r="B277" s="13"/>
      <c r="C277" s="16" t="str">
        <f>IF(Tableau44789101112131415[[#This Row],[Date]]="","",INT(DAYS360(DATE(YEAR(B277),1,1),B277,TRUE)/15)+1)</f>
        <v/>
      </c>
      <c r="D277" s="13" t="str">
        <f>IF(Tableau44789101112131415[[#This Row],[Date]]="","",24-C277)</f>
        <v/>
      </c>
      <c r="E277" s="13"/>
      <c r="F277" s="34" t="str">
        <f>IF(Tableau44789101112131415[[#This Row],[Date]]="","",Tableau44789101112131415[[#This Row],[Versement]]*Variables!$F$12)</f>
        <v/>
      </c>
      <c r="G277" s="34" t="str">
        <f>IF(Tableau44789101112131415[[#This Row],[Date]]="","",(E277*(1+($C$268)/24)^V.Complémentaires!D277)-E277)</f>
        <v/>
      </c>
    </row>
    <row r="278" spans="2:7" ht="20" customHeight="1">
      <c r="B278" s="15"/>
      <c r="C278" s="16" t="str">
        <f>IF(Tableau44789101112131415[[#This Row],[Date]]="","",INT(DAYS360(DATE(YEAR(B278),1,1),B278,TRUE)/15)+1)</f>
        <v/>
      </c>
      <c r="D278" s="13" t="str">
        <f>IF(Tableau44789101112131415[[#This Row],[Date]]="","",24-C278)</f>
        <v/>
      </c>
      <c r="E278" s="13"/>
      <c r="F278" s="34" t="str">
        <f>IF(Tableau44789101112131415[[#This Row],[Date]]="","",Tableau44789101112131415[[#This Row],[Versement]]*Variables!$F$12)</f>
        <v/>
      </c>
      <c r="G278" s="34" t="str">
        <f>IF(Tableau44789101112131415[[#This Row],[Date]]="","",(E278*(1+($C$268)/24)^V.Complémentaires!D278)-E278)</f>
        <v/>
      </c>
    </row>
    <row r="279" spans="2:7" ht="20" customHeight="1">
      <c r="B279" s="13"/>
      <c r="C279" s="16" t="str">
        <f>IF(Tableau44789101112131415[[#This Row],[Date]]="","",INT(DAYS360(DATE(YEAR(B279),1,1),B279,TRUE)/15)+1)</f>
        <v/>
      </c>
      <c r="D279" s="13" t="str">
        <f>IF(Tableau44789101112131415[[#This Row],[Date]]="","",24-C279)</f>
        <v/>
      </c>
      <c r="E279" s="13"/>
      <c r="F279" s="34" t="str">
        <f>IF(Tableau44789101112131415[[#This Row],[Date]]="","",Tableau44789101112131415[[#This Row],[Versement]]*Variables!$F$12)</f>
        <v/>
      </c>
      <c r="G279" s="34" t="str">
        <f>IF(Tableau44789101112131415[[#This Row],[Date]]="","",(E279*(1+($C$268)/24)^V.Complémentaires!D279)-E279)</f>
        <v/>
      </c>
    </row>
    <row r="280" spans="2:7" ht="20" customHeight="1">
      <c r="B280" s="13"/>
      <c r="C280" s="16" t="str">
        <f>IF(Tableau44789101112131415[[#This Row],[Date]]="","",INT(DAYS360(DATE(YEAR(B280),1,1),B280,TRUE)/15)+1)</f>
        <v/>
      </c>
      <c r="D280" s="13" t="str">
        <f>IF(Tableau44789101112131415[[#This Row],[Date]]="","",24-C280)</f>
        <v/>
      </c>
      <c r="E280" s="13"/>
      <c r="F280" s="34" t="str">
        <f>IF(Tableau44789101112131415[[#This Row],[Date]]="","",Tableau44789101112131415[[#This Row],[Versement]]*Variables!$F$12)</f>
        <v/>
      </c>
      <c r="G280" s="34" t="str">
        <f>IF(Tableau44789101112131415[[#This Row],[Date]]="","",(E280*(1+($C$268)/24)^V.Complémentaires!D280)-E280)</f>
        <v/>
      </c>
    </row>
    <row r="281" spans="2:7" ht="20" customHeight="1">
      <c r="B281" s="13"/>
      <c r="C281" s="16" t="str">
        <f>IF(Tableau44789101112131415[[#This Row],[Date]]="","",INT(DAYS360(DATE(YEAR(B281),1,1),B281,TRUE)/15)+1)</f>
        <v/>
      </c>
      <c r="D281" s="13" t="str">
        <f>IF(Tableau44789101112131415[[#This Row],[Date]]="","",24-C281)</f>
        <v/>
      </c>
      <c r="E281" s="13"/>
      <c r="F281" s="34" t="str">
        <f>IF(Tableau44789101112131415[[#This Row],[Date]]="","",Tableau44789101112131415[[#This Row],[Versement]]*Variables!$F$12)</f>
        <v/>
      </c>
      <c r="G281" s="34" t="str">
        <f>IF(Tableau44789101112131415[[#This Row],[Date]]="","",(E281*(1+($C$268)/24)^V.Complémentaires!D281)-E281)</f>
        <v/>
      </c>
    </row>
    <row r="282" spans="2:7" ht="20" customHeight="1">
      <c r="B282" s="13"/>
      <c r="C282" s="16" t="str">
        <f>IF(Tableau44789101112131415[[#This Row],[Date]]="","",INT(DAYS360(DATE(YEAR(B282),1,1),B282,TRUE)/15)+1)</f>
        <v/>
      </c>
      <c r="D282" s="13" t="str">
        <f>IF(Tableau44789101112131415[[#This Row],[Date]]="","",24-C282)</f>
        <v/>
      </c>
      <c r="E282" s="13"/>
      <c r="F282" s="34" t="str">
        <f>IF(Tableau44789101112131415[[#This Row],[Date]]="","",Tableau44789101112131415[[#This Row],[Versement]]*Variables!$F$12)</f>
        <v/>
      </c>
      <c r="G282" s="34" t="str">
        <f>IF(Tableau44789101112131415[[#This Row],[Date]]="","",(E282*(1+($C$268)/24)^V.Complémentaires!D282)-E282)</f>
        <v/>
      </c>
    </row>
    <row r="283" spans="2:7" ht="20" customHeight="1">
      <c r="B283" s="13"/>
      <c r="C283" s="16" t="str">
        <f>IF(Tableau44789101112131415[[#This Row],[Date]]="","",INT(DAYS360(DATE(YEAR(B283),1,1),B283,TRUE)/15)+1)</f>
        <v/>
      </c>
      <c r="D283" s="13" t="str">
        <f>IF(Tableau44789101112131415[[#This Row],[Date]]="","",24-C283)</f>
        <v/>
      </c>
      <c r="E283" s="13"/>
      <c r="F283" s="34" t="str">
        <f>IF(Tableau44789101112131415[[#This Row],[Date]]="","",Tableau44789101112131415[[#This Row],[Versement]]*Variables!$F$12)</f>
        <v/>
      </c>
      <c r="G283" s="34" t="str">
        <f>IF(Tableau44789101112131415[[#This Row],[Date]]="","",(E283*(1+($C$268)/24)^V.Complémentaires!D283)-E283)</f>
        <v/>
      </c>
    </row>
    <row r="284" spans="2:7" ht="20" customHeight="1">
      <c r="B284" s="13"/>
      <c r="C284" s="16" t="str">
        <f>IF(Tableau44789101112131415[[#This Row],[Date]]="","",INT(DAYS360(DATE(YEAR(B284),1,1),B284,TRUE)/15)+1)</f>
        <v/>
      </c>
      <c r="D284" s="13" t="str">
        <f>IF(Tableau44789101112131415[[#This Row],[Date]]="","",24-C284)</f>
        <v/>
      </c>
      <c r="E284" s="13"/>
      <c r="F284" s="34" t="str">
        <f>IF(Tableau44789101112131415[[#This Row],[Date]]="","",Tableau44789101112131415[[#This Row],[Versement]]*Variables!$F$12)</f>
        <v/>
      </c>
      <c r="G284" s="34" t="str">
        <f>IF(Tableau44789101112131415[[#This Row],[Date]]="","",(E284*(1+($C$268)/24)^V.Complémentaires!D284)-E284)</f>
        <v/>
      </c>
    </row>
    <row r="285" spans="2:7" ht="20" customHeight="1">
      <c r="B285" s="13"/>
      <c r="C285" s="16" t="str">
        <f>IF(Tableau44789101112131415[[#This Row],[Date]]="","",INT(DAYS360(DATE(YEAR(B285),1,1),B285,TRUE)/15)+1)</f>
        <v/>
      </c>
      <c r="D285" s="13" t="str">
        <f>IF(Tableau44789101112131415[[#This Row],[Date]]="","",24-C285)</f>
        <v/>
      </c>
      <c r="E285" s="13"/>
      <c r="F285" s="34" t="str">
        <f>IF(Tableau44789101112131415[[#This Row],[Date]]="","",Tableau44789101112131415[[#This Row],[Versement]]*Variables!$F$12)</f>
        <v/>
      </c>
      <c r="G285" s="34" t="str">
        <f>IF(Tableau44789101112131415[[#This Row],[Date]]="","",(E285*(1+($C$268)/24)^V.Complémentaires!D285)-E285)</f>
        <v/>
      </c>
    </row>
    <row r="286" spans="2:7" ht="20" customHeight="1">
      <c r="B286" s="13"/>
      <c r="C286" s="16" t="str">
        <f>IF(Tableau44789101112131415[[#This Row],[Date]]="","",INT(DAYS360(DATE(YEAR(B286),1,1),B286,TRUE)/15)+1)</f>
        <v/>
      </c>
      <c r="D286" s="13" t="str">
        <f>IF(Tableau44789101112131415[[#This Row],[Date]]="","",24-C286)</f>
        <v/>
      </c>
      <c r="E286" s="13"/>
      <c r="F286" s="34" t="str">
        <f>IF(Tableau44789101112131415[[#This Row],[Date]]="","",Tableau44789101112131415[[#This Row],[Versement]]*Variables!$F$12)</f>
        <v/>
      </c>
      <c r="G286" s="34" t="str">
        <f>IF(Tableau44789101112131415[[#This Row],[Date]]="","",(E286*(1+($C$268)/24)^V.Complémentaires!D286)-E286)</f>
        <v/>
      </c>
    </row>
    <row r="287" spans="2:7" ht="20" customHeight="1">
      <c r="B287" s="13"/>
      <c r="C287" s="13"/>
      <c r="D287" s="13"/>
      <c r="E287" s="13">
        <f>SUM(Tableau44789101112131415[Versement])</f>
        <v>0</v>
      </c>
      <c r="F287" s="34">
        <f>SUBTOTAL(109,Tableau44789101112131415[Frais de versement])</f>
        <v>0</v>
      </c>
      <c r="G287" s="34">
        <f>SUM(Tableau44789101112131415[Interet])</f>
        <v>0</v>
      </c>
    </row>
    <row r="292" spans="2:7" ht="20" customHeight="1" thickBot="1"/>
    <row r="293" spans="2:7" ht="20" customHeight="1" thickBot="1">
      <c r="B293" s="10" t="s">
        <v>7</v>
      </c>
      <c r="C293" s="19">
        <f ca="1">C267+1</f>
        <v>2025</v>
      </c>
      <c r="D293" s="13"/>
      <c r="E293" s="13"/>
      <c r="F293" s="34"/>
      <c r="G293" s="34"/>
    </row>
    <row r="294" spans="2:7" ht="20" customHeight="1" thickBot="1">
      <c r="B294" s="14" t="s">
        <v>23</v>
      </c>
      <c r="C294" s="20" t="str">
        <f>IF('Tableau Projection'!I18="","",VLOOKUP(C293,'Tableau Projection'!$C$6:$L$28,7,FALSE))</f>
        <v/>
      </c>
      <c r="D294" s="13"/>
      <c r="E294" s="13"/>
      <c r="F294" s="34"/>
      <c r="G294" s="34"/>
    </row>
    <row r="295" spans="2:7" ht="35" customHeight="1">
      <c r="B295" s="13" t="s">
        <v>18</v>
      </c>
      <c r="C295" s="18" t="s">
        <v>22</v>
      </c>
      <c r="D295" s="13" t="s">
        <v>19</v>
      </c>
      <c r="E295" s="13" t="s">
        <v>20</v>
      </c>
      <c r="F295" s="57" t="s">
        <v>3</v>
      </c>
      <c r="G295" s="34" t="s">
        <v>21</v>
      </c>
    </row>
    <row r="296" spans="2:7" ht="20" customHeight="1">
      <c r="B296" s="15"/>
      <c r="C296" s="16" t="str">
        <f>IF(Tableau4478910111213141516[[#This Row],[Date]]="","",INT(DAYS360(DATE(YEAR(B296),1,1),B296,TRUE)/15)+1)</f>
        <v/>
      </c>
      <c r="D296" s="13" t="str">
        <f>IF(Tableau4478910111213141516[[#This Row],[Date]]="","",24-C296)</f>
        <v/>
      </c>
      <c r="E296" s="17"/>
      <c r="F296" s="34" t="str">
        <f>IF(Tableau4478910111213141516[[#This Row],[Date]]="","",Tableau4478910111213141516[[#This Row],[Versement]]*Variables!$F$12)</f>
        <v/>
      </c>
      <c r="G296" s="34" t="str">
        <f>IF(Tableau4478910111213141516[[#This Row],[Date]]="","",(E296*(1+($C$294)/24)^V.Complémentaires!D296)-E296)</f>
        <v/>
      </c>
    </row>
    <row r="297" spans="2:7" ht="20" customHeight="1">
      <c r="B297" s="15"/>
      <c r="C297" s="16" t="str">
        <f>IF(Tableau4478910111213141516[[#This Row],[Date]]="","",INT(DAYS360(DATE(YEAR(B297),1,1),B297,TRUE)/15)+1)</f>
        <v/>
      </c>
      <c r="D297" s="13" t="str">
        <f>IF(Tableau4478910111213141516[[#This Row],[Date]]="","",24-C297)</f>
        <v/>
      </c>
      <c r="E297" s="13"/>
      <c r="F297" s="34" t="str">
        <f>IF(Tableau4478910111213141516[[#This Row],[Date]]="","",Tableau4478910111213141516[[#This Row],[Versement]]*Variables!$F$12)</f>
        <v/>
      </c>
      <c r="G297" s="34" t="str">
        <f>IF(Tableau4478910111213141516[[#This Row],[Date]]="","",(E297*(1+($C$294)/24)^V.Complémentaires!D297)-E297)</f>
        <v/>
      </c>
    </row>
    <row r="298" spans="2:7" ht="20" customHeight="1">
      <c r="B298" s="15"/>
      <c r="C298" s="16" t="str">
        <f>IF(Tableau4478910111213141516[[#This Row],[Date]]="","",INT(DAYS360(DATE(YEAR(B298),1,1),B298,TRUE)/15)+1)</f>
        <v/>
      </c>
      <c r="D298" s="13" t="str">
        <f>IF(Tableau4478910111213141516[[#This Row],[Date]]="","",24-C298)</f>
        <v/>
      </c>
      <c r="E298" s="13"/>
      <c r="F298" s="34" t="str">
        <f>IF(Tableau4478910111213141516[[#This Row],[Date]]="","",Tableau4478910111213141516[[#This Row],[Versement]]*Variables!$F$12)</f>
        <v/>
      </c>
      <c r="G298" s="34" t="str">
        <f>IF(Tableau4478910111213141516[[#This Row],[Date]]="","",(E298*(1+($C$294)/24)^V.Complémentaires!D298)-E298)</f>
        <v/>
      </c>
    </row>
    <row r="299" spans="2:7" ht="20" customHeight="1">
      <c r="B299" s="13"/>
      <c r="C299" s="16" t="str">
        <f>IF(Tableau4478910111213141516[[#This Row],[Date]]="","",INT(DAYS360(DATE(YEAR(B299),1,1),B299,TRUE)/15)+1)</f>
        <v/>
      </c>
      <c r="D299" s="13" t="str">
        <f>IF(Tableau4478910111213141516[[#This Row],[Date]]="","",24-C299)</f>
        <v/>
      </c>
      <c r="E299" s="13"/>
      <c r="F299" s="34" t="str">
        <f>IF(Tableau4478910111213141516[[#This Row],[Date]]="","",Tableau4478910111213141516[[#This Row],[Versement]]*Variables!$F$12)</f>
        <v/>
      </c>
      <c r="G299" s="34" t="str">
        <f>IF(Tableau4478910111213141516[[#This Row],[Date]]="","",(E299*(1+($C$294)/24)^V.Complémentaires!D299)-E299)</f>
        <v/>
      </c>
    </row>
    <row r="300" spans="2:7" ht="20" customHeight="1">
      <c r="B300" s="13"/>
      <c r="C300" s="16" t="str">
        <f>IF(Tableau4478910111213141516[[#This Row],[Date]]="","",INT(DAYS360(DATE(YEAR(B300),1,1),B300,TRUE)/15)+1)</f>
        <v/>
      </c>
      <c r="D300" s="13" t="str">
        <f>IF(Tableau4478910111213141516[[#This Row],[Date]]="","",24-C300)</f>
        <v/>
      </c>
      <c r="E300" s="13"/>
      <c r="F300" s="34" t="str">
        <f>IF(Tableau4478910111213141516[[#This Row],[Date]]="","",Tableau4478910111213141516[[#This Row],[Versement]]*Variables!$F$12)</f>
        <v/>
      </c>
      <c r="G300" s="34" t="str">
        <f>IF(Tableau4478910111213141516[[#This Row],[Date]]="","",(E300*(1+($C$294)/24)^V.Complémentaires!D300)-E300)</f>
        <v/>
      </c>
    </row>
    <row r="301" spans="2:7" ht="20" customHeight="1">
      <c r="B301" s="13"/>
      <c r="C301" s="16" t="str">
        <f>IF(Tableau4478910111213141516[[#This Row],[Date]]="","",INT(DAYS360(DATE(YEAR(B301),1,1),B301,TRUE)/15)+1)</f>
        <v/>
      </c>
      <c r="D301" s="13" t="str">
        <f>IF(Tableau4478910111213141516[[#This Row],[Date]]="","",24-C301)</f>
        <v/>
      </c>
      <c r="E301" s="13"/>
      <c r="F301" s="34" t="str">
        <f>IF(Tableau4478910111213141516[[#This Row],[Date]]="","",Tableau4478910111213141516[[#This Row],[Versement]]*Variables!$F$12)</f>
        <v/>
      </c>
      <c r="G301" s="34" t="str">
        <f>IF(Tableau4478910111213141516[[#This Row],[Date]]="","",(E301*(1+($C$294)/24)^V.Complémentaires!D301)-E301)</f>
        <v/>
      </c>
    </row>
    <row r="302" spans="2:7" ht="20" customHeight="1">
      <c r="B302" s="13"/>
      <c r="C302" s="16" t="str">
        <f>IF(Tableau4478910111213141516[[#This Row],[Date]]="","",INT(DAYS360(DATE(YEAR(B302),1,1),B302,TRUE)/15)+1)</f>
        <v/>
      </c>
      <c r="D302" s="13" t="str">
        <f>IF(Tableau4478910111213141516[[#This Row],[Date]]="","",24-C302)</f>
        <v/>
      </c>
      <c r="E302" s="13"/>
      <c r="F302" s="34" t="str">
        <f>IF(Tableau4478910111213141516[[#This Row],[Date]]="","",Tableau4478910111213141516[[#This Row],[Versement]]*Variables!$F$12)</f>
        <v/>
      </c>
      <c r="G302" s="34" t="str">
        <f>IF(Tableau4478910111213141516[[#This Row],[Date]]="","",(E302*(1+($C$294)/24)^V.Complémentaires!D302)-E302)</f>
        <v/>
      </c>
    </row>
    <row r="303" spans="2:7" ht="20" customHeight="1">
      <c r="B303" s="13"/>
      <c r="C303" s="16" t="str">
        <f>IF(Tableau4478910111213141516[[#This Row],[Date]]="","",INT(DAYS360(DATE(YEAR(B303),1,1),B303,TRUE)/15)+1)</f>
        <v/>
      </c>
      <c r="D303" s="13" t="str">
        <f>IF(Tableau4478910111213141516[[#This Row],[Date]]="","",24-C303)</f>
        <v/>
      </c>
      <c r="E303" s="13"/>
      <c r="F303" s="34" t="str">
        <f>IF(Tableau4478910111213141516[[#This Row],[Date]]="","",Tableau4478910111213141516[[#This Row],[Versement]]*Variables!$F$12)</f>
        <v/>
      </c>
      <c r="G303" s="34" t="str">
        <f>IF(Tableau4478910111213141516[[#This Row],[Date]]="","",(E303*(1+($C$294)/24)^V.Complémentaires!D303)-E303)</f>
        <v/>
      </c>
    </row>
    <row r="304" spans="2:7" ht="20" customHeight="1">
      <c r="B304" s="15"/>
      <c r="C304" s="16" t="str">
        <f>IF(Tableau4478910111213141516[[#This Row],[Date]]="","",INT(DAYS360(DATE(YEAR(B304),1,1),B304,TRUE)/15)+1)</f>
        <v/>
      </c>
      <c r="D304" s="13" t="str">
        <f>IF(Tableau4478910111213141516[[#This Row],[Date]]="","",24-C304)</f>
        <v/>
      </c>
      <c r="E304" s="13"/>
      <c r="F304" s="34" t="str">
        <f>IF(Tableau4478910111213141516[[#This Row],[Date]]="","",Tableau4478910111213141516[[#This Row],[Versement]]*Variables!$F$12)</f>
        <v/>
      </c>
      <c r="G304" s="34" t="str">
        <f>IF(Tableau4478910111213141516[[#This Row],[Date]]="","",(E304*(1+($C$294)/24)^V.Complémentaires!D304)-E304)</f>
        <v/>
      </c>
    </row>
    <row r="305" spans="2:7" ht="20" customHeight="1">
      <c r="B305" s="13"/>
      <c r="C305" s="16" t="str">
        <f>IF(Tableau4478910111213141516[[#This Row],[Date]]="","",INT(DAYS360(DATE(YEAR(B305),1,1),B305,TRUE)/15)+1)</f>
        <v/>
      </c>
      <c r="D305" s="13" t="str">
        <f>IF(Tableau4478910111213141516[[#This Row],[Date]]="","",24-C305)</f>
        <v/>
      </c>
      <c r="E305" s="13"/>
      <c r="F305" s="34" t="str">
        <f>IF(Tableau4478910111213141516[[#This Row],[Date]]="","",Tableau4478910111213141516[[#This Row],[Versement]]*Variables!$F$12)</f>
        <v/>
      </c>
      <c r="G305" s="34" t="str">
        <f>IF(Tableau4478910111213141516[[#This Row],[Date]]="","",(E305*(1+($C$294)/24)^V.Complémentaires!D305)-E305)</f>
        <v/>
      </c>
    </row>
    <row r="306" spans="2:7" ht="20" customHeight="1">
      <c r="B306" s="13"/>
      <c r="C306" s="16" t="str">
        <f>IF(Tableau4478910111213141516[[#This Row],[Date]]="","",INT(DAYS360(DATE(YEAR(B306),1,1),B306,TRUE)/15)+1)</f>
        <v/>
      </c>
      <c r="D306" s="13" t="str">
        <f>IF(Tableau4478910111213141516[[#This Row],[Date]]="","",24-C306)</f>
        <v/>
      </c>
      <c r="E306" s="13"/>
      <c r="F306" s="34" t="str">
        <f>IF(Tableau4478910111213141516[[#This Row],[Date]]="","",Tableau4478910111213141516[[#This Row],[Versement]]*Variables!$F$12)</f>
        <v/>
      </c>
      <c r="G306" s="34" t="str">
        <f>IF(Tableau4478910111213141516[[#This Row],[Date]]="","",(E306*(1+($C$294)/24)^V.Complémentaires!D306)-E306)</f>
        <v/>
      </c>
    </row>
    <row r="307" spans="2:7" ht="20" customHeight="1">
      <c r="B307" s="13"/>
      <c r="C307" s="16" t="str">
        <f>IF(Tableau4478910111213141516[[#This Row],[Date]]="","",INT(DAYS360(DATE(YEAR(B307),1,1),B307,TRUE)/15)+1)</f>
        <v/>
      </c>
      <c r="D307" s="13" t="str">
        <f>IF(Tableau4478910111213141516[[#This Row],[Date]]="","",24-C307)</f>
        <v/>
      </c>
      <c r="E307" s="13"/>
      <c r="F307" s="34" t="str">
        <f>IF(Tableau4478910111213141516[[#This Row],[Date]]="","",Tableau4478910111213141516[[#This Row],[Versement]]*Variables!$F$12)</f>
        <v/>
      </c>
      <c r="G307" s="34" t="str">
        <f>IF(Tableau4478910111213141516[[#This Row],[Date]]="","",(E307*(1+($C$294)/24)^V.Complémentaires!D307)-E307)</f>
        <v/>
      </c>
    </row>
    <row r="308" spans="2:7" ht="20" customHeight="1">
      <c r="B308" s="13"/>
      <c r="C308" s="16" t="str">
        <f>IF(Tableau4478910111213141516[[#This Row],[Date]]="","",INT(DAYS360(DATE(YEAR(B308),1,1),B308,TRUE)/15)+1)</f>
        <v/>
      </c>
      <c r="D308" s="13" t="str">
        <f>IF(Tableau4478910111213141516[[#This Row],[Date]]="","",24-C308)</f>
        <v/>
      </c>
      <c r="E308" s="13"/>
      <c r="F308" s="34" t="str">
        <f>IF(Tableau4478910111213141516[[#This Row],[Date]]="","",Tableau4478910111213141516[[#This Row],[Versement]]*Variables!$F$12)</f>
        <v/>
      </c>
      <c r="G308" s="34" t="str">
        <f>IF(Tableau4478910111213141516[[#This Row],[Date]]="","",(E308*(1+($C$294)/24)^V.Complémentaires!D308)-E308)</f>
        <v/>
      </c>
    </row>
    <row r="309" spans="2:7" ht="20" customHeight="1">
      <c r="B309" s="13"/>
      <c r="C309" s="16" t="str">
        <f>IF(Tableau4478910111213141516[[#This Row],[Date]]="","",INT(DAYS360(DATE(YEAR(B309),1,1),B309,TRUE)/15)+1)</f>
        <v/>
      </c>
      <c r="D309" s="13" t="str">
        <f>IF(Tableau4478910111213141516[[#This Row],[Date]]="","",24-C309)</f>
        <v/>
      </c>
      <c r="E309" s="13"/>
      <c r="F309" s="34" t="str">
        <f>IF(Tableau4478910111213141516[[#This Row],[Date]]="","",Tableau4478910111213141516[[#This Row],[Versement]]*Variables!$F$12)</f>
        <v/>
      </c>
      <c r="G309" s="34" t="str">
        <f>IF(Tableau4478910111213141516[[#This Row],[Date]]="","",(E309*(1+($C$294)/24)^V.Complémentaires!D309)-E309)</f>
        <v/>
      </c>
    </row>
    <row r="310" spans="2:7" ht="20" customHeight="1">
      <c r="B310" s="13"/>
      <c r="C310" s="16" t="str">
        <f>IF(Tableau4478910111213141516[[#This Row],[Date]]="","",INT(DAYS360(DATE(YEAR(B310),1,1),B310,TRUE)/15)+1)</f>
        <v/>
      </c>
      <c r="D310" s="13" t="str">
        <f>IF(Tableau4478910111213141516[[#This Row],[Date]]="","",24-C310)</f>
        <v/>
      </c>
      <c r="E310" s="13"/>
      <c r="F310" s="34" t="str">
        <f>IF(Tableau4478910111213141516[[#This Row],[Date]]="","",Tableau4478910111213141516[[#This Row],[Versement]]*Variables!$F$12)</f>
        <v/>
      </c>
      <c r="G310" s="34" t="str">
        <f>IF(Tableau4478910111213141516[[#This Row],[Date]]="","",(E310*(1+($C$294)/24)^V.Complémentaires!D310)-E310)</f>
        <v/>
      </c>
    </row>
    <row r="311" spans="2:7" ht="20" customHeight="1">
      <c r="B311" s="13"/>
      <c r="C311" s="16" t="str">
        <f>IF(Tableau4478910111213141516[[#This Row],[Date]]="","",INT(DAYS360(DATE(YEAR(B311),1,1),B311,TRUE)/15)+1)</f>
        <v/>
      </c>
      <c r="D311" s="13" t="str">
        <f>IF(Tableau4478910111213141516[[#This Row],[Date]]="","",24-C311)</f>
        <v/>
      </c>
      <c r="E311" s="13"/>
      <c r="F311" s="34" t="str">
        <f>IF(Tableau4478910111213141516[[#This Row],[Date]]="","",Tableau4478910111213141516[[#This Row],[Versement]]*Variables!$F$12)</f>
        <v/>
      </c>
      <c r="G311" s="34" t="str">
        <f>IF(Tableau4478910111213141516[[#This Row],[Date]]="","",(E311*(1+($C$294)/24)^V.Complémentaires!D311)-E311)</f>
        <v/>
      </c>
    </row>
    <row r="312" spans="2:7" ht="20" customHeight="1">
      <c r="B312" s="13"/>
      <c r="C312" s="16" t="str">
        <f>IF(Tableau4478910111213141516[[#This Row],[Date]]="","",INT(DAYS360(DATE(YEAR(B312),1,1),B312,TRUE)/15)+1)</f>
        <v/>
      </c>
      <c r="D312" s="13" t="str">
        <f>IF(Tableau4478910111213141516[[#This Row],[Date]]="","",24-C312)</f>
        <v/>
      </c>
      <c r="E312" s="13"/>
      <c r="F312" s="34" t="str">
        <f>IF(Tableau4478910111213141516[[#This Row],[Date]]="","",Tableau4478910111213141516[[#This Row],[Versement]]*Variables!$F$12)</f>
        <v/>
      </c>
      <c r="G312" s="34" t="str">
        <f>IF(Tableau4478910111213141516[[#This Row],[Date]]="","",(E312*(1+($C$294)/24)^V.Complémentaires!D312)-E312)</f>
        <v/>
      </c>
    </row>
    <row r="313" spans="2:7" ht="20" customHeight="1">
      <c r="B313" s="13"/>
      <c r="C313" s="13"/>
      <c r="D313" s="13"/>
      <c r="E313" s="13">
        <f>SUM(Tableau4478910111213141516[Versement])</f>
        <v>0</v>
      </c>
      <c r="F313" s="34">
        <f>SUBTOTAL(109,Tableau4478910111213141516[Frais de versement])</f>
        <v>0</v>
      </c>
      <c r="G313" s="34">
        <f>SUM(Tableau4478910111213141516[Interet])</f>
        <v>0</v>
      </c>
    </row>
    <row r="318" spans="2:7" ht="20" customHeight="1" thickBot="1"/>
    <row r="319" spans="2:7" ht="20" customHeight="1" thickBot="1">
      <c r="B319" s="10" t="s">
        <v>7</v>
      </c>
      <c r="C319" s="19">
        <f ca="1">C293+1</f>
        <v>2026</v>
      </c>
      <c r="D319" s="13"/>
      <c r="E319" s="13"/>
      <c r="F319" s="34"/>
      <c r="G319" s="34"/>
    </row>
    <row r="320" spans="2:7" ht="20" customHeight="1" thickBot="1">
      <c r="B320" s="14" t="s">
        <v>23</v>
      </c>
      <c r="C320" s="20" t="str">
        <f>IF('Tableau Projection'!I19="","",VLOOKUP(C319,'Tableau Projection'!$C$6:$L$28,7,FALSE))</f>
        <v/>
      </c>
      <c r="D320" s="13"/>
      <c r="E320" s="13"/>
      <c r="F320" s="34"/>
      <c r="G320" s="34"/>
    </row>
    <row r="321" spans="2:7" ht="35" customHeight="1">
      <c r="B321" s="13" t="s">
        <v>18</v>
      </c>
      <c r="C321" s="18" t="s">
        <v>22</v>
      </c>
      <c r="D321" s="13" t="s">
        <v>19</v>
      </c>
      <c r="E321" s="13" t="s">
        <v>20</v>
      </c>
      <c r="F321" s="57" t="s">
        <v>3</v>
      </c>
      <c r="G321" s="34" t="s">
        <v>21</v>
      </c>
    </row>
    <row r="322" spans="2:7" ht="20" customHeight="1">
      <c r="B322" s="15"/>
      <c r="C322" s="16" t="str">
        <f>IF(Tableau447891011121314151617[[#This Row],[Date]]="","",INT(DAYS360(DATE(YEAR(B322),1,1),B322,TRUE)/15)+1)</f>
        <v/>
      </c>
      <c r="D322" s="13" t="str">
        <f>IF(Tableau447891011121314151617[[#This Row],[Date]]="","",24-C322)</f>
        <v/>
      </c>
      <c r="E322" s="17"/>
      <c r="F322" s="34" t="str">
        <f>IF(Tableau447891011121314151617[[#This Row],[Date]]="","",Tableau447891011121314151617[[#This Row],[Versement]]*Variables!$F$12)</f>
        <v/>
      </c>
      <c r="G322" s="34" t="str">
        <f>IF(Tableau447891011121314151617[[#This Row],[Date]]="","",(E322*(1+($C$320)/24)^V.Complémentaires!D322)-E322)</f>
        <v/>
      </c>
    </row>
    <row r="323" spans="2:7" ht="20" customHeight="1">
      <c r="B323" s="15"/>
      <c r="C323" s="16" t="str">
        <f>IF(Tableau447891011121314151617[[#This Row],[Date]]="","",INT(DAYS360(DATE(YEAR(B323),1,1),B323,TRUE)/15)+1)</f>
        <v/>
      </c>
      <c r="D323" s="13" t="str">
        <f>IF(Tableau447891011121314151617[[#This Row],[Date]]="","",24-C323)</f>
        <v/>
      </c>
      <c r="E323" s="13"/>
      <c r="F323" s="34" t="str">
        <f>IF(Tableau447891011121314151617[[#This Row],[Date]]="","",Tableau447891011121314151617[[#This Row],[Versement]]*Variables!$F$12)</f>
        <v/>
      </c>
      <c r="G323" s="34" t="str">
        <f>IF(Tableau447891011121314151617[[#This Row],[Date]]="","",(E323*(1+($C$320)/24)^V.Complémentaires!D323)-E323)</f>
        <v/>
      </c>
    </row>
    <row r="324" spans="2:7" ht="20" customHeight="1">
      <c r="B324" s="15"/>
      <c r="C324" s="16" t="str">
        <f>IF(Tableau447891011121314151617[[#This Row],[Date]]="","",INT(DAYS360(DATE(YEAR(B324),1,1),B324,TRUE)/15)+1)</f>
        <v/>
      </c>
      <c r="D324" s="13" t="str">
        <f>IF(Tableau447891011121314151617[[#This Row],[Date]]="","",24-C324)</f>
        <v/>
      </c>
      <c r="E324" s="13"/>
      <c r="F324" s="34" t="str">
        <f>IF(Tableau447891011121314151617[[#This Row],[Date]]="","",Tableau447891011121314151617[[#This Row],[Versement]]*Variables!$F$12)</f>
        <v/>
      </c>
      <c r="G324" s="34" t="str">
        <f>IF(Tableau447891011121314151617[[#This Row],[Date]]="","",(E324*(1+($C$320)/24)^V.Complémentaires!D324)-E324)</f>
        <v/>
      </c>
    </row>
    <row r="325" spans="2:7" ht="20" customHeight="1">
      <c r="B325" s="13"/>
      <c r="C325" s="16" t="str">
        <f>IF(Tableau447891011121314151617[[#This Row],[Date]]="","",INT(DAYS360(DATE(YEAR(B325),1,1),B325,TRUE)/15)+1)</f>
        <v/>
      </c>
      <c r="D325" s="13" t="str">
        <f>IF(Tableau447891011121314151617[[#This Row],[Date]]="","",24-C325)</f>
        <v/>
      </c>
      <c r="E325" s="13"/>
      <c r="F325" s="34" t="str">
        <f>IF(Tableau447891011121314151617[[#This Row],[Date]]="","",Tableau447891011121314151617[[#This Row],[Versement]]*Variables!$F$12)</f>
        <v/>
      </c>
      <c r="G325" s="34" t="str">
        <f>IF(Tableau447891011121314151617[[#This Row],[Date]]="","",(E325*(1+($C$320)/24)^V.Complémentaires!D325)-E325)</f>
        <v/>
      </c>
    </row>
    <row r="326" spans="2:7" ht="20" customHeight="1">
      <c r="B326" s="13"/>
      <c r="C326" s="16" t="str">
        <f>IF(Tableau447891011121314151617[[#This Row],[Date]]="","",INT(DAYS360(DATE(YEAR(B326),1,1),B326,TRUE)/15)+1)</f>
        <v/>
      </c>
      <c r="D326" s="13" t="str">
        <f>IF(Tableau447891011121314151617[[#This Row],[Date]]="","",24-C326)</f>
        <v/>
      </c>
      <c r="E326" s="13"/>
      <c r="F326" s="34" t="str">
        <f>IF(Tableau447891011121314151617[[#This Row],[Date]]="","",Tableau447891011121314151617[[#This Row],[Versement]]*Variables!$F$12)</f>
        <v/>
      </c>
      <c r="G326" s="34" t="str">
        <f>IF(Tableau447891011121314151617[[#This Row],[Date]]="","",(E326*(1+($C$320)/24)^V.Complémentaires!D326)-E326)</f>
        <v/>
      </c>
    </row>
    <row r="327" spans="2:7" ht="20" customHeight="1">
      <c r="B327" s="13"/>
      <c r="C327" s="16" t="str">
        <f>IF(Tableau447891011121314151617[[#This Row],[Date]]="","",INT(DAYS360(DATE(YEAR(B327),1,1),B327,TRUE)/15)+1)</f>
        <v/>
      </c>
      <c r="D327" s="13" t="str">
        <f>IF(Tableau447891011121314151617[[#This Row],[Date]]="","",24-C327)</f>
        <v/>
      </c>
      <c r="E327" s="13"/>
      <c r="F327" s="34" t="str">
        <f>IF(Tableau447891011121314151617[[#This Row],[Date]]="","",Tableau447891011121314151617[[#This Row],[Versement]]*Variables!$F$12)</f>
        <v/>
      </c>
      <c r="G327" s="34" t="str">
        <f>IF(Tableau447891011121314151617[[#This Row],[Date]]="","",(E327*(1+($C$320)/24)^V.Complémentaires!D327)-E327)</f>
        <v/>
      </c>
    </row>
    <row r="328" spans="2:7" ht="20" customHeight="1">
      <c r="B328" s="13"/>
      <c r="C328" s="16" t="str">
        <f>IF(Tableau447891011121314151617[[#This Row],[Date]]="","",INT(DAYS360(DATE(YEAR(B328),1,1),B328,TRUE)/15)+1)</f>
        <v/>
      </c>
      <c r="D328" s="13" t="str">
        <f>IF(Tableau447891011121314151617[[#This Row],[Date]]="","",24-C328)</f>
        <v/>
      </c>
      <c r="E328" s="13"/>
      <c r="F328" s="34" t="str">
        <f>IF(Tableau447891011121314151617[[#This Row],[Date]]="","",Tableau447891011121314151617[[#This Row],[Versement]]*Variables!$F$12)</f>
        <v/>
      </c>
      <c r="G328" s="34" t="str">
        <f>IF(Tableau447891011121314151617[[#This Row],[Date]]="","",(E328*(1+($C$320)/24)^V.Complémentaires!D328)-E328)</f>
        <v/>
      </c>
    </row>
    <row r="329" spans="2:7" ht="20" customHeight="1">
      <c r="B329" s="13"/>
      <c r="C329" s="16" t="str">
        <f>IF(Tableau447891011121314151617[[#This Row],[Date]]="","",INT(DAYS360(DATE(YEAR(B329),1,1),B329,TRUE)/15)+1)</f>
        <v/>
      </c>
      <c r="D329" s="13" t="str">
        <f>IF(Tableau447891011121314151617[[#This Row],[Date]]="","",24-C329)</f>
        <v/>
      </c>
      <c r="E329" s="13"/>
      <c r="F329" s="34" t="str">
        <f>IF(Tableau447891011121314151617[[#This Row],[Date]]="","",Tableau447891011121314151617[[#This Row],[Versement]]*Variables!$F$12)</f>
        <v/>
      </c>
      <c r="G329" s="34" t="str">
        <f>IF(Tableau447891011121314151617[[#This Row],[Date]]="","",(E329*(1+($C$320)/24)^V.Complémentaires!D329)-E329)</f>
        <v/>
      </c>
    </row>
    <row r="330" spans="2:7" ht="20" customHeight="1">
      <c r="B330" s="15"/>
      <c r="C330" s="16" t="str">
        <f>IF(Tableau447891011121314151617[[#This Row],[Date]]="","",INT(DAYS360(DATE(YEAR(B330),1,1),B330,TRUE)/15)+1)</f>
        <v/>
      </c>
      <c r="D330" s="13" t="str">
        <f>IF(Tableau447891011121314151617[[#This Row],[Date]]="","",24-C330)</f>
        <v/>
      </c>
      <c r="E330" s="13"/>
      <c r="F330" s="34" t="str">
        <f>IF(Tableau447891011121314151617[[#This Row],[Date]]="","",Tableau447891011121314151617[[#This Row],[Versement]]*Variables!$F$12)</f>
        <v/>
      </c>
      <c r="G330" s="34" t="str">
        <f>IF(Tableau447891011121314151617[[#This Row],[Date]]="","",(E330*(1+($C$320)/24)^V.Complémentaires!D330)-E330)</f>
        <v/>
      </c>
    </row>
    <row r="331" spans="2:7" ht="20" customHeight="1">
      <c r="B331" s="13"/>
      <c r="C331" s="16" t="str">
        <f>IF(Tableau447891011121314151617[[#This Row],[Date]]="","",INT(DAYS360(DATE(YEAR(B331),1,1),B331,TRUE)/15)+1)</f>
        <v/>
      </c>
      <c r="D331" s="13" t="str">
        <f>IF(Tableau447891011121314151617[[#This Row],[Date]]="","",24-C331)</f>
        <v/>
      </c>
      <c r="E331" s="13"/>
      <c r="F331" s="34" t="str">
        <f>IF(Tableau447891011121314151617[[#This Row],[Date]]="","",Tableau447891011121314151617[[#This Row],[Versement]]*Variables!$F$12)</f>
        <v/>
      </c>
      <c r="G331" s="34" t="str">
        <f>IF(Tableau447891011121314151617[[#This Row],[Date]]="","",(E331*(1+($C$320)/24)^V.Complémentaires!D331)-E331)</f>
        <v/>
      </c>
    </row>
    <row r="332" spans="2:7" ht="20" customHeight="1">
      <c r="B332" s="13"/>
      <c r="C332" s="16" t="str">
        <f>IF(Tableau447891011121314151617[[#This Row],[Date]]="","",INT(DAYS360(DATE(YEAR(B332),1,1),B332,TRUE)/15)+1)</f>
        <v/>
      </c>
      <c r="D332" s="13" t="str">
        <f>IF(Tableau447891011121314151617[[#This Row],[Date]]="","",24-C332)</f>
        <v/>
      </c>
      <c r="E332" s="13"/>
      <c r="F332" s="34" t="str">
        <f>IF(Tableau447891011121314151617[[#This Row],[Date]]="","",Tableau447891011121314151617[[#This Row],[Versement]]*Variables!$F$12)</f>
        <v/>
      </c>
      <c r="G332" s="34" t="str">
        <f>IF(Tableau447891011121314151617[[#This Row],[Date]]="","",(E332*(1+($C$320)/24)^V.Complémentaires!D332)-E332)</f>
        <v/>
      </c>
    </row>
    <row r="333" spans="2:7" ht="20" customHeight="1">
      <c r="B333" s="13"/>
      <c r="C333" s="16" t="str">
        <f>IF(Tableau447891011121314151617[[#This Row],[Date]]="","",INT(DAYS360(DATE(YEAR(B333),1,1),B333,TRUE)/15)+1)</f>
        <v/>
      </c>
      <c r="D333" s="13" t="str">
        <f>IF(Tableau447891011121314151617[[#This Row],[Date]]="","",24-C333)</f>
        <v/>
      </c>
      <c r="E333" s="13"/>
      <c r="F333" s="34" t="str">
        <f>IF(Tableau447891011121314151617[[#This Row],[Date]]="","",Tableau447891011121314151617[[#This Row],[Versement]]*Variables!$F$12)</f>
        <v/>
      </c>
      <c r="G333" s="34" t="str">
        <f>IF(Tableau447891011121314151617[[#This Row],[Date]]="","",(E333*(1+($C$320)/24)^V.Complémentaires!D333)-E333)</f>
        <v/>
      </c>
    </row>
    <row r="334" spans="2:7" ht="20" customHeight="1">
      <c r="B334" s="13"/>
      <c r="C334" s="16" t="str">
        <f>IF(Tableau447891011121314151617[[#This Row],[Date]]="","",INT(DAYS360(DATE(YEAR(B334),1,1),B334,TRUE)/15)+1)</f>
        <v/>
      </c>
      <c r="D334" s="13" t="str">
        <f>IF(Tableau447891011121314151617[[#This Row],[Date]]="","",24-C334)</f>
        <v/>
      </c>
      <c r="E334" s="13"/>
      <c r="F334" s="34" t="str">
        <f>IF(Tableau447891011121314151617[[#This Row],[Date]]="","",Tableau447891011121314151617[[#This Row],[Versement]]*Variables!$F$12)</f>
        <v/>
      </c>
      <c r="G334" s="34" t="str">
        <f>IF(Tableau447891011121314151617[[#This Row],[Date]]="","",(E334*(1+($C$320)/24)^V.Complémentaires!D334)-E334)</f>
        <v/>
      </c>
    </row>
    <row r="335" spans="2:7" ht="20" customHeight="1">
      <c r="B335" s="13"/>
      <c r="C335" s="16" t="str">
        <f>IF(Tableau447891011121314151617[[#This Row],[Date]]="","",INT(DAYS360(DATE(YEAR(B335),1,1),B335,TRUE)/15)+1)</f>
        <v/>
      </c>
      <c r="D335" s="13" t="str">
        <f>IF(Tableau447891011121314151617[[#This Row],[Date]]="","",24-C335)</f>
        <v/>
      </c>
      <c r="E335" s="13"/>
      <c r="F335" s="34" t="str">
        <f>IF(Tableau447891011121314151617[[#This Row],[Date]]="","",Tableau447891011121314151617[[#This Row],[Versement]]*Variables!$F$12)</f>
        <v/>
      </c>
      <c r="G335" s="34" t="str">
        <f>IF(Tableau447891011121314151617[[#This Row],[Date]]="","",(E335*(1+($C$320)/24)^V.Complémentaires!D335)-E335)</f>
        <v/>
      </c>
    </row>
    <row r="336" spans="2:7" ht="20" customHeight="1">
      <c r="B336" s="13"/>
      <c r="C336" s="16" t="str">
        <f>IF(Tableau447891011121314151617[[#This Row],[Date]]="","",INT(DAYS360(DATE(YEAR(B336),1,1),B336,TRUE)/15)+1)</f>
        <v/>
      </c>
      <c r="D336" s="13" t="str">
        <f>IF(Tableau447891011121314151617[[#This Row],[Date]]="","",24-C336)</f>
        <v/>
      </c>
      <c r="E336" s="13"/>
      <c r="F336" s="34" t="str">
        <f>IF(Tableau447891011121314151617[[#This Row],[Date]]="","",Tableau447891011121314151617[[#This Row],[Versement]]*Variables!$F$12)</f>
        <v/>
      </c>
      <c r="G336" s="34" t="str">
        <f>IF(Tableau447891011121314151617[[#This Row],[Date]]="","",(E336*(1+($C$320)/24)^V.Complémentaires!D336)-E336)</f>
        <v/>
      </c>
    </row>
    <row r="337" spans="2:7" ht="20" customHeight="1">
      <c r="B337" s="13"/>
      <c r="C337" s="16" t="str">
        <f>IF(Tableau447891011121314151617[[#This Row],[Date]]="","",INT(DAYS360(DATE(YEAR(B337),1,1),B337,TRUE)/15)+1)</f>
        <v/>
      </c>
      <c r="D337" s="13" t="str">
        <f>IF(Tableau447891011121314151617[[#This Row],[Date]]="","",24-C337)</f>
        <v/>
      </c>
      <c r="E337" s="13"/>
      <c r="F337" s="34" t="str">
        <f>IF(Tableau447891011121314151617[[#This Row],[Date]]="","",Tableau447891011121314151617[[#This Row],[Versement]]*Variables!$F$12)</f>
        <v/>
      </c>
      <c r="G337" s="34" t="str">
        <f>IF(Tableau447891011121314151617[[#This Row],[Date]]="","",(E337*(1+($C$320)/24)^V.Complémentaires!D337)-E337)</f>
        <v/>
      </c>
    </row>
    <row r="338" spans="2:7" ht="20" customHeight="1">
      <c r="B338" s="13"/>
      <c r="C338" s="16" t="str">
        <f>IF(Tableau447891011121314151617[[#This Row],[Date]]="","",INT(DAYS360(DATE(YEAR(B338),1,1),B338,TRUE)/15)+1)</f>
        <v/>
      </c>
      <c r="D338" s="13" t="str">
        <f>IF(Tableau447891011121314151617[[#This Row],[Date]]="","",24-C338)</f>
        <v/>
      </c>
      <c r="E338" s="13"/>
      <c r="F338" s="34" t="str">
        <f>IF(Tableau447891011121314151617[[#This Row],[Date]]="","",Tableau447891011121314151617[[#This Row],[Versement]]*Variables!$F$12)</f>
        <v/>
      </c>
      <c r="G338" s="34" t="str">
        <f>IF(Tableau447891011121314151617[[#This Row],[Date]]="","",(E338*(1+($C$320)/24)^V.Complémentaires!D338)-E338)</f>
        <v/>
      </c>
    </row>
    <row r="339" spans="2:7" ht="20" customHeight="1">
      <c r="B339" s="13"/>
      <c r="C339" s="13"/>
      <c r="D339" s="13"/>
      <c r="E339" s="13">
        <f>SUM(Tableau447891011121314151617[Versement])</f>
        <v>0</v>
      </c>
      <c r="F339" s="34">
        <f>SUBTOTAL(109,Tableau447891011121314151617[Frais de versement])</f>
        <v>0</v>
      </c>
      <c r="G339" s="34">
        <f>SUM(Tableau447891011121314151617[Interet])</f>
        <v>0</v>
      </c>
    </row>
    <row r="344" spans="2:7" ht="20" customHeight="1" thickBot="1"/>
    <row r="345" spans="2:7" ht="20" customHeight="1" thickBot="1">
      <c r="B345" s="10" t="s">
        <v>7</v>
      </c>
      <c r="C345" s="19">
        <f ca="1">C319+1</f>
        <v>2027</v>
      </c>
      <c r="D345" s="13"/>
      <c r="E345" s="13"/>
      <c r="F345" s="34"/>
      <c r="G345" s="34"/>
    </row>
    <row r="346" spans="2:7" ht="20" customHeight="1" thickBot="1">
      <c r="B346" s="14" t="s">
        <v>23</v>
      </c>
      <c r="C346" s="20" t="str">
        <f>IF('Tableau Projection'!I20="","",VLOOKUP(C345,'Tableau Projection'!$C$6:$L$28,7,FALSE))</f>
        <v/>
      </c>
      <c r="D346" s="13"/>
      <c r="E346" s="13"/>
      <c r="F346" s="34"/>
      <c r="G346" s="34"/>
    </row>
    <row r="347" spans="2:7" ht="35" customHeight="1">
      <c r="B347" s="13" t="s">
        <v>18</v>
      </c>
      <c r="C347" s="18" t="s">
        <v>22</v>
      </c>
      <c r="D347" s="13" t="s">
        <v>19</v>
      </c>
      <c r="E347" s="13" t="s">
        <v>20</v>
      </c>
      <c r="F347" s="57" t="s">
        <v>3</v>
      </c>
      <c r="G347" s="34" t="s">
        <v>21</v>
      </c>
    </row>
    <row r="348" spans="2:7" ht="20" customHeight="1">
      <c r="B348" s="15"/>
      <c r="C348" s="16" t="str">
        <f>IF(Tableau44789101112131415161718[[#This Row],[Date]]="","",INT(DAYS360(DATE(YEAR(B348),1,1),B348,TRUE)/15)+1)</f>
        <v/>
      </c>
      <c r="D348" s="13" t="str">
        <f>IF(Tableau44789101112131415161718[[#This Row],[Date]]="","",24-C348)</f>
        <v/>
      </c>
      <c r="E348" s="17"/>
      <c r="F348" s="34" t="str">
        <f>IF(Tableau44789101112131415161718[[#This Row],[Date]]="","",Tableau44789101112131415161718[[#This Row],[Versement]]*Variables!$F$12)</f>
        <v/>
      </c>
      <c r="G348" s="34" t="str">
        <f>IF(Tableau44789101112131415161718[[#This Row],[Date]]="","",(E348*(1+($C$346)/24)^V.Complémentaires!D348)-E348)</f>
        <v/>
      </c>
    </row>
    <row r="349" spans="2:7" ht="20" customHeight="1">
      <c r="B349" s="15"/>
      <c r="C349" s="16" t="str">
        <f>IF(Tableau44789101112131415161718[[#This Row],[Date]]="","",INT(DAYS360(DATE(YEAR(B349),1,1),B349,TRUE)/15)+1)</f>
        <v/>
      </c>
      <c r="D349" s="13" t="str">
        <f>IF(Tableau44789101112131415161718[[#This Row],[Date]]="","",24-C349)</f>
        <v/>
      </c>
      <c r="E349" s="13"/>
      <c r="F349" s="34" t="str">
        <f>IF(Tableau44789101112131415161718[[#This Row],[Date]]="","",Tableau44789101112131415161718[[#This Row],[Versement]]*Variables!$F$12)</f>
        <v/>
      </c>
      <c r="G349" s="34" t="str">
        <f>IF(Tableau44789101112131415161718[[#This Row],[Date]]="","",(E349*(1+($C$346)/24)^V.Complémentaires!D349)-E349)</f>
        <v/>
      </c>
    </row>
    <row r="350" spans="2:7" ht="20" customHeight="1">
      <c r="B350" s="15"/>
      <c r="C350" s="16" t="str">
        <f>IF(Tableau44789101112131415161718[[#This Row],[Date]]="","",INT(DAYS360(DATE(YEAR(B350),1,1),B350,TRUE)/15)+1)</f>
        <v/>
      </c>
      <c r="D350" s="13" t="str">
        <f>IF(Tableau44789101112131415161718[[#This Row],[Date]]="","",24-C350)</f>
        <v/>
      </c>
      <c r="E350" s="13"/>
      <c r="F350" s="34" t="str">
        <f>IF(Tableau44789101112131415161718[[#This Row],[Date]]="","",Tableau44789101112131415161718[[#This Row],[Versement]]*Variables!$F$12)</f>
        <v/>
      </c>
      <c r="G350" s="34" t="str">
        <f>IF(Tableau44789101112131415161718[[#This Row],[Date]]="","",(E350*(1+($C$346)/24)^V.Complémentaires!D350)-E350)</f>
        <v/>
      </c>
    </row>
    <row r="351" spans="2:7" ht="20" customHeight="1">
      <c r="B351" s="13"/>
      <c r="C351" s="16" t="str">
        <f>IF(Tableau44789101112131415161718[[#This Row],[Date]]="","",INT(DAYS360(DATE(YEAR(B351),1,1),B351,TRUE)/15)+1)</f>
        <v/>
      </c>
      <c r="D351" s="13" t="str">
        <f>IF(Tableau44789101112131415161718[[#This Row],[Date]]="","",24-C351)</f>
        <v/>
      </c>
      <c r="E351" s="13"/>
      <c r="F351" s="34" t="str">
        <f>IF(Tableau44789101112131415161718[[#This Row],[Date]]="","",Tableau44789101112131415161718[[#This Row],[Versement]]*Variables!$F$12)</f>
        <v/>
      </c>
      <c r="G351" s="34" t="str">
        <f>IF(Tableau44789101112131415161718[[#This Row],[Date]]="","",(E351*(1+($C$346)/24)^V.Complémentaires!D351)-E351)</f>
        <v/>
      </c>
    </row>
    <row r="352" spans="2:7" ht="20" customHeight="1">
      <c r="B352" s="13"/>
      <c r="C352" s="16" t="str">
        <f>IF(Tableau44789101112131415161718[[#This Row],[Date]]="","",INT(DAYS360(DATE(YEAR(B352),1,1),B352,TRUE)/15)+1)</f>
        <v/>
      </c>
      <c r="D352" s="13" t="str">
        <f>IF(Tableau44789101112131415161718[[#This Row],[Date]]="","",24-C352)</f>
        <v/>
      </c>
      <c r="E352" s="13"/>
      <c r="F352" s="34" t="str">
        <f>IF(Tableau44789101112131415161718[[#This Row],[Date]]="","",Tableau44789101112131415161718[[#This Row],[Versement]]*Variables!$F$12)</f>
        <v/>
      </c>
      <c r="G352" s="34" t="str">
        <f>IF(Tableau44789101112131415161718[[#This Row],[Date]]="","",(E352*(1+($C$346)/24)^V.Complémentaires!D352)-E352)</f>
        <v/>
      </c>
    </row>
    <row r="353" spans="2:7" ht="20" customHeight="1">
      <c r="B353" s="13"/>
      <c r="C353" s="16" t="str">
        <f>IF(Tableau44789101112131415161718[[#This Row],[Date]]="","",INT(DAYS360(DATE(YEAR(B353),1,1),B353,TRUE)/15)+1)</f>
        <v/>
      </c>
      <c r="D353" s="13" t="str">
        <f>IF(Tableau44789101112131415161718[[#This Row],[Date]]="","",24-C353)</f>
        <v/>
      </c>
      <c r="E353" s="13"/>
      <c r="F353" s="34" t="str">
        <f>IF(Tableau44789101112131415161718[[#This Row],[Date]]="","",Tableau44789101112131415161718[[#This Row],[Versement]]*Variables!$F$12)</f>
        <v/>
      </c>
      <c r="G353" s="34" t="str">
        <f>IF(Tableau44789101112131415161718[[#This Row],[Date]]="","",(E353*(1+($C$346)/24)^V.Complémentaires!D353)-E353)</f>
        <v/>
      </c>
    </row>
    <row r="354" spans="2:7" ht="20" customHeight="1">
      <c r="B354" s="13"/>
      <c r="C354" s="16" t="str">
        <f>IF(Tableau44789101112131415161718[[#This Row],[Date]]="","",INT(DAYS360(DATE(YEAR(B354),1,1),B354,TRUE)/15)+1)</f>
        <v/>
      </c>
      <c r="D354" s="13" t="str">
        <f>IF(Tableau44789101112131415161718[[#This Row],[Date]]="","",24-C354)</f>
        <v/>
      </c>
      <c r="E354" s="13"/>
      <c r="F354" s="34" t="str">
        <f>IF(Tableau44789101112131415161718[[#This Row],[Date]]="","",Tableau44789101112131415161718[[#This Row],[Versement]]*Variables!$F$12)</f>
        <v/>
      </c>
      <c r="G354" s="34" t="str">
        <f>IF(Tableau44789101112131415161718[[#This Row],[Date]]="","",(E354*(1+($C$346)/24)^V.Complémentaires!D354)-E354)</f>
        <v/>
      </c>
    </row>
    <row r="355" spans="2:7" ht="20" customHeight="1">
      <c r="B355" s="13"/>
      <c r="C355" s="16" t="str">
        <f>IF(Tableau44789101112131415161718[[#This Row],[Date]]="","",INT(DAYS360(DATE(YEAR(B355),1,1),B355,TRUE)/15)+1)</f>
        <v/>
      </c>
      <c r="D355" s="13" t="str">
        <f>IF(Tableau44789101112131415161718[[#This Row],[Date]]="","",24-C355)</f>
        <v/>
      </c>
      <c r="E355" s="13"/>
      <c r="F355" s="34" t="str">
        <f>IF(Tableau44789101112131415161718[[#This Row],[Date]]="","",Tableau44789101112131415161718[[#This Row],[Versement]]*Variables!$F$12)</f>
        <v/>
      </c>
      <c r="G355" s="34" t="str">
        <f>IF(Tableau44789101112131415161718[[#This Row],[Date]]="","",(E355*(1+($C$346)/24)^V.Complémentaires!D355)-E355)</f>
        <v/>
      </c>
    </row>
    <row r="356" spans="2:7" ht="20" customHeight="1">
      <c r="B356" s="15"/>
      <c r="C356" s="16" t="str">
        <f>IF(Tableau44789101112131415161718[[#This Row],[Date]]="","",INT(DAYS360(DATE(YEAR(B356),1,1),B356,TRUE)/15)+1)</f>
        <v/>
      </c>
      <c r="D356" s="13" t="str">
        <f>IF(Tableau44789101112131415161718[[#This Row],[Date]]="","",24-C356)</f>
        <v/>
      </c>
      <c r="E356" s="13"/>
      <c r="F356" s="34" t="str">
        <f>IF(Tableau44789101112131415161718[[#This Row],[Date]]="","",Tableau44789101112131415161718[[#This Row],[Versement]]*Variables!$F$12)</f>
        <v/>
      </c>
      <c r="G356" s="34" t="str">
        <f>IF(Tableau44789101112131415161718[[#This Row],[Date]]="","",(E356*(1+($C$346)/24)^V.Complémentaires!D356)-E356)</f>
        <v/>
      </c>
    </row>
    <row r="357" spans="2:7" ht="20" customHeight="1">
      <c r="B357" s="13"/>
      <c r="C357" s="16" t="str">
        <f>IF(Tableau44789101112131415161718[[#This Row],[Date]]="","",INT(DAYS360(DATE(YEAR(B357),1,1),B357,TRUE)/15)+1)</f>
        <v/>
      </c>
      <c r="D357" s="13" t="str">
        <f>IF(Tableau44789101112131415161718[[#This Row],[Date]]="","",24-C357)</f>
        <v/>
      </c>
      <c r="E357" s="13"/>
      <c r="F357" s="34" t="str">
        <f>IF(Tableau44789101112131415161718[[#This Row],[Date]]="","",Tableau44789101112131415161718[[#This Row],[Versement]]*Variables!$F$12)</f>
        <v/>
      </c>
      <c r="G357" s="34" t="str">
        <f>IF(Tableau44789101112131415161718[[#This Row],[Date]]="","",(E357*(1+($C$346)/24)^V.Complémentaires!D357)-E357)</f>
        <v/>
      </c>
    </row>
    <row r="358" spans="2:7" ht="20" customHeight="1">
      <c r="B358" s="13"/>
      <c r="C358" s="16" t="str">
        <f>IF(Tableau44789101112131415161718[[#This Row],[Date]]="","",INT(DAYS360(DATE(YEAR(B358),1,1),B358,TRUE)/15)+1)</f>
        <v/>
      </c>
      <c r="D358" s="13" t="str">
        <f>IF(Tableau44789101112131415161718[[#This Row],[Date]]="","",24-C358)</f>
        <v/>
      </c>
      <c r="E358" s="13"/>
      <c r="F358" s="34" t="str">
        <f>IF(Tableau44789101112131415161718[[#This Row],[Date]]="","",Tableau44789101112131415161718[[#This Row],[Versement]]*Variables!$F$12)</f>
        <v/>
      </c>
      <c r="G358" s="34" t="str">
        <f>IF(Tableau44789101112131415161718[[#This Row],[Date]]="","",(E358*(1+($C$346)/24)^V.Complémentaires!D358)-E358)</f>
        <v/>
      </c>
    </row>
    <row r="359" spans="2:7" ht="20" customHeight="1">
      <c r="B359" s="13"/>
      <c r="C359" s="16" t="str">
        <f>IF(Tableau44789101112131415161718[[#This Row],[Date]]="","",INT(DAYS360(DATE(YEAR(B359),1,1),B359,TRUE)/15)+1)</f>
        <v/>
      </c>
      <c r="D359" s="13" t="str">
        <f>IF(Tableau44789101112131415161718[[#This Row],[Date]]="","",24-C359)</f>
        <v/>
      </c>
      <c r="E359" s="13"/>
      <c r="F359" s="34" t="str">
        <f>IF(Tableau44789101112131415161718[[#This Row],[Date]]="","",Tableau44789101112131415161718[[#This Row],[Versement]]*Variables!$F$12)</f>
        <v/>
      </c>
      <c r="G359" s="34" t="str">
        <f>IF(Tableau44789101112131415161718[[#This Row],[Date]]="","",(E359*(1+($C$346)/24)^V.Complémentaires!D359)-E359)</f>
        <v/>
      </c>
    </row>
    <row r="360" spans="2:7" ht="20" customHeight="1">
      <c r="B360" s="13"/>
      <c r="C360" s="16" t="str">
        <f>IF(Tableau44789101112131415161718[[#This Row],[Date]]="","",INT(DAYS360(DATE(YEAR(B360),1,1),B360,TRUE)/15)+1)</f>
        <v/>
      </c>
      <c r="D360" s="13" t="str">
        <f>IF(Tableau44789101112131415161718[[#This Row],[Date]]="","",24-C360)</f>
        <v/>
      </c>
      <c r="E360" s="13"/>
      <c r="F360" s="34" t="str">
        <f>IF(Tableau44789101112131415161718[[#This Row],[Date]]="","",Tableau44789101112131415161718[[#This Row],[Versement]]*Variables!$F$12)</f>
        <v/>
      </c>
      <c r="G360" s="34" t="str">
        <f>IF(Tableau44789101112131415161718[[#This Row],[Date]]="","",(E360*(1+($C$346)/24)^V.Complémentaires!D360)-E360)</f>
        <v/>
      </c>
    </row>
    <row r="361" spans="2:7" ht="20" customHeight="1">
      <c r="B361" s="13"/>
      <c r="C361" s="16" t="str">
        <f>IF(Tableau44789101112131415161718[[#This Row],[Date]]="","",INT(DAYS360(DATE(YEAR(B361),1,1),B361,TRUE)/15)+1)</f>
        <v/>
      </c>
      <c r="D361" s="13" t="str">
        <f>IF(Tableau44789101112131415161718[[#This Row],[Date]]="","",24-C361)</f>
        <v/>
      </c>
      <c r="E361" s="13"/>
      <c r="F361" s="34" t="str">
        <f>IF(Tableau44789101112131415161718[[#This Row],[Date]]="","",Tableau44789101112131415161718[[#This Row],[Versement]]*Variables!$F$12)</f>
        <v/>
      </c>
      <c r="G361" s="34" t="str">
        <f>IF(Tableau44789101112131415161718[[#This Row],[Date]]="","",(E361*(1+($C$346)/24)^V.Complémentaires!D361)-E361)</f>
        <v/>
      </c>
    </row>
    <row r="362" spans="2:7" ht="20" customHeight="1">
      <c r="B362" s="13"/>
      <c r="C362" s="16" t="str">
        <f>IF(Tableau44789101112131415161718[[#This Row],[Date]]="","",INT(DAYS360(DATE(YEAR(B362),1,1),B362,TRUE)/15)+1)</f>
        <v/>
      </c>
      <c r="D362" s="13" t="str">
        <f>IF(Tableau44789101112131415161718[[#This Row],[Date]]="","",24-C362)</f>
        <v/>
      </c>
      <c r="E362" s="13"/>
      <c r="F362" s="34" t="str">
        <f>IF(Tableau44789101112131415161718[[#This Row],[Date]]="","",Tableau44789101112131415161718[[#This Row],[Versement]]*Variables!$F$12)</f>
        <v/>
      </c>
      <c r="G362" s="34" t="str">
        <f>IF(Tableau44789101112131415161718[[#This Row],[Date]]="","",(E362*(1+($C$346)/24)^V.Complémentaires!D362)-E362)</f>
        <v/>
      </c>
    </row>
    <row r="363" spans="2:7" ht="20" customHeight="1">
      <c r="B363" s="13"/>
      <c r="C363" s="16" t="str">
        <f>IF(Tableau44789101112131415161718[[#This Row],[Date]]="","",INT(DAYS360(DATE(YEAR(B363),1,1),B363,TRUE)/15)+1)</f>
        <v/>
      </c>
      <c r="D363" s="13" t="str">
        <f>IF(Tableau44789101112131415161718[[#This Row],[Date]]="","",24-C363)</f>
        <v/>
      </c>
      <c r="E363" s="13"/>
      <c r="F363" s="34" t="str">
        <f>IF(Tableau44789101112131415161718[[#This Row],[Date]]="","",Tableau44789101112131415161718[[#This Row],[Versement]]*Variables!$F$12)</f>
        <v/>
      </c>
      <c r="G363" s="34" t="str">
        <f>IF(Tableau44789101112131415161718[[#This Row],[Date]]="","",(E363*(1+($C$346)/24)^V.Complémentaires!D363)-E363)</f>
        <v/>
      </c>
    </row>
    <row r="364" spans="2:7" ht="20" customHeight="1">
      <c r="B364" s="13"/>
      <c r="C364" s="16" t="str">
        <f>IF(Tableau44789101112131415161718[[#This Row],[Date]]="","",INT(DAYS360(DATE(YEAR(B364),1,1),B364,TRUE)/15)+1)</f>
        <v/>
      </c>
      <c r="D364" s="13" t="str">
        <f>IF(Tableau44789101112131415161718[[#This Row],[Date]]="","",24-C364)</f>
        <v/>
      </c>
      <c r="E364" s="13"/>
      <c r="F364" s="34" t="str">
        <f>IF(Tableau44789101112131415161718[[#This Row],[Date]]="","",Tableau44789101112131415161718[[#This Row],[Versement]]*Variables!$F$12)</f>
        <v/>
      </c>
      <c r="G364" s="34" t="str">
        <f>IF(Tableau44789101112131415161718[[#This Row],[Date]]="","",(E364*(1+($C$346)/24)^V.Complémentaires!D364)-E364)</f>
        <v/>
      </c>
    </row>
    <row r="365" spans="2:7" ht="20" customHeight="1">
      <c r="B365" s="13"/>
      <c r="C365" s="13"/>
      <c r="D365" s="13"/>
      <c r="E365" s="13">
        <f>SUM(Tableau44789101112131415161718[Versement])</f>
        <v>0</v>
      </c>
      <c r="F365" s="34">
        <f>SUBTOTAL(109,Tableau44789101112131415161718[Frais de versement])</f>
        <v>0</v>
      </c>
      <c r="G365" s="34">
        <f>SUM(Tableau44789101112131415161718[Interet])</f>
        <v>0</v>
      </c>
    </row>
    <row r="370" spans="2:7" ht="20" customHeight="1" thickBot="1"/>
    <row r="371" spans="2:7" ht="20" customHeight="1" thickBot="1">
      <c r="B371" s="10" t="s">
        <v>7</v>
      </c>
      <c r="C371" s="19">
        <f ca="1">C345+1</f>
        <v>2028</v>
      </c>
      <c r="D371" s="13"/>
      <c r="E371" s="13"/>
      <c r="F371" s="34"/>
      <c r="G371" s="34"/>
    </row>
    <row r="372" spans="2:7" ht="20" customHeight="1" thickBot="1">
      <c r="B372" s="14" t="s">
        <v>23</v>
      </c>
      <c r="C372" s="20" t="str">
        <f>IF('Tableau Projection'!I21="","",VLOOKUP(C371,'Tableau Projection'!$C$6:$L$28,7,FALSE))</f>
        <v/>
      </c>
      <c r="D372" s="13"/>
      <c r="E372" s="13"/>
      <c r="F372" s="34"/>
      <c r="G372" s="34"/>
    </row>
    <row r="373" spans="2:7" ht="35" customHeight="1">
      <c r="B373" s="13" t="s">
        <v>18</v>
      </c>
      <c r="C373" s="18" t="s">
        <v>22</v>
      </c>
      <c r="D373" s="13" t="s">
        <v>19</v>
      </c>
      <c r="E373" s="13" t="s">
        <v>20</v>
      </c>
      <c r="F373" s="57" t="s">
        <v>3</v>
      </c>
      <c r="G373" s="34" t="s">
        <v>21</v>
      </c>
    </row>
    <row r="374" spans="2:7" ht="20" customHeight="1">
      <c r="B374" s="15"/>
      <c r="C374" s="16" t="str">
        <f>IF(Tableau4478910111213141516171819[[#This Row],[Date]]="","",INT(DAYS360(DATE(YEAR(B374),1,1),B374,TRUE)/15)+1)</f>
        <v/>
      </c>
      <c r="D374" s="13" t="str">
        <f>IF(Tableau4478910111213141516171819[[#This Row],[Date]]="","",24-C374)</f>
        <v/>
      </c>
      <c r="E374" s="17"/>
      <c r="F374" s="34" t="str">
        <f>IF(Tableau4478910111213141516171819[[#This Row],[Date]]="","",Tableau4478910111213141516171819[[#This Row],[Versement]]*Variables!$F$12)</f>
        <v/>
      </c>
      <c r="G374" s="34" t="str">
        <f>IF(Tableau4478910111213141516171819[[#This Row],[Date]]="","",(E374*(1+($C$372)/24)^V.Complémentaires!D374)-E374)</f>
        <v/>
      </c>
    </row>
    <row r="375" spans="2:7" ht="20" customHeight="1">
      <c r="B375" s="15"/>
      <c r="C375" s="16" t="str">
        <f>IF(Tableau4478910111213141516171819[[#This Row],[Date]]="","",INT(DAYS360(DATE(YEAR(B375),1,1),B375,TRUE)/15)+1)</f>
        <v/>
      </c>
      <c r="D375" s="13" t="str">
        <f>IF(Tableau4478910111213141516171819[[#This Row],[Date]]="","",24-C375)</f>
        <v/>
      </c>
      <c r="E375" s="13"/>
      <c r="F375" s="34" t="str">
        <f>IF(Tableau4478910111213141516171819[[#This Row],[Date]]="","",Tableau4478910111213141516171819[[#This Row],[Versement]]*Variables!$F$12)</f>
        <v/>
      </c>
      <c r="G375" s="34" t="str">
        <f>IF(Tableau4478910111213141516171819[[#This Row],[Date]]="","",(E375*(1+($C$372)/24)^V.Complémentaires!D375)-E375)</f>
        <v/>
      </c>
    </row>
    <row r="376" spans="2:7" ht="20" customHeight="1">
      <c r="B376" s="15"/>
      <c r="C376" s="16" t="str">
        <f>IF(Tableau4478910111213141516171819[[#This Row],[Date]]="","",INT(DAYS360(DATE(YEAR(B376),1,1),B376,TRUE)/15)+1)</f>
        <v/>
      </c>
      <c r="D376" s="13" t="str">
        <f>IF(Tableau4478910111213141516171819[[#This Row],[Date]]="","",24-C376)</f>
        <v/>
      </c>
      <c r="E376" s="13"/>
      <c r="F376" s="34" t="str">
        <f>IF(Tableau4478910111213141516171819[[#This Row],[Date]]="","",Tableau4478910111213141516171819[[#This Row],[Versement]]*Variables!$F$12)</f>
        <v/>
      </c>
      <c r="G376" s="34" t="str">
        <f>IF(Tableau4478910111213141516171819[[#This Row],[Date]]="","",(E376*(1+($C$372)/24)^V.Complémentaires!D376)-E376)</f>
        <v/>
      </c>
    </row>
    <row r="377" spans="2:7" ht="20" customHeight="1">
      <c r="B377" s="13"/>
      <c r="C377" s="16" t="str">
        <f>IF(Tableau4478910111213141516171819[[#This Row],[Date]]="","",INT(DAYS360(DATE(YEAR(B377),1,1),B377,TRUE)/15)+1)</f>
        <v/>
      </c>
      <c r="D377" s="13" t="str">
        <f>IF(Tableau4478910111213141516171819[[#This Row],[Date]]="","",24-C377)</f>
        <v/>
      </c>
      <c r="E377" s="13"/>
      <c r="F377" s="34" t="str">
        <f>IF(Tableau4478910111213141516171819[[#This Row],[Date]]="","",Tableau4478910111213141516171819[[#This Row],[Versement]]*Variables!$F$12)</f>
        <v/>
      </c>
      <c r="G377" s="34" t="str">
        <f>IF(Tableau4478910111213141516171819[[#This Row],[Date]]="","",(E377*(1+($C$372)/24)^V.Complémentaires!D377)-E377)</f>
        <v/>
      </c>
    </row>
    <row r="378" spans="2:7" ht="20" customHeight="1">
      <c r="B378" s="13"/>
      <c r="C378" s="16" t="str">
        <f>IF(Tableau4478910111213141516171819[[#This Row],[Date]]="","",INT(DAYS360(DATE(YEAR(B378),1,1),B378,TRUE)/15)+1)</f>
        <v/>
      </c>
      <c r="D378" s="13" t="str">
        <f>IF(Tableau4478910111213141516171819[[#This Row],[Date]]="","",24-C378)</f>
        <v/>
      </c>
      <c r="E378" s="13"/>
      <c r="F378" s="34" t="str">
        <f>IF(Tableau4478910111213141516171819[[#This Row],[Date]]="","",Tableau4478910111213141516171819[[#This Row],[Versement]]*Variables!$F$12)</f>
        <v/>
      </c>
      <c r="G378" s="34" t="str">
        <f>IF(Tableau4478910111213141516171819[[#This Row],[Date]]="","",(E378*(1+($C$372)/24)^V.Complémentaires!D378)-E378)</f>
        <v/>
      </c>
    </row>
    <row r="379" spans="2:7" ht="20" customHeight="1">
      <c r="B379" s="13"/>
      <c r="C379" s="16" t="str">
        <f>IF(Tableau4478910111213141516171819[[#This Row],[Date]]="","",INT(DAYS360(DATE(YEAR(B379),1,1),B379,TRUE)/15)+1)</f>
        <v/>
      </c>
      <c r="D379" s="13" t="str">
        <f>IF(Tableau4478910111213141516171819[[#This Row],[Date]]="","",24-C379)</f>
        <v/>
      </c>
      <c r="E379" s="13"/>
      <c r="F379" s="34" t="str">
        <f>IF(Tableau4478910111213141516171819[[#This Row],[Date]]="","",Tableau4478910111213141516171819[[#This Row],[Versement]]*Variables!$F$12)</f>
        <v/>
      </c>
      <c r="G379" s="34" t="str">
        <f>IF(Tableau4478910111213141516171819[[#This Row],[Date]]="","",(E379*(1+($C$372)/24)^V.Complémentaires!D379)-E379)</f>
        <v/>
      </c>
    </row>
    <row r="380" spans="2:7" ht="20" customHeight="1">
      <c r="B380" s="13"/>
      <c r="C380" s="16" t="str">
        <f>IF(Tableau4478910111213141516171819[[#This Row],[Date]]="","",INT(DAYS360(DATE(YEAR(B380),1,1),B380,TRUE)/15)+1)</f>
        <v/>
      </c>
      <c r="D380" s="13" t="str">
        <f>IF(Tableau4478910111213141516171819[[#This Row],[Date]]="","",24-C380)</f>
        <v/>
      </c>
      <c r="E380" s="13"/>
      <c r="F380" s="34" t="str">
        <f>IF(Tableau4478910111213141516171819[[#This Row],[Date]]="","",Tableau4478910111213141516171819[[#This Row],[Versement]]*Variables!$F$12)</f>
        <v/>
      </c>
      <c r="G380" s="34" t="str">
        <f>IF(Tableau4478910111213141516171819[[#This Row],[Date]]="","",(E380*(1+($C$372)/24)^V.Complémentaires!D380)-E380)</f>
        <v/>
      </c>
    </row>
    <row r="381" spans="2:7" ht="20" customHeight="1">
      <c r="B381" s="13"/>
      <c r="C381" s="16" t="str">
        <f>IF(Tableau4478910111213141516171819[[#This Row],[Date]]="","",INT(DAYS360(DATE(YEAR(B381),1,1),B381,TRUE)/15)+1)</f>
        <v/>
      </c>
      <c r="D381" s="13" t="str">
        <f>IF(Tableau4478910111213141516171819[[#This Row],[Date]]="","",24-C381)</f>
        <v/>
      </c>
      <c r="E381" s="13"/>
      <c r="F381" s="34" t="str">
        <f>IF(Tableau4478910111213141516171819[[#This Row],[Date]]="","",Tableau4478910111213141516171819[[#This Row],[Versement]]*Variables!$F$12)</f>
        <v/>
      </c>
      <c r="G381" s="34" t="str">
        <f>IF(Tableau4478910111213141516171819[[#This Row],[Date]]="","",(E381*(1+($C$372)/24)^V.Complémentaires!D381)-E381)</f>
        <v/>
      </c>
    </row>
    <row r="382" spans="2:7" ht="20" customHeight="1">
      <c r="B382" s="15"/>
      <c r="C382" s="16" t="str">
        <f>IF(Tableau4478910111213141516171819[[#This Row],[Date]]="","",INT(DAYS360(DATE(YEAR(B382),1,1),B382,TRUE)/15)+1)</f>
        <v/>
      </c>
      <c r="D382" s="13" t="str">
        <f>IF(Tableau4478910111213141516171819[[#This Row],[Date]]="","",24-C382)</f>
        <v/>
      </c>
      <c r="E382" s="13"/>
      <c r="F382" s="34" t="str">
        <f>IF(Tableau4478910111213141516171819[[#This Row],[Date]]="","",Tableau4478910111213141516171819[[#This Row],[Versement]]*Variables!$F$12)</f>
        <v/>
      </c>
      <c r="G382" s="34" t="str">
        <f>IF(Tableau4478910111213141516171819[[#This Row],[Date]]="","",(E382*(1+($C$372)/24)^V.Complémentaires!D382)-E382)</f>
        <v/>
      </c>
    </row>
    <row r="383" spans="2:7" ht="20" customHeight="1">
      <c r="B383" s="13"/>
      <c r="C383" s="16" t="str">
        <f>IF(Tableau4478910111213141516171819[[#This Row],[Date]]="","",INT(DAYS360(DATE(YEAR(B383),1,1),B383,TRUE)/15)+1)</f>
        <v/>
      </c>
      <c r="D383" s="13" t="str">
        <f>IF(Tableau4478910111213141516171819[[#This Row],[Date]]="","",24-C383)</f>
        <v/>
      </c>
      <c r="E383" s="13"/>
      <c r="F383" s="34" t="str">
        <f>IF(Tableau4478910111213141516171819[[#This Row],[Date]]="","",Tableau4478910111213141516171819[[#This Row],[Versement]]*Variables!$F$12)</f>
        <v/>
      </c>
      <c r="G383" s="34" t="str">
        <f>IF(Tableau4478910111213141516171819[[#This Row],[Date]]="","",(E383*(1+($C$372)/24)^V.Complémentaires!D383)-E383)</f>
        <v/>
      </c>
    </row>
    <row r="384" spans="2:7" ht="20" customHeight="1">
      <c r="B384" s="13"/>
      <c r="C384" s="16" t="str">
        <f>IF(Tableau4478910111213141516171819[[#This Row],[Date]]="","",INT(DAYS360(DATE(YEAR(B384),1,1),B384,TRUE)/15)+1)</f>
        <v/>
      </c>
      <c r="D384" s="13" t="str">
        <f>IF(Tableau4478910111213141516171819[[#This Row],[Date]]="","",24-C384)</f>
        <v/>
      </c>
      <c r="E384" s="13"/>
      <c r="F384" s="34" t="str">
        <f>IF(Tableau4478910111213141516171819[[#This Row],[Date]]="","",Tableau4478910111213141516171819[[#This Row],[Versement]]*Variables!$F$12)</f>
        <v/>
      </c>
      <c r="G384" s="34" t="str">
        <f>IF(Tableau4478910111213141516171819[[#This Row],[Date]]="","",(E384*(1+($C$372)/24)^V.Complémentaires!D384)-E384)</f>
        <v/>
      </c>
    </row>
    <row r="385" spans="2:7" ht="20" customHeight="1">
      <c r="B385" s="13"/>
      <c r="C385" s="16" t="str">
        <f>IF(Tableau4478910111213141516171819[[#This Row],[Date]]="","",INT(DAYS360(DATE(YEAR(B385),1,1),B385,TRUE)/15)+1)</f>
        <v/>
      </c>
      <c r="D385" s="13" t="str">
        <f>IF(Tableau4478910111213141516171819[[#This Row],[Date]]="","",24-C385)</f>
        <v/>
      </c>
      <c r="E385" s="13"/>
      <c r="F385" s="34" t="str">
        <f>IF(Tableau4478910111213141516171819[[#This Row],[Date]]="","",Tableau4478910111213141516171819[[#This Row],[Versement]]*Variables!$F$12)</f>
        <v/>
      </c>
      <c r="G385" s="34" t="str">
        <f>IF(Tableau4478910111213141516171819[[#This Row],[Date]]="","",(E385*(1+($C$372)/24)^V.Complémentaires!D385)-E385)</f>
        <v/>
      </c>
    </row>
    <row r="386" spans="2:7" ht="20" customHeight="1">
      <c r="B386" s="13"/>
      <c r="C386" s="16" t="str">
        <f>IF(Tableau4478910111213141516171819[[#This Row],[Date]]="","",INT(DAYS360(DATE(YEAR(B386),1,1),B386,TRUE)/15)+1)</f>
        <v/>
      </c>
      <c r="D386" s="13" t="str">
        <f>IF(Tableau4478910111213141516171819[[#This Row],[Date]]="","",24-C386)</f>
        <v/>
      </c>
      <c r="E386" s="13"/>
      <c r="F386" s="34" t="str">
        <f>IF(Tableau4478910111213141516171819[[#This Row],[Date]]="","",Tableau4478910111213141516171819[[#This Row],[Versement]]*Variables!$F$12)</f>
        <v/>
      </c>
      <c r="G386" s="34" t="str">
        <f>IF(Tableau4478910111213141516171819[[#This Row],[Date]]="","",(E386*(1+($C$372)/24)^V.Complémentaires!D386)-E386)</f>
        <v/>
      </c>
    </row>
    <row r="387" spans="2:7" ht="20" customHeight="1">
      <c r="B387" s="13"/>
      <c r="C387" s="16" t="str">
        <f>IF(Tableau4478910111213141516171819[[#This Row],[Date]]="","",INT(DAYS360(DATE(YEAR(B387),1,1),B387,TRUE)/15)+1)</f>
        <v/>
      </c>
      <c r="D387" s="13" t="str">
        <f>IF(Tableau4478910111213141516171819[[#This Row],[Date]]="","",24-C387)</f>
        <v/>
      </c>
      <c r="E387" s="13"/>
      <c r="F387" s="34" t="str">
        <f>IF(Tableau4478910111213141516171819[[#This Row],[Date]]="","",Tableau4478910111213141516171819[[#This Row],[Versement]]*Variables!$F$12)</f>
        <v/>
      </c>
      <c r="G387" s="34" t="str">
        <f>IF(Tableau4478910111213141516171819[[#This Row],[Date]]="","",(E387*(1+($C$372)/24)^V.Complémentaires!D387)-E387)</f>
        <v/>
      </c>
    </row>
    <row r="388" spans="2:7" ht="20" customHeight="1">
      <c r="B388" s="13"/>
      <c r="C388" s="16" t="str">
        <f>IF(Tableau4478910111213141516171819[[#This Row],[Date]]="","",INT(DAYS360(DATE(YEAR(B388),1,1),B388,TRUE)/15)+1)</f>
        <v/>
      </c>
      <c r="D388" s="13" t="str">
        <f>IF(Tableau4478910111213141516171819[[#This Row],[Date]]="","",24-C388)</f>
        <v/>
      </c>
      <c r="E388" s="13"/>
      <c r="F388" s="34" t="str">
        <f>IF(Tableau4478910111213141516171819[[#This Row],[Date]]="","",Tableau4478910111213141516171819[[#This Row],[Versement]]*Variables!$F$12)</f>
        <v/>
      </c>
      <c r="G388" s="34" t="str">
        <f>IF(Tableau4478910111213141516171819[[#This Row],[Date]]="","",(E388*(1+($C$372)/24)^V.Complémentaires!D388)-E388)</f>
        <v/>
      </c>
    </row>
    <row r="389" spans="2:7" ht="20" customHeight="1">
      <c r="B389" s="13"/>
      <c r="C389" s="16" t="str">
        <f>IF(Tableau4478910111213141516171819[[#This Row],[Date]]="","",INT(DAYS360(DATE(YEAR(B389),1,1),B389,TRUE)/15)+1)</f>
        <v/>
      </c>
      <c r="D389" s="13" t="str">
        <f>IF(Tableau4478910111213141516171819[[#This Row],[Date]]="","",24-C389)</f>
        <v/>
      </c>
      <c r="E389" s="13"/>
      <c r="F389" s="34" t="str">
        <f>IF(Tableau4478910111213141516171819[[#This Row],[Date]]="","",Tableau4478910111213141516171819[[#This Row],[Versement]]*Variables!$F$12)</f>
        <v/>
      </c>
      <c r="G389" s="34" t="str">
        <f>IF(Tableau4478910111213141516171819[[#This Row],[Date]]="","",(E389*(1+($C$372)/24)^V.Complémentaires!D389)-E389)</f>
        <v/>
      </c>
    </row>
    <row r="390" spans="2:7" ht="20" customHeight="1">
      <c r="B390" s="13"/>
      <c r="C390" s="16" t="str">
        <f>IF(Tableau4478910111213141516171819[[#This Row],[Date]]="","",INT(DAYS360(DATE(YEAR(B390),1,1),B390,TRUE)/15)+1)</f>
        <v/>
      </c>
      <c r="D390" s="13" t="str">
        <f>IF(Tableau4478910111213141516171819[[#This Row],[Date]]="","",24-C390)</f>
        <v/>
      </c>
      <c r="E390" s="13"/>
      <c r="F390" s="34" t="str">
        <f>IF(Tableau4478910111213141516171819[[#This Row],[Date]]="","",Tableau4478910111213141516171819[[#This Row],[Versement]]*Variables!$F$12)</f>
        <v/>
      </c>
      <c r="G390" s="34" t="str">
        <f>IF(Tableau4478910111213141516171819[[#This Row],[Date]]="","",(E390*(1+($C$372)/24)^V.Complémentaires!D390)-E390)</f>
        <v/>
      </c>
    </row>
    <row r="391" spans="2:7" ht="20" customHeight="1">
      <c r="B391" s="13"/>
      <c r="C391" s="13"/>
      <c r="D391" s="13"/>
      <c r="E391" s="13">
        <f>SUM(Tableau4478910111213141516171819[Versement])</f>
        <v>0</v>
      </c>
      <c r="F391" s="34">
        <f>SUBTOTAL(109,Tableau4478910111213141516171819[Frais de versement])</f>
        <v>0</v>
      </c>
      <c r="G391" s="34">
        <f>SUM(Tableau4478910111213141516171819[Interet])</f>
        <v>0</v>
      </c>
    </row>
    <row r="396" spans="2:7" ht="20" customHeight="1" thickBot="1"/>
    <row r="397" spans="2:7" ht="20" customHeight="1" thickBot="1">
      <c r="B397" s="10" t="s">
        <v>7</v>
      </c>
      <c r="C397" s="19">
        <f ca="1">C371+1</f>
        <v>2029</v>
      </c>
      <c r="D397" s="13"/>
      <c r="E397" s="13"/>
      <c r="F397" s="34"/>
      <c r="G397" s="34"/>
    </row>
    <row r="398" spans="2:7" ht="20" customHeight="1" thickBot="1">
      <c r="B398" s="14" t="s">
        <v>23</v>
      </c>
      <c r="C398" s="20" t="str">
        <f>IF('Tableau Projection'!I22="","",VLOOKUP(C397,'Tableau Projection'!$C$6:$L$28,7,FALSE))</f>
        <v/>
      </c>
      <c r="D398" s="13"/>
      <c r="E398" s="13"/>
      <c r="F398" s="34"/>
      <c r="G398" s="34"/>
    </row>
    <row r="399" spans="2:7" ht="35" customHeight="1">
      <c r="B399" s="13" t="s">
        <v>18</v>
      </c>
      <c r="C399" s="18" t="s">
        <v>22</v>
      </c>
      <c r="D399" s="13" t="s">
        <v>19</v>
      </c>
      <c r="E399" s="13" t="s">
        <v>20</v>
      </c>
      <c r="F399" s="57" t="s">
        <v>3</v>
      </c>
      <c r="G399" s="34" t="s">
        <v>21</v>
      </c>
    </row>
    <row r="400" spans="2:7" ht="20" customHeight="1">
      <c r="B400" s="15"/>
      <c r="C400" s="16" t="str">
        <f>IF(Tableau447891011121314151617181920[[#This Row],[Date]]="","",INT(DAYS360(DATE(YEAR(B400),1,1),B400,TRUE)/15)+1)</f>
        <v/>
      </c>
      <c r="D400" s="13" t="str">
        <f>IF(Tableau447891011121314151617181920[[#This Row],[Date]]="","",24-C400)</f>
        <v/>
      </c>
      <c r="E400" s="17"/>
      <c r="F400" s="34" t="str">
        <f>IF(Tableau447891011121314151617181920[[#This Row],[Date]]="","",Tableau447891011121314151617181920[[#This Row],[Versement]]*Variables!$F$12)</f>
        <v/>
      </c>
      <c r="G400" s="34" t="str">
        <f>IF(Tableau447891011121314151617181920[[#This Row],[Date]]="","",(E400*(1+($C$398)/24)^V.Complémentaires!D400)-E400)</f>
        <v/>
      </c>
    </row>
    <row r="401" spans="2:7" ht="20" customHeight="1">
      <c r="B401" s="15"/>
      <c r="C401" s="16" t="str">
        <f>IF(Tableau447891011121314151617181920[[#This Row],[Date]]="","",INT(DAYS360(DATE(YEAR(B401),1,1),B401,TRUE)/15)+1)</f>
        <v/>
      </c>
      <c r="D401" s="13" t="str">
        <f>IF(Tableau447891011121314151617181920[[#This Row],[Date]]="","",24-C401)</f>
        <v/>
      </c>
      <c r="E401" s="13"/>
      <c r="F401" s="34" t="str">
        <f>IF(Tableau447891011121314151617181920[[#This Row],[Date]]="","",Tableau447891011121314151617181920[[#This Row],[Versement]]*Variables!$F$12)</f>
        <v/>
      </c>
      <c r="G401" s="34" t="str">
        <f>IF(Tableau447891011121314151617181920[[#This Row],[Date]]="","",(E401*(1+($C$398)/24)^V.Complémentaires!D401)-E401)</f>
        <v/>
      </c>
    </row>
    <row r="402" spans="2:7" ht="20" customHeight="1">
      <c r="B402" s="15"/>
      <c r="C402" s="16" t="str">
        <f>IF(Tableau447891011121314151617181920[[#This Row],[Date]]="","",INT(DAYS360(DATE(YEAR(B402),1,1),B402,TRUE)/15)+1)</f>
        <v/>
      </c>
      <c r="D402" s="13" t="str">
        <f>IF(Tableau447891011121314151617181920[[#This Row],[Date]]="","",24-C402)</f>
        <v/>
      </c>
      <c r="E402" s="13"/>
      <c r="F402" s="34" t="str">
        <f>IF(Tableau447891011121314151617181920[[#This Row],[Date]]="","",Tableau447891011121314151617181920[[#This Row],[Versement]]*Variables!$F$12)</f>
        <v/>
      </c>
      <c r="G402" s="34" t="str">
        <f>IF(Tableau447891011121314151617181920[[#This Row],[Date]]="","",(E402*(1+($C$398)/24)^V.Complémentaires!D402)-E402)</f>
        <v/>
      </c>
    </row>
    <row r="403" spans="2:7" ht="20" customHeight="1">
      <c r="B403" s="13"/>
      <c r="C403" s="16" t="str">
        <f>IF(Tableau447891011121314151617181920[[#This Row],[Date]]="","",INT(DAYS360(DATE(YEAR(B403),1,1),B403,TRUE)/15)+1)</f>
        <v/>
      </c>
      <c r="D403" s="13" t="str">
        <f>IF(Tableau447891011121314151617181920[[#This Row],[Date]]="","",24-C403)</f>
        <v/>
      </c>
      <c r="E403" s="13"/>
      <c r="F403" s="34" t="str">
        <f>IF(Tableau447891011121314151617181920[[#This Row],[Date]]="","",Tableau447891011121314151617181920[[#This Row],[Versement]]*Variables!$F$12)</f>
        <v/>
      </c>
      <c r="G403" s="34" t="str">
        <f>IF(Tableau447891011121314151617181920[[#This Row],[Date]]="","",(E403*(1+($C$398)/24)^V.Complémentaires!D403)-E403)</f>
        <v/>
      </c>
    </row>
    <row r="404" spans="2:7" ht="20" customHeight="1">
      <c r="B404" s="13"/>
      <c r="C404" s="16" t="str">
        <f>IF(Tableau447891011121314151617181920[[#This Row],[Date]]="","",INT(DAYS360(DATE(YEAR(B404),1,1),B404,TRUE)/15)+1)</f>
        <v/>
      </c>
      <c r="D404" s="13" t="str">
        <f>IF(Tableau447891011121314151617181920[[#This Row],[Date]]="","",24-C404)</f>
        <v/>
      </c>
      <c r="E404" s="13"/>
      <c r="F404" s="34" t="str">
        <f>IF(Tableau447891011121314151617181920[[#This Row],[Date]]="","",Tableau447891011121314151617181920[[#This Row],[Versement]]*Variables!$F$12)</f>
        <v/>
      </c>
      <c r="G404" s="34" t="str">
        <f>IF(Tableau447891011121314151617181920[[#This Row],[Date]]="","",(E404*(1+($C$398)/24)^V.Complémentaires!D404)-E404)</f>
        <v/>
      </c>
    </row>
    <row r="405" spans="2:7" ht="20" customHeight="1">
      <c r="B405" s="13"/>
      <c r="C405" s="16" t="str">
        <f>IF(Tableau447891011121314151617181920[[#This Row],[Date]]="","",INT(DAYS360(DATE(YEAR(B405),1,1),B405,TRUE)/15)+1)</f>
        <v/>
      </c>
      <c r="D405" s="13" t="str">
        <f>IF(Tableau447891011121314151617181920[[#This Row],[Date]]="","",24-C405)</f>
        <v/>
      </c>
      <c r="E405" s="13"/>
      <c r="F405" s="34" t="str">
        <f>IF(Tableau447891011121314151617181920[[#This Row],[Date]]="","",Tableau447891011121314151617181920[[#This Row],[Versement]]*Variables!$F$12)</f>
        <v/>
      </c>
      <c r="G405" s="34" t="str">
        <f>IF(Tableau447891011121314151617181920[[#This Row],[Date]]="","",(E405*(1+($C$398)/24)^V.Complémentaires!D405)-E405)</f>
        <v/>
      </c>
    </row>
    <row r="406" spans="2:7" ht="20" customHeight="1">
      <c r="B406" s="13"/>
      <c r="C406" s="16" t="str">
        <f>IF(Tableau447891011121314151617181920[[#This Row],[Date]]="","",INT(DAYS360(DATE(YEAR(B406),1,1),B406,TRUE)/15)+1)</f>
        <v/>
      </c>
      <c r="D406" s="13" t="str">
        <f>IF(Tableau447891011121314151617181920[[#This Row],[Date]]="","",24-C406)</f>
        <v/>
      </c>
      <c r="E406" s="13"/>
      <c r="F406" s="34" t="str">
        <f>IF(Tableau447891011121314151617181920[[#This Row],[Date]]="","",Tableau447891011121314151617181920[[#This Row],[Versement]]*Variables!$F$12)</f>
        <v/>
      </c>
      <c r="G406" s="34" t="str">
        <f>IF(Tableau447891011121314151617181920[[#This Row],[Date]]="","",(E406*(1+($C$398)/24)^V.Complémentaires!D406)-E406)</f>
        <v/>
      </c>
    </row>
    <row r="407" spans="2:7" ht="20" customHeight="1">
      <c r="B407" s="13"/>
      <c r="C407" s="16" t="str">
        <f>IF(Tableau447891011121314151617181920[[#This Row],[Date]]="","",INT(DAYS360(DATE(YEAR(B407),1,1),B407,TRUE)/15)+1)</f>
        <v/>
      </c>
      <c r="D407" s="13" t="str">
        <f>IF(Tableau447891011121314151617181920[[#This Row],[Date]]="","",24-C407)</f>
        <v/>
      </c>
      <c r="E407" s="13"/>
      <c r="F407" s="34" t="str">
        <f>IF(Tableau447891011121314151617181920[[#This Row],[Date]]="","",Tableau447891011121314151617181920[[#This Row],[Versement]]*Variables!$F$12)</f>
        <v/>
      </c>
      <c r="G407" s="34" t="str">
        <f>IF(Tableau447891011121314151617181920[[#This Row],[Date]]="","",(E407*(1+($C$398)/24)^V.Complémentaires!D407)-E407)</f>
        <v/>
      </c>
    </row>
    <row r="408" spans="2:7" ht="20" customHeight="1">
      <c r="B408" s="15"/>
      <c r="C408" s="16" t="str">
        <f>IF(Tableau447891011121314151617181920[[#This Row],[Date]]="","",INT(DAYS360(DATE(YEAR(B408),1,1),B408,TRUE)/15)+1)</f>
        <v/>
      </c>
      <c r="D408" s="13" t="str">
        <f>IF(Tableau447891011121314151617181920[[#This Row],[Date]]="","",24-C408)</f>
        <v/>
      </c>
      <c r="E408" s="13"/>
      <c r="F408" s="34" t="str">
        <f>IF(Tableau447891011121314151617181920[[#This Row],[Date]]="","",Tableau447891011121314151617181920[[#This Row],[Versement]]*Variables!$F$12)</f>
        <v/>
      </c>
      <c r="G408" s="34" t="str">
        <f>IF(Tableau447891011121314151617181920[[#This Row],[Date]]="","",(E408*(1+($C$398)/24)^V.Complémentaires!D408)-E408)</f>
        <v/>
      </c>
    </row>
    <row r="409" spans="2:7" ht="20" customHeight="1">
      <c r="B409" s="13"/>
      <c r="C409" s="16" t="str">
        <f>IF(Tableau447891011121314151617181920[[#This Row],[Date]]="","",INT(DAYS360(DATE(YEAR(B409),1,1),B409,TRUE)/15)+1)</f>
        <v/>
      </c>
      <c r="D409" s="13" t="str">
        <f>IF(Tableau447891011121314151617181920[[#This Row],[Date]]="","",24-C409)</f>
        <v/>
      </c>
      <c r="E409" s="13"/>
      <c r="F409" s="34" t="str">
        <f>IF(Tableau447891011121314151617181920[[#This Row],[Date]]="","",Tableau447891011121314151617181920[[#This Row],[Versement]]*Variables!$F$12)</f>
        <v/>
      </c>
      <c r="G409" s="34" t="str">
        <f>IF(Tableau447891011121314151617181920[[#This Row],[Date]]="","",(E409*(1+($C$398)/24)^V.Complémentaires!D409)-E409)</f>
        <v/>
      </c>
    </row>
    <row r="410" spans="2:7" ht="20" customHeight="1">
      <c r="B410" s="13"/>
      <c r="C410" s="16" t="str">
        <f>IF(Tableau447891011121314151617181920[[#This Row],[Date]]="","",INT(DAYS360(DATE(YEAR(B410),1,1),B410,TRUE)/15)+1)</f>
        <v/>
      </c>
      <c r="D410" s="13" t="str">
        <f>IF(Tableau447891011121314151617181920[[#This Row],[Date]]="","",24-C410)</f>
        <v/>
      </c>
      <c r="E410" s="13"/>
      <c r="F410" s="34" t="str">
        <f>IF(Tableau447891011121314151617181920[[#This Row],[Date]]="","",Tableau447891011121314151617181920[[#This Row],[Versement]]*Variables!$F$12)</f>
        <v/>
      </c>
      <c r="G410" s="34" t="str">
        <f>IF(Tableau447891011121314151617181920[[#This Row],[Date]]="","",(E410*(1+($C$398)/24)^V.Complémentaires!D410)-E410)</f>
        <v/>
      </c>
    </row>
    <row r="411" spans="2:7" ht="20" customHeight="1">
      <c r="B411" s="13"/>
      <c r="C411" s="16" t="str">
        <f>IF(Tableau447891011121314151617181920[[#This Row],[Date]]="","",INT(DAYS360(DATE(YEAR(B411),1,1),B411,TRUE)/15)+1)</f>
        <v/>
      </c>
      <c r="D411" s="13" t="str">
        <f>IF(Tableau447891011121314151617181920[[#This Row],[Date]]="","",24-C411)</f>
        <v/>
      </c>
      <c r="E411" s="13"/>
      <c r="F411" s="34" t="str">
        <f>IF(Tableau447891011121314151617181920[[#This Row],[Date]]="","",Tableau447891011121314151617181920[[#This Row],[Versement]]*Variables!$F$12)</f>
        <v/>
      </c>
      <c r="G411" s="34" t="str">
        <f>IF(Tableau447891011121314151617181920[[#This Row],[Date]]="","",(E411*(1+($C$398)/24)^V.Complémentaires!D411)-E411)</f>
        <v/>
      </c>
    </row>
    <row r="412" spans="2:7" ht="20" customHeight="1">
      <c r="B412" s="13"/>
      <c r="C412" s="16" t="str">
        <f>IF(Tableau447891011121314151617181920[[#This Row],[Date]]="","",INT(DAYS360(DATE(YEAR(B412),1,1),B412,TRUE)/15)+1)</f>
        <v/>
      </c>
      <c r="D412" s="13" t="str">
        <f>IF(Tableau447891011121314151617181920[[#This Row],[Date]]="","",24-C412)</f>
        <v/>
      </c>
      <c r="E412" s="13"/>
      <c r="F412" s="34" t="str">
        <f>IF(Tableau447891011121314151617181920[[#This Row],[Date]]="","",Tableau447891011121314151617181920[[#This Row],[Versement]]*Variables!$F$12)</f>
        <v/>
      </c>
      <c r="G412" s="34" t="str">
        <f>IF(Tableau447891011121314151617181920[[#This Row],[Date]]="","",(E412*(1+($C$398)/24)^V.Complémentaires!D412)-E412)</f>
        <v/>
      </c>
    </row>
    <row r="413" spans="2:7" ht="20" customHeight="1">
      <c r="B413" s="13"/>
      <c r="C413" s="16" t="str">
        <f>IF(Tableau447891011121314151617181920[[#This Row],[Date]]="","",INT(DAYS360(DATE(YEAR(B413),1,1),B413,TRUE)/15)+1)</f>
        <v/>
      </c>
      <c r="D413" s="13" t="str">
        <f>IF(Tableau447891011121314151617181920[[#This Row],[Date]]="","",24-C413)</f>
        <v/>
      </c>
      <c r="E413" s="13"/>
      <c r="F413" s="34" t="str">
        <f>IF(Tableau447891011121314151617181920[[#This Row],[Date]]="","",Tableau447891011121314151617181920[[#This Row],[Versement]]*Variables!$F$12)</f>
        <v/>
      </c>
      <c r="G413" s="34" t="str">
        <f>IF(Tableau447891011121314151617181920[[#This Row],[Date]]="","",(E413*(1+($C$398)/24)^V.Complémentaires!D413)-E413)</f>
        <v/>
      </c>
    </row>
    <row r="414" spans="2:7" ht="20" customHeight="1">
      <c r="B414" s="13"/>
      <c r="C414" s="16" t="str">
        <f>IF(Tableau447891011121314151617181920[[#This Row],[Date]]="","",INT(DAYS360(DATE(YEAR(B414),1,1),B414,TRUE)/15)+1)</f>
        <v/>
      </c>
      <c r="D414" s="13" t="str">
        <f>IF(Tableau447891011121314151617181920[[#This Row],[Date]]="","",24-C414)</f>
        <v/>
      </c>
      <c r="E414" s="13"/>
      <c r="F414" s="34" t="str">
        <f>IF(Tableau447891011121314151617181920[[#This Row],[Date]]="","",Tableau447891011121314151617181920[[#This Row],[Versement]]*Variables!$F$12)</f>
        <v/>
      </c>
      <c r="G414" s="34" t="str">
        <f>IF(Tableau447891011121314151617181920[[#This Row],[Date]]="","",(E414*(1+($C$398)/24)^V.Complémentaires!D414)-E414)</f>
        <v/>
      </c>
    </row>
    <row r="415" spans="2:7" ht="20" customHeight="1">
      <c r="B415" s="13"/>
      <c r="C415" s="16" t="str">
        <f>IF(Tableau447891011121314151617181920[[#This Row],[Date]]="","",INT(DAYS360(DATE(YEAR(B415),1,1),B415,TRUE)/15)+1)</f>
        <v/>
      </c>
      <c r="D415" s="13" t="str">
        <f>IF(Tableau447891011121314151617181920[[#This Row],[Date]]="","",24-C415)</f>
        <v/>
      </c>
      <c r="E415" s="13"/>
      <c r="F415" s="34" t="str">
        <f>IF(Tableau447891011121314151617181920[[#This Row],[Date]]="","",Tableau447891011121314151617181920[[#This Row],[Versement]]*Variables!$F$12)</f>
        <v/>
      </c>
      <c r="G415" s="34" t="str">
        <f>IF(Tableau447891011121314151617181920[[#This Row],[Date]]="","",(E415*(1+($C$398)/24)^V.Complémentaires!D415)-E415)</f>
        <v/>
      </c>
    </row>
    <row r="416" spans="2:7" ht="20" customHeight="1">
      <c r="B416" s="13"/>
      <c r="C416" s="16" t="str">
        <f>IF(Tableau447891011121314151617181920[[#This Row],[Date]]="","",INT(DAYS360(DATE(YEAR(B416),1,1),B416,TRUE)/15)+1)</f>
        <v/>
      </c>
      <c r="D416" s="13" t="str">
        <f>IF(Tableau447891011121314151617181920[[#This Row],[Date]]="","",24-C416)</f>
        <v/>
      </c>
      <c r="E416" s="13"/>
      <c r="F416" s="34" t="str">
        <f>IF(Tableau447891011121314151617181920[[#This Row],[Date]]="","",Tableau447891011121314151617181920[[#This Row],[Versement]]*Variables!$F$12)</f>
        <v/>
      </c>
      <c r="G416" s="34" t="str">
        <f>IF(Tableau447891011121314151617181920[[#This Row],[Date]]="","",(E416*(1+($C$398)/24)^V.Complémentaires!D416)-E416)</f>
        <v/>
      </c>
    </row>
    <row r="417" spans="2:7" ht="20" customHeight="1">
      <c r="B417" s="13"/>
      <c r="C417" s="13"/>
      <c r="D417" s="13"/>
      <c r="E417" s="13">
        <f>SUM(Tableau447891011121314151617181920[Versement])</f>
        <v>0</v>
      </c>
      <c r="F417" s="34">
        <f>SUBTOTAL(109,Tableau447891011121314151617181920[Frais de versement])</f>
        <v>0</v>
      </c>
      <c r="G417" s="34">
        <f>SUM(Tableau447891011121314151617181920[Interet])</f>
        <v>0</v>
      </c>
    </row>
    <row r="422" spans="2:7" ht="20" customHeight="1" thickBot="1"/>
    <row r="423" spans="2:7" ht="20" customHeight="1" thickBot="1">
      <c r="B423" s="10" t="s">
        <v>7</v>
      </c>
      <c r="C423" s="19">
        <f ca="1">C397+1</f>
        <v>2030</v>
      </c>
      <c r="D423" s="13"/>
      <c r="E423" s="13"/>
      <c r="F423" s="34"/>
      <c r="G423" s="34"/>
    </row>
    <row r="424" spans="2:7" ht="20" customHeight="1" thickBot="1">
      <c r="B424" s="14" t="s">
        <v>23</v>
      </c>
      <c r="C424" s="20" t="str">
        <f>IF('Tableau Projection'!I23="","",VLOOKUP(C423,'Tableau Projection'!$C$6:$L$28,7,FALSE))</f>
        <v/>
      </c>
      <c r="D424" s="13"/>
      <c r="E424" s="13"/>
      <c r="F424" s="34"/>
      <c r="G424" s="34"/>
    </row>
    <row r="425" spans="2:7" ht="35" customHeight="1">
      <c r="B425" s="13" t="s">
        <v>18</v>
      </c>
      <c r="C425" s="18" t="s">
        <v>22</v>
      </c>
      <c r="D425" s="13" t="s">
        <v>19</v>
      </c>
      <c r="E425" s="13" t="s">
        <v>20</v>
      </c>
      <c r="F425" s="57" t="s">
        <v>3</v>
      </c>
      <c r="G425" s="34" t="s">
        <v>21</v>
      </c>
    </row>
    <row r="426" spans="2:7" ht="20" customHeight="1">
      <c r="B426" s="15"/>
      <c r="C426" s="16" t="str">
        <f>IF(Tableau44789101112131415161718192021[[#This Row],[Date]]="","",INT(DAYS360(DATE(YEAR(B426),1,1),B426,TRUE)/15)+1)</f>
        <v/>
      </c>
      <c r="D426" s="13" t="str">
        <f>IF(Tableau44789101112131415161718192021[[#This Row],[Date]]="","",24-C426)</f>
        <v/>
      </c>
      <c r="E426" s="17"/>
      <c r="F426" s="34" t="str">
        <f>IF(Tableau44789101112131415161718192021[[#This Row],[Date]]="","",Tableau44789101112131415161718192021[[#This Row],[Versement]]*Variables!$F$12)</f>
        <v/>
      </c>
      <c r="G426" s="34" t="str">
        <f>IF(Tableau44789101112131415161718192021[[#This Row],[Date]]="","",(E426*(1+($C$424)/24)^V.Complémentaires!D426)-E426)</f>
        <v/>
      </c>
    </row>
    <row r="427" spans="2:7" ht="20" customHeight="1">
      <c r="B427" s="15"/>
      <c r="C427" s="16" t="str">
        <f>IF(Tableau44789101112131415161718192021[[#This Row],[Date]]="","",INT(DAYS360(DATE(YEAR(B427),1,1),B427,TRUE)/15)+1)</f>
        <v/>
      </c>
      <c r="D427" s="13" t="str">
        <f>IF(Tableau44789101112131415161718192021[[#This Row],[Date]]="","",24-C427)</f>
        <v/>
      </c>
      <c r="E427" s="13"/>
      <c r="F427" s="34" t="str">
        <f>IF(Tableau44789101112131415161718192021[[#This Row],[Date]]="","",Tableau44789101112131415161718192021[[#This Row],[Versement]]*Variables!$F$12)</f>
        <v/>
      </c>
      <c r="G427" s="34" t="str">
        <f>IF(Tableau44789101112131415161718192021[[#This Row],[Date]]="","",(E427*(1+($C$424)/24)^V.Complémentaires!D427)-E427)</f>
        <v/>
      </c>
    </row>
    <row r="428" spans="2:7" ht="20" customHeight="1">
      <c r="B428" s="15"/>
      <c r="C428" s="16" t="str">
        <f>IF(Tableau44789101112131415161718192021[[#This Row],[Date]]="","",INT(DAYS360(DATE(YEAR(B428),1,1),B428,TRUE)/15)+1)</f>
        <v/>
      </c>
      <c r="D428" s="13" t="str">
        <f>IF(Tableau44789101112131415161718192021[[#This Row],[Date]]="","",24-C428)</f>
        <v/>
      </c>
      <c r="E428" s="13"/>
      <c r="F428" s="34" t="str">
        <f>IF(Tableau44789101112131415161718192021[[#This Row],[Date]]="","",Tableau44789101112131415161718192021[[#This Row],[Versement]]*Variables!$F$12)</f>
        <v/>
      </c>
      <c r="G428" s="34" t="str">
        <f>IF(Tableau44789101112131415161718192021[[#This Row],[Date]]="","",(E428*(1+($C$424)/24)^V.Complémentaires!D428)-E428)</f>
        <v/>
      </c>
    </row>
    <row r="429" spans="2:7" ht="20" customHeight="1">
      <c r="B429" s="13"/>
      <c r="C429" s="16" t="str">
        <f>IF(Tableau44789101112131415161718192021[[#This Row],[Date]]="","",INT(DAYS360(DATE(YEAR(B429),1,1),B429,TRUE)/15)+1)</f>
        <v/>
      </c>
      <c r="D429" s="13" t="str">
        <f>IF(Tableau44789101112131415161718192021[[#This Row],[Date]]="","",24-C429)</f>
        <v/>
      </c>
      <c r="E429" s="13"/>
      <c r="F429" s="34" t="str">
        <f>IF(Tableau44789101112131415161718192021[[#This Row],[Date]]="","",Tableau44789101112131415161718192021[[#This Row],[Versement]]*Variables!$F$12)</f>
        <v/>
      </c>
      <c r="G429" s="34" t="str">
        <f>IF(Tableau44789101112131415161718192021[[#This Row],[Date]]="","",(E429*(1+($C$424)/24)^V.Complémentaires!D429)-E429)</f>
        <v/>
      </c>
    </row>
    <row r="430" spans="2:7" ht="20" customHeight="1">
      <c r="B430" s="13"/>
      <c r="C430" s="16" t="str">
        <f>IF(Tableau44789101112131415161718192021[[#This Row],[Date]]="","",INT(DAYS360(DATE(YEAR(B430),1,1),B430,TRUE)/15)+1)</f>
        <v/>
      </c>
      <c r="D430" s="13" t="str">
        <f>IF(Tableau44789101112131415161718192021[[#This Row],[Date]]="","",24-C430)</f>
        <v/>
      </c>
      <c r="E430" s="13"/>
      <c r="F430" s="34" t="str">
        <f>IF(Tableau44789101112131415161718192021[[#This Row],[Date]]="","",Tableau44789101112131415161718192021[[#This Row],[Versement]]*Variables!$F$12)</f>
        <v/>
      </c>
      <c r="G430" s="34" t="str">
        <f>IF(Tableau44789101112131415161718192021[[#This Row],[Date]]="","",(E430*(1+($C$424)/24)^V.Complémentaires!D430)-E430)</f>
        <v/>
      </c>
    </row>
    <row r="431" spans="2:7" ht="20" customHeight="1">
      <c r="B431" s="13"/>
      <c r="C431" s="16" t="str">
        <f>IF(Tableau44789101112131415161718192021[[#This Row],[Date]]="","",INT(DAYS360(DATE(YEAR(B431),1,1),B431,TRUE)/15)+1)</f>
        <v/>
      </c>
      <c r="D431" s="13" t="str">
        <f>IF(Tableau44789101112131415161718192021[[#This Row],[Date]]="","",24-C431)</f>
        <v/>
      </c>
      <c r="E431" s="13"/>
      <c r="F431" s="34" t="str">
        <f>IF(Tableau44789101112131415161718192021[[#This Row],[Date]]="","",Tableau44789101112131415161718192021[[#This Row],[Versement]]*Variables!$F$12)</f>
        <v/>
      </c>
      <c r="G431" s="34" t="str">
        <f>IF(Tableau44789101112131415161718192021[[#This Row],[Date]]="","",(E431*(1+($C$424)/24)^V.Complémentaires!D431)-E431)</f>
        <v/>
      </c>
    </row>
    <row r="432" spans="2:7" ht="20" customHeight="1">
      <c r="B432" s="13"/>
      <c r="C432" s="16" t="str">
        <f>IF(Tableau44789101112131415161718192021[[#This Row],[Date]]="","",INT(DAYS360(DATE(YEAR(B432),1,1),B432,TRUE)/15)+1)</f>
        <v/>
      </c>
      <c r="D432" s="13" t="str">
        <f>IF(Tableau44789101112131415161718192021[[#This Row],[Date]]="","",24-C432)</f>
        <v/>
      </c>
      <c r="E432" s="13"/>
      <c r="F432" s="34" t="str">
        <f>IF(Tableau44789101112131415161718192021[[#This Row],[Date]]="","",Tableau44789101112131415161718192021[[#This Row],[Versement]]*Variables!$F$12)</f>
        <v/>
      </c>
      <c r="G432" s="34" t="str">
        <f>IF(Tableau44789101112131415161718192021[[#This Row],[Date]]="","",(E432*(1+($C$424)/24)^V.Complémentaires!D432)-E432)</f>
        <v/>
      </c>
    </row>
    <row r="433" spans="2:7" ht="20" customHeight="1">
      <c r="B433" s="13"/>
      <c r="C433" s="16" t="str">
        <f>IF(Tableau44789101112131415161718192021[[#This Row],[Date]]="","",INT(DAYS360(DATE(YEAR(B433),1,1),B433,TRUE)/15)+1)</f>
        <v/>
      </c>
      <c r="D433" s="13" t="str">
        <f>IF(Tableau44789101112131415161718192021[[#This Row],[Date]]="","",24-C433)</f>
        <v/>
      </c>
      <c r="E433" s="13"/>
      <c r="F433" s="34" t="str">
        <f>IF(Tableau44789101112131415161718192021[[#This Row],[Date]]="","",Tableau44789101112131415161718192021[[#This Row],[Versement]]*Variables!$F$12)</f>
        <v/>
      </c>
      <c r="G433" s="34" t="str">
        <f>IF(Tableau44789101112131415161718192021[[#This Row],[Date]]="","",(E433*(1+($C$424)/24)^V.Complémentaires!D433)-E433)</f>
        <v/>
      </c>
    </row>
    <row r="434" spans="2:7" ht="20" customHeight="1">
      <c r="B434" s="15"/>
      <c r="C434" s="16" t="str">
        <f>IF(Tableau44789101112131415161718192021[[#This Row],[Date]]="","",INT(DAYS360(DATE(YEAR(B434),1,1),B434,TRUE)/15)+1)</f>
        <v/>
      </c>
      <c r="D434" s="13" t="str">
        <f>IF(Tableau44789101112131415161718192021[[#This Row],[Date]]="","",24-C434)</f>
        <v/>
      </c>
      <c r="E434" s="13"/>
      <c r="F434" s="34" t="str">
        <f>IF(Tableau44789101112131415161718192021[[#This Row],[Date]]="","",Tableau44789101112131415161718192021[[#This Row],[Versement]]*Variables!$F$12)</f>
        <v/>
      </c>
      <c r="G434" s="34" t="str">
        <f>IF(Tableau44789101112131415161718192021[[#This Row],[Date]]="","",(E434*(1+($C$424)/24)^V.Complémentaires!D434)-E434)</f>
        <v/>
      </c>
    </row>
    <row r="435" spans="2:7" ht="20" customHeight="1">
      <c r="B435" s="13"/>
      <c r="C435" s="16" t="str">
        <f>IF(Tableau44789101112131415161718192021[[#This Row],[Date]]="","",INT(DAYS360(DATE(YEAR(B435),1,1),B435,TRUE)/15)+1)</f>
        <v/>
      </c>
      <c r="D435" s="13" t="str">
        <f>IF(Tableau44789101112131415161718192021[[#This Row],[Date]]="","",24-C435)</f>
        <v/>
      </c>
      <c r="E435" s="13"/>
      <c r="F435" s="34" t="str">
        <f>IF(Tableau44789101112131415161718192021[[#This Row],[Date]]="","",Tableau44789101112131415161718192021[[#This Row],[Versement]]*Variables!$F$12)</f>
        <v/>
      </c>
      <c r="G435" s="34" t="str">
        <f>IF(Tableau44789101112131415161718192021[[#This Row],[Date]]="","",(E435*(1+($C$424)/24)^V.Complémentaires!D435)-E435)</f>
        <v/>
      </c>
    </row>
    <row r="436" spans="2:7" ht="20" customHeight="1">
      <c r="B436" s="13"/>
      <c r="C436" s="16" t="str">
        <f>IF(Tableau44789101112131415161718192021[[#This Row],[Date]]="","",INT(DAYS360(DATE(YEAR(B436),1,1),B436,TRUE)/15)+1)</f>
        <v/>
      </c>
      <c r="D436" s="13" t="str">
        <f>IF(Tableau44789101112131415161718192021[[#This Row],[Date]]="","",24-C436)</f>
        <v/>
      </c>
      <c r="E436" s="13"/>
      <c r="F436" s="34" t="str">
        <f>IF(Tableau44789101112131415161718192021[[#This Row],[Date]]="","",Tableau44789101112131415161718192021[[#This Row],[Versement]]*Variables!$F$12)</f>
        <v/>
      </c>
      <c r="G436" s="34" t="str">
        <f>IF(Tableau44789101112131415161718192021[[#This Row],[Date]]="","",(E436*(1+($C$424)/24)^V.Complémentaires!D436)-E436)</f>
        <v/>
      </c>
    </row>
    <row r="437" spans="2:7" ht="20" customHeight="1">
      <c r="B437" s="13"/>
      <c r="C437" s="16" t="str">
        <f>IF(Tableau44789101112131415161718192021[[#This Row],[Date]]="","",INT(DAYS360(DATE(YEAR(B437),1,1),B437,TRUE)/15)+1)</f>
        <v/>
      </c>
      <c r="D437" s="13" t="str">
        <f>IF(Tableau44789101112131415161718192021[[#This Row],[Date]]="","",24-C437)</f>
        <v/>
      </c>
      <c r="E437" s="13"/>
      <c r="F437" s="34" t="str">
        <f>IF(Tableau44789101112131415161718192021[[#This Row],[Date]]="","",Tableau44789101112131415161718192021[[#This Row],[Versement]]*Variables!$F$12)</f>
        <v/>
      </c>
      <c r="G437" s="34" t="str">
        <f>IF(Tableau44789101112131415161718192021[[#This Row],[Date]]="","",(E437*(1+($C$424)/24)^V.Complémentaires!D437)-E437)</f>
        <v/>
      </c>
    </row>
    <row r="438" spans="2:7" ht="20" customHeight="1">
      <c r="B438" s="13"/>
      <c r="C438" s="16" t="str">
        <f>IF(Tableau44789101112131415161718192021[[#This Row],[Date]]="","",INT(DAYS360(DATE(YEAR(B438),1,1),B438,TRUE)/15)+1)</f>
        <v/>
      </c>
      <c r="D438" s="13" t="str">
        <f>IF(Tableau44789101112131415161718192021[[#This Row],[Date]]="","",24-C438)</f>
        <v/>
      </c>
      <c r="E438" s="13"/>
      <c r="F438" s="34" t="str">
        <f>IF(Tableau44789101112131415161718192021[[#This Row],[Date]]="","",Tableau44789101112131415161718192021[[#This Row],[Versement]]*Variables!$F$12)</f>
        <v/>
      </c>
      <c r="G438" s="34" t="str">
        <f>IF(Tableau44789101112131415161718192021[[#This Row],[Date]]="","",(E438*(1+($C$424)/24)^V.Complémentaires!D438)-E438)</f>
        <v/>
      </c>
    </row>
    <row r="439" spans="2:7" ht="20" customHeight="1">
      <c r="B439" s="13"/>
      <c r="C439" s="16" t="str">
        <f>IF(Tableau44789101112131415161718192021[[#This Row],[Date]]="","",INT(DAYS360(DATE(YEAR(B439),1,1),B439,TRUE)/15)+1)</f>
        <v/>
      </c>
      <c r="D439" s="13" t="str">
        <f>IF(Tableau44789101112131415161718192021[[#This Row],[Date]]="","",24-C439)</f>
        <v/>
      </c>
      <c r="E439" s="13"/>
      <c r="F439" s="34" t="str">
        <f>IF(Tableau44789101112131415161718192021[[#This Row],[Date]]="","",Tableau44789101112131415161718192021[[#This Row],[Versement]]*Variables!$F$12)</f>
        <v/>
      </c>
      <c r="G439" s="34" t="str">
        <f>IF(Tableau44789101112131415161718192021[[#This Row],[Date]]="","",(E439*(1+($C$424)/24)^V.Complémentaires!D439)-E439)</f>
        <v/>
      </c>
    </row>
    <row r="440" spans="2:7" ht="20" customHeight="1">
      <c r="B440" s="13"/>
      <c r="C440" s="16" t="str">
        <f>IF(Tableau44789101112131415161718192021[[#This Row],[Date]]="","",INT(DAYS360(DATE(YEAR(B440),1,1),B440,TRUE)/15)+1)</f>
        <v/>
      </c>
      <c r="D440" s="13" t="str">
        <f>IF(Tableau44789101112131415161718192021[[#This Row],[Date]]="","",24-C440)</f>
        <v/>
      </c>
      <c r="E440" s="13"/>
      <c r="F440" s="34" t="str">
        <f>IF(Tableau44789101112131415161718192021[[#This Row],[Date]]="","",Tableau44789101112131415161718192021[[#This Row],[Versement]]*Variables!$F$12)</f>
        <v/>
      </c>
      <c r="G440" s="34" t="str">
        <f>IF(Tableau44789101112131415161718192021[[#This Row],[Date]]="","",(E440*(1+($C$424)/24)^V.Complémentaires!D440)-E440)</f>
        <v/>
      </c>
    </row>
    <row r="441" spans="2:7" ht="20" customHeight="1">
      <c r="B441" s="13"/>
      <c r="C441" s="16" t="str">
        <f>IF(Tableau44789101112131415161718192021[[#This Row],[Date]]="","",INT(DAYS360(DATE(YEAR(B441),1,1),B441,TRUE)/15)+1)</f>
        <v/>
      </c>
      <c r="D441" s="13" t="str">
        <f>IF(Tableau44789101112131415161718192021[[#This Row],[Date]]="","",24-C441)</f>
        <v/>
      </c>
      <c r="E441" s="13"/>
      <c r="F441" s="34" t="str">
        <f>IF(Tableau44789101112131415161718192021[[#This Row],[Date]]="","",Tableau44789101112131415161718192021[[#This Row],[Versement]]*Variables!$F$12)</f>
        <v/>
      </c>
      <c r="G441" s="34" t="str">
        <f>IF(Tableau44789101112131415161718192021[[#This Row],[Date]]="","",(E441*(1+($C$424)/24)^V.Complémentaires!D441)-E441)</f>
        <v/>
      </c>
    </row>
    <row r="442" spans="2:7" ht="20" customHeight="1">
      <c r="B442" s="13"/>
      <c r="C442" s="16" t="str">
        <f>IF(Tableau44789101112131415161718192021[[#This Row],[Date]]="","",INT(DAYS360(DATE(YEAR(B442),1,1),B442,TRUE)/15)+1)</f>
        <v/>
      </c>
      <c r="D442" s="13" t="str">
        <f>IF(Tableau44789101112131415161718192021[[#This Row],[Date]]="","",24-C442)</f>
        <v/>
      </c>
      <c r="E442" s="13"/>
      <c r="F442" s="34" t="str">
        <f>IF(Tableau44789101112131415161718192021[[#This Row],[Date]]="","",Tableau44789101112131415161718192021[[#This Row],[Versement]]*Variables!$F$12)</f>
        <v/>
      </c>
      <c r="G442" s="34" t="str">
        <f>IF(Tableau44789101112131415161718192021[[#This Row],[Date]]="","",(E442*(1+($C$424)/24)^V.Complémentaires!D442)-E442)</f>
        <v/>
      </c>
    </row>
    <row r="443" spans="2:7" ht="20" customHeight="1">
      <c r="B443" s="13"/>
      <c r="C443" s="13"/>
      <c r="D443" s="13"/>
      <c r="E443" s="13">
        <f>SUM(Tableau44789101112131415161718192021[Versement])</f>
        <v>0</v>
      </c>
      <c r="F443" s="34">
        <f>SUBTOTAL(109,Tableau44789101112131415161718192021[Frais de versement])</f>
        <v>0</v>
      </c>
      <c r="G443" s="34">
        <f>SUM(Tableau44789101112131415161718192021[Interet])</f>
        <v>0</v>
      </c>
    </row>
    <row r="448" spans="2:7" ht="20" customHeight="1" thickBot="1"/>
    <row r="449" spans="2:7" ht="20" customHeight="1" thickBot="1">
      <c r="B449" s="10" t="s">
        <v>7</v>
      </c>
      <c r="C449" s="19">
        <f ca="1">C423+1</f>
        <v>2031</v>
      </c>
      <c r="D449" s="13"/>
      <c r="E449" s="13"/>
      <c r="F449" s="34"/>
      <c r="G449" s="34"/>
    </row>
    <row r="450" spans="2:7" ht="20" customHeight="1" thickBot="1">
      <c r="B450" s="14" t="s">
        <v>23</v>
      </c>
      <c r="C450" s="20" t="str">
        <f>IF('Tableau Projection'!I24="","",VLOOKUP(C449,'Tableau Projection'!$C$6:$L$28,7,FALSE))</f>
        <v/>
      </c>
      <c r="D450" s="13"/>
      <c r="E450" s="13"/>
      <c r="F450" s="34"/>
      <c r="G450" s="34"/>
    </row>
    <row r="451" spans="2:7" ht="35" customHeight="1">
      <c r="B451" s="13" t="s">
        <v>18</v>
      </c>
      <c r="C451" s="18" t="s">
        <v>22</v>
      </c>
      <c r="D451" s="13" t="s">
        <v>19</v>
      </c>
      <c r="E451" s="13" t="s">
        <v>20</v>
      </c>
      <c r="F451" s="57" t="s">
        <v>3</v>
      </c>
      <c r="G451" s="34" t="s">
        <v>21</v>
      </c>
    </row>
    <row r="452" spans="2:7" ht="20" customHeight="1">
      <c r="B452" s="15"/>
      <c r="C452" s="16" t="str">
        <f>IF(Tableau4478910111213141516171819202122[[#This Row],[Date]]="","",INT(DAYS360(DATE(YEAR(B452),1,1),B452,TRUE)/15)+1)</f>
        <v/>
      </c>
      <c r="D452" s="13" t="str">
        <f>IF(Tableau4478910111213141516171819202122[[#This Row],[Date]]="","",24-C452)</f>
        <v/>
      </c>
      <c r="E452" s="17"/>
      <c r="F452" s="34" t="str">
        <f>IF(Tableau4478910111213141516171819202122[[#This Row],[Date]]="","",Tableau4478910111213141516171819202122[[#This Row],[Versement]]*Variables!$F$12)</f>
        <v/>
      </c>
      <c r="G452" s="34" t="str">
        <f>IF(Tableau4478910111213141516171819202122[[#This Row],[Date]]="","",(E452*(1+($C$450)/24)^V.Complémentaires!D452)-E452)</f>
        <v/>
      </c>
    </row>
    <row r="453" spans="2:7" ht="20" customHeight="1">
      <c r="B453" s="15"/>
      <c r="C453" s="16" t="str">
        <f>IF(Tableau4478910111213141516171819202122[[#This Row],[Date]]="","",INT(DAYS360(DATE(YEAR(B453),1,1),B453,TRUE)/15)+1)</f>
        <v/>
      </c>
      <c r="D453" s="13" t="str">
        <f>IF(Tableau4478910111213141516171819202122[[#This Row],[Date]]="","",24-C453)</f>
        <v/>
      </c>
      <c r="E453" s="13"/>
      <c r="F453" s="34" t="str">
        <f>IF(Tableau4478910111213141516171819202122[[#This Row],[Date]]="","",Tableau4478910111213141516171819202122[[#This Row],[Versement]]*Variables!$F$12)</f>
        <v/>
      </c>
      <c r="G453" s="34" t="str">
        <f>IF(Tableau4478910111213141516171819202122[[#This Row],[Date]]="","",(E453*(1+($C$450)/24)^V.Complémentaires!D453)-E453)</f>
        <v/>
      </c>
    </row>
    <row r="454" spans="2:7" ht="20" customHeight="1">
      <c r="B454" s="15"/>
      <c r="C454" s="16" t="str">
        <f>IF(Tableau4478910111213141516171819202122[[#This Row],[Date]]="","",INT(DAYS360(DATE(YEAR(B454),1,1),B454,TRUE)/15)+1)</f>
        <v/>
      </c>
      <c r="D454" s="13" t="str">
        <f>IF(Tableau4478910111213141516171819202122[[#This Row],[Date]]="","",24-C454)</f>
        <v/>
      </c>
      <c r="E454" s="13"/>
      <c r="F454" s="34" t="str">
        <f>IF(Tableau4478910111213141516171819202122[[#This Row],[Date]]="","",Tableau4478910111213141516171819202122[[#This Row],[Versement]]*Variables!$F$12)</f>
        <v/>
      </c>
      <c r="G454" s="34" t="str">
        <f>IF(Tableau4478910111213141516171819202122[[#This Row],[Date]]="","",(E454*(1+($C$450)/24)^V.Complémentaires!D454)-E454)</f>
        <v/>
      </c>
    </row>
    <row r="455" spans="2:7" ht="20" customHeight="1">
      <c r="B455" s="13"/>
      <c r="C455" s="16" t="str">
        <f>IF(Tableau4478910111213141516171819202122[[#This Row],[Date]]="","",INT(DAYS360(DATE(YEAR(B455),1,1),B455,TRUE)/15)+1)</f>
        <v/>
      </c>
      <c r="D455" s="13" t="str">
        <f>IF(Tableau4478910111213141516171819202122[[#This Row],[Date]]="","",24-C455)</f>
        <v/>
      </c>
      <c r="E455" s="13"/>
      <c r="F455" s="34" t="str">
        <f>IF(Tableau4478910111213141516171819202122[[#This Row],[Date]]="","",Tableau4478910111213141516171819202122[[#This Row],[Versement]]*Variables!$F$12)</f>
        <v/>
      </c>
      <c r="G455" s="34" t="str">
        <f>IF(Tableau4478910111213141516171819202122[[#This Row],[Date]]="","",(E455*(1+($C$450)/24)^V.Complémentaires!D455)-E455)</f>
        <v/>
      </c>
    </row>
    <row r="456" spans="2:7" ht="20" customHeight="1">
      <c r="B456" s="13"/>
      <c r="C456" s="16" t="str">
        <f>IF(Tableau4478910111213141516171819202122[[#This Row],[Date]]="","",INT(DAYS360(DATE(YEAR(B456),1,1),B456,TRUE)/15)+1)</f>
        <v/>
      </c>
      <c r="D456" s="13" t="str">
        <f>IF(Tableau4478910111213141516171819202122[[#This Row],[Date]]="","",24-C456)</f>
        <v/>
      </c>
      <c r="E456" s="13"/>
      <c r="F456" s="34" t="str">
        <f>IF(Tableau4478910111213141516171819202122[[#This Row],[Date]]="","",Tableau4478910111213141516171819202122[[#This Row],[Versement]]*Variables!$F$12)</f>
        <v/>
      </c>
      <c r="G456" s="34" t="str">
        <f>IF(Tableau4478910111213141516171819202122[[#This Row],[Date]]="","",(E456*(1+($C$450)/24)^V.Complémentaires!D456)-E456)</f>
        <v/>
      </c>
    </row>
    <row r="457" spans="2:7" ht="20" customHeight="1">
      <c r="B457" s="13"/>
      <c r="C457" s="16" t="str">
        <f>IF(Tableau4478910111213141516171819202122[[#This Row],[Date]]="","",INT(DAYS360(DATE(YEAR(B457),1,1),B457,TRUE)/15)+1)</f>
        <v/>
      </c>
      <c r="D457" s="13" t="str">
        <f>IF(Tableau4478910111213141516171819202122[[#This Row],[Date]]="","",24-C457)</f>
        <v/>
      </c>
      <c r="E457" s="13"/>
      <c r="F457" s="34" t="str">
        <f>IF(Tableau4478910111213141516171819202122[[#This Row],[Date]]="","",Tableau4478910111213141516171819202122[[#This Row],[Versement]]*Variables!$F$12)</f>
        <v/>
      </c>
      <c r="G457" s="34" t="str">
        <f>IF(Tableau4478910111213141516171819202122[[#This Row],[Date]]="","",(E457*(1+($C$450)/24)^V.Complémentaires!D457)-E457)</f>
        <v/>
      </c>
    </row>
    <row r="458" spans="2:7" ht="20" customHeight="1">
      <c r="B458" s="13"/>
      <c r="C458" s="16" t="str">
        <f>IF(Tableau4478910111213141516171819202122[[#This Row],[Date]]="","",INT(DAYS360(DATE(YEAR(B458),1,1),B458,TRUE)/15)+1)</f>
        <v/>
      </c>
      <c r="D458" s="13" t="str">
        <f>IF(Tableau4478910111213141516171819202122[[#This Row],[Date]]="","",24-C458)</f>
        <v/>
      </c>
      <c r="E458" s="13"/>
      <c r="F458" s="34" t="str">
        <f>IF(Tableau4478910111213141516171819202122[[#This Row],[Date]]="","",Tableau4478910111213141516171819202122[[#This Row],[Versement]]*Variables!$F$12)</f>
        <v/>
      </c>
      <c r="G458" s="34" t="str">
        <f>IF(Tableau4478910111213141516171819202122[[#This Row],[Date]]="","",(E458*(1+($C$450)/24)^V.Complémentaires!D458)-E458)</f>
        <v/>
      </c>
    </row>
    <row r="459" spans="2:7" ht="20" customHeight="1">
      <c r="B459" s="13"/>
      <c r="C459" s="16" t="str">
        <f>IF(Tableau4478910111213141516171819202122[[#This Row],[Date]]="","",INT(DAYS360(DATE(YEAR(B459),1,1),B459,TRUE)/15)+1)</f>
        <v/>
      </c>
      <c r="D459" s="13" t="str">
        <f>IF(Tableau4478910111213141516171819202122[[#This Row],[Date]]="","",24-C459)</f>
        <v/>
      </c>
      <c r="E459" s="13"/>
      <c r="F459" s="34" t="str">
        <f>IF(Tableau4478910111213141516171819202122[[#This Row],[Date]]="","",Tableau4478910111213141516171819202122[[#This Row],[Versement]]*Variables!$F$12)</f>
        <v/>
      </c>
      <c r="G459" s="34" t="str">
        <f>IF(Tableau4478910111213141516171819202122[[#This Row],[Date]]="","",(E459*(1+($C$450)/24)^V.Complémentaires!D459)-E459)</f>
        <v/>
      </c>
    </row>
    <row r="460" spans="2:7" ht="20" customHeight="1">
      <c r="B460" s="15"/>
      <c r="C460" s="16" t="str">
        <f>IF(Tableau4478910111213141516171819202122[[#This Row],[Date]]="","",INT(DAYS360(DATE(YEAR(B460),1,1),B460,TRUE)/15)+1)</f>
        <v/>
      </c>
      <c r="D460" s="13" t="str">
        <f>IF(Tableau4478910111213141516171819202122[[#This Row],[Date]]="","",24-C460)</f>
        <v/>
      </c>
      <c r="E460" s="13"/>
      <c r="F460" s="34" t="str">
        <f>IF(Tableau4478910111213141516171819202122[[#This Row],[Date]]="","",Tableau4478910111213141516171819202122[[#This Row],[Versement]]*Variables!$F$12)</f>
        <v/>
      </c>
      <c r="G460" s="34" t="str">
        <f>IF(Tableau4478910111213141516171819202122[[#This Row],[Date]]="","",(E460*(1+($C$450)/24)^V.Complémentaires!D460)-E460)</f>
        <v/>
      </c>
    </row>
    <row r="461" spans="2:7" ht="20" customHeight="1">
      <c r="B461" s="13"/>
      <c r="C461" s="16" t="str">
        <f>IF(Tableau4478910111213141516171819202122[[#This Row],[Date]]="","",INT(DAYS360(DATE(YEAR(B461),1,1),B461,TRUE)/15)+1)</f>
        <v/>
      </c>
      <c r="D461" s="13" t="str">
        <f>IF(Tableau4478910111213141516171819202122[[#This Row],[Date]]="","",24-C461)</f>
        <v/>
      </c>
      <c r="E461" s="13"/>
      <c r="F461" s="34" t="str">
        <f>IF(Tableau4478910111213141516171819202122[[#This Row],[Date]]="","",Tableau4478910111213141516171819202122[[#This Row],[Versement]]*Variables!$F$12)</f>
        <v/>
      </c>
      <c r="G461" s="34" t="str">
        <f>IF(Tableau4478910111213141516171819202122[[#This Row],[Date]]="","",(E461*(1+($C$450)/24)^V.Complémentaires!D461)-E461)</f>
        <v/>
      </c>
    </row>
    <row r="462" spans="2:7" ht="20" customHeight="1">
      <c r="B462" s="13"/>
      <c r="C462" s="16" t="str">
        <f>IF(Tableau4478910111213141516171819202122[[#This Row],[Date]]="","",INT(DAYS360(DATE(YEAR(B462),1,1),B462,TRUE)/15)+1)</f>
        <v/>
      </c>
      <c r="D462" s="13" t="str">
        <f>IF(Tableau4478910111213141516171819202122[[#This Row],[Date]]="","",24-C462)</f>
        <v/>
      </c>
      <c r="E462" s="13"/>
      <c r="F462" s="34" t="str">
        <f>IF(Tableau4478910111213141516171819202122[[#This Row],[Date]]="","",Tableau4478910111213141516171819202122[[#This Row],[Versement]]*Variables!$F$12)</f>
        <v/>
      </c>
      <c r="G462" s="34" t="str">
        <f>IF(Tableau4478910111213141516171819202122[[#This Row],[Date]]="","",(E462*(1+($C$450)/24)^V.Complémentaires!D462)-E462)</f>
        <v/>
      </c>
    </row>
    <row r="463" spans="2:7" ht="20" customHeight="1">
      <c r="B463" s="13"/>
      <c r="C463" s="16" t="str">
        <f>IF(Tableau4478910111213141516171819202122[[#This Row],[Date]]="","",INT(DAYS360(DATE(YEAR(B463),1,1),B463,TRUE)/15)+1)</f>
        <v/>
      </c>
      <c r="D463" s="13" t="str">
        <f>IF(Tableau4478910111213141516171819202122[[#This Row],[Date]]="","",24-C463)</f>
        <v/>
      </c>
      <c r="E463" s="13"/>
      <c r="F463" s="34" t="str">
        <f>IF(Tableau4478910111213141516171819202122[[#This Row],[Date]]="","",Tableau4478910111213141516171819202122[[#This Row],[Versement]]*Variables!$F$12)</f>
        <v/>
      </c>
      <c r="G463" s="34" t="str">
        <f>IF(Tableau4478910111213141516171819202122[[#This Row],[Date]]="","",(E463*(1+($C$450)/24)^V.Complémentaires!D463)-E463)</f>
        <v/>
      </c>
    </row>
    <row r="464" spans="2:7" ht="20" customHeight="1">
      <c r="B464" s="13"/>
      <c r="C464" s="16" t="str">
        <f>IF(Tableau4478910111213141516171819202122[[#This Row],[Date]]="","",INT(DAYS360(DATE(YEAR(B464),1,1),B464,TRUE)/15)+1)</f>
        <v/>
      </c>
      <c r="D464" s="13" t="str">
        <f>IF(Tableau4478910111213141516171819202122[[#This Row],[Date]]="","",24-C464)</f>
        <v/>
      </c>
      <c r="E464" s="13"/>
      <c r="F464" s="34" t="str">
        <f>IF(Tableau4478910111213141516171819202122[[#This Row],[Date]]="","",Tableau4478910111213141516171819202122[[#This Row],[Versement]]*Variables!$F$12)</f>
        <v/>
      </c>
      <c r="G464" s="34" t="str">
        <f>IF(Tableau4478910111213141516171819202122[[#This Row],[Date]]="","",(E464*(1+($C$450)/24)^V.Complémentaires!D464)-E464)</f>
        <v/>
      </c>
    </row>
    <row r="465" spans="2:7" ht="20" customHeight="1">
      <c r="B465" s="13"/>
      <c r="C465" s="16" t="str">
        <f>IF(Tableau4478910111213141516171819202122[[#This Row],[Date]]="","",INT(DAYS360(DATE(YEAR(B465),1,1),B465,TRUE)/15)+1)</f>
        <v/>
      </c>
      <c r="D465" s="13" t="str">
        <f>IF(Tableau4478910111213141516171819202122[[#This Row],[Date]]="","",24-C465)</f>
        <v/>
      </c>
      <c r="E465" s="13"/>
      <c r="F465" s="34" t="str">
        <f>IF(Tableau4478910111213141516171819202122[[#This Row],[Date]]="","",Tableau4478910111213141516171819202122[[#This Row],[Versement]]*Variables!$F$12)</f>
        <v/>
      </c>
      <c r="G465" s="34" t="str">
        <f>IF(Tableau4478910111213141516171819202122[[#This Row],[Date]]="","",(E465*(1+($C$450)/24)^V.Complémentaires!D465)-E465)</f>
        <v/>
      </c>
    </row>
    <row r="466" spans="2:7" ht="20" customHeight="1">
      <c r="B466" s="13"/>
      <c r="C466" s="16" t="str">
        <f>IF(Tableau4478910111213141516171819202122[[#This Row],[Date]]="","",INT(DAYS360(DATE(YEAR(B466),1,1),B466,TRUE)/15)+1)</f>
        <v/>
      </c>
      <c r="D466" s="13" t="str">
        <f>IF(Tableau4478910111213141516171819202122[[#This Row],[Date]]="","",24-C466)</f>
        <v/>
      </c>
      <c r="E466" s="13"/>
      <c r="F466" s="34" t="str">
        <f>IF(Tableau4478910111213141516171819202122[[#This Row],[Date]]="","",Tableau4478910111213141516171819202122[[#This Row],[Versement]]*Variables!$F$12)</f>
        <v/>
      </c>
      <c r="G466" s="34" t="str">
        <f>IF(Tableau4478910111213141516171819202122[[#This Row],[Date]]="","",(E466*(1+($C$450)/24)^V.Complémentaires!D466)-E466)</f>
        <v/>
      </c>
    </row>
    <row r="467" spans="2:7" ht="20" customHeight="1">
      <c r="B467" s="13"/>
      <c r="C467" s="16" t="str">
        <f>IF(Tableau4478910111213141516171819202122[[#This Row],[Date]]="","",INT(DAYS360(DATE(YEAR(B467),1,1),B467,TRUE)/15)+1)</f>
        <v/>
      </c>
      <c r="D467" s="13" t="str">
        <f>IF(Tableau4478910111213141516171819202122[[#This Row],[Date]]="","",24-C467)</f>
        <v/>
      </c>
      <c r="E467" s="13"/>
      <c r="F467" s="34" t="str">
        <f>IF(Tableau4478910111213141516171819202122[[#This Row],[Date]]="","",Tableau4478910111213141516171819202122[[#This Row],[Versement]]*Variables!$F$12)</f>
        <v/>
      </c>
      <c r="G467" s="34" t="str">
        <f>IF(Tableau4478910111213141516171819202122[[#This Row],[Date]]="","",(E467*(1+($C$450)/24)^V.Complémentaires!D467)-E467)</f>
        <v/>
      </c>
    </row>
    <row r="468" spans="2:7" ht="20" customHeight="1">
      <c r="B468" s="13"/>
      <c r="C468" s="16" t="str">
        <f>IF(Tableau4478910111213141516171819202122[[#This Row],[Date]]="","",INT(DAYS360(DATE(YEAR(B468),1,1),B468,TRUE)/15)+1)</f>
        <v/>
      </c>
      <c r="D468" s="13" t="str">
        <f>IF(Tableau4478910111213141516171819202122[[#This Row],[Date]]="","",24-C468)</f>
        <v/>
      </c>
      <c r="E468" s="13"/>
      <c r="F468" s="34" t="str">
        <f>IF(Tableau4478910111213141516171819202122[[#This Row],[Date]]="","",Tableau4478910111213141516171819202122[[#This Row],[Versement]]*Variables!$F$12)</f>
        <v/>
      </c>
      <c r="G468" s="34" t="str">
        <f>IF(Tableau4478910111213141516171819202122[[#This Row],[Date]]="","",(E468*(1+($C$450)/24)^V.Complémentaires!D468)-E468)</f>
        <v/>
      </c>
    </row>
    <row r="469" spans="2:7" ht="20" customHeight="1">
      <c r="B469" s="13"/>
      <c r="C469" s="13"/>
      <c r="D469" s="13"/>
      <c r="E469" s="13">
        <f>SUM(Tableau4478910111213141516171819202122[Versement])</f>
        <v>0</v>
      </c>
      <c r="F469" s="34">
        <f>SUBTOTAL(109,Tableau4478910111213141516171819202122[Frais de versement])</f>
        <v>0</v>
      </c>
      <c r="G469" s="34">
        <f>SUM(Tableau4478910111213141516171819202122[Interet])</f>
        <v>0</v>
      </c>
    </row>
    <row r="474" spans="2:7" ht="20" customHeight="1" thickBot="1"/>
    <row r="475" spans="2:7" ht="20" customHeight="1" thickBot="1">
      <c r="B475" s="10" t="s">
        <v>7</v>
      </c>
      <c r="C475" s="19">
        <f ca="1">C449+1</f>
        <v>2032</v>
      </c>
      <c r="D475" s="13"/>
      <c r="E475" s="13"/>
      <c r="F475" s="34"/>
      <c r="G475" s="34"/>
    </row>
    <row r="476" spans="2:7" ht="20" customHeight="1" thickBot="1">
      <c r="B476" s="14" t="s">
        <v>23</v>
      </c>
      <c r="C476" s="20" t="str">
        <f>IF('Tableau Projection'!I25="","",VLOOKUP(C475,'Tableau Projection'!$C$6:$L$28,7,FALSE))</f>
        <v/>
      </c>
      <c r="D476" s="13"/>
      <c r="E476" s="13"/>
      <c r="F476" s="34"/>
      <c r="G476" s="34"/>
    </row>
    <row r="477" spans="2:7" ht="35" customHeight="1">
      <c r="B477" s="13" t="s">
        <v>18</v>
      </c>
      <c r="C477" s="18" t="s">
        <v>22</v>
      </c>
      <c r="D477" s="13" t="s">
        <v>19</v>
      </c>
      <c r="E477" s="13" t="s">
        <v>20</v>
      </c>
      <c r="F477" s="57" t="s">
        <v>3</v>
      </c>
      <c r="G477" s="34" t="s">
        <v>21</v>
      </c>
    </row>
    <row r="478" spans="2:7" ht="20" customHeight="1">
      <c r="B478" s="15"/>
      <c r="C478" s="16" t="str">
        <f>IF(Tableau447891011121314151617181920212223[[#This Row],[Date]]="","",INT(DAYS360(DATE(YEAR(B478),1,1),B478,TRUE)/15)+1)</f>
        <v/>
      </c>
      <c r="D478" s="13" t="str">
        <f>IF(Tableau447891011121314151617181920212223[[#This Row],[Date]]="","",24-C478)</f>
        <v/>
      </c>
      <c r="E478" s="17"/>
      <c r="F478" s="34" t="str">
        <f>IF(Tableau447891011121314151617181920212223[[#This Row],[Date]]="","",Tableau447891011121314151617181920212223[[#This Row],[Versement]]*Variables!$F$12)</f>
        <v/>
      </c>
      <c r="G478" s="34" t="str">
        <f>IF(Tableau447891011121314151617181920212223[[#This Row],[Date]]="","",(E478*(1+($C$476)/24)^V.Complémentaires!D478)-E478)</f>
        <v/>
      </c>
    </row>
    <row r="479" spans="2:7" ht="20" customHeight="1">
      <c r="B479" s="15"/>
      <c r="C479" s="16" t="str">
        <f>IF(Tableau447891011121314151617181920212223[[#This Row],[Date]]="","",INT(DAYS360(DATE(YEAR(B479),1,1),B479,TRUE)/15)+1)</f>
        <v/>
      </c>
      <c r="D479" s="13" t="str">
        <f>IF(Tableau447891011121314151617181920212223[[#This Row],[Date]]="","",24-C479)</f>
        <v/>
      </c>
      <c r="E479" s="13"/>
      <c r="F479" s="34" t="str">
        <f>IF(Tableau447891011121314151617181920212223[[#This Row],[Date]]="","",Tableau447891011121314151617181920212223[[#This Row],[Versement]]*Variables!$F$12)</f>
        <v/>
      </c>
      <c r="G479" s="34" t="str">
        <f>IF(Tableau447891011121314151617181920212223[[#This Row],[Date]]="","",(E479*(1+($C$476)/24)^V.Complémentaires!D479)-E479)</f>
        <v/>
      </c>
    </row>
    <row r="480" spans="2:7" ht="20" customHeight="1">
      <c r="B480" s="15"/>
      <c r="C480" s="16" t="str">
        <f>IF(Tableau447891011121314151617181920212223[[#This Row],[Date]]="","",INT(DAYS360(DATE(YEAR(B480),1,1),B480,TRUE)/15)+1)</f>
        <v/>
      </c>
      <c r="D480" s="13" t="str">
        <f>IF(Tableau447891011121314151617181920212223[[#This Row],[Date]]="","",24-C480)</f>
        <v/>
      </c>
      <c r="E480" s="13"/>
      <c r="F480" s="34" t="str">
        <f>IF(Tableau447891011121314151617181920212223[[#This Row],[Date]]="","",Tableau447891011121314151617181920212223[[#This Row],[Versement]]*Variables!$F$12)</f>
        <v/>
      </c>
      <c r="G480" s="34" t="str">
        <f>IF(Tableau447891011121314151617181920212223[[#This Row],[Date]]="","",(E480*(1+($C$476)/24)^V.Complémentaires!D480)-E480)</f>
        <v/>
      </c>
    </row>
    <row r="481" spans="2:7" ht="20" customHeight="1">
      <c r="B481" s="13"/>
      <c r="C481" s="16" t="str">
        <f>IF(Tableau447891011121314151617181920212223[[#This Row],[Date]]="","",INT(DAYS360(DATE(YEAR(B481),1,1),B481,TRUE)/15)+1)</f>
        <v/>
      </c>
      <c r="D481" s="13" t="str">
        <f>IF(Tableau447891011121314151617181920212223[[#This Row],[Date]]="","",24-C481)</f>
        <v/>
      </c>
      <c r="E481" s="13"/>
      <c r="F481" s="34" t="str">
        <f>IF(Tableau447891011121314151617181920212223[[#This Row],[Date]]="","",Tableau447891011121314151617181920212223[[#This Row],[Versement]]*Variables!$F$12)</f>
        <v/>
      </c>
      <c r="G481" s="34" t="str">
        <f>IF(Tableau447891011121314151617181920212223[[#This Row],[Date]]="","",(E481*(1+($C$476)/24)^V.Complémentaires!D481)-E481)</f>
        <v/>
      </c>
    </row>
    <row r="482" spans="2:7" ht="20" customHeight="1">
      <c r="B482" s="13"/>
      <c r="C482" s="16" t="str">
        <f>IF(Tableau447891011121314151617181920212223[[#This Row],[Date]]="","",INT(DAYS360(DATE(YEAR(B482),1,1),B482,TRUE)/15)+1)</f>
        <v/>
      </c>
      <c r="D482" s="13" t="str">
        <f>IF(Tableau447891011121314151617181920212223[[#This Row],[Date]]="","",24-C482)</f>
        <v/>
      </c>
      <c r="E482" s="13"/>
      <c r="F482" s="34" t="str">
        <f>IF(Tableau447891011121314151617181920212223[[#This Row],[Date]]="","",Tableau447891011121314151617181920212223[[#This Row],[Versement]]*Variables!$F$12)</f>
        <v/>
      </c>
      <c r="G482" s="34" t="str">
        <f>IF(Tableau447891011121314151617181920212223[[#This Row],[Date]]="","",(E482*(1+($C$476)/24)^V.Complémentaires!D482)-E482)</f>
        <v/>
      </c>
    </row>
    <row r="483" spans="2:7" ht="20" customHeight="1">
      <c r="B483" s="13"/>
      <c r="C483" s="16" t="str">
        <f>IF(Tableau447891011121314151617181920212223[[#This Row],[Date]]="","",INT(DAYS360(DATE(YEAR(B483),1,1),B483,TRUE)/15)+1)</f>
        <v/>
      </c>
      <c r="D483" s="13" t="str">
        <f>IF(Tableau447891011121314151617181920212223[[#This Row],[Date]]="","",24-C483)</f>
        <v/>
      </c>
      <c r="E483" s="13"/>
      <c r="F483" s="34" t="str">
        <f>IF(Tableau447891011121314151617181920212223[[#This Row],[Date]]="","",Tableau447891011121314151617181920212223[[#This Row],[Versement]]*Variables!$F$12)</f>
        <v/>
      </c>
      <c r="G483" s="34" t="str">
        <f>IF(Tableau447891011121314151617181920212223[[#This Row],[Date]]="","",(E483*(1+($C$476)/24)^V.Complémentaires!D483)-E483)</f>
        <v/>
      </c>
    </row>
    <row r="484" spans="2:7" ht="20" customHeight="1">
      <c r="B484" s="13"/>
      <c r="C484" s="16" t="str">
        <f>IF(Tableau447891011121314151617181920212223[[#This Row],[Date]]="","",INT(DAYS360(DATE(YEAR(B484),1,1),B484,TRUE)/15)+1)</f>
        <v/>
      </c>
      <c r="D484" s="13" t="str">
        <f>IF(Tableau447891011121314151617181920212223[[#This Row],[Date]]="","",24-C484)</f>
        <v/>
      </c>
      <c r="E484" s="13"/>
      <c r="F484" s="34" t="str">
        <f>IF(Tableau447891011121314151617181920212223[[#This Row],[Date]]="","",Tableau447891011121314151617181920212223[[#This Row],[Versement]]*Variables!$F$12)</f>
        <v/>
      </c>
      <c r="G484" s="34" t="str">
        <f>IF(Tableau447891011121314151617181920212223[[#This Row],[Date]]="","",(E484*(1+($C$476)/24)^V.Complémentaires!D484)-E484)</f>
        <v/>
      </c>
    </row>
    <row r="485" spans="2:7" ht="20" customHeight="1">
      <c r="B485" s="13"/>
      <c r="C485" s="16" t="str">
        <f>IF(Tableau447891011121314151617181920212223[[#This Row],[Date]]="","",INT(DAYS360(DATE(YEAR(B485),1,1),B485,TRUE)/15)+1)</f>
        <v/>
      </c>
      <c r="D485" s="13" t="str">
        <f>IF(Tableau447891011121314151617181920212223[[#This Row],[Date]]="","",24-C485)</f>
        <v/>
      </c>
      <c r="E485" s="13"/>
      <c r="F485" s="34" t="str">
        <f>IF(Tableau447891011121314151617181920212223[[#This Row],[Date]]="","",Tableau447891011121314151617181920212223[[#This Row],[Versement]]*Variables!$F$12)</f>
        <v/>
      </c>
      <c r="G485" s="34" t="str">
        <f>IF(Tableau447891011121314151617181920212223[[#This Row],[Date]]="","",(E485*(1+($C$476)/24)^V.Complémentaires!D485)-E485)</f>
        <v/>
      </c>
    </row>
    <row r="486" spans="2:7" ht="20" customHeight="1">
      <c r="B486" s="15"/>
      <c r="C486" s="16" t="str">
        <f>IF(Tableau447891011121314151617181920212223[[#This Row],[Date]]="","",INT(DAYS360(DATE(YEAR(B486),1,1),B486,TRUE)/15)+1)</f>
        <v/>
      </c>
      <c r="D486" s="13" t="str">
        <f>IF(Tableau447891011121314151617181920212223[[#This Row],[Date]]="","",24-C486)</f>
        <v/>
      </c>
      <c r="E486" s="13"/>
      <c r="F486" s="34" t="str">
        <f>IF(Tableau447891011121314151617181920212223[[#This Row],[Date]]="","",Tableau447891011121314151617181920212223[[#This Row],[Versement]]*Variables!$F$12)</f>
        <v/>
      </c>
      <c r="G486" s="34" t="str">
        <f>IF(Tableau447891011121314151617181920212223[[#This Row],[Date]]="","",(E486*(1+($C$476)/24)^V.Complémentaires!D486)-E486)</f>
        <v/>
      </c>
    </row>
    <row r="487" spans="2:7" ht="20" customHeight="1">
      <c r="B487" s="13"/>
      <c r="C487" s="16" t="str">
        <f>IF(Tableau447891011121314151617181920212223[[#This Row],[Date]]="","",INT(DAYS360(DATE(YEAR(B487),1,1),B487,TRUE)/15)+1)</f>
        <v/>
      </c>
      <c r="D487" s="13" t="str">
        <f>IF(Tableau447891011121314151617181920212223[[#This Row],[Date]]="","",24-C487)</f>
        <v/>
      </c>
      <c r="E487" s="13"/>
      <c r="F487" s="34" t="str">
        <f>IF(Tableau447891011121314151617181920212223[[#This Row],[Date]]="","",Tableau447891011121314151617181920212223[[#This Row],[Versement]]*Variables!$F$12)</f>
        <v/>
      </c>
      <c r="G487" s="34" t="str">
        <f>IF(Tableau447891011121314151617181920212223[[#This Row],[Date]]="","",(E487*(1+($C$476)/24)^V.Complémentaires!D487)-E487)</f>
        <v/>
      </c>
    </row>
    <row r="488" spans="2:7" ht="20" customHeight="1">
      <c r="B488" s="13"/>
      <c r="C488" s="16" t="str">
        <f>IF(Tableau447891011121314151617181920212223[[#This Row],[Date]]="","",INT(DAYS360(DATE(YEAR(B488),1,1),B488,TRUE)/15)+1)</f>
        <v/>
      </c>
      <c r="D488" s="13" t="str">
        <f>IF(Tableau447891011121314151617181920212223[[#This Row],[Date]]="","",24-C488)</f>
        <v/>
      </c>
      <c r="E488" s="13"/>
      <c r="F488" s="34" t="str">
        <f>IF(Tableau447891011121314151617181920212223[[#This Row],[Date]]="","",Tableau447891011121314151617181920212223[[#This Row],[Versement]]*Variables!$F$12)</f>
        <v/>
      </c>
      <c r="G488" s="34" t="str">
        <f>IF(Tableau447891011121314151617181920212223[[#This Row],[Date]]="","",(E488*(1+($C$476)/24)^V.Complémentaires!D488)-E488)</f>
        <v/>
      </c>
    </row>
    <row r="489" spans="2:7" ht="20" customHeight="1">
      <c r="B489" s="13"/>
      <c r="C489" s="16" t="str">
        <f>IF(Tableau447891011121314151617181920212223[[#This Row],[Date]]="","",INT(DAYS360(DATE(YEAR(B489),1,1),B489,TRUE)/15)+1)</f>
        <v/>
      </c>
      <c r="D489" s="13" t="str">
        <f>IF(Tableau447891011121314151617181920212223[[#This Row],[Date]]="","",24-C489)</f>
        <v/>
      </c>
      <c r="E489" s="13"/>
      <c r="F489" s="34" t="str">
        <f>IF(Tableau447891011121314151617181920212223[[#This Row],[Date]]="","",Tableau447891011121314151617181920212223[[#This Row],[Versement]]*Variables!$F$12)</f>
        <v/>
      </c>
      <c r="G489" s="34" t="str">
        <f>IF(Tableau447891011121314151617181920212223[[#This Row],[Date]]="","",(E489*(1+($C$476)/24)^V.Complémentaires!D489)-E489)</f>
        <v/>
      </c>
    </row>
    <row r="490" spans="2:7" ht="20" customHeight="1">
      <c r="B490" s="13"/>
      <c r="C490" s="16" t="str">
        <f>IF(Tableau447891011121314151617181920212223[[#This Row],[Date]]="","",INT(DAYS360(DATE(YEAR(B490),1,1),B490,TRUE)/15)+1)</f>
        <v/>
      </c>
      <c r="D490" s="13" t="str">
        <f>IF(Tableau447891011121314151617181920212223[[#This Row],[Date]]="","",24-C490)</f>
        <v/>
      </c>
      <c r="E490" s="13"/>
      <c r="F490" s="34" t="str">
        <f>IF(Tableau447891011121314151617181920212223[[#This Row],[Date]]="","",Tableau447891011121314151617181920212223[[#This Row],[Versement]]*Variables!$F$12)</f>
        <v/>
      </c>
      <c r="G490" s="34" t="str">
        <f>IF(Tableau447891011121314151617181920212223[[#This Row],[Date]]="","",(E490*(1+($C$476)/24)^V.Complémentaires!D490)-E490)</f>
        <v/>
      </c>
    </row>
    <row r="491" spans="2:7" ht="20" customHeight="1">
      <c r="B491" s="13"/>
      <c r="C491" s="16" t="str">
        <f>IF(Tableau447891011121314151617181920212223[[#This Row],[Date]]="","",INT(DAYS360(DATE(YEAR(B491),1,1),B491,TRUE)/15)+1)</f>
        <v/>
      </c>
      <c r="D491" s="13" t="str">
        <f>IF(Tableau447891011121314151617181920212223[[#This Row],[Date]]="","",24-C491)</f>
        <v/>
      </c>
      <c r="E491" s="13"/>
      <c r="F491" s="34" t="str">
        <f>IF(Tableau447891011121314151617181920212223[[#This Row],[Date]]="","",Tableau447891011121314151617181920212223[[#This Row],[Versement]]*Variables!$F$12)</f>
        <v/>
      </c>
      <c r="G491" s="34" t="str">
        <f>IF(Tableau447891011121314151617181920212223[[#This Row],[Date]]="","",(E491*(1+($C$476)/24)^V.Complémentaires!D491)-E491)</f>
        <v/>
      </c>
    </row>
    <row r="492" spans="2:7" ht="20" customHeight="1">
      <c r="B492" s="13"/>
      <c r="C492" s="16" t="str">
        <f>IF(Tableau447891011121314151617181920212223[[#This Row],[Date]]="","",INT(DAYS360(DATE(YEAR(B492),1,1),B492,TRUE)/15)+1)</f>
        <v/>
      </c>
      <c r="D492" s="13" t="str">
        <f>IF(Tableau447891011121314151617181920212223[[#This Row],[Date]]="","",24-C492)</f>
        <v/>
      </c>
      <c r="E492" s="13"/>
      <c r="F492" s="34" t="str">
        <f>IF(Tableau447891011121314151617181920212223[[#This Row],[Date]]="","",Tableau447891011121314151617181920212223[[#This Row],[Versement]]*Variables!$F$12)</f>
        <v/>
      </c>
      <c r="G492" s="34" t="str">
        <f>IF(Tableau447891011121314151617181920212223[[#This Row],[Date]]="","",(E492*(1+($C$476)/24)^V.Complémentaires!D492)-E492)</f>
        <v/>
      </c>
    </row>
    <row r="493" spans="2:7" ht="20" customHeight="1">
      <c r="B493" s="13"/>
      <c r="C493" s="16" t="str">
        <f>IF(Tableau447891011121314151617181920212223[[#This Row],[Date]]="","",INT(DAYS360(DATE(YEAR(B493),1,1),B493,TRUE)/15)+1)</f>
        <v/>
      </c>
      <c r="D493" s="13" t="str">
        <f>IF(Tableau447891011121314151617181920212223[[#This Row],[Date]]="","",24-C493)</f>
        <v/>
      </c>
      <c r="E493" s="13"/>
      <c r="F493" s="34" t="str">
        <f>IF(Tableau447891011121314151617181920212223[[#This Row],[Date]]="","",Tableau447891011121314151617181920212223[[#This Row],[Versement]]*Variables!$F$12)</f>
        <v/>
      </c>
      <c r="G493" s="34" t="str">
        <f>IF(Tableau447891011121314151617181920212223[[#This Row],[Date]]="","",(E493*(1+($C$476)/24)^V.Complémentaires!D493)-E493)</f>
        <v/>
      </c>
    </row>
    <row r="494" spans="2:7" ht="20" customHeight="1">
      <c r="B494" s="13"/>
      <c r="C494" s="16" t="str">
        <f>IF(Tableau447891011121314151617181920212223[[#This Row],[Date]]="","",INT(DAYS360(DATE(YEAR(B494),1,1),B494,TRUE)/15)+1)</f>
        <v/>
      </c>
      <c r="D494" s="13" t="str">
        <f>IF(Tableau447891011121314151617181920212223[[#This Row],[Date]]="","",24-C494)</f>
        <v/>
      </c>
      <c r="E494" s="13"/>
      <c r="F494" s="34" t="str">
        <f>IF(Tableau447891011121314151617181920212223[[#This Row],[Date]]="","",Tableau447891011121314151617181920212223[[#This Row],[Versement]]*Variables!$F$12)</f>
        <v/>
      </c>
      <c r="G494" s="34" t="str">
        <f>IF(Tableau447891011121314151617181920212223[[#This Row],[Date]]="","",(E494*(1+($C$476)/24)^V.Complémentaires!D494)-E494)</f>
        <v/>
      </c>
    </row>
    <row r="495" spans="2:7" ht="20" customHeight="1">
      <c r="B495" s="13"/>
      <c r="C495" s="13"/>
      <c r="D495" s="13"/>
      <c r="E495" s="13">
        <f>SUM(Tableau447891011121314151617181920212223[Versement])</f>
        <v>0</v>
      </c>
      <c r="F495" s="34">
        <f>SUBTOTAL(109,Tableau447891011121314151617181920212223[Frais de versement])</f>
        <v>0</v>
      </c>
      <c r="G495" s="34">
        <f>SUM(Tableau447891011121314151617181920212223[Interet])</f>
        <v>0</v>
      </c>
    </row>
    <row r="500" spans="2:7" ht="20" customHeight="1" thickBot="1"/>
    <row r="501" spans="2:7" ht="20" customHeight="1" thickBot="1">
      <c r="B501" s="10" t="s">
        <v>7</v>
      </c>
      <c r="C501" s="19">
        <f ca="1">C475+1</f>
        <v>2033</v>
      </c>
      <c r="D501" s="13"/>
      <c r="E501" s="13"/>
      <c r="F501" s="34"/>
      <c r="G501" s="34"/>
    </row>
    <row r="502" spans="2:7" ht="20" customHeight="1" thickBot="1">
      <c r="B502" s="14" t="s">
        <v>23</v>
      </c>
      <c r="C502" s="20" t="str">
        <f>IF('Tableau Projection'!I26="","",VLOOKUP(C501,'Tableau Projection'!$C$6:$L$28,7,FALSE))</f>
        <v/>
      </c>
      <c r="D502" s="13"/>
      <c r="E502" s="13"/>
      <c r="F502" s="34"/>
      <c r="G502" s="34"/>
    </row>
    <row r="503" spans="2:7" ht="35" customHeight="1">
      <c r="B503" s="13" t="s">
        <v>18</v>
      </c>
      <c r="C503" s="18" t="s">
        <v>22</v>
      </c>
      <c r="D503" s="13" t="s">
        <v>19</v>
      </c>
      <c r="E503" s="13" t="s">
        <v>20</v>
      </c>
      <c r="F503" s="57" t="s">
        <v>3</v>
      </c>
      <c r="G503" s="34" t="s">
        <v>21</v>
      </c>
    </row>
    <row r="504" spans="2:7" ht="20" customHeight="1">
      <c r="B504" s="15"/>
      <c r="C504" s="16" t="str">
        <f>IF(Tableau44789101112131415161718192021222324[[#This Row],[Date]]="","",INT(DAYS360(DATE(YEAR(B504),1,1),B504,TRUE)/15)+1)</f>
        <v/>
      </c>
      <c r="D504" s="13" t="str">
        <f>IF(Tableau44789101112131415161718192021222324[[#This Row],[Date]]="","",24-C504)</f>
        <v/>
      </c>
      <c r="E504" s="17"/>
      <c r="F504" s="34" t="str">
        <f>IF(Tableau44789101112131415161718192021222324[[#This Row],[Date]]="","",Tableau44789101112131415161718192021222324[[#This Row],[Versement]]*Variables!$F$12)</f>
        <v/>
      </c>
      <c r="G504" s="34" t="str">
        <f>IF(Tableau44789101112131415161718192021222324[[#This Row],[Date]]="","",(E504*(1+($C$502)/24)^V.Complémentaires!D504)-E504)</f>
        <v/>
      </c>
    </row>
    <row r="505" spans="2:7" ht="20" customHeight="1">
      <c r="B505" s="15"/>
      <c r="C505" s="16" t="str">
        <f>IF(Tableau44789101112131415161718192021222324[[#This Row],[Date]]="","",INT(DAYS360(DATE(YEAR(B505),1,1),B505,TRUE)/15)+1)</f>
        <v/>
      </c>
      <c r="D505" s="13" t="str">
        <f>IF(Tableau44789101112131415161718192021222324[[#This Row],[Date]]="","",24-C505)</f>
        <v/>
      </c>
      <c r="E505" s="13"/>
      <c r="F505" s="34" t="str">
        <f>IF(Tableau44789101112131415161718192021222324[[#This Row],[Date]]="","",Tableau44789101112131415161718192021222324[[#This Row],[Versement]]*Variables!$F$12)</f>
        <v/>
      </c>
      <c r="G505" s="34" t="str">
        <f>IF(Tableau44789101112131415161718192021222324[[#This Row],[Date]]="","",(E505*(1+($C$502)/24)^V.Complémentaires!D505)-E505)</f>
        <v/>
      </c>
    </row>
    <row r="506" spans="2:7" ht="20" customHeight="1">
      <c r="B506" s="15"/>
      <c r="C506" s="16" t="str">
        <f>IF(Tableau44789101112131415161718192021222324[[#This Row],[Date]]="","",INT(DAYS360(DATE(YEAR(B506),1,1),B506,TRUE)/15)+1)</f>
        <v/>
      </c>
      <c r="D506" s="13" t="str">
        <f>IF(Tableau44789101112131415161718192021222324[[#This Row],[Date]]="","",24-C506)</f>
        <v/>
      </c>
      <c r="E506" s="13"/>
      <c r="F506" s="34" t="str">
        <f>IF(Tableau44789101112131415161718192021222324[[#This Row],[Date]]="","",Tableau44789101112131415161718192021222324[[#This Row],[Versement]]*Variables!$F$12)</f>
        <v/>
      </c>
      <c r="G506" s="34" t="str">
        <f>IF(Tableau44789101112131415161718192021222324[[#This Row],[Date]]="","",(E506*(1+($C$502)/24)^V.Complémentaires!D506)-E506)</f>
        <v/>
      </c>
    </row>
    <row r="507" spans="2:7" ht="20" customHeight="1">
      <c r="B507" s="13"/>
      <c r="C507" s="16" t="str">
        <f>IF(Tableau44789101112131415161718192021222324[[#This Row],[Date]]="","",INT(DAYS360(DATE(YEAR(B507),1,1),B507,TRUE)/15)+1)</f>
        <v/>
      </c>
      <c r="D507" s="13" t="str">
        <f>IF(Tableau44789101112131415161718192021222324[[#This Row],[Date]]="","",24-C507)</f>
        <v/>
      </c>
      <c r="E507" s="13"/>
      <c r="F507" s="34" t="str">
        <f>IF(Tableau44789101112131415161718192021222324[[#This Row],[Date]]="","",Tableau44789101112131415161718192021222324[[#This Row],[Versement]]*Variables!$F$12)</f>
        <v/>
      </c>
      <c r="G507" s="34" t="str">
        <f>IF(Tableau44789101112131415161718192021222324[[#This Row],[Date]]="","",(E507*(1+($C$502)/24)^V.Complémentaires!D507)-E507)</f>
        <v/>
      </c>
    </row>
    <row r="508" spans="2:7" ht="20" customHeight="1">
      <c r="B508" s="13"/>
      <c r="C508" s="16" t="str">
        <f>IF(Tableau44789101112131415161718192021222324[[#This Row],[Date]]="","",INT(DAYS360(DATE(YEAR(B508),1,1),B508,TRUE)/15)+1)</f>
        <v/>
      </c>
      <c r="D508" s="13" t="str">
        <f>IF(Tableau44789101112131415161718192021222324[[#This Row],[Date]]="","",24-C508)</f>
        <v/>
      </c>
      <c r="E508" s="13"/>
      <c r="F508" s="34" t="str">
        <f>IF(Tableau44789101112131415161718192021222324[[#This Row],[Date]]="","",Tableau44789101112131415161718192021222324[[#This Row],[Versement]]*Variables!$F$12)</f>
        <v/>
      </c>
      <c r="G508" s="34" t="str">
        <f>IF(Tableau44789101112131415161718192021222324[[#This Row],[Date]]="","",(E508*(1+($C$502)/24)^V.Complémentaires!D508)-E508)</f>
        <v/>
      </c>
    </row>
    <row r="509" spans="2:7" ht="20" customHeight="1">
      <c r="B509" s="13"/>
      <c r="C509" s="16" t="str">
        <f>IF(Tableau44789101112131415161718192021222324[[#This Row],[Date]]="","",INT(DAYS360(DATE(YEAR(B509),1,1),B509,TRUE)/15)+1)</f>
        <v/>
      </c>
      <c r="D509" s="13" t="str">
        <f>IF(Tableau44789101112131415161718192021222324[[#This Row],[Date]]="","",24-C509)</f>
        <v/>
      </c>
      <c r="E509" s="13"/>
      <c r="F509" s="34" t="str">
        <f>IF(Tableau44789101112131415161718192021222324[[#This Row],[Date]]="","",Tableau44789101112131415161718192021222324[[#This Row],[Versement]]*Variables!$F$12)</f>
        <v/>
      </c>
      <c r="G509" s="34" t="str">
        <f>IF(Tableau44789101112131415161718192021222324[[#This Row],[Date]]="","",(E509*(1+($C$502)/24)^V.Complémentaires!D509)-E509)</f>
        <v/>
      </c>
    </row>
    <row r="510" spans="2:7" ht="20" customHeight="1">
      <c r="B510" s="13"/>
      <c r="C510" s="16" t="str">
        <f>IF(Tableau44789101112131415161718192021222324[[#This Row],[Date]]="","",INT(DAYS360(DATE(YEAR(B510),1,1),B510,TRUE)/15)+1)</f>
        <v/>
      </c>
      <c r="D510" s="13" t="str">
        <f>IF(Tableau44789101112131415161718192021222324[[#This Row],[Date]]="","",24-C510)</f>
        <v/>
      </c>
      <c r="E510" s="13"/>
      <c r="F510" s="34" t="str">
        <f>IF(Tableau44789101112131415161718192021222324[[#This Row],[Date]]="","",Tableau44789101112131415161718192021222324[[#This Row],[Versement]]*Variables!$F$12)</f>
        <v/>
      </c>
      <c r="G510" s="34" t="str">
        <f>IF(Tableau44789101112131415161718192021222324[[#This Row],[Date]]="","",(E510*(1+($C$502)/24)^V.Complémentaires!D510)-E510)</f>
        <v/>
      </c>
    </row>
    <row r="511" spans="2:7" ht="20" customHeight="1">
      <c r="B511" s="13"/>
      <c r="C511" s="16" t="str">
        <f>IF(Tableau44789101112131415161718192021222324[[#This Row],[Date]]="","",INT(DAYS360(DATE(YEAR(B511),1,1),B511,TRUE)/15)+1)</f>
        <v/>
      </c>
      <c r="D511" s="13" t="str">
        <f>IF(Tableau44789101112131415161718192021222324[[#This Row],[Date]]="","",24-C511)</f>
        <v/>
      </c>
      <c r="E511" s="13"/>
      <c r="F511" s="34" t="str">
        <f>IF(Tableau44789101112131415161718192021222324[[#This Row],[Date]]="","",Tableau44789101112131415161718192021222324[[#This Row],[Versement]]*Variables!$F$12)</f>
        <v/>
      </c>
      <c r="G511" s="34" t="str">
        <f>IF(Tableau44789101112131415161718192021222324[[#This Row],[Date]]="","",(E511*(1+($C$502)/24)^V.Complémentaires!D511)-E511)</f>
        <v/>
      </c>
    </row>
    <row r="512" spans="2:7" ht="20" customHeight="1">
      <c r="B512" s="15"/>
      <c r="C512" s="16" t="str">
        <f>IF(Tableau44789101112131415161718192021222324[[#This Row],[Date]]="","",INT(DAYS360(DATE(YEAR(B512),1,1),B512,TRUE)/15)+1)</f>
        <v/>
      </c>
      <c r="D512" s="13" t="str">
        <f>IF(Tableau44789101112131415161718192021222324[[#This Row],[Date]]="","",24-C512)</f>
        <v/>
      </c>
      <c r="E512" s="13"/>
      <c r="F512" s="34" t="str">
        <f>IF(Tableau44789101112131415161718192021222324[[#This Row],[Date]]="","",Tableau44789101112131415161718192021222324[[#This Row],[Versement]]*Variables!$F$12)</f>
        <v/>
      </c>
      <c r="G512" s="34" t="str">
        <f>IF(Tableau44789101112131415161718192021222324[[#This Row],[Date]]="","",(E512*(1+($C$502)/24)^V.Complémentaires!D512)-E512)</f>
        <v/>
      </c>
    </row>
    <row r="513" spans="2:7" ht="20" customHeight="1">
      <c r="B513" s="13"/>
      <c r="C513" s="16" t="str">
        <f>IF(Tableau44789101112131415161718192021222324[[#This Row],[Date]]="","",INT(DAYS360(DATE(YEAR(B513),1,1),B513,TRUE)/15)+1)</f>
        <v/>
      </c>
      <c r="D513" s="13" t="str">
        <f>IF(Tableau44789101112131415161718192021222324[[#This Row],[Date]]="","",24-C513)</f>
        <v/>
      </c>
      <c r="E513" s="13"/>
      <c r="F513" s="34" t="str">
        <f>IF(Tableau44789101112131415161718192021222324[[#This Row],[Date]]="","",Tableau44789101112131415161718192021222324[[#This Row],[Versement]]*Variables!$F$12)</f>
        <v/>
      </c>
      <c r="G513" s="34" t="str">
        <f>IF(Tableau44789101112131415161718192021222324[[#This Row],[Date]]="","",(E513*(1+($C$502)/24)^V.Complémentaires!D513)-E513)</f>
        <v/>
      </c>
    </row>
    <row r="514" spans="2:7" ht="20" customHeight="1">
      <c r="B514" s="13"/>
      <c r="C514" s="16" t="str">
        <f>IF(Tableau44789101112131415161718192021222324[[#This Row],[Date]]="","",INT(DAYS360(DATE(YEAR(B514),1,1),B514,TRUE)/15)+1)</f>
        <v/>
      </c>
      <c r="D514" s="13" t="str">
        <f>IF(Tableau44789101112131415161718192021222324[[#This Row],[Date]]="","",24-C514)</f>
        <v/>
      </c>
      <c r="E514" s="13"/>
      <c r="F514" s="34" t="str">
        <f>IF(Tableau44789101112131415161718192021222324[[#This Row],[Date]]="","",Tableau44789101112131415161718192021222324[[#This Row],[Versement]]*Variables!$F$12)</f>
        <v/>
      </c>
      <c r="G514" s="34" t="str">
        <f>IF(Tableau44789101112131415161718192021222324[[#This Row],[Date]]="","",(E514*(1+($C$502)/24)^V.Complémentaires!D514)-E514)</f>
        <v/>
      </c>
    </row>
    <row r="515" spans="2:7" ht="20" customHeight="1">
      <c r="B515" s="13"/>
      <c r="C515" s="16" t="str">
        <f>IF(Tableau44789101112131415161718192021222324[[#This Row],[Date]]="","",INT(DAYS360(DATE(YEAR(B515),1,1),B515,TRUE)/15)+1)</f>
        <v/>
      </c>
      <c r="D515" s="13" t="str">
        <f>IF(Tableau44789101112131415161718192021222324[[#This Row],[Date]]="","",24-C515)</f>
        <v/>
      </c>
      <c r="E515" s="13"/>
      <c r="F515" s="34" t="str">
        <f>IF(Tableau44789101112131415161718192021222324[[#This Row],[Date]]="","",Tableau44789101112131415161718192021222324[[#This Row],[Versement]]*Variables!$F$12)</f>
        <v/>
      </c>
      <c r="G515" s="34" t="str">
        <f>IF(Tableau44789101112131415161718192021222324[[#This Row],[Date]]="","",(E515*(1+($C$502)/24)^V.Complémentaires!D515)-E515)</f>
        <v/>
      </c>
    </row>
    <row r="516" spans="2:7" ht="20" customHeight="1">
      <c r="B516" s="13"/>
      <c r="C516" s="16" t="str">
        <f>IF(Tableau44789101112131415161718192021222324[[#This Row],[Date]]="","",INT(DAYS360(DATE(YEAR(B516),1,1),B516,TRUE)/15)+1)</f>
        <v/>
      </c>
      <c r="D516" s="13" t="str">
        <f>IF(Tableau44789101112131415161718192021222324[[#This Row],[Date]]="","",24-C516)</f>
        <v/>
      </c>
      <c r="E516" s="13"/>
      <c r="F516" s="34" t="str">
        <f>IF(Tableau44789101112131415161718192021222324[[#This Row],[Date]]="","",Tableau44789101112131415161718192021222324[[#This Row],[Versement]]*Variables!$F$12)</f>
        <v/>
      </c>
      <c r="G516" s="34" t="str">
        <f>IF(Tableau44789101112131415161718192021222324[[#This Row],[Date]]="","",(E516*(1+($C$502)/24)^V.Complémentaires!D516)-E516)</f>
        <v/>
      </c>
    </row>
    <row r="517" spans="2:7" ht="20" customHeight="1">
      <c r="B517" s="13"/>
      <c r="C517" s="16" t="str">
        <f>IF(Tableau44789101112131415161718192021222324[[#This Row],[Date]]="","",INT(DAYS360(DATE(YEAR(B517),1,1),B517,TRUE)/15)+1)</f>
        <v/>
      </c>
      <c r="D517" s="13" t="str">
        <f>IF(Tableau44789101112131415161718192021222324[[#This Row],[Date]]="","",24-C517)</f>
        <v/>
      </c>
      <c r="E517" s="13"/>
      <c r="F517" s="34" t="str">
        <f>IF(Tableau44789101112131415161718192021222324[[#This Row],[Date]]="","",Tableau44789101112131415161718192021222324[[#This Row],[Versement]]*Variables!$F$12)</f>
        <v/>
      </c>
      <c r="G517" s="34" t="str">
        <f>IF(Tableau44789101112131415161718192021222324[[#This Row],[Date]]="","",(E517*(1+($C$502)/24)^V.Complémentaires!D517)-E517)</f>
        <v/>
      </c>
    </row>
    <row r="518" spans="2:7" ht="20" customHeight="1">
      <c r="B518" s="13"/>
      <c r="C518" s="16" t="str">
        <f>IF(Tableau44789101112131415161718192021222324[[#This Row],[Date]]="","",INT(DAYS360(DATE(YEAR(B518),1,1),B518,TRUE)/15)+1)</f>
        <v/>
      </c>
      <c r="D518" s="13" t="str">
        <f>IF(Tableau44789101112131415161718192021222324[[#This Row],[Date]]="","",24-C518)</f>
        <v/>
      </c>
      <c r="E518" s="13"/>
      <c r="F518" s="34" t="str">
        <f>IF(Tableau44789101112131415161718192021222324[[#This Row],[Date]]="","",Tableau44789101112131415161718192021222324[[#This Row],[Versement]]*Variables!$F$12)</f>
        <v/>
      </c>
      <c r="G518" s="34" t="str">
        <f>IF(Tableau44789101112131415161718192021222324[[#This Row],[Date]]="","",(E518*(1+($C$502)/24)^V.Complémentaires!D518)-E518)</f>
        <v/>
      </c>
    </row>
    <row r="519" spans="2:7" ht="20" customHeight="1">
      <c r="B519" s="13"/>
      <c r="C519" s="16" t="str">
        <f>IF(Tableau44789101112131415161718192021222324[[#This Row],[Date]]="","",INT(DAYS360(DATE(YEAR(B519),1,1),B519,TRUE)/15)+1)</f>
        <v/>
      </c>
      <c r="D519" s="13" t="str">
        <f>IF(Tableau44789101112131415161718192021222324[[#This Row],[Date]]="","",24-C519)</f>
        <v/>
      </c>
      <c r="E519" s="13"/>
      <c r="F519" s="34" t="str">
        <f>IF(Tableau44789101112131415161718192021222324[[#This Row],[Date]]="","",Tableau44789101112131415161718192021222324[[#This Row],[Versement]]*Variables!$F$12)</f>
        <v/>
      </c>
      <c r="G519" s="34" t="str">
        <f>IF(Tableau44789101112131415161718192021222324[[#This Row],[Date]]="","",(E519*(1+($C$502)/24)^V.Complémentaires!D519)-E519)</f>
        <v/>
      </c>
    </row>
    <row r="520" spans="2:7" ht="20" customHeight="1">
      <c r="B520" s="13"/>
      <c r="C520" s="16" t="str">
        <f>IF(Tableau44789101112131415161718192021222324[[#This Row],[Date]]="","",INT(DAYS360(DATE(YEAR(B520),1,1),B520,TRUE)/15)+1)</f>
        <v/>
      </c>
      <c r="D520" s="13" t="str">
        <f>IF(Tableau44789101112131415161718192021222324[[#This Row],[Date]]="","",24-C520)</f>
        <v/>
      </c>
      <c r="E520" s="13"/>
      <c r="F520" s="34" t="str">
        <f>IF(Tableau44789101112131415161718192021222324[[#This Row],[Date]]="","",Tableau44789101112131415161718192021222324[[#This Row],[Versement]]*Variables!$F$12)</f>
        <v/>
      </c>
      <c r="G520" s="34" t="str">
        <f>IF(Tableau44789101112131415161718192021222324[[#This Row],[Date]]="","",(E520*(1+($C$502)/24)^V.Complémentaires!D520)-E520)</f>
        <v/>
      </c>
    </row>
    <row r="521" spans="2:7" ht="20" customHeight="1">
      <c r="B521" s="13"/>
      <c r="C521" s="13"/>
      <c r="D521" s="13"/>
      <c r="E521" s="13">
        <f>SUM(Tableau44789101112131415161718192021222324[Versement])</f>
        <v>0</v>
      </c>
      <c r="F521" s="34">
        <f>SUBTOTAL(109,Tableau44789101112131415161718192021222324[Frais de versement])</f>
        <v>0</v>
      </c>
      <c r="G521" s="34">
        <f>SUM(Tableau44789101112131415161718192021222324[Interet])</f>
        <v>0</v>
      </c>
    </row>
  </sheetData>
  <dataConsolidate/>
  <pageMargins left="0.7" right="0.7" top="0.75" bottom="0.75" header="0.3" footer="0.3"/>
  <pageSetup paperSize="9" orientation="portrait"/>
  <ignoredErrors>
    <ignoredError sqref="C10:D10 C12:E25 C11:D11 F10 F12:F25 F11 C9:D9 F9:G9 C7 C37:F51 C33 C59:G60 C85:G86 C35:D35 F35 C111:G112 C137:G138 C163:G164 C189:G190 C192:F207 C36:F36 C62:F77 C61:D61 C88:F103 C87:F87 C114:F129 C113:F113 C140:F155 C139:F139 C166:F181 C165:F165 C191:F191 C216 C219:F234 C218:D218 F218 C1 C242:G243 C245:F260 C268:G269 C294:G295 C320:G321 C346:G347 C372:G373 C398:G399 C424:G425 C450:G451 C476:G477 C502:G503 C244:D244 F244 F61 G10:G25 G35:G51 G61:G77 G87:G103 G113:G129 G139:G155 G165:G181 G191:G207 G218:G234 G244:G260 C271:F286 C270:F270 G270:G286 C297:F312 C296:F296 G296:G312 C323:F338 C322:F322 G322:G338 C349:F364 C348:F348 G348:G364 C375:F390 C374:F374 G374:G390 C401:F416 C400:F400 G400:G416 C427:F442 C426:F426 G426:G442 C453:F468 C452:F452 G452:G468 C479:F494 C478:F478 G478:G494 C505:F520 C504:F504 G504:G520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mamacro">
                <anchor moveWithCells="1" sizeWithCells="1">
                  <from>
                    <xdr:col>2</xdr:col>
                    <xdr:colOff>254000</xdr:colOff>
                    <xdr:row>0</xdr:row>
                    <xdr:rowOff>152400</xdr:rowOff>
                  </from>
                  <to>
                    <xdr:col>3</xdr:col>
                    <xdr:colOff>368300</xdr:colOff>
                    <xdr:row>2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20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Liste!$B$2:$B$21</xm:f>
          </x14:formula1>
          <xm:sqref>B2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theme="4" tint="0.39997558519241921"/>
  </sheetPr>
  <dimension ref="A1:B23"/>
  <sheetViews>
    <sheetView showGridLines="0" tabSelected="1" workbookViewId="0">
      <selection activeCell="C24" sqref="C24"/>
    </sheetView>
  </sheetViews>
  <sheetFormatPr baseColWidth="10" defaultRowHeight="16" x14ac:dyDescent="0"/>
  <cols>
    <col min="1" max="1" width="27.6640625" style="13" bestFit="1" customWidth="1"/>
    <col min="2" max="2" width="7.33203125" style="13" customWidth="1"/>
    <col min="3" max="16384" width="10.83203125" style="5"/>
  </cols>
  <sheetData>
    <row r="1" spans="1:2">
      <c r="A1" s="61" t="s">
        <v>27</v>
      </c>
    </row>
    <row r="2" spans="1:2">
      <c r="A2" s="61" t="s">
        <v>7</v>
      </c>
      <c r="B2" s="13" t="s">
        <v>28</v>
      </c>
    </row>
    <row r="3" spans="1:2">
      <c r="A3" s="13">
        <v>2014</v>
      </c>
      <c r="B3" s="62">
        <v>1.47E-2</v>
      </c>
    </row>
    <row r="4" spans="1:2">
      <c r="A4" s="13">
        <v>2015</v>
      </c>
      <c r="B4" s="62">
        <v>1.2145E-2</v>
      </c>
    </row>
    <row r="5" spans="1:2">
      <c r="A5" s="13">
        <v>2016</v>
      </c>
      <c r="B5" s="62">
        <v>1.0500000000000001E-2</v>
      </c>
    </row>
    <row r="6" spans="1:2">
      <c r="A6" s="13">
        <v>2017</v>
      </c>
      <c r="B6" s="62">
        <v>1.0500000000000001E-2</v>
      </c>
    </row>
    <row r="7" spans="1:2">
      <c r="B7" s="62">
        <v>0</v>
      </c>
    </row>
    <row r="8" spans="1:2">
      <c r="A8" s="13" t="s">
        <v>25</v>
      </c>
      <c r="B8" s="62">
        <v>4.7845000000000006E-2</v>
      </c>
    </row>
    <row r="9" spans="1:2">
      <c r="A9"/>
      <c r="B9"/>
    </row>
    <row r="10" spans="1:2">
      <c r="A10"/>
      <c r="B10"/>
    </row>
    <row r="11" spans="1:2">
      <c r="A11"/>
      <c r="B11"/>
    </row>
    <row r="12" spans="1:2">
      <c r="A12"/>
      <c r="B12"/>
    </row>
    <row r="13" spans="1:2">
      <c r="A13"/>
      <c r="B13"/>
    </row>
    <row r="14" spans="1:2">
      <c r="A14"/>
      <c r="B14"/>
    </row>
    <row r="15" spans="1:2">
      <c r="A15"/>
      <c r="B15"/>
    </row>
    <row r="16" spans="1:2">
      <c r="A16"/>
      <c r="B16"/>
    </row>
    <row r="17" spans="1:2">
      <c r="A17"/>
      <c r="B17"/>
    </row>
    <row r="18" spans="1:2">
      <c r="A18"/>
      <c r="B18"/>
    </row>
    <row r="19" spans="1:2">
      <c r="A19"/>
      <c r="B19"/>
    </row>
    <row r="20" spans="1:2">
      <c r="A20"/>
      <c r="B20"/>
    </row>
    <row r="21" spans="1:2">
      <c r="A21"/>
      <c r="B21"/>
    </row>
    <row r="22" spans="1:2">
      <c r="A22"/>
      <c r="B22"/>
    </row>
    <row r="23" spans="1:2">
      <c r="A23"/>
      <c r="B23"/>
    </row>
  </sheetData>
  <pageMargins left="0.7" right="0.7" top="0.75" bottom="0.75" header="0.3" footer="0.3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B21"/>
  <sheetViews>
    <sheetView workbookViewId="0">
      <selection activeCell="D6" sqref="D6"/>
    </sheetView>
  </sheetViews>
  <sheetFormatPr baseColWidth="10" defaultRowHeight="14" x14ac:dyDescent="0"/>
  <sheetData>
    <row r="1" spans="1:2">
      <c r="A1" t="s">
        <v>6</v>
      </c>
    </row>
    <row r="2" spans="1:2">
      <c r="A2">
        <v>1</v>
      </c>
      <c r="B2">
        <f ca="1">YEAR('Tableau Projection'!A1)</f>
        <v>2014</v>
      </c>
    </row>
    <row r="3" spans="1:2">
      <c r="A3">
        <v>2</v>
      </c>
      <c r="B3">
        <f ca="1">B2+1</f>
        <v>2015</v>
      </c>
    </row>
    <row r="4" spans="1:2">
      <c r="A4">
        <v>3</v>
      </c>
      <c r="B4">
        <f t="shared" ref="B4:B21" ca="1" si="0">B3+1</f>
        <v>2016</v>
      </c>
    </row>
    <row r="5" spans="1:2">
      <c r="A5">
        <v>4</v>
      </c>
      <c r="B5">
        <f t="shared" ca="1" si="0"/>
        <v>2017</v>
      </c>
    </row>
    <row r="6" spans="1:2">
      <c r="A6">
        <v>5</v>
      </c>
      <c r="B6">
        <f t="shared" ca="1" si="0"/>
        <v>2018</v>
      </c>
    </row>
    <row r="7" spans="1:2">
      <c r="A7">
        <v>6</v>
      </c>
      <c r="B7">
        <f t="shared" ca="1" si="0"/>
        <v>2019</v>
      </c>
    </row>
    <row r="8" spans="1:2">
      <c r="A8">
        <v>7</v>
      </c>
      <c r="B8">
        <f t="shared" ca="1" si="0"/>
        <v>2020</v>
      </c>
    </row>
    <row r="9" spans="1:2">
      <c r="A9">
        <v>8</v>
      </c>
      <c r="B9">
        <f t="shared" ca="1" si="0"/>
        <v>2021</v>
      </c>
    </row>
    <row r="10" spans="1:2">
      <c r="A10">
        <v>9</v>
      </c>
      <c r="B10">
        <f t="shared" ca="1" si="0"/>
        <v>2022</v>
      </c>
    </row>
    <row r="11" spans="1:2">
      <c r="A11">
        <v>10</v>
      </c>
      <c r="B11">
        <f t="shared" ca="1" si="0"/>
        <v>2023</v>
      </c>
    </row>
    <row r="12" spans="1:2">
      <c r="A12">
        <v>11</v>
      </c>
      <c r="B12">
        <f t="shared" ca="1" si="0"/>
        <v>2024</v>
      </c>
    </row>
    <row r="13" spans="1:2">
      <c r="A13">
        <v>12</v>
      </c>
      <c r="B13">
        <f t="shared" ca="1" si="0"/>
        <v>2025</v>
      </c>
    </row>
    <row r="14" spans="1:2">
      <c r="A14">
        <v>13</v>
      </c>
      <c r="B14">
        <f t="shared" ca="1" si="0"/>
        <v>2026</v>
      </c>
    </row>
    <row r="15" spans="1:2">
      <c r="A15">
        <v>14</v>
      </c>
      <c r="B15">
        <f t="shared" ca="1" si="0"/>
        <v>2027</v>
      </c>
    </row>
    <row r="16" spans="1:2">
      <c r="A16">
        <v>15</v>
      </c>
      <c r="B16">
        <f t="shared" ca="1" si="0"/>
        <v>2028</v>
      </c>
    </row>
    <row r="17" spans="1:2">
      <c r="A17">
        <v>16</v>
      </c>
      <c r="B17">
        <f t="shared" ca="1" si="0"/>
        <v>2029</v>
      </c>
    </row>
    <row r="18" spans="1:2">
      <c r="A18">
        <v>17</v>
      </c>
      <c r="B18">
        <f t="shared" ca="1" si="0"/>
        <v>2030</v>
      </c>
    </row>
    <row r="19" spans="1:2">
      <c r="A19">
        <v>18</v>
      </c>
      <c r="B19">
        <f t="shared" ca="1" si="0"/>
        <v>2031</v>
      </c>
    </row>
    <row r="20" spans="1:2">
      <c r="A20">
        <v>19</v>
      </c>
      <c r="B20">
        <f t="shared" ca="1" si="0"/>
        <v>2032</v>
      </c>
    </row>
    <row r="21" spans="1:2">
      <c r="A21">
        <v>20</v>
      </c>
      <c r="B21">
        <f t="shared" ca="1" si="0"/>
        <v>2033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Démarrer</vt:lpstr>
      <vt:lpstr>Macro_V.Compl</vt:lpstr>
      <vt:lpstr>Variables</vt:lpstr>
      <vt:lpstr>Tableau Projection</vt:lpstr>
      <vt:lpstr>Projection avec Inflation</vt:lpstr>
      <vt:lpstr>V.Complémentaires</vt:lpstr>
      <vt:lpstr>GCD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pedago</dc:creator>
  <cp:lastModifiedBy>Damien Sainsard 🇬🇧</cp:lastModifiedBy>
  <cp:lastPrinted>2014-12-07T18:23:47Z</cp:lastPrinted>
  <dcterms:created xsi:type="dcterms:W3CDTF">2014-11-07T09:31:21Z</dcterms:created>
  <dcterms:modified xsi:type="dcterms:W3CDTF">2014-12-08T17:31:41Z</dcterms:modified>
</cp:coreProperties>
</file>