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795" windowHeight="9210"/>
  </bookViews>
  <sheets>
    <sheet name="Chute de tension" sheetId="1" r:id="rId1"/>
  </sheets>
  <calcPr calcId="125725"/>
</workbook>
</file>

<file path=xl/calcChain.xml><?xml version="1.0" encoding="utf-8"?>
<calcChain xmlns="http://schemas.openxmlformats.org/spreadsheetml/2006/main">
  <c r="M18" i="1"/>
  <c r="H18"/>
  <c r="C7"/>
  <c r="D7"/>
  <c r="C8"/>
  <c r="D8"/>
  <c r="E8"/>
  <c r="C9"/>
  <c r="D9"/>
  <c r="E9"/>
  <c r="F9"/>
  <c r="C10"/>
  <c r="D10"/>
  <c r="E10"/>
  <c r="F10"/>
  <c r="G10"/>
  <c r="C11"/>
  <c r="D11"/>
  <c r="E11"/>
  <c r="F11"/>
  <c r="G11"/>
  <c r="H11"/>
  <c r="C12"/>
  <c r="D12"/>
  <c r="E12"/>
  <c r="F12"/>
  <c r="G12"/>
  <c r="H12"/>
  <c r="I12"/>
  <c r="D13"/>
  <c r="E13"/>
  <c r="F13"/>
  <c r="G13"/>
  <c r="H13"/>
  <c r="I13"/>
  <c r="D14"/>
  <c r="E14"/>
  <c r="F14"/>
  <c r="G14"/>
  <c r="H14"/>
  <c r="I14"/>
  <c r="J14"/>
  <c r="E15"/>
  <c r="F15"/>
  <c r="G15"/>
  <c r="H15"/>
  <c r="I15"/>
  <c r="J15"/>
  <c r="K15"/>
  <c r="E16"/>
  <c r="F16"/>
  <c r="G16"/>
  <c r="H16"/>
  <c r="I16"/>
  <c r="J16"/>
  <c r="K16"/>
  <c r="L16"/>
  <c r="F17"/>
  <c r="G17"/>
  <c r="H17"/>
  <c r="I17"/>
  <c r="J17"/>
  <c r="K17"/>
  <c r="L17"/>
  <c r="M17"/>
  <c r="F18"/>
  <c r="G18"/>
  <c r="I18"/>
  <c r="J18"/>
  <c r="K18"/>
  <c r="L18"/>
  <c r="G19"/>
  <c r="H19"/>
  <c r="I19"/>
  <c r="J19"/>
  <c r="K19"/>
  <c r="L19"/>
  <c r="M19"/>
  <c r="N19"/>
  <c r="G20"/>
  <c r="H20"/>
  <c r="I20"/>
  <c r="J20"/>
  <c r="K20"/>
  <c r="L20"/>
  <c r="M20"/>
  <c r="N20"/>
  <c r="O20"/>
  <c r="G21"/>
  <c r="H21"/>
  <c r="I21"/>
  <c r="J21"/>
  <c r="K21"/>
  <c r="L21"/>
  <c r="M21"/>
  <c r="N21"/>
  <c r="O21"/>
  <c r="P21"/>
  <c r="H22"/>
  <c r="I22"/>
  <c r="J22"/>
  <c r="K22"/>
  <c r="L22"/>
  <c r="M22"/>
  <c r="N22"/>
  <c r="O22"/>
  <c r="P22"/>
  <c r="Q22"/>
  <c r="I23"/>
  <c r="J23"/>
  <c r="K23"/>
  <c r="L23"/>
  <c r="M23"/>
  <c r="N23"/>
  <c r="O23"/>
  <c r="P23"/>
  <c r="Q23"/>
  <c r="R23"/>
  <c r="I24"/>
  <c r="J24"/>
  <c r="K24"/>
  <c r="L24"/>
  <c r="M24"/>
  <c r="N24"/>
  <c r="O24"/>
  <c r="P24"/>
  <c r="Q24"/>
  <c r="R24"/>
  <c r="J25"/>
  <c r="K25"/>
  <c r="L25"/>
  <c r="M25"/>
  <c r="N25"/>
  <c r="O25"/>
  <c r="P25"/>
  <c r="Q25"/>
  <c r="R25"/>
  <c r="K26"/>
  <c r="L26"/>
  <c r="M26"/>
  <c r="N26"/>
  <c r="O26"/>
  <c r="P26"/>
  <c r="Q26"/>
  <c r="R26"/>
  <c r="K27"/>
  <c r="L27"/>
  <c r="M27"/>
  <c r="N27"/>
  <c r="O27"/>
  <c r="P27"/>
  <c r="Q27"/>
  <c r="R27"/>
  <c r="L28"/>
  <c r="M28"/>
  <c r="N28"/>
  <c r="O28"/>
  <c r="P28"/>
  <c r="Q28"/>
  <c r="R28"/>
  <c r="I31" l="1" a="1"/>
  <c r="I31" s="1"/>
</calcChain>
</file>

<file path=xl/sharedStrings.xml><?xml version="1.0" encoding="utf-8"?>
<sst xmlns="http://schemas.openxmlformats.org/spreadsheetml/2006/main" count="5" uniqueCount="5">
  <si>
    <t>Section (mm²)
In (A)</t>
  </si>
  <si>
    <t>Conditions</t>
  </si>
  <si>
    <t>Section retenue (mm²)</t>
  </si>
  <si>
    <t>Longueur de câble (m)</t>
  </si>
  <si>
    <t>formule matricielle donc CTRL+MAJ+ENTREE pour valider, pas juste ENTREE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</si>
</sst>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10"/>
      <color indexed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 diagonalDown="1">
      <left style="medium">
        <color indexed="64"/>
      </left>
      <right/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3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9" fontId="1" fillId="0" borderId="0" xfId="1"/>
    <xf numFmtId="164" fontId="0" fillId="0" borderId="0" xfId="0" applyNumberFormat="1"/>
    <xf numFmtId="2" fontId="0" fillId="0" borderId="6" xfId="0" applyNumberFormat="1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10" xfId="0" applyNumberFormat="1" applyBorder="1"/>
    <xf numFmtId="2" fontId="0" fillId="0" borderId="11" xfId="0" applyNumberFormat="1" applyBorder="1"/>
    <xf numFmtId="2" fontId="0" fillId="0" borderId="12" xfId="0" applyNumberFormat="1" applyBorder="1"/>
    <xf numFmtId="2" fontId="0" fillId="0" borderId="14" xfId="0" applyNumberFormat="1" applyBorder="1"/>
    <xf numFmtId="2" fontId="0" fillId="0" borderId="15" xfId="0" applyNumberFormat="1" applyBorder="1"/>
    <xf numFmtId="2" fontId="0" fillId="0" borderId="16" xfId="0" applyNumberFormat="1" applyBorder="1"/>
    <xf numFmtId="2" fontId="0" fillId="0" borderId="11" xfId="0" applyNumberFormat="1" applyFill="1" applyBorder="1"/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4" borderId="0" xfId="0" applyFill="1"/>
    <xf numFmtId="0" fontId="1" fillId="4" borderId="0" xfId="0" applyFont="1" applyFill="1"/>
    <xf numFmtId="10" fontId="1" fillId="0" borderId="16" xfId="1" applyNumberFormat="1" applyBorder="1" applyAlignment="1">
      <alignment horizontal="center"/>
    </xf>
    <xf numFmtId="0" fontId="0" fillId="0" borderId="0" xfId="0" applyFill="1" applyBorder="1"/>
    <xf numFmtId="0" fontId="1" fillId="0" borderId="2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2" fontId="0" fillId="0" borderId="21" xfId="0" applyNumberFormat="1" applyFill="1" applyBorder="1"/>
    <xf numFmtId="2" fontId="0" fillId="0" borderId="0" xfId="0" applyNumberFormat="1" applyFill="1" applyBorder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AH33"/>
  <sheetViews>
    <sheetView tabSelected="1" workbookViewId="0">
      <selection activeCell="A4" sqref="A4:XFD8"/>
    </sheetView>
  </sheetViews>
  <sheetFormatPr defaultColWidth="11.42578125" defaultRowHeight="12.75"/>
  <cols>
    <col min="2" max="2" width="27.140625" customWidth="1"/>
    <col min="3" max="18" width="8.5703125" customWidth="1"/>
    <col min="19" max="34" width="11.42578125" style="29"/>
  </cols>
  <sheetData>
    <row r="2" spans="2:34">
      <c r="B2" t="s">
        <v>3</v>
      </c>
      <c r="C2">
        <v>100</v>
      </c>
    </row>
    <row r="4" spans="2:34" ht="13.5" customHeight="1"/>
    <row r="5" spans="2:34" ht="13.5" thickBot="1"/>
    <row r="6" spans="2:34" ht="39" thickBot="1">
      <c r="B6" s="1" t="s">
        <v>0</v>
      </c>
      <c r="C6" s="2">
        <v>1.5</v>
      </c>
      <c r="D6" s="3">
        <v>2.5</v>
      </c>
      <c r="E6" s="3">
        <v>4</v>
      </c>
      <c r="F6" s="3">
        <v>6</v>
      </c>
      <c r="G6" s="3">
        <v>10</v>
      </c>
      <c r="H6" s="3">
        <v>16</v>
      </c>
      <c r="I6" s="3">
        <v>25</v>
      </c>
      <c r="J6" s="3">
        <v>35</v>
      </c>
      <c r="K6" s="3">
        <v>50</v>
      </c>
      <c r="L6" s="3">
        <v>70</v>
      </c>
      <c r="M6" s="3">
        <v>95</v>
      </c>
      <c r="N6" s="3">
        <v>120</v>
      </c>
      <c r="O6" s="3">
        <v>150</v>
      </c>
      <c r="P6" s="3">
        <v>185</v>
      </c>
      <c r="Q6" s="3">
        <v>240</v>
      </c>
      <c r="R6" s="4">
        <v>300</v>
      </c>
      <c r="S6" s="30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2:34">
      <c r="B7" s="5">
        <v>1</v>
      </c>
      <c r="C7" s="11">
        <f>0.5*$C$2/100</f>
        <v>0.5</v>
      </c>
      <c r="D7" s="12">
        <f>0.4*$C$2/100</f>
        <v>0.4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3"/>
      <c r="S7" s="32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4">
      <c r="B8" s="6">
        <v>2</v>
      </c>
      <c r="C8" s="14">
        <f>1.1*$C$2/100</f>
        <v>1.1000000000000001</v>
      </c>
      <c r="D8" s="15">
        <f>0.6*$C$2/100</f>
        <v>0.6</v>
      </c>
      <c r="E8" s="15">
        <f>0.4*$C$2/100</f>
        <v>0.4</v>
      </c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6"/>
      <c r="S8" s="32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</row>
    <row r="9" spans="2:34">
      <c r="B9" s="6">
        <v>3</v>
      </c>
      <c r="C9" s="14">
        <f>1.5*$C$2/100</f>
        <v>1.5</v>
      </c>
      <c r="D9" s="15">
        <f>1*$C$2/100</f>
        <v>1</v>
      </c>
      <c r="E9" s="15">
        <f>0.6*$C$2/100</f>
        <v>0.6</v>
      </c>
      <c r="F9" s="15">
        <f>0.4*$C$2/100</f>
        <v>0.4</v>
      </c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6"/>
      <c r="S9" s="32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</row>
    <row r="10" spans="2:34">
      <c r="B10" s="6">
        <v>5</v>
      </c>
      <c r="C10" s="14">
        <f>2.6*$C$2/100</f>
        <v>2.6</v>
      </c>
      <c r="D10" s="15">
        <f>1.6*$C$2/100</f>
        <v>1.6</v>
      </c>
      <c r="E10" s="15">
        <f>1*$C$2/100</f>
        <v>1</v>
      </c>
      <c r="F10" s="15">
        <f>0.6*$C$2/100</f>
        <v>0.6</v>
      </c>
      <c r="G10" s="15">
        <f>0.4*$C$2/100</f>
        <v>0.4</v>
      </c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6"/>
      <c r="S10" s="32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</row>
    <row r="11" spans="2:34">
      <c r="B11" s="6">
        <v>10</v>
      </c>
      <c r="C11" s="14">
        <f>5.2*$C$2/100</f>
        <v>5.2</v>
      </c>
      <c r="D11" s="15">
        <f>3.2*$C$2/100</f>
        <v>3.2</v>
      </c>
      <c r="E11" s="15">
        <f>2*$C$2/100</f>
        <v>2</v>
      </c>
      <c r="F11" s="15">
        <f>1.4*$C$2/100</f>
        <v>1.4</v>
      </c>
      <c r="G11" s="15">
        <f>0.8*$C$2/100</f>
        <v>0.8</v>
      </c>
      <c r="H11" s="15">
        <f>0.5*$C$2/100</f>
        <v>0.5</v>
      </c>
      <c r="I11" s="15"/>
      <c r="J11" s="15"/>
      <c r="K11" s="15"/>
      <c r="L11" s="15"/>
      <c r="M11" s="15"/>
      <c r="N11" s="15"/>
      <c r="O11" s="15"/>
      <c r="P11" s="15"/>
      <c r="Q11" s="15"/>
      <c r="R11" s="16"/>
      <c r="S11" s="32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</row>
    <row r="12" spans="2:34">
      <c r="B12" s="6">
        <v>16</v>
      </c>
      <c r="C12" s="14">
        <f>8.4*$C$2/100</f>
        <v>8.4</v>
      </c>
      <c r="D12" s="15">
        <f>5*$C$2/100</f>
        <v>5</v>
      </c>
      <c r="E12" s="15">
        <f>3.2*$C$2/100</f>
        <v>3.2</v>
      </c>
      <c r="F12" s="15">
        <f>2.2*$C$2/100</f>
        <v>2.2000000000000002</v>
      </c>
      <c r="G12" s="15">
        <f>1.3*$C$2/100</f>
        <v>1.3</v>
      </c>
      <c r="H12" s="15">
        <f>0.8*$C$2/100</f>
        <v>0.8</v>
      </c>
      <c r="I12" s="15">
        <f>0.5*$C$2/100</f>
        <v>0.5</v>
      </c>
      <c r="J12" s="15"/>
      <c r="K12" s="15"/>
      <c r="L12" s="15"/>
      <c r="M12" s="15"/>
      <c r="N12" s="15"/>
      <c r="O12" s="15"/>
      <c r="P12" s="15"/>
      <c r="Q12" s="15"/>
      <c r="R12" s="16"/>
      <c r="S12" s="32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</row>
    <row r="13" spans="2:34">
      <c r="B13" s="6">
        <v>20</v>
      </c>
      <c r="C13" s="14"/>
      <c r="D13" s="15">
        <f>6.3*$C$2/100</f>
        <v>6.3</v>
      </c>
      <c r="E13" s="15">
        <f>4*$C$2/100</f>
        <v>4</v>
      </c>
      <c r="F13" s="15">
        <f>2.6*$C$2/100</f>
        <v>2.6</v>
      </c>
      <c r="G13" s="15">
        <f>1.6*$C$2/100</f>
        <v>1.6</v>
      </c>
      <c r="H13" s="15">
        <f>1*$C$2/100</f>
        <v>1</v>
      </c>
      <c r="I13" s="15">
        <f>0.6*$C$2/100</f>
        <v>0.6</v>
      </c>
      <c r="J13" s="15"/>
      <c r="K13" s="15"/>
      <c r="L13" s="15"/>
      <c r="M13" s="15"/>
      <c r="N13" s="15"/>
      <c r="O13" s="15"/>
      <c r="P13" s="15"/>
      <c r="Q13" s="15"/>
      <c r="R13" s="16"/>
      <c r="S13" s="32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</row>
    <row r="14" spans="2:34">
      <c r="B14" s="6">
        <v>25</v>
      </c>
      <c r="C14" s="14"/>
      <c r="D14" s="15">
        <f>7.9*$C$2/100</f>
        <v>7.9</v>
      </c>
      <c r="E14" s="15">
        <f>5*$C$2/100</f>
        <v>5</v>
      </c>
      <c r="F14" s="15">
        <f>3.3*$C$2/100</f>
        <v>3.3</v>
      </c>
      <c r="G14" s="15">
        <f>2*$C$2/100</f>
        <v>2</v>
      </c>
      <c r="H14" s="15">
        <f>1.3*$C$2/100</f>
        <v>1.3</v>
      </c>
      <c r="I14" s="15">
        <f>0.8*$C$2/100</f>
        <v>0.8</v>
      </c>
      <c r="J14" s="15">
        <f>0.6*$C$2/100</f>
        <v>0.6</v>
      </c>
      <c r="K14" s="15"/>
      <c r="L14" s="15"/>
      <c r="M14" s="15"/>
      <c r="N14" s="15"/>
      <c r="O14" s="15"/>
      <c r="P14" s="15"/>
      <c r="Q14" s="15"/>
      <c r="R14" s="16"/>
      <c r="S14" s="32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</row>
    <row r="15" spans="2:34">
      <c r="B15" s="6">
        <v>32</v>
      </c>
      <c r="C15" s="14"/>
      <c r="D15" s="15"/>
      <c r="E15" s="15">
        <f>6.3*$C$2/100</f>
        <v>6.3</v>
      </c>
      <c r="F15" s="15">
        <f>4.2*$C$2/100</f>
        <v>4.2</v>
      </c>
      <c r="G15" s="15">
        <f>2.6*$C$2/100</f>
        <v>2.6</v>
      </c>
      <c r="H15" s="15">
        <f>1.6*$C$2/100</f>
        <v>1.6</v>
      </c>
      <c r="I15" s="15">
        <f>1.1*$C$2/100</f>
        <v>1.1000000000000001</v>
      </c>
      <c r="J15" s="15">
        <f>0.8*$C$2/100</f>
        <v>0.8</v>
      </c>
      <c r="K15" s="15">
        <f>0.5*$C$2/100</f>
        <v>0.5</v>
      </c>
      <c r="L15" s="15"/>
      <c r="M15" s="15"/>
      <c r="N15" s="15"/>
      <c r="O15" s="15"/>
      <c r="P15" s="15"/>
      <c r="Q15" s="15"/>
      <c r="R15" s="16"/>
      <c r="S15" s="32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</row>
    <row r="16" spans="2:34">
      <c r="B16" s="6">
        <v>40</v>
      </c>
      <c r="C16" s="14"/>
      <c r="D16" s="15"/>
      <c r="E16" s="15">
        <f>7.9*$C$2/100</f>
        <v>7.9</v>
      </c>
      <c r="F16" s="15">
        <f>5.3*$C$2/100</f>
        <v>5.3</v>
      </c>
      <c r="G16" s="15">
        <f>3.2*$C$2/100</f>
        <v>3.2</v>
      </c>
      <c r="H16" s="15">
        <f>2.1*$C$2/100</f>
        <v>2.1</v>
      </c>
      <c r="I16" s="15">
        <f>1.4*$C$2/100</f>
        <v>1.4</v>
      </c>
      <c r="J16" s="15">
        <f>1*$C$2/100</f>
        <v>1</v>
      </c>
      <c r="K16" s="15">
        <f>0.7*$C$2/100</f>
        <v>0.7</v>
      </c>
      <c r="L16" s="15">
        <f>0.5*$C$2/100</f>
        <v>0.5</v>
      </c>
      <c r="M16" s="15"/>
      <c r="N16" s="15"/>
      <c r="O16" s="15"/>
      <c r="P16" s="15"/>
      <c r="Q16" s="15"/>
      <c r="R16" s="16"/>
      <c r="S16" s="32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</row>
    <row r="17" spans="2:34">
      <c r="B17" s="6">
        <v>50</v>
      </c>
      <c r="C17" s="14"/>
      <c r="D17" s="15"/>
      <c r="E17" s="15"/>
      <c r="F17" s="15">
        <f>6.7*$C$2/100</f>
        <v>6.7</v>
      </c>
      <c r="G17" s="15">
        <f>4.1*$C$2/100</f>
        <v>4.0999999999999996</v>
      </c>
      <c r="H17" s="15">
        <f>2.5*$C$2/100</f>
        <v>2.5</v>
      </c>
      <c r="I17" s="15">
        <f>1.6*$C$2/100</f>
        <v>1.6</v>
      </c>
      <c r="J17" s="15">
        <f>1.2*$C$2/100</f>
        <v>1.2</v>
      </c>
      <c r="K17" s="15">
        <f>0.9*$C$2/100</f>
        <v>0.9</v>
      </c>
      <c r="L17" s="15">
        <f>0.6*$C$2/100</f>
        <v>0.6</v>
      </c>
      <c r="M17" s="15">
        <f>0.5*$C$2/100</f>
        <v>0.5</v>
      </c>
      <c r="N17" s="15"/>
      <c r="O17" s="15"/>
      <c r="P17" s="15"/>
      <c r="Q17" s="15"/>
      <c r="R17" s="16"/>
      <c r="S17" s="32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</row>
    <row r="18" spans="2:34">
      <c r="B18" s="6">
        <v>63</v>
      </c>
      <c r="C18" s="14"/>
      <c r="D18" s="15"/>
      <c r="E18" s="15"/>
      <c r="F18" s="15">
        <f>7.9*$C$2/100</f>
        <v>7.9</v>
      </c>
      <c r="G18" s="15">
        <f>5*$C$2/100</f>
        <v>5</v>
      </c>
      <c r="H18" s="20">
        <f>3.2*$C$2/100</f>
        <v>3.2</v>
      </c>
      <c r="I18" s="20">
        <f>2.1*$C$2/100</f>
        <v>2.1</v>
      </c>
      <c r="J18" s="20">
        <f>1.5*$C$2/100</f>
        <v>1.5</v>
      </c>
      <c r="K18" s="20">
        <f>1.1*$C$2/100</f>
        <v>1.1000000000000001</v>
      </c>
      <c r="L18" s="20">
        <f>0.8*$C$2/100</f>
        <v>0.8</v>
      </c>
      <c r="M18" s="20">
        <f>0.6*$C$2/100</f>
        <v>0.6</v>
      </c>
      <c r="N18" s="15"/>
      <c r="O18" s="15"/>
      <c r="P18" s="15"/>
      <c r="Q18" s="15"/>
      <c r="R18" s="16"/>
      <c r="S18" s="32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</row>
    <row r="19" spans="2:34">
      <c r="B19" s="6">
        <v>70</v>
      </c>
      <c r="C19" s="14"/>
      <c r="D19" s="15"/>
      <c r="E19" s="15"/>
      <c r="F19" s="15"/>
      <c r="G19" s="15">
        <f>5.6*$C$2/100</f>
        <v>5.6</v>
      </c>
      <c r="H19" s="15">
        <f>3.5*$C$2/100</f>
        <v>3.5</v>
      </c>
      <c r="I19" s="15">
        <f>2.3*$C$2/100</f>
        <v>2.2999999999999998</v>
      </c>
      <c r="J19" s="15">
        <f>1.7*$C$2/100</f>
        <v>1.7</v>
      </c>
      <c r="K19" s="15">
        <f>1.3*$C$2/100</f>
        <v>1.3</v>
      </c>
      <c r="L19" s="15">
        <f>0.9*$C$2/100</f>
        <v>0.9</v>
      </c>
      <c r="M19" s="15">
        <f>0.7*$C$2/100</f>
        <v>0.7</v>
      </c>
      <c r="N19" s="15">
        <f>0.5*$C$2/100</f>
        <v>0.5</v>
      </c>
      <c r="O19" s="15"/>
      <c r="P19" s="15"/>
      <c r="Q19" s="15"/>
      <c r="R19" s="16"/>
      <c r="S19" s="32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</row>
    <row r="20" spans="2:34">
      <c r="B20" s="6">
        <v>80</v>
      </c>
      <c r="C20" s="14"/>
      <c r="D20" s="15"/>
      <c r="E20" s="15"/>
      <c r="F20" s="15"/>
      <c r="G20" s="15">
        <f>6.4*$C$2/100</f>
        <v>6.4</v>
      </c>
      <c r="H20" s="15">
        <f>4.1*$C$2/100</f>
        <v>4.0999999999999996</v>
      </c>
      <c r="I20" s="15">
        <f>2.6*$C$2/100</f>
        <v>2.6</v>
      </c>
      <c r="J20" s="15">
        <f>1.9*$C$2/100</f>
        <v>1.9</v>
      </c>
      <c r="K20" s="15">
        <f>1.4*$C$2/100</f>
        <v>1.4</v>
      </c>
      <c r="L20" s="15">
        <f>1*$C$2/100</f>
        <v>1</v>
      </c>
      <c r="M20" s="15">
        <f>0.8*$C$2/100</f>
        <v>0.8</v>
      </c>
      <c r="N20" s="15">
        <f>0.6*$C$2/100</f>
        <v>0.6</v>
      </c>
      <c r="O20" s="15">
        <f>0.5*$C$2/100</f>
        <v>0.5</v>
      </c>
      <c r="P20" s="15"/>
      <c r="Q20" s="15"/>
      <c r="R20" s="16"/>
      <c r="S20" s="32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</row>
    <row r="21" spans="2:34">
      <c r="B21" s="6">
        <v>100</v>
      </c>
      <c r="C21" s="14"/>
      <c r="D21" s="15"/>
      <c r="E21" s="15"/>
      <c r="F21" s="15"/>
      <c r="G21" s="15">
        <f>8*$C$2/100</f>
        <v>8</v>
      </c>
      <c r="H21" s="15">
        <f>5*$C$2/100</f>
        <v>5</v>
      </c>
      <c r="I21" s="15">
        <f>3.3*$C$2/100</f>
        <v>3.3</v>
      </c>
      <c r="J21" s="15">
        <f>2.4*$C$2/100</f>
        <v>2.4</v>
      </c>
      <c r="K21" s="15">
        <f>1.7*$C$2/100</f>
        <v>1.7</v>
      </c>
      <c r="L21" s="15">
        <f>1.3*$C$2/100</f>
        <v>1.3</v>
      </c>
      <c r="M21" s="15">
        <f>1*$C$2/100</f>
        <v>1</v>
      </c>
      <c r="N21" s="15">
        <f>0.8*$C$2/100</f>
        <v>0.8</v>
      </c>
      <c r="O21" s="15">
        <f>0.7*$C$2/100</f>
        <v>0.7</v>
      </c>
      <c r="P21" s="15">
        <f>0.65*$C$2/100</f>
        <v>0.65</v>
      </c>
      <c r="Q21" s="15"/>
      <c r="R21" s="16"/>
      <c r="S21" s="32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</row>
    <row r="22" spans="2:34">
      <c r="B22" s="6">
        <v>125</v>
      </c>
      <c r="C22" s="14"/>
      <c r="D22" s="15"/>
      <c r="E22" s="15"/>
      <c r="F22" s="15"/>
      <c r="G22" s="15"/>
      <c r="H22" s="15">
        <f>4.4*$C$2/100</f>
        <v>4.4000000000000004</v>
      </c>
      <c r="I22" s="15">
        <f>4.1*$C$2/100</f>
        <v>4.0999999999999996</v>
      </c>
      <c r="J22" s="15">
        <f>3.1*$C$2/100</f>
        <v>3.1</v>
      </c>
      <c r="K22" s="15">
        <f>2.2*$C$2/100</f>
        <v>2.2000000000000002</v>
      </c>
      <c r="L22" s="15">
        <f>1.6*$C$2/100</f>
        <v>1.6</v>
      </c>
      <c r="M22" s="15">
        <f>1.3*$C$2/100</f>
        <v>1.3</v>
      </c>
      <c r="N22" s="15">
        <f>1*$C$2/100</f>
        <v>1</v>
      </c>
      <c r="O22" s="15">
        <f>0.9*$C$2/100</f>
        <v>0.9</v>
      </c>
      <c r="P22" s="15">
        <f>0.21*$C$2/100</f>
        <v>0.21</v>
      </c>
      <c r="Q22" s="15">
        <f>0.76*$C$2/100</f>
        <v>0.76</v>
      </c>
      <c r="R22" s="16"/>
      <c r="S22" s="32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</row>
    <row r="23" spans="2:34">
      <c r="B23" s="6">
        <v>160</v>
      </c>
      <c r="C23" s="14"/>
      <c r="D23" s="15"/>
      <c r="E23" s="15"/>
      <c r="F23" s="15"/>
      <c r="G23" s="15"/>
      <c r="H23" s="15"/>
      <c r="I23" s="15">
        <f>5.3*$C$2/100</f>
        <v>5.3</v>
      </c>
      <c r="J23" s="15">
        <f>3.9*$C$2/100</f>
        <v>3.9</v>
      </c>
      <c r="K23" s="15">
        <f>2.8*$C$2/100</f>
        <v>2.8</v>
      </c>
      <c r="L23" s="15">
        <f>2.1*$C$2/100</f>
        <v>2.1</v>
      </c>
      <c r="M23" s="15">
        <f>1.6*$C$2/100</f>
        <v>1.6</v>
      </c>
      <c r="N23" s="15">
        <f>1.4*$C$2/100</f>
        <v>1.4</v>
      </c>
      <c r="O23" s="15">
        <f>1.1*$C$2/100</f>
        <v>1.1000000000000001</v>
      </c>
      <c r="P23" s="15">
        <f>1*$C$2/100</f>
        <v>1</v>
      </c>
      <c r="Q23" s="15">
        <f>0.97*$C$2/100</f>
        <v>0.97</v>
      </c>
      <c r="R23" s="16">
        <f>0.77*$C$2/100</f>
        <v>0.77</v>
      </c>
      <c r="S23" s="32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</row>
    <row r="24" spans="2:34">
      <c r="B24" s="6">
        <v>200</v>
      </c>
      <c r="C24" s="14"/>
      <c r="D24" s="15"/>
      <c r="E24" s="15"/>
      <c r="F24" s="15"/>
      <c r="G24" s="15"/>
      <c r="H24" s="15"/>
      <c r="I24" s="15">
        <f>6.4*$C$2/100</f>
        <v>6.4</v>
      </c>
      <c r="J24" s="15">
        <f>4.9*$C$2/100</f>
        <v>4.9000000000000004</v>
      </c>
      <c r="K24" s="15">
        <f>3.5*$C$2/100</f>
        <v>3.5</v>
      </c>
      <c r="L24" s="15">
        <f>2.6*$C$2/100</f>
        <v>2.6</v>
      </c>
      <c r="M24" s="15">
        <f>2*$C$2/100</f>
        <v>2</v>
      </c>
      <c r="N24" s="15">
        <f>1.6*$C$2/100</f>
        <v>1.6</v>
      </c>
      <c r="O24" s="15">
        <f>1.4*$C$2/100</f>
        <v>1.4</v>
      </c>
      <c r="P24" s="15">
        <f>1.3*$C$2/100</f>
        <v>1.3</v>
      </c>
      <c r="Q24" s="15">
        <f>1.22*$C$2/100</f>
        <v>1.22</v>
      </c>
      <c r="R24" s="16">
        <f>0.96*$C$2/100</f>
        <v>0.96</v>
      </c>
      <c r="S24" s="32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</row>
    <row r="25" spans="2:34">
      <c r="B25" s="6">
        <v>250</v>
      </c>
      <c r="C25" s="14"/>
      <c r="D25" s="15"/>
      <c r="E25" s="15"/>
      <c r="F25" s="15"/>
      <c r="G25" s="15"/>
      <c r="H25" s="15"/>
      <c r="I25" s="15"/>
      <c r="J25" s="15">
        <f>6*$C$2/100</f>
        <v>6</v>
      </c>
      <c r="K25" s="15">
        <f>4.3*$C$2/100</f>
        <v>4.3</v>
      </c>
      <c r="L25" s="15">
        <f>3.2*$C$2/100</f>
        <v>3.2</v>
      </c>
      <c r="M25" s="15">
        <f>2.5*$C$2/100</f>
        <v>2.5</v>
      </c>
      <c r="N25" s="15">
        <f>2.1*$C$2/100</f>
        <v>2.1</v>
      </c>
      <c r="O25" s="15">
        <f>1.7*$C$2/100</f>
        <v>1.7</v>
      </c>
      <c r="P25" s="15">
        <f>1.6*$C$2/100</f>
        <v>1.6</v>
      </c>
      <c r="Q25" s="15">
        <f>1.53*$C$2/100</f>
        <v>1.53</v>
      </c>
      <c r="R25" s="16">
        <f>1.2*$C$2/100</f>
        <v>1.2</v>
      </c>
      <c r="S25" s="32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</row>
    <row r="26" spans="2:34">
      <c r="B26" s="6">
        <v>320</v>
      </c>
      <c r="C26" s="14"/>
      <c r="D26" s="15"/>
      <c r="E26" s="15"/>
      <c r="F26" s="15"/>
      <c r="G26" s="15"/>
      <c r="H26" s="15"/>
      <c r="I26" s="15"/>
      <c r="J26" s="15"/>
      <c r="K26" s="15">
        <f>5.6*$C$2/100</f>
        <v>5.6</v>
      </c>
      <c r="L26" s="15">
        <f>4.1*$C$2/100</f>
        <v>4.0999999999999996</v>
      </c>
      <c r="M26" s="15">
        <f>3.2*$C$2/100</f>
        <v>3.2</v>
      </c>
      <c r="N26" s="15">
        <f>2.6*$C$2/100</f>
        <v>2.6</v>
      </c>
      <c r="O26" s="15">
        <f>2.3*$C$2/100</f>
        <v>2.2999999999999998</v>
      </c>
      <c r="P26" s="15">
        <f>2.1*$C$2/100</f>
        <v>2.1</v>
      </c>
      <c r="Q26" s="15">
        <f>1.95*$C$2/100</f>
        <v>1.95</v>
      </c>
      <c r="R26" s="16">
        <f>1.54*$C$2/100</f>
        <v>1.54</v>
      </c>
      <c r="S26" s="32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</row>
    <row r="27" spans="2:34">
      <c r="B27" s="6">
        <v>400</v>
      </c>
      <c r="C27" s="14"/>
      <c r="D27" s="15"/>
      <c r="E27" s="15"/>
      <c r="F27" s="15"/>
      <c r="G27" s="15"/>
      <c r="H27" s="15"/>
      <c r="I27" s="15"/>
      <c r="J27" s="15"/>
      <c r="K27" s="15">
        <f>6.9*$C$2/100</f>
        <v>6.9</v>
      </c>
      <c r="L27" s="15">
        <f>5.1*$C$2/100</f>
        <v>5.0999999999999996</v>
      </c>
      <c r="M27" s="15">
        <f>4*$C$2/100</f>
        <v>4</v>
      </c>
      <c r="N27" s="15">
        <f>3.3*$C$2/100</f>
        <v>3.3</v>
      </c>
      <c r="O27" s="15">
        <f>2.8*$C$2/100</f>
        <v>2.8</v>
      </c>
      <c r="P27" s="15">
        <f>2.6*$C$2/100</f>
        <v>2.6</v>
      </c>
      <c r="Q27" s="15">
        <f>2.44*$C$2/100</f>
        <v>2.44</v>
      </c>
      <c r="R27" s="16">
        <f>1.92*$C$2/100</f>
        <v>1.92</v>
      </c>
      <c r="S27" s="32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</row>
    <row r="28" spans="2:34" ht="13.5" thickBot="1">
      <c r="B28" s="7">
        <v>500</v>
      </c>
      <c r="C28" s="17"/>
      <c r="D28" s="18"/>
      <c r="E28" s="18"/>
      <c r="F28" s="18"/>
      <c r="G28" s="18"/>
      <c r="H28" s="18"/>
      <c r="I28" s="18"/>
      <c r="J28" s="18"/>
      <c r="K28" s="18"/>
      <c r="L28" s="18">
        <f>6.5*$C$2/100</f>
        <v>6.5</v>
      </c>
      <c r="M28" s="18">
        <f>5*$C$2/100</f>
        <v>5</v>
      </c>
      <c r="N28" s="18">
        <f>4.1*$C$2/100</f>
        <v>4.0999999999999996</v>
      </c>
      <c r="O28" s="18">
        <f>3.5*$C$2/100</f>
        <v>3.5</v>
      </c>
      <c r="P28" s="18">
        <f>3.2*$C$2/100</f>
        <v>3.2</v>
      </c>
      <c r="Q28" s="18">
        <f>3*$C$2/100</f>
        <v>3</v>
      </c>
      <c r="R28" s="19">
        <f>2.4*$C$2/100</f>
        <v>2.4</v>
      </c>
      <c r="S28" s="32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</row>
    <row r="29" spans="2:34" ht="13.5" thickBot="1"/>
    <row r="30" spans="2:34" ht="13.5" thickBot="1">
      <c r="C30" s="24" t="s">
        <v>1</v>
      </c>
      <c r="D30" s="25"/>
    </row>
    <row r="31" spans="2:34" ht="13.5" thickBot="1">
      <c r="C31" s="8">
        <v>63</v>
      </c>
      <c r="D31" s="28">
        <v>0.03</v>
      </c>
      <c r="F31" s="21" t="s">
        <v>2</v>
      </c>
      <c r="G31" s="22"/>
      <c r="H31" s="23"/>
      <c r="I31" s="26">
        <f t="array" aca="1" ref="I31" ca="1">INDEX($C$6:$R$6,0,MATCH(MAX(IF(OFFSET($C$6:$R$6,MATCH($C$31,$B$7:$B$28,0),0)&lt;=$D$31*100,OFFSET($C$6:$R$6,MATCH($C$31,$B$7:$B$28,0),0))),OFFSET($C$6:$R$6,MATCH($C$31,$B$7:$B$28,0),0),0))</f>
        <v>25</v>
      </c>
      <c r="J31" s="26"/>
      <c r="K31" s="26"/>
      <c r="L31" s="26"/>
      <c r="M31" s="26"/>
      <c r="N31" s="26"/>
      <c r="O31" s="26"/>
      <c r="P31" s="26"/>
    </row>
    <row r="32" spans="2:34">
      <c r="D32" s="10"/>
      <c r="I32" s="27" t="s">
        <v>4</v>
      </c>
      <c r="J32" s="26"/>
      <c r="K32" s="26"/>
      <c r="L32" s="26"/>
      <c r="M32" s="26"/>
      <c r="N32" s="26"/>
      <c r="O32" s="26"/>
      <c r="P32" s="26"/>
    </row>
    <row r="33" spans="3:3" ht="13.5" customHeight="1">
      <c r="C33" s="9"/>
    </row>
  </sheetData>
  <mergeCells count="2">
    <mergeCell ref="F31:H31"/>
    <mergeCell ref="C30:D30"/>
  </mergeCells>
  <phoneticPr fontId="2" type="noConversion"/>
  <pageMargins left="0.75" right="0.75" top="1" bottom="1" header="0.4921259845" footer="0.4921259845"/>
  <pageSetup paperSize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Chute de tension</vt:lpstr>
    </vt:vector>
  </TitlesOfParts>
  <Company>SOCOTEC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AMaffei</cp:lastModifiedBy>
  <dcterms:created xsi:type="dcterms:W3CDTF">2014-02-27T08:26:52Z</dcterms:created>
  <dcterms:modified xsi:type="dcterms:W3CDTF">2014-02-27T10:58:46Z</dcterms:modified>
</cp:coreProperties>
</file>