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/>
  <workbookPr defaultThemeVersion="124226"/>
  <bookViews>
    <workbookView xWindow="360" yWindow="60" windowWidth="11595" windowHeight="9210"/>
  </bookViews>
  <sheets>
    <sheet name="Janvier" sheetId="1" r:id="rId1"/>
    <sheet name="Fevrier" sheetId="2" r:id="rId2"/>
    <sheet name="Mars" sheetId="4" r:id="rId3"/>
    <sheet name="Avril" sheetId="5" r:id="rId4"/>
    <sheet name="Mai" sheetId="3" r:id="rId5"/>
  </sheets>
  <calcPr calcId="125725"/>
</workbook>
</file>

<file path=xl/calcChain.xml><?xml version="1.0" encoding="utf-8"?>
<calcChain xmlns="http://schemas.openxmlformats.org/spreadsheetml/2006/main">
  <c r="K38" i="1"/>
  <c r="K5"/>
  <c r="K6"/>
  <c r="K7"/>
  <c r="K8"/>
  <c r="K9"/>
  <c r="K10"/>
  <c r="K11"/>
  <c r="K12"/>
  <c r="K13"/>
  <c r="K14"/>
  <c r="K15"/>
  <c r="K16"/>
  <c r="K17"/>
  <c r="K18"/>
  <c r="K19"/>
  <c r="K20"/>
  <c r="K21"/>
  <c r="K22"/>
  <c r="K23"/>
  <c r="K24"/>
  <c r="K4"/>
  <c r="I24"/>
  <c r="I23"/>
  <c r="I22"/>
  <c r="I21"/>
  <c r="I20"/>
  <c r="I19"/>
  <c r="I18"/>
  <c r="I17"/>
  <c r="I16"/>
  <c r="I15"/>
  <c r="I14"/>
  <c r="I13"/>
  <c r="I12"/>
  <c r="I11"/>
  <c r="I10"/>
  <c r="I9"/>
  <c r="I8"/>
  <c r="I7"/>
  <c r="I6"/>
  <c r="K35" s="1"/>
  <c r="K36" s="1"/>
  <c r="I5"/>
  <c r="I4"/>
  <c r="D25"/>
  <c r="C32" s="1"/>
  <c r="E4"/>
  <c r="E5"/>
  <c r="E6"/>
  <c r="E8"/>
  <c r="E9"/>
  <c r="AG9" s="1"/>
  <c r="E10"/>
  <c r="E11"/>
  <c r="E12"/>
  <c r="E13"/>
  <c r="AG13" s="1"/>
  <c r="E14"/>
  <c r="E15"/>
  <c r="E16"/>
  <c r="E17"/>
  <c r="AG17" s="1"/>
  <c r="E18"/>
  <c r="E19"/>
  <c r="E20"/>
  <c r="E21"/>
  <c r="AG21" s="1"/>
  <c r="E22"/>
  <c r="E23"/>
  <c r="E24"/>
  <c r="AA7"/>
  <c r="AA8"/>
  <c r="AA6"/>
  <c r="AA5"/>
  <c r="D35" s="1"/>
  <c r="E27" s="1"/>
  <c r="AA4"/>
  <c r="AA9"/>
  <c r="AA10"/>
  <c r="AA11"/>
  <c r="AA12"/>
  <c r="AA13"/>
  <c r="AA14"/>
  <c r="AA15"/>
  <c r="AA16"/>
  <c r="AA17"/>
  <c r="AA18"/>
  <c r="AA19"/>
  <c r="AA20"/>
  <c r="AA21"/>
  <c r="AA22"/>
  <c r="AA23"/>
  <c r="AA24"/>
  <c r="AB7"/>
  <c r="AB8"/>
  <c r="AB6"/>
  <c r="AB5"/>
  <c r="AB4"/>
  <c r="D36" s="1"/>
  <c r="E28" s="1"/>
  <c r="AB9"/>
  <c r="AB10"/>
  <c r="AB11"/>
  <c r="AB12"/>
  <c r="AB13"/>
  <c r="AB14"/>
  <c r="AB15"/>
  <c r="AB16"/>
  <c r="AB17"/>
  <c r="AB18"/>
  <c r="AB19"/>
  <c r="AB20"/>
  <c r="AB21"/>
  <c r="AB22"/>
  <c r="AB23"/>
  <c r="AB24"/>
  <c r="E6" i="2"/>
  <c r="E7"/>
  <c r="AE7" s="1"/>
  <c r="E8"/>
  <c r="E9"/>
  <c r="E10"/>
  <c r="E11"/>
  <c r="AE11" s="1"/>
  <c r="E12"/>
  <c r="E13"/>
  <c r="E14"/>
  <c r="E15"/>
  <c r="AE15" s="1"/>
  <c r="E16"/>
  <c r="E17"/>
  <c r="E18"/>
  <c r="E19"/>
  <c r="AE19" s="1"/>
  <c r="E20"/>
  <c r="E21"/>
  <c r="E22"/>
  <c r="E23"/>
  <c r="AE23" s="1"/>
  <c r="E24"/>
  <c r="Z6"/>
  <c r="Z5"/>
  <c r="Z7"/>
  <c r="AA6"/>
  <c r="AA5"/>
  <c r="D25"/>
  <c r="I66" i="4"/>
  <c r="I65"/>
  <c r="I64"/>
  <c r="I63"/>
  <c r="I62"/>
  <c r="I61"/>
  <c r="I60"/>
  <c r="I59"/>
  <c r="I58"/>
  <c r="I57"/>
  <c r="I56"/>
  <c r="I55"/>
  <c r="I54"/>
  <c r="I53"/>
  <c r="I52"/>
  <c r="I51"/>
  <c r="I50"/>
  <c r="I49"/>
  <c r="I48"/>
  <c r="I47"/>
  <c r="I46"/>
  <c r="I67" s="1"/>
  <c r="C67"/>
  <c r="S66"/>
  <c r="T66" s="1"/>
  <c r="D66"/>
  <c r="S65"/>
  <c r="D65"/>
  <c r="T65"/>
  <c r="S64"/>
  <c r="D64"/>
  <c r="T64"/>
  <c r="S63"/>
  <c r="T63" s="1"/>
  <c r="D63"/>
  <c r="S62"/>
  <c r="T62" s="1"/>
  <c r="D62"/>
  <c r="S61"/>
  <c r="D61"/>
  <c r="T61"/>
  <c r="S60"/>
  <c r="D60"/>
  <c r="T60"/>
  <c r="S59"/>
  <c r="T59" s="1"/>
  <c r="D59"/>
  <c r="S58"/>
  <c r="T58" s="1"/>
  <c r="D58"/>
  <c r="S57"/>
  <c r="D57"/>
  <c r="T57"/>
  <c r="S56"/>
  <c r="D56"/>
  <c r="T56"/>
  <c r="S55"/>
  <c r="T55" s="1"/>
  <c r="D55"/>
  <c r="S54"/>
  <c r="T54" s="1"/>
  <c r="D54"/>
  <c r="S53"/>
  <c r="D53"/>
  <c r="T53"/>
  <c r="S52"/>
  <c r="D52"/>
  <c r="T52"/>
  <c r="S51"/>
  <c r="T51" s="1"/>
  <c r="D51"/>
  <c r="S50"/>
  <c r="T50" s="1"/>
  <c r="D50"/>
  <c r="S49"/>
  <c r="D49"/>
  <c r="T49"/>
  <c r="S48"/>
  <c r="D48"/>
  <c r="T48"/>
  <c r="S47"/>
  <c r="T47" s="1"/>
  <c r="D47"/>
  <c r="S46"/>
  <c r="T46" s="1"/>
  <c r="D46"/>
  <c r="I24"/>
  <c r="I23"/>
  <c r="I22"/>
  <c r="I21"/>
  <c r="I20"/>
  <c r="I19"/>
  <c r="I18"/>
  <c r="I17"/>
  <c r="I16"/>
  <c r="I15"/>
  <c r="I14"/>
  <c r="I13"/>
  <c r="I12"/>
  <c r="I11"/>
  <c r="I10"/>
  <c r="I9"/>
  <c r="I8"/>
  <c r="I7"/>
  <c r="I6"/>
  <c r="K35" s="1"/>
  <c r="K36" s="1"/>
  <c r="I5"/>
  <c r="I4"/>
  <c r="I25"/>
  <c r="AA4"/>
  <c r="AA5"/>
  <c r="AA6"/>
  <c r="D36" s="1"/>
  <c r="AA7"/>
  <c r="AA8"/>
  <c r="AA9"/>
  <c r="AA10"/>
  <c r="AA11"/>
  <c r="AA12"/>
  <c r="AA13"/>
  <c r="AA14"/>
  <c r="AA15"/>
  <c r="AA16"/>
  <c r="AA17"/>
  <c r="AA18"/>
  <c r="AA19"/>
  <c r="AA20"/>
  <c r="AA21"/>
  <c r="AA22"/>
  <c r="AA23"/>
  <c r="AA24"/>
  <c r="Z4"/>
  <c r="D35" s="1"/>
  <c r="Z5"/>
  <c r="Z6"/>
  <c r="Z7"/>
  <c r="Z8"/>
  <c r="Z9"/>
  <c r="Z10"/>
  <c r="Z11"/>
  <c r="Z12"/>
  <c r="Z13"/>
  <c r="Z14"/>
  <c r="Z15"/>
  <c r="Z16"/>
  <c r="Z17"/>
  <c r="Z18"/>
  <c r="Z19"/>
  <c r="Z20"/>
  <c r="Z21"/>
  <c r="Z22"/>
  <c r="Z23"/>
  <c r="Z24"/>
  <c r="D25"/>
  <c r="C32"/>
  <c r="E6" s="1"/>
  <c r="AE6" s="1"/>
  <c r="E4"/>
  <c r="AE4" s="1"/>
  <c r="E7"/>
  <c r="E8"/>
  <c r="AE8" s="1"/>
  <c r="E11"/>
  <c r="E12"/>
  <c r="AE12" s="1"/>
  <c r="E13"/>
  <c r="E14"/>
  <c r="E15"/>
  <c r="E16"/>
  <c r="AE16" s="1"/>
  <c r="E17"/>
  <c r="E18"/>
  <c r="E19"/>
  <c r="E20"/>
  <c r="AE20" s="1"/>
  <c r="E21"/>
  <c r="E22"/>
  <c r="E23"/>
  <c r="E24"/>
  <c r="AE24" s="1"/>
  <c r="C25"/>
  <c r="AD24"/>
  <c r="AC24"/>
  <c r="U24"/>
  <c r="P24"/>
  <c r="R24"/>
  <c r="AE23"/>
  <c r="AD23"/>
  <c r="AC23"/>
  <c r="U23"/>
  <c r="P23"/>
  <c r="R23" s="1"/>
  <c r="AE22"/>
  <c r="AD22"/>
  <c r="AC22"/>
  <c r="U22"/>
  <c r="P22"/>
  <c r="R22"/>
  <c r="AE21"/>
  <c r="AD21"/>
  <c r="AC21"/>
  <c r="U21"/>
  <c r="P21"/>
  <c r="R21" s="1"/>
  <c r="AD20"/>
  <c r="AC20"/>
  <c r="U20"/>
  <c r="P20"/>
  <c r="R20"/>
  <c r="AE19"/>
  <c r="AD19"/>
  <c r="AC19"/>
  <c r="U19"/>
  <c r="P19"/>
  <c r="R19" s="1"/>
  <c r="AE18"/>
  <c r="AD18"/>
  <c r="AC18"/>
  <c r="U18"/>
  <c r="P18"/>
  <c r="R18"/>
  <c r="AE17"/>
  <c r="AD17"/>
  <c r="AC17"/>
  <c r="U17"/>
  <c r="P17"/>
  <c r="R17" s="1"/>
  <c r="AD16"/>
  <c r="AC16"/>
  <c r="U16"/>
  <c r="P16"/>
  <c r="R16"/>
  <c r="AE15"/>
  <c r="AD15"/>
  <c r="AC15"/>
  <c r="U15"/>
  <c r="P15"/>
  <c r="R15" s="1"/>
  <c r="AE14"/>
  <c r="AD14"/>
  <c r="AC14"/>
  <c r="U14"/>
  <c r="P14"/>
  <c r="R14"/>
  <c r="AE13"/>
  <c r="AD13"/>
  <c r="AC13"/>
  <c r="U13"/>
  <c r="P13"/>
  <c r="R13" s="1"/>
  <c r="AD12"/>
  <c r="AC12"/>
  <c r="U12"/>
  <c r="P12"/>
  <c r="R12"/>
  <c r="AE11"/>
  <c r="AD11"/>
  <c r="AC11"/>
  <c r="U11"/>
  <c r="P11"/>
  <c r="R11" s="1"/>
  <c r="AD10"/>
  <c r="AC10"/>
  <c r="U10"/>
  <c r="P10"/>
  <c r="R10"/>
  <c r="AD9"/>
  <c r="AC9"/>
  <c r="U9"/>
  <c r="P9"/>
  <c r="R9" s="1"/>
  <c r="AD8"/>
  <c r="AC8"/>
  <c r="U8"/>
  <c r="P8"/>
  <c r="R8"/>
  <c r="P7"/>
  <c r="R7" s="1"/>
  <c r="U7"/>
  <c r="AC7"/>
  <c r="AD7"/>
  <c r="AD6"/>
  <c r="AC6"/>
  <c r="U6"/>
  <c r="P6"/>
  <c r="R6"/>
  <c r="P5"/>
  <c r="R5" s="1"/>
  <c r="U5"/>
  <c r="AC5"/>
  <c r="AD5"/>
  <c r="P4"/>
  <c r="R4"/>
  <c r="U4"/>
  <c r="AC4"/>
  <c r="AD4"/>
  <c r="I66" i="2"/>
  <c r="I65"/>
  <c r="I64"/>
  <c r="I63"/>
  <c r="I62"/>
  <c r="I61"/>
  <c r="I60"/>
  <c r="I59"/>
  <c r="I58"/>
  <c r="I57"/>
  <c r="I56"/>
  <c r="I55"/>
  <c r="I54"/>
  <c r="I53"/>
  <c r="I52"/>
  <c r="I51"/>
  <c r="I50"/>
  <c r="I49"/>
  <c r="I48"/>
  <c r="I47"/>
  <c r="I46"/>
  <c r="I67" s="1"/>
  <c r="C67"/>
  <c r="S66"/>
  <c r="T66" s="1"/>
  <c r="D66"/>
  <c r="S65"/>
  <c r="D65"/>
  <c r="T65"/>
  <c r="S64"/>
  <c r="D64"/>
  <c r="T64"/>
  <c r="S63"/>
  <c r="T63" s="1"/>
  <c r="D63"/>
  <c r="S62"/>
  <c r="T62" s="1"/>
  <c r="D62"/>
  <c r="S61"/>
  <c r="D61"/>
  <c r="T61"/>
  <c r="S60"/>
  <c r="D60"/>
  <c r="T60"/>
  <c r="S59"/>
  <c r="T59" s="1"/>
  <c r="D59"/>
  <c r="S58"/>
  <c r="T58" s="1"/>
  <c r="D58"/>
  <c r="S57"/>
  <c r="D57"/>
  <c r="T57"/>
  <c r="S56"/>
  <c r="D56"/>
  <c r="T56"/>
  <c r="S55"/>
  <c r="T55" s="1"/>
  <c r="D55"/>
  <c r="S54"/>
  <c r="T54" s="1"/>
  <c r="D54"/>
  <c r="S53"/>
  <c r="D53"/>
  <c r="T53"/>
  <c r="S52"/>
  <c r="D52"/>
  <c r="T52"/>
  <c r="S51"/>
  <c r="T51" s="1"/>
  <c r="D51"/>
  <c r="S50"/>
  <c r="T50" s="1"/>
  <c r="D50"/>
  <c r="S49"/>
  <c r="D49"/>
  <c r="T49"/>
  <c r="S48"/>
  <c r="D48"/>
  <c r="T48"/>
  <c r="S47"/>
  <c r="T47" s="1"/>
  <c r="D47"/>
  <c r="S46"/>
  <c r="T46" s="1"/>
  <c r="D46"/>
  <c r="I24"/>
  <c r="I23"/>
  <c r="I22"/>
  <c r="I21"/>
  <c r="I20"/>
  <c r="I19"/>
  <c r="I18"/>
  <c r="I17"/>
  <c r="I16"/>
  <c r="I15"/>
  <c r="I14"/>
  <c r="I13"/>
  <c r="I12"/>
  <c r="I11"/>
  <c r="I10"/>
  <c r="I9"/>
  <c r="I8"/>
  <c r="I7"/>
  <c r="I6"/>
  <c r="K35" s="1"/>
  <c r="K36" s="1"/>
  <c r="I5"/>
  <c r="I4"/>
  <c r="I25"/>
  <c r="AA4"/>
  <c r="D36" s="1"/>
  <c r="AA7"/>
  <c r="AA8"/>
  <c r="AA9"/>
  <c r="AA10"/>
  <c r="AA11"/>
  <c r="AA12"/>
  <c r="AA13"/>
  <c r="AA14"/>
  <c r="AA15"/>
  <c r="AA16"/>
  <c r="AA17"/>
  <c r="AA18"/>
  <c r="AA19"/>
  <c r="AA20"/>
  <c r="AA21"/>
  <c r="AA22"/>
  <c r="AA23"/>
  <c r="AA24"/>
  <c r="Z4"/>
  <c r="D35" s="1"/>
  <c r="Z8"/>
  <c r="Z9"/>
  <c r="Z10"/>
  <c r="Z11"/>
  <c r="Z12"/>
  <c r="Z13"/>
  <c r="Z14"/>
  <c r="Z15"/>
  <c r="Z16"/>
  <c r="Z17"/>
  <c r="Z18"/>
  <c r="Z19"/>
  <c r="Z20"/>
  <c r="Z21"/>
  <c r="Z22"/>
  <c r="Z23"/>
  <c r="Z24"/>
  <c r="C25"/>
  <c r="AE24"/>
  <c r="AD24"/>
  <c r="AC24"/>
  <c r="U24"/>
  <c r="P24"/>
  <c r="R24" s="1"/>
  <c r="AD23"/>
  <c r="AC23"/>
  <c r="U23"/>
  <c r="P23"/>
  <c r="R23"/>
  <c r="AE22"/>
  <c r="AD22"/>
  <c r="AC22"/>
  <c r="U22"/>
  <c r="P22"/>
  <c r="R22" s="1"/>
  <c r="AE21"/>
  <c r="AD21"/>
  <c r="AC21"/>
  <c r="U21"/>
  <c r="P21"/>
  <c r="R21"/>
  <c r="AE20"/>
  <c r="AD20"/>
  <c r="AC20"/>
  <c r="U20"/>
  <c r="P20"/>
  <c r="R20" s="1"/>
  <c r="AD19"/>
  <c r="AC19"/>
  <c r="U19"/>
  <c r="P19"/>
  <c r="R19"/>
  <c r="AE18"/>
  <c r="AD18"/>
  <c r="AC18"/>
  <c r="U18"/>
  <c r="P18"/>
  <c r="R18" s="1"/>
  <c r="AE17"/>
  <c r="AD17"/>
  <c r="AC17"/>
  <c r="U17"/>
  <c r="P17"/>
  <c r="R17"/>
  <c r="AE16"/>
  <c r="AD16"/>
  <c r="AC16"/>
  <c r="U16"/>
  <c r="P16"/>
  <c r="R16" s="1"/>
  <c r="AD15"/>
  <c r="AC15"/>
  <c r="U15"/>
  <c r="P15"/>
  <c r="R15"/>
  <c r="AE14"/>
  <c r="AD14"/>
  <c r="AC14"/>
  <c r="U14"/>
  <c r="P14"/>
  <c r="R14" s="1"/>
  <c r="AE13"/>
  <c r="AD13"/>
  <c r="AC13"/>
  <c r="U13"/>
  <c r="P13"/>
  <c r="R13"/>
  <c r="AE12"/>
  <c r="AD12"/>
  <c r="AC12"/>
  <c r="U12"/>
  <c r="P12"/>
  <c r="R12" s="1"/>
  <c r="AD11"/>
  <c r="AC11"/>
  <c r="U11"/>
  <c r="P11"/>
  <c r="R11"/>
  <c r="AE10"/>
  <c r="AD10"/>
  <c r="AC10"/>
  <c r="U10"/>
  <c r="P10"/>
  <c r="R10" s="1"/>
  <c r="AE9"/>
  <c r="AD9"/>
  <c r="AC9"/>
  <c r="U9"/>
  <c r="P9"/>
  <c r="R9"/>
  <c r="AE8"/>
  <c r="AD8"/>
  <c r="AC8"/>
  <c r="U8"/>
  <c r="P8"/>
  <c r="R8" s="1"/>
  <c r="P7"/>
  <c r="R7"/>
  <c r="U7"/>
  <c r="AC7"/>
  <c r="AD7"/>
  <c r="AE6"/>
  <c r="AD6"/>
  <c r="AC6"/>
  <c r="U6"/>
  <c r="P6"/>
  <c r="R6" s="1"/>
  <c r="P5"/>
  <c r="R5"/>
  <c r="U5"/>
  <c r="AC5"/>
  <c r="AD5"/>
  <c r="P4"/>
  <c r="R4" s="1"/>
  <c r="U4"/>
  <c r="AC4"/>
  <c r="AD4"/>
  <c r="S48" i="1"/>
  <c r="D48"/>
  <c r="T48"/>
  <c r="S49"/>
  <c r="D49"/>
  <c r="T49"/>
  <c r="S50"/>
  <c r="T50" s="1"/>
  <c r="D50"/>
  <c r="S51"/>
  <c r="T51" s="1"/>
  <c r="D51"/>
  <c r="S52"/>
  <c r="D52"/>
  <c r="T52"/>
  <c r="S53"/>
  <c r="D53"/>
  <c r="T53"/>
  <c r="S54"/>
  <c r="T54" s="1"/>
  <c r="D54"/>
  <c r="S55"/>
  <c r="T55" s="1"/>
  <c r="D55"/>
  <c r="S56"/>
  <c r="D56"/>
  <c r="T56"/>
  <c r="S57"/>
  <c r="D57"/>
  <c r="T57"/>
  <c r="S58"/>
  <c r="T58" s="1"/>
  <c r="D58"/>
  <c r="S59"/>
  <c r="T59" s="1"/>
  <c r="D59"/>
  <c r="S60"/>
  <c r="D60"/>
  <c r="T60"/>
  <c r="S61"/>
  <c r="D61"/>
  <c r="T61"/>
  <c r="S62"/>
  <c r="T62" s="1"/>
  <c r="D62"/>
  <c r="S63"/>
  <c r="T63" s="1"/>
  <c r="D63"/>
  <c r="S64"/>
  <c r="D64"/>
  <c r="T64"/>
  <c r="S65"/>
  <c r="D65"/>
  <c r="T65"/>
  <c r="S66"/>
  <c r="T66" s="1"/>
  <c r="D66"/>
  <c r="S67"/>
  <c r="T67" s="1"/>
  <c r="D67"/>
  <c r="S47"/>
  <c r="D47"/>
  <c r="T47"/>
  <c r="U7"/>
  <c r="U5"/>
  <c r="AF5"/>
  <c r="P5"/>
  <c r="R5" s="1"/>
  <c r="AG5" s="1"/>
  <c r="AD5"/>
  <c r="P6"/>
  <c r="R6" s="1"/>
  <c r="AG6" s="1"/>
  <c r="AF6"/>
  <c r="U6"/>
  <c r="AD6"/>
  <c r="P7"/>
  <c r="R7"/>
  <c r="AD7"/>
  <c r="AF7"/>
  <c r="P8"/>
  <c r="R8"/>
  <c r="U8"/>
  <c r="AF8"/>
  <c r="AD8"/>
  <c r="AG8"/>
  <c r="AG10"/>
  <c r="AG11"/>
  <c r="AG12"/>
  <c r="AG14"/>
  <c r="AG15"/>
  <c r="AG16"/>
  <c r="AG18"/>
  <c r="AG19"/>
  <c r="AG20"/>
  <c r="AG22"/>
  <c r="AG23"/>
  <c r="AG24"/>
  <c r="U4"/>
  <c r="AF4"/>
  <c r="P4"/>
  <c r="R4"/>
  <c r="AG4" s="1"/>
  <c r="AD4"/>
  <c r="I48"/>
  <c r="I49"/>
  <c r="I50"/>
  <c r="I51"/>
  <c r="I52"/>
  <c r="I53"/>
  <c r="I54"/>
  <c r="I55"/>
  <c r="I56"/>
  <c r="I57"/>
  <c r="I58"/>
  <c r="I59"/>
  <c r="I60"/>
  <c r="I61"/>
  <c r="I62"/>
  <c r="I63"/>
  <c r="I64"/>
  <c r="I65"/>
  <c r="I66"/>
  <c r="I67"/>
  <c r="I47"/>
  <c r="I68"/>
  <c r="C68"/>
  <c r="AF9"/>
  <c r="AF10"/>
  <c r="AF11"/>
  <c r="AF12"/>
  <c r="AF13"/>
  <c r="AF14"/>
  <c r="AF15"/>
  <c r="AF16"/>
  <c r="AF17"/>
  <c r="AF18"/>
  <c r="AF19"/>
  <c r="AF20"/>
  <c r="AF21"/>
  <c r="AF22"/>
  <c r="AF23"/>
  <c r="AF24"/>
  <c r="I25"/>
  <c r="U9"/>
  <c r="U10"/>
  <c r="U11"/>
  <c r="U12"/>
  <c r="U13"/>
  <c r="U14"/>
  <c r="U15"/>
  <c r="U16"/>
  <c r="U17"/>
  <c r="U18"/>
  <c r="U19"/>
  <c r="U20"/>
  <c r="U21"/>
  <c r="U22"/>
  <c r="U23"/>
  <c r="U24"/>
  <c r="C25"/>
  <c r="AD9"/>
  <c r="AD10"/>
  <c r="AD11"/>
  <c r="AD12"/>
  <c r="AD13"/>
  <c r="AD14"/>
  <c r="AD15"/>
  <c r="AD16"/>
  <c r="AD17"/>
  <c r="AD18"/>
  <c r="AD19"/>
  <c r="AD20"/>
  <c r="AD21"/>
  <c r="AD22"/>
  <c r="AD23"/>
  <c r="AD24"/>
  <c r="P9"/>
  <c r="R9" s="1"/>
  <c r="P10"/>
  <c r="R10"/>
  <c r="P11"/>
  <c r="R11" s="1"/>
  <c r="P12"/>
  <c r="R12"/>
  <c r="P13"/>
  <c r="R13" s="1"/>
  <c r="P14"/>
  <c r="R14"/>
  <c r="P15"/>
  <c r="R15" s="1"/>
  <c r="P16"/>
  <c r="R16"/>
  <c r="P17"/>
  <c r="R17" s="1"/>
  <c r="P18"/>
  <c r="R18"/>
  <c r="P19"/>
  <c r="R19" s="1"/>
  <c r="P20"/>
  <c r="R20" s="1"/>
  <c r="P21"/>
  <c r="R21" s="1"/>
  <c r="P22"/>
  <c r="R22" s="1"/>
  <c r="P23"/>
  <c r="R23" s="1"/>
  <c r="P24"/>
  <c r="R24" s="1"/>
  <c r="E7" l="1"/>
  <c r="C32" i="2"/>
  <c r="AE7" i="4"/>
  <c r="E9"/>
  <c r="AE9" s="1"/>
  <c r="E5"/>
  <c r="AE5" s="1"/>
  <c r="E10"/>
  <c r="AE10" s="1"/>
  <c r="AG7" i="1" l="1"/>
  <c r="E26"/>
  <c r="E29" s="1"/>
  <c r="E5" i="2"/>
  <c r="AE5" s="1"/>
  <c r="E4"/>
  <c r="E26" i="4"/>
  <c r="E26" i="2" l="1"/>
  <c r="AE4"/>
  <c r="E27" i="4"/>
  <c r="E28"/>
  <c r="E29" s="1"/>
  <c r="E27" i="2" l="1"/>
  <c r="E29" s="1"/>
  <c r="E28"/>
  <c r="I27" l="1"/>
  <c r="I27" i="1"/>
</calcChain>
</file>

<file path=xl/sharedStrings.xml><?xml version="1.0" encoding="utf-8"?>
<sst xmlns="http://schemas.openxmlformats.org/spreadsheetml/2006/main" count="364" uniqueCount="113">
  <si>
    <t>Vehicules vendus</t>
  </si>
  <si>
    <t>Contrat de service</t>
  </si>
  <si>
    <t xml:space="preserve">EGVN </t>
  </si>
  <si>
    <t>EGVN+Entretien</t>
  </si>
  <si>
    <t>Assistance+Entretien</t>
  </si>
  <si>
    <t>Service compris</t>
  </si>
  <si>
    <t>VN</t>
  </si>
  <si>
    <t>date achat</t>
  </si>
  <si>
    <t>date livraison</t>
  </si>
  <si>
    <t>Financement</t>
  </si>
  <si>
    <t>remise</t>
  </si>
  <si>
    <t>Prix tarif</t>
  </si>
  <si>
    <t xml:space="preserve"> Montant Financé</t>
  </si>
  <si>
    <t>Commision VN:</t>
  </si>
  <si>
    <t>Commision VD:</t>
  </si>
  <si>
    <t>Booster 1</t>
  </si>
  <si>
    <t>Booster 2 (fin sup 5000€)</t>
  </si>
  <si>
    <t>COM 1</t>
  </si>
  <si>
    <t>Prix achat</t>
  </si>
  <si>
    <t>Frais immat</t>
  </si>
  <si>
    <t>Autres aides</t>
  </si>
  <si>
    <t>COM2</t>
  </si>
  <si>
    <t>Marge restante TTC</t>
  </si>
  <si>
    <t>Participation HT</t>
  </si>
  <si>
    <t>VAC</t>
  </si>
  <si>
    <t>COM3</t>
  </si>
  <si>
    <t>Total COM</t>
  </si>
  <si>
    <t>livrable</t>
  </si>
  <si>
    <t>frais de mise à la route</t>
  </si>
  <si>
    <t xml:space="preserve">dernière date de livraison </t>
  </si>
  <si>
    <t>c4 picasso</t>
  </si>
  <si>
    <t>NOM client</t>
  </si>
  <si>
    <t>VD</t>
  </si>
  <si>
    <t>Nombre de financement &gt;5000€ sur VD</t>
  </si>
  <si>
    <t xml:space="preserve">Nombre de CS sur VD </t>
  </si>
  <si>
    <t>Booster 2 VD</t>
  </si>
  <si>
    <t>Booster 1 VD</t>
  </si>
  <si>
    <t>Si 35 commandes:</t>
  </si>
  <si>
    <t>Si 39 commandes:</t>
  </si>
  <si>
    <t>par commande</t>
  </si>
  <si>
    <t>C3</t>
  </si>
  <si>
    <t>Cazals</t>
  </si>
  <si>
    <t>Mavilla</t>
  </si>
  <si>
    <t>C3picasso</t>
  </si>
  <si>
    <t>jr de stock</t>
  </si>
  <si>
    <t>session</t>
  </si>
  <si>
    <t>Benezet</t>
  </si>
  <si>
    <t>Assu</t>
  </si>
  <si>
    <t>Animation commande janvier: hors VD enregistrées dans MADAC avant le 31/01</t>
  </si>
  <si>
    <t>Commission financement livré sur le mois:</t>
  </si>
  <si>
    <t>Nbr de VN livrés sur le mois:</t>
  </si>
  <si>
    <t>Montant financé sur le mois:</t>
  </si>
  <si>
    <t>Montant moyen à la VN/VD livré</t>
  </si>
  <si>
    <t>COM4 obj commande</t>
  </si>
  <si>
    <t>VO</t>
  </si>
  <si>
    <t>C4 picasso</t>
  </si>
  <si>
    <t>MIQUEL</t>
  </si>
  <si>
    <t>COM1</t>
  </si>
  <si>
    <t>Commision VO:</t>
  </si>
  <si>
    <t>Prime 1:</t>
  </si>
  <si>
    <t>Prime 2:</t>
  </si>
  <si>
    <t>Prime 3:</t>
  </si>
  <si>
    <t>si financement entre 3000€ et 5000€</t>
  </si>
  <si>
    <t>si financement supérieur à 5000€</t>
  </si>
  <si>
    <t>Frais de courtage</t>
  </si>
  <si>
    <t>Ligne C</t>
  </si>
  <si>
    <t>Ligne DS</t>
  </si>
  <si>
    <t>VU</t>
  </si>
  <si>
    <t>Primé (liste)</t>
  </si>
  <si>
    <t>Souyri</t>
  </si>
  <si>
    <t>C4picasso</t>
  </si>
  <si>
    <t>SALVAT</t>
  </si>
  <si>
    <t>C5 confort 140</t>
  </si>
  <si>
    <t>C5 138 BVA I</t>
  </si>
  <si>
    <t>Caudrellier</t>
  </si>
  <si>
    <t>Boutonnet</t>
  </si>
  <si>
    <t>C3 picasso</t>
  </si>
  <si>
    <t>Morereau</t>
  </si>
  <si>
    <t>Berlingo</t>
  </si>
  <si>
    <t>Wildemann</t>
  </si>
  <si>
    <t>COM total</t>
  </si>
  <si>
    <t>clio 2</t>
  </si>
  <si>
    <t>xsara coupé</t>
  </si>
  <si>
    <t>swift</t>
  </si>
  <si>
    <t>C5 1</t>
  </si>
  <si>
    <t>mondeo</t>
  </si>
  <si>
    <t>Ca picasso</t>
  </si>
  <si>
    <t>verso-s</t>
  </si>
  <si>
    <t>Prime LIVARISON VN:</t>
  </si>
  <si>
    <t>Prime global VD:</t>
  </si>
  <si>
    <t>Prime Booster CS:</t>
  </si>
  <si>
    <t>Prime Booster Fin:</t>
  </si>
  <si>
    <t>Total Prime VD</t>
  </si>
  <si>
    <t>CAZALS</t>
  </si>
  <si>
    <t>DS4 VTI120 Sochic</t>
  </si>
  <si>
    <t>31/02/2014</t>
  </si>
  <si>
    <t>Cumul 2 mois Prime VD:</t>
  </si>
  <si>
    <t>Nombre de financement livrable</t>
  </si>
  <si>
    <t xml:space="preserve">C4 picasso </t>
  </si>
  <si>
    <t>MIOT</t>
  </si>
  <si>
    <t>gayraud</t>
  </si>
  <si>
    <t>Ferrieu</t>
  </si>
  <si>
    <t xml:space="preserve">C2 </t>
  </si>
  <si>
    <t>BESSE</t>
  </si>
  <si>
    <t>Berlingo HDI 115</t>
  </si>
  <si>
    <t>LAPORTE</t>
  </si>
  <si>
    <t>BESSAC</t>
  </si>
  <si>
    <t xml:space="preserve">DS4 </t>
  </si>
  <si>
    <t>ANTOINE</t>
  </si>
  <si>
    <t>BOUSQUET</t>
  </si>
  <si>
    <t>NEW C4</t>
  </si>
  <si>
    <t>Prime liste</t>
  </si>
  <si>
    <t>Nbr de dossiers</t>
  </si>
</sst>
</file>

<file path=xl/styles.xml><?xml version="1.0" encoding="utf-8"?>
<styleSheet xmlns="http://schemas.openxmlformats.org/spreadsheetml/2006/main">
  <numFmts count="5">
    <numFmt numFmtId="168" formatCode="_-* #,##0\ &quot;€&quot;_-;\-* #,##0\ &quot;€&quot;_-;_-* &quot;-&quot;\ &quot;€&quot;_-;_-@_-"/>
    <numFmt numFmtId="170" formatCode="_-* #,##0.00\ &quot;€&quot;_-;\-* #,##0.00\ &quot;€&quot;_-;_-* &quot;-&quot;??\ &quot;€&quot;_-;_-@_-"/>
    <numFmt numFmtId="171" formatCode="_-* #,##0.00\ _€_-;\-* #,##0.00\ _€_-;_-* &quot;-&quot;??\ _€_-;_-@_-"/>
    <numFmt numFmtId="174" formatCode="dd/mm/yy;@"/>
    <numFmt numFmtId="177" formatCode="#,##0_ ;\-#,##0\ "/>
  </numFmts>
  <fonts count="10">
    <font>
      <sz val="10"/>
      <name val="Arial"/>
    </font>
    <font>
      <sz val="10"/>
      <name val="Arial"/>
    </font>
    <font>
      <sz val="8"/>
      <name val="Arial"/>
      <family val="2"/>
    </font>
    <font>
      <sz val="12"/>
      <name val="Arial"/>
      <family val="2"/>
    </font>
    <font>
      <sz val="10"/>
      <color indexed="10"/>
      <name val="Arial"/>
      <family val="2"/>
    </font>
    <font>
      <b/>
      <sz val="10"/>
      <name val="Arial"/>
      <family val="2"/>
    </font>
    <font>
      <b/>
      <sz val="10"/>
      <color indexed="40"/>
      <name val="Arial"/>
      <family val="2"/>
    </font>
    <font>
      <sz val="16"/>
      <name val="Arial"/>
      <family val="2"/>
    </font>
    <font>
      <b/>
      <sz val="16"/>
      <color indexed="9"/>
      <name val="Arial"/>
      <family val="2"/>
    </font>
    <font>
      <sz val="10"/>
      <color indexed="9"/>
      <name val="Arial"/>
      <family val="2"/>
    </font>
  </fonts>
  <fills count="10">
    <fill>
      <patternFill patternType="none"/>
    </fill>
    <fill>
      <patternFill patternType="gray125"/>
    </fill>
    <fill>
      <patternFill patternType="solid">
        <fgColor indexed="40"/>
        <bgColor indexed="64"/>
      </patternFill>
    </fill>
    <fill>
      <patternFill patternType="solid">
        <fgColor indexed="49"/>
        <bgColor indexed="64"/>
      </patternFill>
    </fill>
    <fill>
      <patternFill patternType="solid">
        <fgColor indexed="52"/>
        <bgColor indexed="64"/>
      </patternFill>
    </fill>
    <fill>
      <patternFill patternType="solid">
        <fgColor indexed="10"/>
        <bgColor indexed="64"/>
      </patternFill>
    </fill>
    <fill>
      <patternFill patternType="solid">
        <fgColor indexed="21"/>
        <bgColor indexed="64"/>
      </patternFill>
    </fill>
    <fill>
      <patternFill patternType="solid">
        <fgColor indexed="15"/>
        <bgColor indexed="64"/>
      </patternFill>
    </fill>
    <fill>
      <patternFill patternType="solid">
        <fgColor indexed="53"/>
        <bgColor indexed="64"/>
      </patternFill>
    </fill>
    <fill>
      <patternFill patternType="solid">
        <fgColor indexed="13"/>
        <bgColor indexed="64"/>
      </patternFill>
    </fill>
  </fills>
  <borders count="54">
    <border>
      <left/>
      <right/>
      <top/>
      <bottom/>
      <diagonal/>
    </border>
    <border>
      <left/>
      <right style="medium">
        <color indexed="64"/>
      </right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thin">
        <color indexed="64"/>
      </right>
      <top style="medium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/>
      <top style="medium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medium">
        <color indexed="64"/>
      </left>
      <right/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 style="thin">
        <color indexed="64"/>
      </left>
      <right/>
      <top style="medium">
        <color indexed="64"/>
      </top>
      <bottom/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 style="thin">
        <color indexed="64"/>
      </right>
      <top style="medium">
        <color indexed="64"/>
      </top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thin">
        <color indexed="64"/>
      </bottom>
      <diagonal/>
    </border>
    <border>
      <left/>
      <right style="medium">
        <color indexed="64"/>
      </right>
      <top style="thin">
        <color indexed="64"/>
      </top>
      <bottom style="thin">
        <color indexed="64"/>
      </bottom>
      <diagonal/>
    </border>
    <border>
      <left/>
      <right style="medium">
        <color indexed="64"/>
      </right>
      <top style="thin">
        <color indexed="64"/>
      </top>
      <bottom style="medium">
        <color indexed="64"/>
      </bottom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medium">
        <color indexed="64"/>
      </left>
      <right/>
      <top style="thin">
        <color indexed="64"/>
      </top>
      <bottom/>
      <diagonal/>
    </border>
    <border>
      <left/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/>
      <bottom style="thin">
        <color indexed="64"/>
      </bottom>
      <diagonal/>
    </border>
    <border>
      <left style="medium">
        <color indexed="64"/>
      </left>
      <right style="medium">
        <color indexed="64"/>
      </right>
      <top/>
      <bottom/>
      <diagonal/>
    </border>
    <border>
      <left style="thin">
        <color indexed="64"/>
      </left>
      <right/>
      <top style="thin">
        <color indexed="64"/>
      </top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</borders>
  <cellStyleXfs count="3">
    <xf numFmtId="0" fontId="0" fillId="0" borderId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</cellStyleXfs>
  <cellXfs count="248">
    <xf numFmtId="0" fontId="0" fillId="0" borderId="0" xfId="0"/>
    <xf numFmtId="0" fontId="0" fillId="0" borderId="1" xfId="0" applyBorder="1"/>
    <xf numFmtId="0" fontId="0" fillId="0" borderId="2" xfId="0" applyBorder="1"/>
    <xf numFmtId="0" fontId="0" fillId="0" borderId="3" xfId="0" applyBorder="1"/>
    <xf numFmtId="0" fontId="0" fillId="0" borderId="4" xfId="0" applyBorder="1"/>
    <xf numFmtId="0" fontId="0" fillId="0" borderId="5" xfId="0" applyBorder="1"/>
    <xf numFmtId="0" fontId="0" fillId="0" borderId="6" xfId="0" applyBorder="1"/>
    <xf numFmtId="0" fontId="0" fillId="0" borderId="7" xfId="0" applyBorder="1"/>
    <xf numFmtId="0" fontId="0" fillId="0" borderId="8" xfId="0" applyBorder="1"/>
    <xf numFmtId="0" fontId="0" fillId="0" borderId="9" xfId="0" applyBorder="1"/>
    <xf numFmtId="0" fontId="0" fillId="0" borderId="10" xfId="0" applyBorder="1"/>
    <xf numFmtId="0" fontId="0" fillId="0" borderId="11" xfId="0" applyBorder="1" applyAlignment="1"/>
    <xf numFmtId="0" fontId="0" fillId="0" borderId="12" xfId="0" applyBorder="1"/>
    <xf numFmtId="0" fontId="0" fillId="0" borderId="13" xfId="0" applyBorder="1"/>
    <xf numFmtId="0" fontId="0" fillId="0" borderId="14" xfId="0" applyBorder="1"/>
    <xf numFmtId="170" fontId="0" fillId="0" borderId="4" xfId="1" applyFont="1" applyBorder="1"/>
    <xf numFmtId="170" fontId="0" fillId="0" borderId="0" xfId="1" applyFont="1"/>
    <xf numFmtId="170" fontId="0" fillId="0" borderId="2" xfId="1" applyFont="1" applyBorder="1"/>
    <xf numFmtId="170" fontId="0" fillId="0" borderId="9" xfId="1" applyFont="1" applyBorder="1"/>
    <xf numFmtId="170" fontId="0" fillId="0" borderId="15" xfId="1" applyFont="1" applyBorder="1"/>
    <xf numFmtId="170" fontId="0" fillId="0" borderId="16" xfId="1" applyFont="1" applyBorder="1"/>
    <xf numFmtId="170" fontId="0" fillId="0" borderId="17" xfId="1" applyFont="1" applyBorder="1"/>
    <xf numFmtId="171" fontId="0" fillId="0" borderId="0" xfId="0" applyNumberFormat="1"/>
    <xf numFmtId="0" fontId="0" fillId="0" borderId="18" xfId="0" applyBorder="1"/>
    <xf numFmtId="0" fontId="0" fillId="0" borderId="19" xfId="0" applyBorder="1"/>
    <xf numFmtId="0" fontId="0" fillId="0" borderId="20" xfId="0" applyBorder="1"/>
    <xf numFmtId="170" fontId="0" fillId="0" borderId="6" xfId="1" applyFont="1" applyBorder="1"/>
    <xf numFmtId="170" fontId="0" fillId="0" borderId="8" xfId="1" applyFont="1" applyBorder="1"/>
    <xf numFmtId="170" fontId="0" fillId="0" borderId="21" xfId="1" applyFont="1" applyBorder="1"/>
    <xf numFmtId="170" fontId="0" fillId="0" borderId="22" xfId="1" applyFont="1" applyBorder="1"/>
    <xf numFmtId="0" fontId="0" fillId="0" borderId="23" xfId="0" applyBorder="1"/>
    <xf numFmtId="0" fontId="0" fillId="0" borderId="24" xfId="0" applyBorder="1"/>
    <xf numFmtId="0" fontId="0" fillId="0" borderId="25" xfId="0" applyBorder="1"/>
    <xf numFmtId="0" fontId="0" fillId="0" borderId="6" xfId="0" applyBorder="1" applyAlignment="1">
      <alignment horizontal="center"/>
    </xf>
    <xf numFmtId="0" fontId="0" fillId="0" borderId="8" xfId="0" applyBorder="1" applyAlignment="1">
      <alignment horizontal="center"/>
    </xf>
    <xf numFmtId="170" fontId="0" fillId="0" borderId="5" xfId="1" applyFont="1" applyBorder="1"/>
    <xf numFmtId="170" fontId="0" fillId="0" borderId="7" xfId="1" applyFont="1" applyBorder="1"/>
    <xf numFmtId="170" fontId="0" fillId="0" borderId="10" xfId="1" applyFont="1" applyBorder="1"/>
    <xf numFmtId="170" fontId="0" fillId="0" borderId="3" xfId="1" applyFont="1" applyBorder="1"/>
    <xf numFmtId="0" fontId="0" fillId="0" borderId="0" xfId="0" applyFill="1" applyBorder="1"/>
    <xf numFmtId="174" fontId="0" fillId="0" borderId="0" xfId="0" applyNumberFormat="1"/>
    <xf numFmtId="174" fontId="0" fillId="0" borderId="9" xfId="0" applyNumberFormat="1" applyBorder="1"/>
    <xf numFmtId="174" fontId="0" fillId="0" borderId="8" xfId="0" applyNumberFormat="1" applyBorder="1"/>
    <xf numFmtId="2" fontId="0" fillId="0" borderId="0" xfId="0" applyNumberFormat="1" applyAlignment="1">
      <alignment horizontal="center"/>
    </xf>
    <xf numFmtId="2" fontId="0" fillId="0" borderId="15" xfId="1" applyNumberFormat="1" applyFont="1" applyBorder="1" applyAlignment="1">
      <alignment horizontal="center"/>
    </xf>
    <xf numFmtId="2" fontId="0" fillId="0" borderId="17" xfId="0" applyNumberFormat="1" applyBorder="1" applyAlignment="1">
      <alignment horizontal="center"/>
    </xf>
    <xf numFmtId="170" fontId="0" fillId="0" borderId="12" xfId="1" applyFont="1" applyBorder="1"/>
    <xf numFmtId="170" fontId="0" fillId="0" borderId="13" xfId="1" applyFont="1" applyBorder="1"/>
    <xf numFmtId="170" fontId="0" fillId="0" borderId="14" xfId="1" applyFont="1" applyBorder="1"/>
    <xf numFmtId="170" fontId="0" fillId="0" borderId="26" xfId="1" applyFont="1" applyBorder="1"/>
    <xf numFmtId="0" fontId="3" fillId="0" borderId="1" xfId="0" applyFont="1" applyBorder="1" applyAlignment="1">
      <alignment horizontal="center"/>
    </xf>
    <xf numFmtId="170" fontId="0" fillId="0" borderId="2" xfId="1" applyFont="1" applyBorder="1" applyAlignment="1"/>
    <xf numFmtId="0" fontId="0" fillId="0" borderId="22" xfId="0" applyBorder="1" applyAlignment="1">
      <alignment horizontal="center"/>
    </xf>
    <xf numFmtId="174" fontId="0" fillId="0" borderId="27" xfId="0" applyNumberFormat="1" applyBorder="1"/>
    <xf numFmtId="174" fontId="0" fillId="0" borderId="7" xfId="0" applyNumberFormat="1" applyBorder="1"/>
    <xf numFmtId="174" fontId="0" fillId="0" borderId="10" xfId="0" applyNumberFormat="1" applyBorder="1"/>
    <xf numFmtId="170" fontId="0" fillId="0" borderId="16" xfId="1" applyFont="1" applyBorder="1" applyAlignment="1">
      <alignment horizontal="center"/>
    </xf>
    <xf numFmtId="170" fontId="0" fillId="0" borderId="28" xfId="1" applyFont="1" applyBorder="1"/>
    <xf numFmtId="174" fontId="5" fillId="0" borderId="22" xfId="0" applyNumberFormat="1" applyFont="1" applyBorder="1"/>
    <xf numFmtId="174" fontId="5" fillId="0" borderId="21" xfId="0" applyNumberFormat="1" applyFont="1" applyBorder="1"/>
    <xf numFmtId="2" fontId="5" fillId="0" borderId="29" xfId="0" applyNumberFormat="1" applyFont="1" applyBorder="1" applyAlignment="1">
      <alignment horizontal="center"/>
    </xf>
    <xf numFmtId="170" fontId="5" fillId="0" borderId="27" xfId="1" applyFont="1" applyBorder="1"/>
    <xf numFmtId="0" fontId="0" fillId="0" borderId="29" xfId="1" applyNumberFormat="1" applyFont="1" applyBorder="1"/>
    <xf numFmtId="0" fontId="0" fillId="0" borderId="16" xfId="1" applyNumberFormat="1" applyFont="1" applyBorder="1"/>
    <xf numFmtId="0" fontId="0" fillId="0" borderId="17" xfId="1" applyNumberFormat="1" applyFont="1" applyBorder="1"/>
    <xf numFmtId="0" fontId="0" fillId="0" borderId="0" xfId="1" applyNumberFormat="1" applyFont="1"/>
    <xf numFmtId="0" fontId="0" fillId="0" borderId="20" xfId="1" applyNumberFormat="1" applyFont="1" applyBorder="1"/>
    <xf numFmtId="0" fontId="0" fillId="0" borderId="0" xfId="1" applyNumberFormat="1" applyFont="1" applyBorder="1"/>
    <xf numFmtId="0" fontId="0" fillId="0" borderId="30" xfId="0" applyBorder="1" applyAlignment="1"/>
    <xf numFmtId="170" fontId="6" fillId="0" borderId="13" xfId="1" applyFont="1" applyBorder="1"/>
    <xf numFmtId="0" fontId="4" fillId="0" borderId="5" xfId="0" applyFont="1" applyBorder="1" applyAlignment="1">
      <alignment horizontal="center"/>
    </xf>
    <xf numFmtId="0" fontId="4" fillId="0" borderId="10" xfId="0" applyFont="1" applyBorder="1" applyAlignment="1">
      <alignment horizontal="center"/>
    </xf>
    <xf numFmtId="0" fontId="0" fillId="0" borderId="0" xfId="0" applyFill="1"/>
    <xf numFmtId="0" fontId="0" fillId="0" borderId="0" xfId="1" applyNumberFormat="1" applyFont="1" applyFill="1"/>
    <xf numFmtId="174" fontId="0" fillId="0" borderId="0" xfId="0" applyNumberFormat="1" applyFill="1"/>
    <xf numFmtId="174" fontId="0" fillId="0" borderId="30" xfId="0" applyNumberFormat="1" applyBorder="1"/>
    <xf numFmtId="174" fontId="0" fillId="0" borderId="31" xfId="0" applyNumberFormat="1" applyBorder="1"/>
    <xf numFmtId="0" fontId="0" fillId="2" borderId="32" xfId="0" applyNumberFormat="1" applyFill="1" applyBorder="1" applyAlignment="1">
      <alignment horizontal="center"/>
    </xf>
    <xf numFmtId="0" fontId="0" fillId="0" borderId="2" xfId="0" applyNumberFormat="1" applyBorder="1" applyAlignment="1">
      <alignment horizontal="center"/>
    </xf>
    <xf numFmtId="0" fontId="5" fillId="0" borderId="0" xfId="0" applyFont="1" applyFill="1" applyBorder="1" applyAlignment="1"/>
    <xf numFmtId="0" fontId="5" fillId="0" borderId="0" xfId="0" applyFont="1" applyBorder="1" applyAlignment="1"/>
    <xf numFmtId="0" fontId="4" fillId="0" borderId="0" xfId="0" applyFont="1" applyBorder="1" applyAlignment="1">
      <alignment horizontal="center"/>
    </xf>
    <xf numFmtId="0" fontId="7" fillId="0" borderId="32" xfId="0" applyNumberFormat="1" applyFont="1" applyBorder="1" applyAlignment="1">
      <alignment horizontal="center"/>
    </xf>
    <xf numFmtId="0" fontId="0" fillId="2" borderId="22" xfId="0" applyFill="1" applyBorder="1" applyAlignment="1">
      <alignment horizontal="center" wrapText="1"/>
    </xf>
    <xf numFmtId="0" fontId="0" fillId="2" borderId="33" xfId="0" applyFill="1" applyBorder="1" applyAlignment="1">
      <alignment horizontal="center" wrapText="1"/>
    </xf>
    <xf numFmtId="0" fontId="0" fillId="2" borderId="21" xfId="0" applyFill="1" applyBorder="1" applyAlignment="1">
      <alignment horizontal="center" wrapText="1"/>
    </xf>
    <xf numFmtId="170" fontId="0" fillId="2" borderId="21" xfId="1" applyFont="1" applyFill="1" applyBorder="1" applyAlignment="1">
      <alignment horizontal="center" wrapText="1"/>
    </xf>
    <xf numFmtId="0" fontId="0" fillId="2" borderId="21" xfId="1" applyNumberFormat="1" applyFont="1" applyFill="1" applyBorder="1" applyAlignment="1">
      <alignment horizontal="center" wrapText="1"/>
    </xf>
    <xf numFmtId="174" fontId="0" fillId="2" borderId="21" xfId="0" applyNumberFormat="1" applyFill="1" applyBorder="1" applyAlignment="1">
      <alignment horizontal="center" wrapText="1"/>
    </xf>
    <xf numFmtId="2" fontId="0" fillId="2" borderId="21" xfId="0" applyNumberFormat="1" applyFill="1" applyBorder="1" applyAlignment="1">
      <alignment horizontal="center" wrapText="1"/>
    </xf>
    <xf numFmtId="170" fontId="0" fillId="2" borderId="29" xfId="1" applyFont="1" applyFill="1" applyBorder="1" applyAlignment="1">
      <alignment horizontal="center" wrapText="1"/>
    </xf>
    <xf numFmtId="170" fontId="0" fillId="2" borderId="22" xfId="1" applyFont="1" applyFill="1" applyBorder="1" applyAlignment="1">
      <alignment horizontal="center" wrapText="1"/>
    </xf>
    <xf numFmtId="171" fontId="0" fillId="2" borderId="21" xfId="0" applyNumberFormat="1" applyFill="1" applyBorder="1" applyAlignment="1">
      <alignment horizontal="center" wrapText="1"/>
    </xf>
    <xf numFmtId="0" fontId="0" fillId="2" borderId="27" xfId="0" applyFill="1" applyBorder="1" applyAlignment="1">
      <alignment horizontal="center" wrapText="1"/>
    </xf>
    <xf numFmtId="170" fontId="0" fillId="2" borderId="33" xfId="1" applyFont="1" applyFill="1" applyBorder="1" applyAlignment="1">
      <alignment horizontal="center" wrapText="1"/>
    </xf>
    <xf numFmtId="0" fontId="0" fillId="3" borderId="21" xfId="0" applyFill="1" applyBorder="1" applyAlignment="1">
      <alignment horizontal="center" wrapText="1"/>
    </xf>
    <xf numFmtId="0" fontId="0" fillId="2" borderId="29" xfId="0" applyFill="1" applyBorder="1" applyAlignment="1">
      <alignment horizontal="center" wrapText="1"/>
    </xf>
    <xf numFmtId="0" fontId="0" fillId="0" borderId="0" xfId="0" applyAlignment="1">
      <alignment wrapText="1"/>
    </xf>
    <xf numFmtId="170" fontId="0" fillId="4" borderId="21" xfId="1" applyFont="1" applyFill="1" applyBorder="1" applyAlignment="1">
      <alignment horizontal="center" wrapText="1"/>
    </xf>
    <xf numFmtId="170" fontId="0" fillId="4" borderId="21" xfId="1" applyFont="1" applyFill="1" applyBorder="1"/>
    <xf numFmtId="170" fontId="0" fillId="4" borderId="2" xfId="1" applyFont="1" applyFill="1" applyBorder="1"/>
    <xf numFmtId="170" fontId="0" fillId="4" borderId="9" xfId="1" applyFont="1" applyFill="1" applyBorder="1"/>
    <xf numFmtId="170" fontId="0" fillId="4" borderId="3" xfId="1" applyFont="1" applyFill="1" applyBorder="1" applyAlignment="1">
      <alignment horizontal="center" wrapText="1"/>
    </xf>
    <xf numFmtId="170" fontId="0" fillId="4" borderId="6" xfId="1" applyFont="1" applyFill="1" applyBorder="1"/>
    <xf numFmtId="170" fontId="0" fillId="4" borderId="19" xfId="1" applyFont="1" applyFill="1" applyBorder="1"/>
    <xf numFmtId="170" fontId="0" fillId="4" borderId="18" xfId="1" applyFont="1" applyFill="1" applyBorder="1"/>
    <xf numFmtId="170" fontId="0" fillId="4" borderId="20" xfId="1" applyFont="1" applyFill="1" applyBorder="1"/>
    <xf numFmtId="0" fontId="0" fillId="0" borderId="34" xfId="0" applyBorder="1"/>
    <xf numFmtId="170" fontId="0" fillId="0" borderId="35" xfId="1" applyFont="1" applyBorder="1"/>
    <xf numFmtId="170" fontId="0" fillId="0" borderId="36" xfId="1" applyFont="1" applyBorder="1"/>
    <xf numFmtId="170" fontId="0" fillId="0" borderId="37" xfId="1" applyFont="1" applyBorder="1"/>
    <xf numFmtId="0" fontId="0" fillId="5" borderId="38" xfId="0" applyFill="1" applyBorder="1" applyAlignment="1">
      <alignment horizontal="center" wrapText="1"/>
    </xf>
    <xf numFmtId="170" fontId="0" fillId="5" borderId="39" xfId="0" applyNumberFormat="1" applyFill="1" applyBorder="1"/>
    <xf numFmtId="170" fontId="0" fillId="4" borderId="38" xfId="1" applyFont="1" applyFill="1" applyBorder="1" applyAlignment="1">
      <alignment horizontal="center" wrapText="1"/>
    </xf>
    <xf numFmtId="170" fontId="0" fillId="4" borderId="39" xfId="1" applyFont="1" applyFill="1" applyBorder="1"/>
    <xf numFmtId="170" fontId="0" fillId="4" borderId="8" xfId="1" applyFont="1" applyFill="1" applyBorder="1"/>
    <xf numFmtId="170" fontId="0" fillId="4" borderId="40" xfId="1" applyFont="1" applyFill="1" applyBorder="1"/>
    <xf numFmtId="0" fontId="8" fillId="6" borderId="30" xfId="0" applyFont="1" applyFill="1" applyBorder="1" applyAlignment="1">
      <alignment horizontal="center"/>
    </xf>
    <xf numFmtId="0" fontId="8" fillId="6" borderId="11" xfId="0" applyFont="1" applyFill="1" applyBorder="1" applyAlignment="1">
      <alignment horizontal="center"/>
    </xf>
    <xf numFmtId="174" fontId="0" fillId="7" borderId="32" xfId="1" applyNumberFormat="1" applyFont="1" applyFill="1" applyBorder="1"/>
    <xf numFmtId="0" fontId="0" fillId="4" borderId="21" xfId="0" applyFill="1" applyBorder="1" applyAlignment="1">
      <alignment horizontal="center" wrapText="1"/>
    </xf>
    <xf numFmtId="0" fontId="0" fillId="0" borderId="23" xfId="0" applyBorder="1" applyAlignment="1">
      <alignment horizontal="center"/>
    </xf>
    <xf numFmtId="0" fontId="0" fillId="0" borderId="24" xfId="0" applyBorder="1" applyAlignment="1">
      <alignment horizontal="center"/>
    </xf>
    <xf numFmtId="170" fontId="0" fillId="4" borderId="22" xfId="0" applyNumberFormat="1" applyFill="1" applyBorder="1" applyAlignment="1">
      <alignment horizontal="center"/>
    </xf>
    <xf numFmtId="14" fontId="0" fillId="0" borderId="29" xfId="1" applyNumberFormat="1" applyFont="1" applyBorder="1"/>
    <xf numFmtId="14" fontId="0" fillId="0" borderId="16" xfId="1" applyNumberFormat="1" applyFont="1" applyBorder="1"/>
    <xf numFmtId="14" fontId="0" fillId="0" borderId="17" xfId="1" applyNumberFormat="1" applyFont="1" applyBorder="1"/>
    <xf numFmtId="0" fontId="0" fillId="0" borderId="12" xfId="0" applyNumberFormat="1" applyBorder="1" applyAlignment="1">
      <alignment horizontal="center"/>
    </xf>
    <xf numFmtId="0" fontId="0" fillId="0" borderId="41" xfId="0" applyNumberFormat="1" applyBorder="1" applyAlignment="1">
      <alignment horizontal="center"/>
    </xf>
    <xf numFmtId="0" fontId="0" fillId="0" borderId="13" xfId="0" applyNumberFormat="1" applyBorder="1" applyAlignment="1">
      <alignment horizontal="center"/>
    </xf>
    <xf numFmtId="0" fontId="0" fillId="0" borderId="14" xfId="0" applyNumberFormat="1" applyBorder="1" applyAlignment="1">
      <alignment horizontal="center"/>
    </xf>
    <xf numFmtId="0" fontId="0" fillId="0" borderId="42" xfId="0" applyBorder="1" applyAlignment="1">
      <alignment horizontal="center"/>
    </xf>
    <xf numFmtId="0" fontId="0" fillId="2" borderId="32" xfId="0" applyFill="1" applyBorder="1"/>
    <xf numFmtId="170" fontId="0" fillId="4" borderId="29" xfId="1" applyFont="1" applyFill="1" applyBorder="1" applyAlignment="1">
      <alignment horizontal="center"/>
    </xf>
    <xf numFmtId="170" fontId="0" fillId="4" borderId="16" xfId="1" applyFont="1" applyFill="1" applyBorder="1" applyAlignment="1">
      <alignment horizontal="center"/>
    </xf>
    <xf numFmtId="170" fontId="0" fillId="4" borderId="17" xfId="1" applyFont="1" applyFill="1" applyBorder="1" applyAlignment="1">
      <alignment horizontal="center"/>
    </xf>
    <xf numFmtId="0" fontId="0" fillId="0" borderId="2" xfId="1" applyNumberFormat="1" applyFont="1" applyBorder="1"/>
    <xf numFmtId="0" fontId="0" fillId="0" borderId="9" xfId="1" applyNumberFormat="1" applyFont="1" applyBorder="1"/>
    <xf numFmtId="0" fontId="0" fillId="0" borderId="43" xfId="0" applyBorder="1" applyAlignment="1"/>
    <xf numFmtId="170" fontId="0" fillId="2" borderId="43" xfId="1" applyFont="1" applyFill="1" applyBorder="1" applyAlignment="1">
      <alignment horizontal="center" wrapText="1"/>
    </xf>
    <xf numFmtId="0" fontId="0" fillId="0" borderId="6" xfId="1" applyNumberFormat="1" applyFont="1" applyBorder="1"/>
    <xf numFmtId="0" fontId="0" fillId="0" borderId="8" xfId="1" applyNumberFormat="1" applyFont="1" applyBorder="1"/>
    <xf numFmtId="170" fontId="0" fillId="0" borderId="5" xfId="1" applyFont="1" applyBorder="1" applyAlignment="1"/>
    <xf numFmtId="170" fontId="0" fillId="0" borderId="7" xfId="1" applyFont="1" applyBorder="1" applyAlignment="1"/>
    <xf numFmtId="170" fontId="0" fillId="0" borderId="10" xfId="1" applyFont="1" applyBorder="1" applyAlignment="1"/>
    <xf numFmtId="0" fontId="0" fillId="0" borderId="0" xfId="0" applyBorder="1"/>
    <xf numFmtId="170" fontId="0" fillId="0" borderId="0" xfId="1" applyFont="1" applyFill="1" applyBorder="1"/>
    <xf numFmtId="0" fontId="0" fillId="0" borderId="0" xfId="0" applyFill="1" applyBorder="1" applyAlignment="1">
      <alignment horizontal="center" wrapText="1"/>
    </xf>
    <xf numFmtId="0" fontId="3" fillId="0" borderId="0" xfId="0" applyFont="1" applyBorder="1" applyAlignment="1">
      <alignment horizontal="center"/>
    </xf>
    <xf numFmtId="0" fontId="8" fillId="6" borderId="43" xfId="0" applyFont="1" applyFill="1" applyBorder="1" applyAlignment="1">
      <alignment horizontal="center"/>
    </xf>
    <xf numFmtId="0" fontId="8" fillId="6" borderId="44" xfId="0" applyFont="1" applyFill="1" applyBorder="1" applyAlignment="1">
      <alignment horizontal="center"/>
    </xf>
    <xf numFmtId="170" fontId="0" fillId="0" borderId="45" xfId="1" applyFont="1" applyBorder="1"/>
    <xf numFmtId="170" fontId="0" fillId="0" borderId="32" xfId="1" applyFont="1" applyBorder="1"/>
    <xf numFmtId="170" fontId="0" fillId="0" borderId="46" xfId="1" applyFont="1" applyBorder="1"/>
    <xf numFmtId="0" fontId="0" fillId="0" borderId="47" xfId="1" applyNumberFormat="1" applyFont="1" applyBorder="1"/>
    <xf numFmtId="0" fontId="0" fillId="0" borderId="48" xfId="1" applyNumberFormat="1" applyFont="1" applyBorder="1" applyAlignment="1">
      <alignment horizontal="center"/>
    </xf>
    <xf numFmtId="174" fontId="0" fillId="0" borderId="12" xfId="0" applyNumberFormat="1" applyBorder="1" applyAlignment="1">
      <alignment horizontal="center"/>
    </xf>
    <xf numFmtId="174" fontId="0" fillId="0" borderId="41" xfId="0" applyNumberFormat="1" applyBorder="1" applyAlignment="1">
      <alignment horizontal="center"/>
    </xf>
    <xf numFmtId="174" fontId="0" fillId="0" borderId="13" xfId="0" applyNumberFormat="1" applyBorder="1" applyAlignment="1">
      <alignment horizontal="center"/>
    </xf>
    <xf numFmtId="174" fontId="0" fillId="0" borderId="14" xfId="0" applyNumberFormat="1" applyBorder="1" applyAlignment="1">
      <alignment horizontal="center"/>
    </xf>
    <xf numFmtId="0" fontId="0" fillId="8" borderId="32" xfId="0" applyFill="1" applyBorder="1" applyAlignment="1">
      <alignment horizontal="center" wrapText="1"/>
    </xf>
    <xf numFmtId="0" fontId="0" fillId="8" borderId="49" xfId="0" applyNumberFormat="1" applyFill="1" applyBorder="1"/>
    <xf numFmtId="0" fontId="0" fillId="3" borderId="22" xfId="0" applyFill="1" applyBorder="1" applyAlignment="1">
      <alignment horizontal="center" wrapText="1"/>
    </xf>
    <xf numFmtId="0" fontId="0" fillId="3" borderId="27" xfId="0" applyFill="1" applyBorder="1" applyAlignment="1">
      <alignment horizontal="center" wrapText="1"/>
    </xf>
    <xf numFmtId="0" fontId="0" fillId="0" borderId="5" xfId="1" applyNumberFormat="1" applyFont="1" applyBorder="1"/>
    <xf numFmtId="0" fontId="0" fillId="0" borderId="7" xfId="1" applyNumberFormat="1" applyFont="1" applyBorder="1"/>
    <xf numFmtId="0" fontId="0" fillId="0" borderId="10" xfId="1" applyNumberFormat="1" applyFont="1" applyBorder="1"/>
    <xf numFmtId="0" fontId="0" fillId="2" borderId="48" xfId="0" applyFill="1" applyBorder="1" applyAlignment="1">
      <alignment horizontal="center" wrapText="1"/>
    </xf>
    <xf numFmtId="0" fontId="0" fillId="0" borderId="36" xfId="1" applyNumberFormat="1" applyFont="1" applyFill="1" applyBorder="1"/>
    <xf numFmtId="0" fontId="0" fillId="0" borderId="37" xfId="1" applyNumberFormat="1" applyFont="1" applyFill="1" applyBorder="1"/>
    <xf numFmtId="0" fontId="0" fillId="0" borderId="3" xfId="1" applyNumberFormat="1" applyFont="1" applyBorder="1"/>
    <xf numFmtId="0" fontId="0" fillId="0" borderId="4" xfId="1" applyNumberFormat="1" applyFont="1" applyBorder="1"/>
    <xf numFmtId="0" fontId="0" fillId="0" borderId="4" xfId="0" applyNumberFormat="1" applyBorder="1"/>
    <xf numFmtId="177" fontId="0" fillId="0" borderId="21" xfId="1" applyNumberFormat="1" applyFont="1" applyFill="1" applyBorder="1" applyAlignment="1">
      <alignment horizontal="center"/>
    </xf>
    <xf numFmtId="177" fontId="0" fillId="0" borderId="2" xfId="1" applyNumberFormat="1" applyFont="1" applyFill="1" applyBorder="1" applyAlignment="1">
      <alignment horizontal="center"/>
    </xf>
    <xf numFmtId="177" fontId="0" fillId="0" borderId="9" xfId="1" applyNumberFormat="1" applyFont="1" applyFill="1" applyBorder="1" applyAlignment="1">
      <alignment horizontal="center"/>
    </xf>
    <xf numFmtId="174" fontId="0" fillId="0" borderId="0" xfId="0" applyNumberFormat="1" applyBorder="1"/>
    <xf numFmtId="2" fontId="0" fillId="0" borderId="0" xfId="0" applyNumberFormat="1" applyFill="1" applyBorder="1" applyAlignment="1">
      <alignment horizontal="center"/>
    </xf>
    <xf numFmtId="0" fontId="9" fillId="0" borderId="0" xfId="0" applyNumberFormat="1" applyFont="1" applyFill="1" applyBorder="1" applyAlignment="1">
      <alignment horizontal="center"/>
    </xf>
    <xf numFmtId="0" fontId="0" fillId="2" borderId="34" xfId="0" applyFill="1" applyBorder="1"/>
    <xf numFmtId="0" fontId="0" fillId="2" borderId="50" xfId="0" applyFill="1" applyBorder="1"/>
    <xf numFmtId="170" fontId="9" fillId="5" borderId="5" xfId="0" applyNumberFormat="1" applyFont="1" applyFill="1" applyBorder="1"/>
    <xf numFmtId="170" fontId="9" fillId="5" borderId="7" xfId="0" applyNumberFormat="1" applyFont="1" applyFill="1" applyBorder="1"/>
    <xf numFmtId="0" fontId="0" fillId="0" borderId="50" xfId="0" applyBorder="1" applyAlignment="1">
      <alignment horizontal="center"/>
    </xf>
    <xf numFmtId="170" fontId="0" fillId="0" borderId="50" xfId="1" applyFont="1" applyBorder="1" applyAlignment="1">
      <alignment horizontal="center"/>
    </xf>
    <xf numFmtId="170" fontId="9" fillId="5" borderId="10" xfId="1" applyFont="1" applyFill="1" applyBorder="1"/>
    <xf numFmtId="0" fontId="0" fillId="2" borderId="2" xfId="0" applyNumberFormat="1" applyFill="1" applyBorder="1" applyAlignment="1">
      <alignment horizontal="center"/>
    </xf>
    <xf numFmtId="170" fontId="0" fillId="2" borderId="21" xfId="1" applyFont="1" applyFill="1" applyBorder="1"/>
    <xf numFmtId="170" fontId="0" fillId="2" borderId="2" xfId="1" applyFont="1" applyFill="1" applyBorder="1"/>
    <xf numFmtId="170" fontId="0" fillId="2" borderId="9" xfId="1" applyFont="1" applyFill="1" applyBorder="1"/>
    <xf numFmtId="0" fontId="0" fillId="2" borderId="3" xfId="0" applyFill="1" applyBorder="1"/>
    <xf numFmtId="0" fontId="0" fillId="2" borderId="5" xfId="0" applyFill="1" applyBorder="1"/>
    <xf numFmtId="170" fontId="9" fillId="5" borderId="32" xfId="0" applyNumberFormat="1" applyFont="1" applyFill="1" applyBorder="1" applyAlignment="1">
      <alignment horizontal="center"/>
    </xf>
    <xf numFmtId="10" fontId="0" fillId="0" borderId="13" xfId="1" applyNumberFormat="1" applyFont="1" applyBorder="1"/>
    <xf numFmtId="10" fontId="0" fillId="0" borderId="14" xfId="1" applyNumberFormat="1" applyFont="1" applyBorder="1"/>
    <xf numFmtId="10" fontId="0" fillId="0" borderId="2" xfId="1" applyNumberFormat="1" applyFont="1" applyBorder="1"/>
    <xf numFmtId="10" fontId="0" fillId="0" borderId="7" xfId="1" applyNumberFormat="1" applyFont="1" applyBorder="1"/>
    <xf numFmtId="9" fontId="0" fillId="0" borderId="7" xfId="1" applyNumberFormat="1" applyFont="1" applyBorder="1"/>
    <xf numFmtId="9" fontId="0" fillId="0" borderId="2" xfId="1" applyNumberFormat="1" applyFont="1" applyBorder="1"/>
    <xf numFmtId="10" fontId="0" fillId="0" borderId="9" xfId="1" applyNumberFormat="1" applyFont="1" applyBorder="1"/>
    <xf numFmtId="9" fontId="0" fillId="0" borderId="9" xfId="1" applyNumberFormat="1" applyFont="1" applyBorder="1"/>
    <xf numFmtId="10" fontId="0" fillId="0" borderId="10" xfId="1" applyNumberFormat="1" applyFont="1" applyBorder="1"/>
    <xf numFmtId="168" fontId="0" fillId="9" borderId="3" xfId="1" applyNumberFormat="1" applyFont="1" applyFill="1" applyBorder="1"/>
    <xf numFmtId="168" fontId="0" fillId="9" borderId="4" xfId="1" applyNumberFormat="1" applyFont="1" applyFill="1" applyBorder="1"/>
    <xf numFmtId="168" fontId="0" fillId="9" borderId="5" xfId="1" applyNumberFormat="1" applyFont="1" applyFill="1" applyBorder="1"/>
    <xf numFmtId="170" fontId="0" fillId="0" borderId="51" xfId="1" applyFont="1" applyBorder="1"/>
    <xf numFmtId="170" fontId="0" fillId="4" borderId="2" xfId="1" applyFont="1" applyFill="1" applyBorder="1" applyAlignment="1">
      <alignment horizontal="center" wrapText="1"/>
    </xf>
    <xf numFmtId="0" fontId="0" fillId="0" borderId="0" xfId="0" applyBorder="1" applyAlignment="1"/>
    <xf numFmtId="177" fontId="0" fillId="9" borderId="35" xfId="1" applyNumberFormat="1" applyFont="1" applyFill="1" applyBorder="1" applyAlignment="1">
      <alignment horizontal="center"/>
    </xf>
    <xf numFmtId="177" fontId="0" fillId="9" borderId="36" xfId="1" applyNumberFormat="1" applyFont="1" applyFill="1" applyBorder="1" applyAlignment="1">
      <alignment horizontal="center"/>
    </xf>
    <xf numFmtId="177" fontId="0" fillId="9" borderId="37" xfId="1" applyNumberFormat="1" applyFont="1" applyFill="1" applyBorder="1" applyAlignment="1">
      <alignment horizontal="center"/>
    </xf>
    <xf numFmtId="0" fontId="8" fillId="6" borderId="30" xfId="0" applyFont="1" applyFill="1" applyBorder="1" applyAlignment="1">
      <alignment horizontal="center"/>
    </xf>
    <xf numFmtId="0" fontId="8" fillId="6" borderId="11" xfId="0" applyFont="1" applyFill="1" applyBorder="1" applyAlignment="1">
      <alignment horizontal="center"/>
    </xf>
    <xf numFmtId="0" fontId="8" fillId="6" borderId="31" xfId="0" applyFont="1" applyFill="1" applyBorder="1" applyAlignment="1">
      <alignment horizontal="center"/>
    </xf>
    <xf numFmtId="0" fontId="3" fillId="0" borderId="30" xfId="0" applyFont="1" applyBorder="1" applyAlignment="1">
      <alignment horizontal="center"/>
    </xf>
    <xf numFmtId="0" fontId="3" fillId="0" borderId="11" xfId="0" applyFont="1" applyBorder="1" applyAlignment="1">
      <alignment horizontal="center"/>
    </xf>
    <xf numFmtId="0" fontId="3" fillId="0" borderId="31" xfId="0" applyFont="1" applyBorder="1" applyAlignment="1">
      <alignment horizontal="center"/>
    </xf>
    <xf numFmtId="0" fontId="0" fillId="0" borderId="30" xfId="0" applyBorder="1" applyAlignment="1"/>
    <xf numFmtId="0" fontId="0" fillId="0" borderId="11" xfId="0" applyBorder="1" applyAlignment="1"/>
    <xf numFmtId="0" fontId="5" fillId="0" borderId="3" xfId="0" applyFont="1" applyFill="1" applyBorder="1" applyAlignment="1"/>
    <xf numFmtId="0" fontId="5" fillId="0" borderId="4" xfId="0" applyFont="1" applyBorder="1" applyAlignment="1"/>
    <xf numFmtId="170" fontId="0" fillId="0" borderId="30" xfId="2" applyFont="1" applyBorder="1" applyAlignment="1"/>
    <xf numFmtId="0" fontId="0" fillId="0" borderId="31" xfId="0" applyBorder="1" applyAlignment="1"/>
    <xf numFmtId="170" fontId="0" fillId="0" borderId="30" xfId="1" applyFont="1" applyBorder="1" applyAlignment="1"/>
    <xf numFmtId="170" fontId="0" fillId="0" borderId="11" xfId="1" applyFont="1" applyBorder="1" applyAlignment="1"/>
    <xf numFmtId="0" fontId="4" fillId="0" borderId="3" xfId="0" applyFont="1" applyBorder="1" applyAlignment="1"/>
    <xf numFmtId="0" fontId="0" fillId="0" borderId="4" xfId="0" applyBorder="1" applyAlignment="1"/>
    <xf numFmtId="0" fontId="4" fillId="0" borderId="6" xfId="0" applyFont="1" applyBorder="1" applyAlignment="1"/>
    <xf numFmtId="0" fontId="0" fillId="0" borderId="2" xfId="0" applyBorder="1" applyAlignment="1"/>
    <xf numFmtId="0" fontId="4" fillId="0" borderId="8" xfId="0" applyFont="1" applyFill="1" applyBorder="1" applyAlignment="1"/>
    <xf numFmtId="0" fontId="4" fillId="0" borderId="9" xfId="0" applyFont="1" applyFill="1" applyBorder="1" applyAlignment="1"/>
    <xf numFmtId="174" fontId="4" fillId="0" borderId="30" xfId="0" applyNumberFormat="1" applyFont="1" applyBorder="1" applyAlignment="1"/>
    <xf numFmtId="174" fontId="4" fillId="0" borderId="31" xfId="0" applyNumberFormat="1" applyFont="1" applyBorder="1" applyAlignment="1"/>
    <xf numFmtId="170" fontId="9" fillId="5" borderId="30" xfId="1" applyFont="1" applyFill="1" applyBorder="1" applyAlignment="1"/>
    <xf numFmtId="170" fontId="9" fillId="5" borderId="11" xfId="1" applyFont="1" applyFill="1" applyBorder="1" applyAlignment="1"/>
    <xf numFmtId="0" fontId="9" fillId="5" borderId="31" xfId="0" applyFont="1" applyFill="1" applyBorder="1" applyAlignment="1"/>
    <xf numFmtId="174" fontId="0" fillId="0" borderId="30" xfId="0" applyNumberFormat="1" applyBorder="1" applyAlignment="1"/>
    <xf numFmtId="177" fontId="0" fillId="0" borderId="30" xfId="1" applyNumberFormat="1" applyFont="1" applyBorder="1" applyAlignment="1"/>
    <xf numFmtId="177" fontId="0" fillId="0" borderId="11" xfId="1" applyNumberFormat="1" applyFont="1" applyBorder="1" applyAlignment="1"/>
    <xf numFmtId="177" fontId="0" fillId="0" borderId="31" xfId="1" applyNumberFormat="1" applyFont="1" applyBorder="1" applyAlignment="1"/>
    <xf numFmtId="0" fontId="0" fillId="0" borderId="52" xfId="0" applyBorder="1" applyAlignment="1"/>
    <xf numFmtId="0" fontId="0" fillId="0" borderId="53" xfId="0" applyBorder="1" applyAlignment="1"/>
    <xf numFmtId="0" fontId="5" fillId="0" borderId="30" xfId="0" applyFont="1" applyBorder="1" applyAlignment="1"/>
    <xf numFmtId="0" fontId="5" fillId="0" borderId="11" xfId="0" applyFont="1" applyBorder="1" applyAlignment="1"/>
    <xf numFmtId="0" fontId="5" fillId="0" borderId="8" xfId="0" applyFont="1" applyFill="1" applyBorder="1" applyAlignment="1"/>
    <xf numFmtId="0" fontId="5" fillId="0" borderId="9" xfId="0" applyFont="1" applyBorder="1" applyAlignment="1"/>
    <xf numFmtId="170" fontId="5" fillId="0" borderId="30" xfId="2" applyFont="1" applyBorder="1" applyAlignment="1"/>
    <xf numFmtId="0" fontId="5" fillId="0" borderId="31" xfId="0" applyFont="1" applyBorder="1" applyAlignment="1"/>
  </cellXfs>
  <cellStyles count="3">
    <cellStyle name="Currency" xfId="2" builtinId="4"/>
    <cellStyle name="Euro" xfId="1"/>
    <cellStyle name="Normal" xfId="0" builtinId="0"/>
  </cellStyles>
  <dxfs count="6">
    <dxf>
      <font>
        <condense val="0"/>
        <extend val="0"/>
        <color indexed="10"/>
      </font>
    </dxf>
    <dxf>
      <font>
        <condense val="0"/>
        <extend val="0"/>
        <color indexed="57"/>
      </font>
    </dxf>
    <dxf>
      <font>
        <condense val="0"/>
        <extend val="0"/>
        <color indexed="10"/>
      </font>
    </dxf>
    <dxf>
      <font>
        <condense val="0"/>
        <extend val="0"/>
        <color indexed="57"/>
      </font>
    </dxf>
    <dxf>
      <font>
        <condense val="0"/>
        <extend val="0"/>
        <color indexed="10"/>
      </font>
    </dxf>
    <dxf>
      <font>
        <condense val="0"/>
        <extend val="0"/>
        <color indexed="57"/>
      </font>
    </dxf>
  </dxfs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calcChain" Target="calcChain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AK73"/>
  <sheetViews>
    <sheetView tabSelected="1" topLeftCell="E28" workbookViewId="0">
      <selection activeCell="K39" sqref="K39"/>
    </sheetView>
  </sheetViews>
  <sheetFormatPr defaultColWidth="11.42578125" defaultRowHeight="12.75"/>
  <cols>
    <col min="1" max="1" width="15.140625" customWidth="1"/>
    <col min="2" max="2" width="16.140625" customWidth="1"/>
    <col min="3" max="4" width="9.42578125" customWidth="1"/>
    <col min="5" max="5" width="11.28515625" style="16" customWidth="1"/>
    <col min="6" max="6" width="9.85546875" style="65" customWidth="1"/>
    <col min="7" max="7" width="9.28515625" style="40" customWidth="1"/>
    <col min="8" max="8" width="15.140625" style="40" customWidth="1"/>
    <col min="9" max="9" width="14.140625" style="43" customWidth="1"/>
    <col min="10" max="10" width="12.42578125" style="16" customWidth="1"/>
    <col min="11" max="11" width="10.42578125" style="16" customWidth="1"/>
    <col min="12" max="12" width="9.28515625" style="16" customWidth="1"/>
    <col min="13" max="13" width="11.5703125" style="16" customWidth="1"/>
    <col min="14" max="14" width="14.42578125" style="16" customWidth="1"/>
    <col min="15" max="15" width="11.85546875" style="16" customWidth="1"/>
    <col min="16" max="16" width="10.5703125" style="22" customWidth="1"/>
    <col min="17" max="17" width="14.5703125" style="16" customWidth="1"/>
    <col min="18" max="18" width="10.7109375" style="16" customWidth="1"/>
    <col min="19" max="19" width="11.85546875" customWidth="1"/>
    <col min="20" max="20" width="15.28515625" style="16" customWidth="1"/>
    <col min="21" max="22" width="8.28515625" style="16" customWidth="1"/>
    <col min="23" max="23" width="6" customWidth="1"/>
    <col min="24" max="24" width="8.28515625" customWidth="1"/>
    <col min="25" max="25" width="11.5703125" customWidth="1"/>
    <col min="26" max="26" width="9" customWidth="1"/>
    <col min="27" max="27" width="8.140625" customWidth="1"/>
    <col min="28" max="28" width="7.5703125" customWidth="1"/>
    <col min="29" max="29" width="6.28515625" customWidth="1"/>
    <col min="30" max="31" width="9" style="16" customWidth="1"/>
    <col min="32" max="32" width="10.5703125" style="16" customWidth="1"/>
    <col min="33" max="33" width="11.140625" customWidth="1"/>
  </cols>
  <sheetData>
    <row r="1" spans="1:37" ht="21.75" customHeight="1" thickBot="1">
      <c r="A1" s="211" t="s">
        <v>6</v>
      </c>
      <c r="B1" s="212"/>
      <c r="C1" s="212"/>
      <c r="D1" s="212"/>
      <c r="E1" s="212"/>
      <c r="F1" s="212"/>
      <c r="G1" s="212"/>
      <c r="H1" s="212"/>
      <c r="I1" s="212"/>
      <c r="J1" s="212"/>
      <c r="K1" s="212"/>
      <c r="L1" s="212"/>
      <c r="M1" s="212"/>
      <c r="N1" s="212"/>
      <c r="O1" s="212"/>
      <c r="P1" s="212"/>
      <c r="Q1" s="212"/>
      <c r="R1" s="212"/>
      <c r="S1" s="212"/>
      <c r="T1" s="212"/>
      <c r="U1" s="212"/>
      <c r="V1" s="212"/>
      <c r="W1" s="212"/>
      <c r="X1" s="212"/>
      <c r="Y1" s="212"/>
      <c r="Z1" s="212"/>
      <c r="AA1" s="212"/>
      <c r="AB1" s="212"/>
      <c r="AC1" s="213"/>
    </row>
    <row r="2" spans="1:37" ht="15.75" thickBot="1">
      <c r="A2" s="217"/>
      <c r="B2" s="218"/>
      <c r="C2" s="218"/>
      <c r="D2" s="218"/>
      <c r="E2" s="218"/>
      <c r="F2" s="218"/>
      <c r="G2" s="218"/>
      <c r="H2" s="218"/>
      <c r="I2" s="218"/>
      <c r="J2" s="218"/>
      <c r="K2" s="218"/>
      <c r="L2" s="218"/>
      <c r="M2" s="218"/>
      <c r="N2" s="218"/>
      <c r="O2" s="218"/>
      <c r="P2" s="218"/>
      <c r="Q2" s="218"/>
      <c r="R2" s="218"/>
      <c r="S2" s="218"/>
      <c r="T2" s="218"/>
      <c r="U2" s="11"/>
      <c r="V2" s="11"/>
      <c r="W2" s="214" t="s">
        <v>1</v>
      </c>
      <c r="X2" s="215"/>
      <c r="Y2" s="215"/>
      <c r="Z2" s="216"/>
      <c r="AA2" s="50"/>
      <c r="AB2" s="50"/>
      <c r="AC2" s="1"/>
    </row>
    <row r="3" spans="1:37" s="97" customFormat="1" ht="38.25" customHeight="1" thickBot="1">
      <c r="A3" s="83" t="s">
        <v>0</v>
      </c>
      <c r="B3" s="84" t="s">
        <v>31</v>
      </c>
      <c r="C3" s="84" t="s">
        <v>6</v>
      </c>
      <c r="D3" s="85" t="s">
        <v>32</v>
      </c>
      <c r="E3" s="98" t="s">
        <v>17</v>
      </c>
      <c r="F3" s="87" t="s">
        <v>44</v>
      </c>
      <c r="G3" s="88" t="s">
        <v>8</v>
      </c>
      <c r="H3" s="88" t="s">
        <v>7</v>
      </c>
      <c r="I3" s="89" t="s">
        <v>27</v>
      </c>
      <c r="J3" s="86" t="s">
        <v>18</v>
      </c>
      <c r="K3" s="86" t="s">
        <v>19</v>
      </c>
      <c r="L3" s="86" t="s">
        <v>64</v>
      </c>
      <c r="M3" s="86" t="s">
        <v>11</v>
      </c>
      <c r="N3" s="90" t="s">
        <v>23</v>
      </c>
      <c r="O3" s="91" t="s">
        <v>20</v>
      </c>
      <c r="P3" s="92" t="s">
        <v>22</v>
      </c>
      <c r="Q3" s="86" t="s">
        <v>10</v>
      </c>
      <c r="R3" s="98" t="s">
        <v>21</v>
      </c>
      <c r="S3" s="93" t="s">
        <v>9</v>
      </c>
      <c r="T3" s="94" t="s">
        <v>12</v>
      </c>
      <c r="U3" s="98" t="s">
        <v>25</v>
      </c>
      <c r="V3" s="98" t="s">
        <v>111</v>
      </c>
      <c r="W3" s="95" t="s">
        <v>2</v>
      </c>
      <c r="X3" s="95" t="s">
        <v>3</v>
      </c>
      <c r="Y3" s="95" t="s">
        <v>4</v>
      </c>
      <c r="Z3" s="95" t="s">
        <v>5</v>
      </c>
      <c r="AA3" s="96" t="s">
        <v>36</v>
      </c>
      <c r="AB3" s="96" t="s">
        <v>35</v>
      </c>
      <c r="AC3" s="96" t="s">
        <v>47</v>
      </c>
      <c r="AD3" s="102" t="s">
        <v>25</v>
      </c>
      <c r="AE3" s="206" t="s">
        <v>111</v>
      </c>
      <c r="AF3" s="113" t="s">
        <v>53</v>
      </c>
      <c r="AG3" s="111" t="s">
        <v>26</v>
      </c>
    </row>
    <row r="4" spans="1:37" ht="13.5" thickBot="1">
      <c r="A4" s="30" t="s">
        <v>40</v>
      </c>
      <c r="B4" s="30" t="s">
        <v>41</v>
      </c>
      <c r="C4" s="30">
        <v>1</v>
      </c>
      <c r="D4" s="52"/>
      <c r="E4" s="99">
        <f>IF(AND(C4=1,COUNTIF(A4:A24,"DS")),$E$31,IF(AND(C4=1,COUNTIF(A4:A24,"VU")),$F$31,IF(C4=1,$D$31,IF(D4=1,$C$32,0))))</f>
        <v>30</v>
      </c>
      <c r="F4" s="62" t="s">
        <v>45</v>
      </c>
      <c r="G4" s="53">
        <v>41723</v>
      </c>
      <c r="H4" s="156">
        <v>41653</v>
      </c>
      <c r="I4" s="186" t="str">
        <f>IF(G4=0,0,IF(G4&lt;=$E$34,"LIVRABLE","PAS LIVRABLE"))</f>
        <v>PAS LIVRABLE</v>
      </c>
      <c r="J4" s="19">
        <v>15195.6</v>
      </c>
      <c r="K4" s="108">
        <f>L4+$D$33</f>
        <v>330</v>
      </c>
      <c r="L4" s="46">
        <v>185</v>
      </c>
      <c r="M4" s="15">
        <v>16650</v>
      </c>
      <c r="N4" s="19">
        <v>3060</v>
      </c>
      <c r="O4" s="29">
        <v>0</v>
      </c>
      <c r="P4" s="187">
        <f>(((M4+K4)-(J4+$D$33))+((N4*1.2)+(O4*1.2)))-Q4</f>
        <v>151.39999999999964</v>
      </c>
      <c r="Q4" s="28">
        <v>5160</v>
      </c>
      <c r="R4" s="133">
        <f>IF(P4&gt;0,P4*0.1,0)</f>
        <v>15.139999999999965</v>
      </c>
      <c r="S4" s="107" t="s">
        <v>24</v>
      </c>
      <c r="T4" s="108">
        <v>5000</v>
      </c>
      <c r="U4" s="105">
        <f>IF(AND(A4="C4picasso",T4&gt;=5000),$J$31,IF(T4&gt;=5000,$H$31,0))</f>
        <v>30</v>
      </c>
      <c r="V4" s="100"/>
      <c r="W4" s="12">
        <v>1</v>
      </c>
      <c r="X4" s="4"/>
      <c r="Y4" s="4"/>
      <c r="Z4" s="5"/>
      <c r="AA4" s="190">
        <f t="shared" ref="AA4:AA24" si="0">IF(AND(D4=1,(W4+X4+Y4+Z4)=1),1,0)</f>
        <v>0</v>
      </c>
      <c r="AB4" s="191">
        <f>IF(AND(T4&gt;=5000,D4=1),1,0)</f>
        <v>0</v>
      </c>
      <c r="AC4" s="23">
        <v>0</v>
      </c>
      <c r="AD4" s="103">
        <f>IF(W4+X4+Y4+Z4&gt;0,$G$31,0)</f>
        <v>20</v>
      </c>
      <c r="AE4" s="100"/>
      <c r="AF4" s="114">
        <f t="shared" ref="AF4:AF24" si="1">IF($H$40&gt;=39,$C$42,IF($H$40&gt;=35,$C$41,0))</f>
        <v>20</v>
      </c>
      <c r="AG4" s="112">
        <f t="shared" ref="AG4:AG24" si="2">IF(L4&lt;185,E4,E4+R4+U4+AD4+AF4)</f>
        <v>115.13999999999996</v>
      </c>
      <c r="AI4" t="s">
        <v>81</v>
      </c>
      <c r="AJ4">
        <v>5</v>
      </c>
    </row>
    <row r="5" spans="1:37" ht="13.5" thickBot="1">
      <c r="A5" s="31" t="s">
        <v>43</v>
      </c>
      <c r="B5" s="31" t="s">
        <v>42</v>
      </c>
      <c r="C5" s="31">
        <v>1</v>
      </c>
      <c r="D5" s="33"/>
      <c r="E5" s="100">
        <f>IF(C5=1,$D$31,IF(D5=1,$C$32,0))</f>
        <v>30</v>
      </c>
      <c r="F5" s="63">
        <v>174</v>
      </c>
      <c r="G5" s="54">
        <v>41664</v>
      </c>
      <c r="H5" s="157">
        <v>41669</v>
      </c>
      <c r="I5" s="186" t="str">
        <f t="shared" ref="I5:I24" si="3">IF(G5=0,0,IF(G5&lt;=$E$34,"LIVRABLE","PAS LIVRABLE"))</f>
        <v>LIVRABLE</v>
      </c>
      <c r="J5" s="205">
        <v>21585.599999999999</v>
      </c>
      <c r="K5" s="109">
        <f t="shared" ref="K5:K24" si="4">L5+$D$33</f>
        <v>375</v>
      </c>
      <c r="L5" s="47">
        <v>230</v>
      </c>
      <c r="M5" s="17">
        <v>23750</v>
      </c>
      <c r="N5" s="20">
        <v>2590</v>
      </c>
      <c r="O5" s="26"/>
      <c r="P5" s="188">
        <f t="shared" ref="P5:P24" si="5">(((M5+K5)-(J5+$D$33))+((N5*1.2)+(O5*1.2)))-Q5</f>
        <v>-97.599999999998545</v>
      </c>
      <c r="Q5" s="17">
        <v>5600</v>
      </c>
      <c r="R5" s="134">
        <f t="shared" ref="R5:R24" si="6">IF(P5&gt;0,P5*0.1,0)</f>
        <v>0</v>
      </c>
      <c r="S5" s="31"/>
      <c r="T5" s="109">
        <v>7000</v>
      </c>
      <c r="U5" s="104">
        <f t="shared" ref="U5:U24" si="7">IF(AND(A5="C4picasso",T5&gt;=5000),$J$31,IF(T5&gt;=5000,$H$31,0))</f>
        <v>30</v>
      </c>
      <c r="V5" s="100"/>
      <c r="W5" s="13">
        <v>1</v>
      </c>
      <c r="X5" s="2"/>
      <c r="Y5" s="2"/>
      <c r="Z5" s="7"/>
      <c r="AA5" s="190">
        <f t="shared" si="0"/>
        <v>0</v>
      </c>
      <c r="AB5" s="191">
        <f t="shared" ref="AB5:AB24" si="8">IF(AND(T5&gt;=5000,D5=1),1,0)</f>
        <v>0</v>
      </c>
      <c r="AC5" s="24"/>
      <c r="AD5" s="103">
        <f t="shared" ref="AD5:AD24" si="9">IF(W5+X5+Y5+Z5&gt;0,$G$31,0)</f>
        <v>20</v>
      </c>
      <c r="AE5" s="100"/>
      <c r="AF5" s="114">
        <f t="shared" si="1"/>
        <v>20</v>
      </c>
      <c r="AG5" s="112">
        <f t="shared" si="2"/>
        <v>100</v>
      </c>
      <c r="AI5" t="s">
        <v>82</v>
      </c>
      <c r="AJ5">
        <v>300</v>
      </c>
      <c r="AK5">
        <v>120</v>
      </c>
    </row>
    <row r="6" spans="1:37" ht="13.5" thickBot="1">
      <c r="A6" s="31" t="s">
        <v>40</v>
      </c>
      <c r="B6" s="31" t="s">
        <v>46</v>
      </c>
      <c r="C6" s="31">
        <v>1</v>
      </c>
      <c r="D6" s="33"/>
      <c r="E6" s="100">
        <f>IF(C6=1,$D$31,IF(D6=1,$C$32,0))</f>
        <v>30</v>
      </c>
      <c r="F6" s="63" t="s">
        <v>45</v>
      </c>
      <c r="G6" s="54">
        <v>41685</v>
      </c>
      <c r="H6" s="158">
        <v>41657</v>
      </c>
      <c r="I6" s="186" t="str">
        <f t="shared" si="3"/>
        <v>PAS LIVRABLE</v>
      </c>
      <c r="J6" s="20">
        <v>15150</v>
      </c>
      <c r="K6" s="109">
        <f t="shared" si="4"/>
        <v>375</v>
      </c>
      <c r="L6" s="47">
        <v>230</v>
      </c>
      <c r="M6" s="17">
        <v>16600</v>
      </c>
      <c r="N6" s="20">
        <v>1770</v>
      </c>
      <c r="O6" s="26"/>
      <c r="P6" s="188">
        <f t="shared" si="5"/>
        <v>304</v>
      </c>
      <c r="Q6" s="17">
        <v>3500</v>
      </c>
      <c r="R6" s="134">
        <f t="shared" si="6"/>
        <v>30.400000000000002</v>
      </c>
      <c r="S6" s="31"/>
      <c r="T6" s="109">
        <v>11705.5</v>
      </c>
      <c r="U6" s="104">
        <f t="shared" si="7"/>
        <v>30</v>
      </c>
      <c r="V6" s="100"/>
      <c r="W6" s="13"/>
      <c r="X6" s="2"/>
      <c r="Y6" s="2"/>
      <c r="Z6" s="7"/>
      <c r="AA6" s="190">
        <f t="shared" si="0"/>
        <v>0</v>
      </c>
      <c r="AB6" s="191">
        <f t="shared" si="8"/>
        <v>0</v>
      </c>
      <c r="AC6" s="24"/>
      <c r="AD6" s="103">
        <f t="shared" si="9"/>
        <v>0</v>
      </c>
      <c r="AE6" s="100"/>
      <c r="AF6" s="114">
        <f t="shared" si="1"/>
        <v>20</v>
      </c>
      <c r="AG6" s="112">
        <f t="shared" si="2"/>
        <v>110.4</v>
      </c>
      <c r="AI6" t="s">
        <v>83</v>
      </c>
    </row>
    <row r="7" spans="1:37" ht="13.5" thickBot="1">
      <c r="A7" s="31" t="s">
        <v>70</v>
      </c>
      <c r="B7" s="31" t="s">
        <v>69</v>
      </c>
      <c r="C7" s="31"/>
      <c r="D7" s="33">
        <v>1</v>
      </c>
      <c r="E7" s="100">
        <f>IF(C7=1,$D$31,IF(D7=1,$C$32,0))</f>
        <v>50</v>
      </c>
      <c r="F7" s="63"/>
      <c r="G7" s="54">
        <v>41670</v>
      </c>
      <c r="H7" s="158">
        <v>41666</v>
      </c>
      <c r="I7" s="186" t="str">
        <f t="shared" si="3"/>
        <v>LIVRABLE</v>
      </c>
      <c r="J7" s="20">
        <v>26459.11</v>
      </c>
      <c r="K7" s="109">
        <f t="shared" si="4"/>
        <v>375</v>
      </c>
      <c r="L7" s="47">
        <v>230</v>
      </c>
      <c r="M7" s="17">
        <v>28840</v>
      </c>
      <c r="N7" s="20">
        <v>2740</v>
      </c>
      <c r="O7" s="26"/>
      <c r="P7" s="188">
        <f t="shared" si="5"/>
        <v>-2266.6100000000006</v>
      </c>
      <c r="Q7" s="17">
        <v>8165.5</v>
      </c>
      <c r="R7" s="134">
        <f t="shared" si="6"/>
        <v>0</v>
      </c>
      <c r="S7" s="31" t="s">
        <v>24</v>
      </c>
      <c r="T7" s="109">
        <v>5000</v>
      </c>
      <c r="U7" s="104">
        <f>IF(AND(C7=1,A7="C4picasso",T7&gt;=5000),$J$31,IF(T7&gt;=5000,$H$31,0))</f>
        <v>30</v>
      </c>
      <c r="V7" s="100"/>
      <c r="W7" s="13"/>
      <c r="X7" s="2">
        <v>1</v>
      </c>
      <c r="Y7" s="2"/>
      <c r="Z7" s="7"/>
      <c r="AA7" s="190">
        <f t="shared" si="0"/>
        <v>1</v>
      </c>
      <c r="AB7" s="191">
        <f t="shared" si="8"/>
        <v>1</v>
      </c>
      <c r="AC7" s="24"/>
      <c r="AD7" s="103">
        <f t="shared" si="9"/>
        <v>20</v>
      </c>
      <c r="AE7" s="100"/>
      <c r="AF7" s="114">
        <f t="shared" si="1"/>
        <v>20</v>
      </c>
      <c r="AG7" s="112">
        <f t="shared" si="2"/>
        <v>120</v>
      </c>
      <c r="AI7" t="s">
        <v>84</v>
      </c>
      <c r="AJ7">
        <v>0</v>
      </c>
      <c r="AK7">
        <v>600</v>
      </c>
    </row>
    <row r="8" spans="1:37" ht="13.5" thickBot="1">
      <c r="A8" s="31" t="s">
        <v>76</v>
      </c>
      <c r="B8" s="31" t="s">
        <v>77</v>
      </c>
      <c r="C8" s="31">
        <v>1</v>
      </c>
      <c r="D8" s="33"/>
      <c r="E8" s="100">
        <f t="shared" ref="E8:E24" si="10">IF(C8=1,$D$31,IF(D8=1,$C$32,0))</f>
        <v>30</v>
      </c>
      <c r="F8" s="63" t="s">
        <v>45</v>
      </c>
      <c r="G8" s="54">
        <v>41685</v>
      </c>
      <c r="H8" s="158">
        <v>41667</v>
      </c>
      <c r="I8" s="186" t="str">
        <f t="shared" si="3"/>
        <v>PAS LIVRABLE</v>
      </c>
      <c r="J8" s="20">
        <v>17550</v>
      </c>
      <c r="K8" s="109">
        <f t="shared" si="4"/>
        <v>330</v>
      </c>
      <c r="L8" s="47">
        <v>185</v>
      </c>
      <c r="M8" s="17">
        <v>19650</v>
      </c>
      <c r="N8" s="20">
        <v>3330</v>
      </c>
      <c r="O8" s="26"/>
      <c r="P8" s="188">
        <f t="shared" si="5"/>
        <v>571</v>
      </c>
      <c r="Q8" s="17">
        <v>5710</v>
      </c>
      <c r="R8" s="134">
        <f t="shared" si="6"/>
        <v>57.1</v>
      </c>
      <c r="S8" s="31" t="s">
        <v>24</v>
      </c>
      <c r="T8" s="109">
        <v>5000</v>
      </c>
      <c r="U8" s="104">
        <f t="shared" si="7"/>
        <v>30</v>
      </c>
      <c r="V8" s="100"/>
      <c r="W8" s="13"/>
      <c r="X8" s="2"/>
      <c r="Y8" s="2"/>
      <c r="Z8" s="7"/>
      <c r="AA8" s="190">
        <f t="shared" si="0"/>
        <v>0</v>
      </c>
      <c r="AB8" s="191">
        <f t="shared" si="8"/>
        <v>0</v>
      </c>
      <c r="AC8" s="24"/>
      <c r="AD8" s="103">
        <f t="shared" si="9"/>
        <v>0</v>
      </c>
      <c r="AE8" s="100"/>
      <c r="AF8" s="114">
        <f t="shared" si="1"/>
        <v>20</v>
      </c>
      <c r="AG8" s="112">
        <f t="shared" si="2"/>
        <v>137.1</v>
      </c>
    </row>
    <row r="9" spans="1:37" ht="13.5" thickBot="1">
      <c r="A9" s="31"/>
      <c r="B9" s="31"/>
      <c r="C9" s="31"/>
      <c r="D9" s="33"/>
      <c r="E9" s="100">
        <f t="shared" si="10"/>
        <v>0</v>
      </c>
      <c r="F9" s="63"/>
      <c r="G9" s="54"/>
      <c r="H9" s="158"/>
      <c r="I9" s="186">
        <f t="shared" si="3"/>
        <v>0</v>
      </c>
      <c r="J9" s="20"/>
      <c r="K9" s="109">
        <f t="shared" si="4"/>
        <v>145</v>
      </c>
      <c r="L9" s="47"/>
      <c r="M9" s="17"/>
      <c r="N9" s="20"/>
      <c r="O9" s="26"/>
      <c r="P9" s="188">
        <f t="shared" si="5"/>
        <v>0</v>
      </c>
      <c r="Q9" s="17"/>
      <c r="R9" s="134">
        <f t="shared" si="6"/>
        <v>0</v>
      </c>
      <c r="S9" s="31"/>
      <c r="T9" s="109"/>
      <c r="U9" s="104">
        <f t="shared" si="7"/>
        <v>0</v>
      </c>
      <c r="V9" s="100"/>
      <c r="W9" s="13"/>
      <c r="X9" s="2"/>
      <c r="Y9" s="2"/>
      <c r="Z9" s="7"/>
      <c r="AA9" s="190">
        <f t="shared" si="0"/>
        <v>0</v>
      </c>
      <c r="AB9" s="191">
        <f t="shared" si="8"/>
        <v>0</v>
      </c>
      <c r="AC9" s="24"/>
      <c r="AD9" s="103">
        <f t="shared" si="9"/>
        <v>0</v>
      </c>
      <c r="AE9" s="100"/>
      <c r="AF9" s="114">
        <f t="shared" si="1"/>
        <v>20</v>
      </c>
      <c r="AG9" s="112">
        <f t="shared" si="2"/>
        <v>0</v>
      </c>
    </row>
    <row r="10" spans="1:37" ht="13.5" thickBot="1">
      <c r="A10" s="31"/>
      <c r="B10" s="31"/>
      <c r="C10" s="31"/>
      <c r="D10" s="33"/>
      <c r="E10" s="100">
        <f t="shared" si="10"/>
        <v>0</v>
      </c>
      <c r="F10" s="63"/>
      <c r="G10" s="54"/>
      <c r="H10" s="158"/>
      <c r="I10" s="186">
        <f t="shared" si="3"/>
        <v>0</v>
      </c>
      <c r="J10" s="20"/>
      <c r="K10" s="109">
        <f t="shared" si="4"/>
        <v>145</v>
      </c>
      <c r="L10" s="47"/>
      <c r="M10" s="17"/>
      <c r="N10" s="20"/>
      <c r="O10" s="26"/>
      <c r="P10" s="188">
        <f t="shared" si="5"/>
        <v>0</v>
      </c>
      <c r="Q10" s="17"/>
      <c r="R10" s="134">
        <f t="shared" si="6"/>
        <v>0</v>
      </c>
      <c r="S10" s="31"/>
      <c r="T10" s="109"/>
      <c r="U10" s="104">
        <f t="shared" si="7"/>
        <v>0</v>
      </c>
      <c r="V10" s="100"/>
      <c r="W10" s="13"/>
      <c r="X10" s="2"/>
      <c r="Y10" s="2"/>
      <c r="Z10" s="7"/>
      <c r="AA10" s="190">
        <f t="shared" si="0"/>
        <v>0</v>
      </c>
      <c r="AB10" s="191">
        <f t="shared" si="8"/>
        <v>0</v>
      </c>
      <c r="AC10" s="24"/>
      <c r="AD10" s="103">
        <f t="shared" si="9"/>
        <v>0</v>
      </c>
      <c r="AE10" s="100"/>
      <c r="AF10" s="114">
        <f t="shared" si="1"/>
        <v>20</v>
      </c>
      <c r="AG10" s="112">
        <f t="shared" si="2"/>
        <v>0</v>
      </c>
    </row>
    <row r="11" spans="1:37" ht="13.5" thickBot="1">
      <c r="A11" s="31"/>
      <c r="B11" s="31"/>
      <c r="C11" s="31"/>
      <c r="D11" s="33"/>
      <c r="E11" s="100">
        <f t="shared" si="10"/>
        <v>0</v>
      </c>
      <c r="F11" s="63"/>
      <c r="G11" s="54"/>
      <c r="H11" s="158"/>
      <c r="I11" s="186">
        <f t="shared" si="3"/>
        <v>0</v>
      </c>
      <c r="J11" s="20"/>
      <c r="K11" s="109">
        <f t="shared" si="4"/>
        <v>145</v>
      </c>
      <c r="L11" s="47"/>
      <c r="M11" s="17"/>
      <c r="N11" s="20"/>
      <c r="O11" s="26"/>
      <c r="P11" s="188">
        <f t="shared" si="5"/>
        <v>0</v>
      </c>
      <c r="Q11" s="17"/>
      <c r="R11" s="134">
        <f t="shared" si="6"/>
        <v>0</v>
      </c>
      <c r="S11" s="31"/>
      <c r="T11" s="109"/>
      <c r="U11" s="104">
        <f t="shared" si="7"/>
        <v>0</v>
      </c>
      <c r="V11" s="100"/>
      <c r="W11" s="13"/>
      <c r="X11" s="2"/>
      <c r="Y11" s="2"/>
      <c r="Z11" s="7"/>
      <c r="AA11" s="190">
        <f t="shared" si="0"/>
        <v>0</v>
      </c>
      <c r="AB11" s="191">
        <f t="shared" si="8"/>
        <v>0</v>
      </c>
      <c r="AC11" s="24"/>
      <c r="AD11" s="103">
        <f t="shared" si="9"/>
        <v>0</v>
      </c>
      <c r="AE11" s="100"/>
      <c r="AF11" s="114">
        <f t="shared" si="1"/>
        <v>20</v>
      </c>
      <c r="AG11" s="112">
        <f t="shared" si="2"/>
        <v>0</v>
      </c>
    </row>
    <row r="12" spans="1:37" ht="13.5" thickBot="1">
      <c r="A12" s="31"/>
      <c r="B12" s="31"/>
      <c r="C12" s="31"/>
      <c r="D12" s="33"/>
      <c r="E12" s="100">
        <f t="shared" si="10"/>
        <v>0</v>
      </c>
      <c r="F12" s="63"/>
      <c r="G12" s="54"/>
      <c r="H12" s="158"/>
      <c r="I12" s="186">
        <f t="shared" si="3"/>
        <v>0</v>
      </c>
      <c r="J12" s="20"/>
      <c r="K12" s="109">
        <f t="shared" si="4"/>
        <v>145</v>
      </c>
      <c r="L12" s="47"/>
      <c r="M12" s="17"/>
      <c r="N12" s="20"/>
      <c r="O12" s="26"/>
      <c r="P12" s="188">
        <f t="shared" si="5"/>
        <v>0</v>
      </c>
      <c r="Q12" s="17"/>
      <c r="R12" s="134">
        <f t="shared" si="6"/>
        <v>0</v>
      </c>
      <c r="S12" s="31"/>
      <c r="T12" s="109"/>
      <c r="U12" s="104">
        <f t="shared" si="7"/>
        <v>0</v>
      </c>
      <c r="V12" s="100"/>
      <c r="W12" s="13"/>
      <c r="X12" s="2"/>
      <c r="Y12" s="2"/>
      <c r="Z12" s="7"/>
      <c r="AA12" s="190">
        <f t="shared" si="0"/>
        <v>0</v>
      </c>
      <c r="AB12" s="191">
        <f t="shared" si="8"/>
        <v>0</v>
      </c>
      <c r="AC12" s="24"/>
      <c r="AD12" s="103">
        <f t="shared" si="9"/>
        <v>0</v>
      </c>
      <c r="AE12" s="100"/>
      <c r="AF12" s="114">
        <f t="shared" si="1"/>
        <v>20</v>
      </c>
      <c r="AG12" s="112">
        <f t="shared" si="2"/>
        <v>0</v>
      </c>
    </row>
    <row r="13" spans="1:37" ht="13.5" thickBot="1">
      <c r="A13" s="31"/>
      <c r="B13" s="31"/>
      <c r="C13" s="31"/>
      <c r="D13" s="33"/>
      <c r="E13" s="100">
        <f t="shared" si="10"/>
        <v>0</v>
      </c>
      <c r="F13" s="63"/>
      <c r="G13" s="54"/>
      <c r="H13" s="158"/>
      <c r="I13" s="186">
        <f t="shared" si="3"/>
        <v>0</v>
      </c>
      <c r="J13" s="20"/>
      <c r="K13" s="109">
        <f t="shared" si="4"/>
        <v>145</v>
      </c>
      <c r="L13" s="47"/>
      <c r="M13" s="17"/>
      <c r="N13" s="20"/>
      <c r="O13" s="26"/>
      <c r="P13" s="188">
        <f t="shared" si="5"/>
        <v>0</v>
      </c>
      <c r="Q13" s="17"/>
      <c r="R13" s="134">
        <f t="shared" si="6"/>
        <v>0</v>
      </c>
      <c r="S13" s="31"/>
      <c r="T13" s="109"/>
      <c r="U13" s="104">
        <f t="shared" si="7"/>
        <v>0</v>
      </c>
      <c r="V13" s="100"/>
      <c r="W13" s="13"/>
      <c r="X13" s="2"/>
      <c r="Y13" s="2"/>
      <c r="Z13" s="7"/>
      <c r="AA13" s="190">
        <f t="shared" si="0"/>
        <v>0</v>
      </c>
      <c r="AB13" s="191">
        <f t="shared" si="8"/>
        <v>0</v>
      </c>
      <c r="AC13" s="24"/>
      <c r="AD13" s="103">
        <f t="shared" si="9"/>
        <v>0</v>
      </c>
      <c r="AE13" s="100"/>
      <c r="AF13" s="114">
        <f t="shared" si="1"/>
        <v>20</v>
      </c>
      <c r="AG13" s="112">
        <f t="shared" si="2"/>
        <v>0</v>
      </c>
    </row>
    <row r="14" spans="1:37" ht="13.5" thickBot="1">
      <c r="A14" s="31"/>
      <c r="B14" s="31"/>
      <c r="C14" s="31"/>
      <c r="D14" s="33"/>
      <c r="E14" s="100">
        <f t="shared" si="10"/>
        <v>0</v>
      </c>
      <c r="F14" s="63"/>
      <c r="G14" s="54"/>
      <c r="H14" s="158"/>
      <c r="I14" s="186">
        <f t="shared" si="3"/>
        <v>0</v>
      </c>
      <c r="J14" s="20"/>
      <c r="K14" s="109">
        <f t="shared" si="4"/>
        <v>145</v>
      </c>
      <c r="L14" s="47"/>
      <c r="M14" s="17"/>
      <c r="N14" s="20"/>
      <c r="O14" s="26"/>
      <c r="P14" s="188">
        <f t="shared" si="5"/>
        <v>0</v>
      </c>
      <c r="Q14" s="17"/>
      <c r="R14" s="134">
        <f t="shared" si="6"/>
        <v>0</v>
      </c>
      <c r="S14" s="31"/>
      <c r="T14" s="109"/>
      <c r="U14" s="104">
        <f t="shared" si="7"/>
        <v>0</v>
      </c>
      <c r="V14" s="100"/>
      <c r="W14" s="13"/>
      <c r="X14" s="2"/>
      <c r="Y14" s="2"/>
      <c r="Z14" s="7"/>
      <c r="AA14" s="190">
        <f t="shared" si="0"/>
        <v>0</v>
      </c>
      <c r="AB14" s="191">
        <f t="shared" si="8"/>
        <v>0</v>
      </c>
      <c r="AC14" s="24"/>
      <c r="AD14" s="103">
        <f t="shared" si="9"/>
        <v>0</v>
      </c>
      <c r="AE14" s="100"/>
      <c r="AF14" s="114">
        <f t="shared" si="1"/>
        <v>20</v>
      </c>
      <c r="AG14" s="112">
        <f t="shared" si="2"/>
        <v>0</v>
      </c>
    </row>
    <row r="15" spans="1:37" ht="13.5" thickBot="1">
      <c r="A15" s="31"/>
      <c r="B15" s="31"/>
      <c r="C15" s="31"/>
      <c r="D15" s="33"/>
      <c r="E15" s="100">
        <f t="shared" si="10"/>
        <v>0</v>
      </c>
      <c r="F15" s="63"/>
      <c r="G15" s="54"/>
      <c r="H15" s="158"/>
      <c r="I15" s="186">
        <f t="shared" si="3"/>
        <v>0</v>
      </c>
      <c r="J15" s="20"/>
      <c r="K15" s="109">
        <f t="shared" si="4"/>
        <v>145</v>
      </c>
      <c r="L15" s="47"/>
      <c r="M15" s="17"/>
      <c r="N15" s="20"/>
      <c r="O15" s="26"/>
      <c r="P15" s="188">
        <f t="shared" si="5"/>
        <v>0</v>
      </c>
      <c r="Q15" s="17"/>
      <c r="R15" s="134">
        <f t="shared" si="6"/>
        <v>0</v>
      </c>
      <c r="S15" s="31"/>
      <c r="T15" s="109"/>
      <c r="U15" s="104">
        <f t="shared" si="7"/>
        <v>0</v>
      </c>
      <c r="V15" s="100"/>
      <c r="W15" s="13"/>
      <c r="X15" s="2"/>
      <c r="Y15" s="2"/>
      <c r="Z15" s="7"/>
      <c r="AA15" s="190">
        <f t="shared" si="0"/>
        <v>0</v>
      </c>
      <c r="AB15" s="191">
        <f t="shared" si="8"/>
        <v>0</v>
      </c>
      <c r="AC15" s="24"/>
      <c r="AD15" s="103">
        <f t="shared" si="9"/>
        <v>0</v>
      </c>
      <c r="AE15" s="100"/>
      <c r="AF15" s="114">
        <f t="shared" si="1"/>
        <v>20</v>
      </c>
      <c r="AG15" s="112">
        <f t="shared" si="2"/>
        <v>0</v>
      </c>
    </row>
    <row r="16" spans="1:37" ht="13.5" thickBot="1">
      <c r="A16" s="31"/>
      <c r="B16" s="31"/>
      <c r="C16" s="31"/>
      <c r="D16" s="33"/>
      <c r="E16" s="100">
        <f t="shared" si="10"/>
        <v>0</v>
      </c>
      <c r="F16" s="63"/>
      <c r="G16" s="54"/>
      <c r="H16" s="158"/>
      <c r="I16" s="186">
        <f t="shared" si="3"/>
        <v>0</v>
      </c>
      <c r="J16" s="20"/>
      <c r="K16" s="109">
        <f t="shared" si="4"/>
        <v>145</v>
      </c>
      <c r="L16" s="47"/>
      <c r="M16" s="17"/>
      <c r="N16" s="20"/>
      <c r="O16" s="26"/>
      <c r="P16" s="188">
        <f t="shared" si="5"/>
        <v>0</v>
      </c>
      <c r="Q16" s="17"/>
      <c r="R16" s="134">
        <f t="shared" si="6"/>
        <v>0</v>
      </c>
      <c r="S16" s="31"/>
      <c r="T16" s="109"/>
      <c r="U16" s="104">
        <f t="shared" si="7"/>
        <v>0</v>
      </c>
      <c r="V16" s="100"/>
      <c r="W16" s="13"/>
      <c r="X16" s="2"/>
      <c r="Y16" s="2"/>
      <c r="Z16" s="7"/>
      <c r="AA16" s="190">
        <f t="shared" si="0"/>
        <v>0</v>
      </c>
      <c r="AB16" s="191">
        <f t="shared" si="8"/>
        <v>0</v>
      </c>
      <c r="AC16" s="24"/>
      <c r="AD16" s="103">
        <f t="shared" si="9"/>
        <v>0</v>
      </c>
      <c r="AE16" s="100"/>
      <c r="AF16" s="114">
        <f t="shared" si="1"/>
        <v>20</v>
      </c>
      <c r="AG16" s="112">
        <f t="shared" si="2"/>
        <v>0</v>
      </c>
    </row>
    <row r="17" spans="1:33" ht="13.5" thickBot="1">
      <c r="A17" s="31"/>
      <c r="B17" s="31"/>
      <c r="C17" s="31"/>
      <c r="D17" s="33"/>
      <c r="E17" s="100">
        <f t="shared" si="10"/>
        <v>0</v>
      </c>
      <c r="F17" s="63"/>
      <c r="G17" s="54"/>
      <c r="H17" s="158"/>
      <c r="I17" s="186">
        <f t="shared" si="3"/>
        <v>0</v>
      </c>
      <c r="J17" s="20"/>
      <c r="K17" s="109">
        <f t="shared" si="4"/>
        <v>145</v>
      </c>
      <c r="L17" s="47"/>
      <c r="M17" s="17"/>
      <c r="N17" s="20"/>
      <c r="O17" s="26"/>
      <c r="P17" s="188">
        <f t="shared" si="5"/>
        <v>0</v>
      </c>
      <c r="Q17" s="17"/>
      <c r="R17" s="134">
        <f t="shared" si="6"/>
        <v>0</v>
      </c>
      <c r="S17" s="31"/>
      <c r="T17" s="109"/>
      <c r="U17" s="104">
        <f t="shared" si="7"/>
        <v>0</v>
      </c>
      <c r="V17" s="100"/>
      <c r="W17" s="13"/>
      <c r="X17" s="2"/>
      <c r="Y17" s="2"/>
      <c r="Z17" s="7"/>
      <c r="AA17" s="190">
        <f t="shared" si="0"/>
        <v>0</v>
      </c>
      <c r="AB17" s="191">
        <f t="shared" si="8"/>
        <v>0</v>
      </c>
      <c r="AC17" s="24"/>
      <c r="AD17" s="103">
        <f t="shared" si="9"/>
        <v>0</v>
      </c>
      <c r="AE17" s="100"/>
      <c r="AF17" s="114">
        <f t="shared" si="1"/>
        <v>20</v>
      </c>
      <c r="AG17" s="112">
        <f t="shared" si="2"/>
        <v>0</v>
      </c>
    </row>
    <row r="18" spans="1:33" ht="13.5" thickBot="1">
      <c r="A18" s="31"/>
      <c r="B18" s="31"/>
      <c r="C18" s="31"/>
      <c r="D18" s="33"/>
      <c r="E18" s="100">
        <f t="shared" si="10"/>
        <v>0</v>
      </c>
      <c r="F18" s="63"/>
      <c r="G18" s="54"/>
      <c r="H18" s="158"/>
      <c r="I18" s="186">
        <f t="shared" si="3"/>
        <v>0</v>
      </c>
      <c r="J18" s="20"/>
      <c r="K18" s="109">
        <f t="shared" si="4"/>
        <v>145</v>
      </c>
      <c r="L18" s="47"/>
      <c r="M18" s="17"/>
      <c r="N18" s="20"/>
      <c r="O18" s="26"/>
      <c r="P18" s="188">
        <f t="shared" si="5"/>
        <v>0</v>
      </c>
      <c r="Q18" s="17"/>
      <c r="R18" s="134">
        <f t="shared" si="6"/>
        <v>0</v>
      </c>
      <c r="S18" s="31"/>
      <c r="T18" s="109"/>
      <c r="U18" s="104">
        <f t="shared" si="7"/>
        <v>0</v>
      </c>
      <c r="V18" s="100"/>
      <c r="W18" s="13"/>
      <c r="X18" s="2"/>
      <c r="Y18" s="2"/>
      <c r="Z18" s="7"/>
      <c r="AA18" s="190">
        <f t="shared" si="0"/>
        <v>0</v>
      </c>
      <c r="AB18" s="191">
        <f t="shared" si="8"/>
        <v>0</v>
      </c>
      <c r="AC18" s="24"/>
      <c r="AD18" s="103">
        <f t="shared" si="9"/>
        <v>0</v>
      </c>
      <c r="AE18" s="100"/>
      <c r="AF18" s="114">
        <f t="shared" si="1"/>
        <v>20</v>
      </c>
      <c r="AG18" s="112">
        <f t="shared" si="2"/>
        <v>0</v>
      </c>
    </row>
    <row r="19" spans="1:33" ht="13.5" thickBot="1">
      <c r="A19" s="31"/>
      <c r="B19" s="31"/>
      <c r="C19" s="31"/>
      <c r="D19" s="33"/>
      <c r="E19" s="100">
        <f t="shared" si="10"/>
        <v>0</v>
      </c>
      <c r="F19" s="63"/>
      <c r="G19" s="54"/>
      <c r="H19" s="158"/>
      <c r="I19" s="186">
        <f t="shared" si="3"/>
        <v>0</v>
      </c>
      <c r="J19" s="20"/>
      <c r="K19" s="109">
        <f t="shared" si="4"/>
        <v>145</v>
      </c>
      <c r="L19" s="47"/>
      <c r="M19" s="17"/>
      <c r="N19" s="20"/>
      <c r="O19" s="26"/>
      <c r="P19" s="188">
        <f t="shared" si="5"/>
        <v>0</v>
      </c>
      <c r="Q19" s="17"/>
      <c r="R19" s="134">
        <f t="shared" si="6"/>
        <v>0</v>
      </c>
      <c r="S19" s="31"/>
      <c r="T19" s="109"/>
      <c r="U19" s="104">
        <f t="shared" si="7"/>
        <v>0</v>
      </c>
      <c r="V19" s="100"/>
      <c r="W19" s="13"/>
      <c r="X19" s="2"/>
      <c r="Y19" s="2"/>
      <c r="Z19" s="7"/>
      <c r="AA19" s="190">
        <f t="shared" si="0"/>
        <v>0</v>
      </c>
      <c r="AB19" s="191">
        <f t="shared" si="8"/>
        <v>0</v>
      </c>
      <c r="AC19" s="24"/>
      <c r="AD19" s="103">
        <f t="shared" si="9"/>
        <v>0</v>
      </c>
      <c r="AE19" s="100"/>
      <c r="AF19" s="114">
        <f t="shared" si="1"/>
        <v>20</v>
      </c>
      <c r="AG19" s="112">
        <f t="shared" si="2"/>
        <v>0</v>
      </c>
    </row>
    <row r="20" spans="1:33" ht="13.5" thickBot="1">
      <c r="A20" s="31"/>
      <c r="B20" s="31"/>
      <c r="C20" s="31"/>
      <c r="D20" s="33"/>
      <c r="E20" s="100">
        <f t="shared" si="10"/>
        <v>0</v>
      </c>
      <c r="F20" s="63"/>
      <c r="G20" s="54"/>
      <c r="H20" s="158"/>
      <c r="I20" s="186">
        <f t="shared" si="3"/>
        <v>0</v>
      </c>
      <c r="J20" s="20"/>
      <c r="K20" s="109">
        <f t="shared" si="4"/>
        <v>145</v>
      </c>
      <c r="L20" s="47"/>
      <c r="M20" s="17"/>
      <c r="N20" s="20"/>
      <c r="O20" s="26"/>
      <c r="P20" s="188">
        <f t="shared" si="5"/>
        <v>0</v>
      </c>
      <c r="Q20" s="17"/>
      <c r="R20" s="134">
        <f t="shared" si="6"/>
        <v>0</v>
      </c>
      <c r="S20" s="31"/>
      <c r="T20" s="109"/>
      <c r="U20" s="104">
        <f t="shared" si="7"/>
        <v>0</v>
      </c>
      <c r="V20" s="100"/>
      <c r="W20" s="13"/>
      <c r="X20" s="2"/>
      <c r="Y20" s="2"/>
      <c r="Z20" s="7"/>
      <c r="AA20" s="190">
        <f t="shared" si="0"/>
        <v>0</v>
      </c>
      <c r="AB20" s="191">
        <f t="shared" si="8"/>
        <v>0</v>
      </c>
      <c r="AC20" s="24"/>
      <c r="AD20" s="103">
        <f t="shared" si="9"/>
        <v>0</v>
      </c>
      <c r="AE20" s="100"/>
      <c r="AF20" s="114">
        <f t="shared" si="1"/>
        <v>20</v>
      </c>
      <c r="AG20" s="112">
        <f t="shared" si="2"/>
        <v>0</v>
      </c>
    </row>
    <row r="21" spans="1:33" ht="13.5" thickBot="1">
      <c r="A21" s="31"/>
      <c r="B21" s="31"/>
      <c r="C21" s="31"/>
      <c r="D21" s="33"/>
      <c r="E21" s="100">
        <f t="shared" si="10"/>
        <v>0</v>
      </c>
      <c r="F21" s="63"/>
      <c r="G21" s="54"/>
      <c r="H21" s="158"/>
      <c r="I21" s="186">
        <f t="shared" si="3"/>
        <v>0</v>
      </c>
      <c r="J21" s="20"/>
      <c r="K21" s="109">
        <f t="shared" si="4"/>
        <v>145</v>
      </c>
      <c r="L21" s="47"/>
      <c r="M21" s="17"/>
      <c r="N21" s="20"/>
      <c r="O21" s="26"/>
      <c r="P21" s="188">
        <f t="shared" si="5"/>
        <v>0</v>
      </c>
      <c r="Q21" s="17"/>
      <c r="R21" s="134">
        <f t="shared" si="6"/>
        <v>0</v>
      </c>
      <c r="S21" s="31"/>
      <c r="T21" s="109"/>
      <c r="U21" s="104">
        <f t="shared" si="7"/>
        <v>0</v>
      </c>
      <c r="V21" s="100"/>
      <c r="W21" s="13"/>
      <c r="X21" s="2"/>
      <c r="Y21" s="2"/>
      <c r="Z21" s="7"/>
      <c r="AA21" s="190">
        <f t="shared" si="0"/>
        <v>0</v>
      </c>
      <c r="AB21" s="191">
        <f t="shared" si="8"/>
        <v>0</v>
      </c>
      <c r="AC21" s="24"/>
      <c r="AD21" s="103">
        <f t="shared" si="9"/>
        <v>0</v>
      </c>
      <c r="AE21" s="100"/>
      <c r="AF21" s="114">
        <f t="shared" si="1"/>
        <v>20</v>
      </c>
      <c r="AG21" s="112">
        <f t="shared" si="2"/>
        <v>0</v>
      </c>
    </row>
    <row r="22" spans="1:33" ht="13.5" thickBot="1">
      <c r="A22" s="31"/>
      <c r="B22" s="31"/>
      <c r="C22" s="31"/>
      <c r="D22" s="33"/>
      <c r="E22" s="100">
        <f t="shared" si="10"/>
        <v>0</v>
      </c>
      <c r="F22" s="63"/>
      <c r="G22" s="54"/>
      <c r="H22" s="158"/>
      <c r="I22" s="186">
        <f t="shared" si="3"/>
        <v>0</v>
      </c>
      <c r="J22" s="20"/>
      <c r="K22" s="109">
        <f t="shared" si="4"/>
        <v>145</v>
      </c>
      <c r="L22" s="47"/>
      <c r="M22" s="17"/>
      <c r="N22" s="20"/>
      <c r="O22" s="26"/>
      <c r="P22" s="188">
        <f t="shared" si="5"/>
        <v>0</v>
      </c>
      <c r="Q22" s="17"/>
      <c r="R22" s="134">
        <f t="shared" si="6"/>
        <v>0</v>
      </c>
      <c r="S22" s="31"/>
      <c r="T22" s="109"/>
      <c r="U22" s="104">
        <f t="shared" si="7"/>
        <v>0</v>
      </c>
      <c r="V22" s="100"/>
      <c r="W22" s="13"/>
      <c r="X22" s="2"/>
      <c r="Y22" s="2"/>
      <c r="Z22" s="7"/>
      <c r="AA22" s="190">
        <f t="shared" si="0"/>
        <v>0</v>
      </c>
      <c r="AB22" s="191">
        <f t="shared" si="8"/>
        <v>0</v>
      </c>
      <c r="AC22" s="24"/>
      <c r="AD22" s="103">
        <f t="shared" si="9"/>
        <v>0</v>
      </c>
      <c r="AE22" s="100"/>
      <c r="AF22" s="114">
        <f t="shared" si="1"/>
        <v>20</v>
      </c>
      <c r="AG22" s="112">
        <f t="shared" si="2"/>
        <v>0</v>
      </c>
    </row>
    <row r="23" spans="1:33" ht="13.5" thickBot="1">
      <c r="A23" s="31"/>
      <c r="B23" s="31"/>
      <c r="C23" s="31"/>
      <c r="D23" s="33"/>
      <c r="E23" s="100">
        <f t="shared" si="10"/>
        <v>0</v>
      </c>
      <c r="F23" s="63"/>
      <c r="G23" s="54"/>
      <c r="H23" s="158"/>
      <c r="I23" s="186">
        <f t="shared" si="3"/>
        <v>0</v>
      </c>
      <c r="J23" s="20"/>
      <c r="K23" s="109">
        <f t="shared" si="4"/>
        <v>145</v>
      </c>
      <c r="L23" s="47"/>
      <c r="M23" s="17"/>
      <c r="N23" s="20"/>
      <c r="O23" s="26"/>
      <c r="P23" s="188">
        <f t="shared" si="5"/>
        <v>0</v>
      </c>
      <c r="Q23" s="17"/>
      <c r="R23" s="134">
        <f t="shared" si="6"/>
        <v>0</v>
      </c>
      <c r="S23" s="31"/>
      <c r="T23" s="109"/>
      <c r="U23" s="104">
        <f t="shared" si="7"/>
        <v>0</v>
      </c>
      <c r="V23" s="100"/>
      <c r="W23" s="13"/>
      <c r="X23" s="2"/>
      <c r="Y23" s="2"/>
      <c r="Z23" s="7"/>
      <c r="AA23" s="190">
        <f t="shared" si="0"/>
        <v>0</v>
      </c>
      <c r="AB23" s="191">
        <f t="shared" si="8"/>
        <v>0</v>
      </c>
      <c r="AC23" s="24"/>
      <c r="AD23" s="103">
        <f t="shared" si="9"/>
        <v>0</v>
      </c>
      <c r="AE23" s="100"/>
      <c r="AF23" s="114">
        <f t="shared" si="1"/>
        <v>20</v>
      </c>
      <c r="AG23" s="112">
        <f t="shared" si="2"/>
        <v>0</v>
      </c>
    </row>
    <row r="24" spans="1:33" ht="13.5" thickBot="1">
      <c r="A24" s="32"/>
      <c r="B24" s="32"/>
      <c r="C24" s="32"/>
      <c r="D24" s="34"/>
      <c r="E24" s="101">
        <f t="shared" si="10"/>
        <v>0</v>
      </c>
      <c r="F24" s="64"/>
      <c r="G24" s="55"/>
      <c r="H24" s="159"/>
      <c r="I24" s="186">
        <f t="shared" si="3"/>
        <v>0</v>
      </c>
      <c r="J24" s="21"/>
      <c r="K24" s="110">
        <f t="shared" si="4"/>
        <v>145</v>
      </c>
      <c r="L24" s="48"/>
      <c r="M24" s="18"/>
      <c r="N24" s="21"/>
      <c r="O24" s="27"/>
      <c r="P24" s="189">
        <f t="shared" si="5"/>
        <v>0</v>
      </c>
      <c r="Q24" s="18"/>
      <c r="R24" s="135">
        <f t="shared" si="6"/>
        <v>0</v>
      </c>
      <c r="S24" s="32"/>
      <c r="T24" s="110"/>
      <c r="U24" s="106">
        <f t="shared" si="7"/>
        <v>0</v>
      </c>
      <c r="V24" s="100"/>
      <c r="W24" s="14"/>
      <c r="X24" s="9"/>
      <c r="Y24" s="9"/>
      <c r="Z24" s="10"/>
      <c r="AA24" s="190">
        <f t="shared" si="0"/>
        <v>0</v>
      </c>
      <c r="AB24" s="191">
        <f t="shared" si="8"/>
        <v>0</v>
      </c>
      <c r="AC24" s="25"/>
      <c r="AD24" s="115">
        <f t="shared" si="9"/>
        <v>0</v>
      </c>
      <c r="AE24" s="100"/>
      <c r="AF24" s="116">
        <f t="shared" si="1"/>
        <v>20</v>
      </c>
      <c r="AG24" s="112">
        <f t="shared" si="2"/>
        <v>0</v>
      </c>
    </row>
    <row r="25" spans="1:33" ht="13.5" thickBot="1">
      <c r="C25" s="179">
        <f>SUM(C4:C24)</f>
        <v>4</v>
      </c>
      <c r="D25" s="180">
        <f>SUM(D4:D24)</f>
        <v>1</v>
      </c>
      <c r="G25" s="75" t="s">
        <v>50</v>
      </c>
      <c r="H25" s="76"/>
      <c r="I25" s="77">
        <f>COUNTIF(I4:I24,"LIVRABLE")</f>
        <v>2</v>
      </c>
    </row>
    <row r="26" spans="1:33" ht="13.5" thickBot="1">
      <c r="C26" s="225" t="s">
        <v>89</v>
      </c>
      <c r="D26" s="226"/>
      <c r="E26" s="181">
        <f>SUM(E4:E24)</f>
        <v>170</v>
      </c>
      <c r="G26" s="176"/>
      <c r="H26" s="176"/>
      <c r="I26" s="178"/>
    </row>
    <row r="27" spans="1:33" ht="13.5" thickBot="1">
      <c r="C27" s="227" t="s">
        <v>90</v>
      </c>
      <c r="D27" s="228"/>
      <c r="E27" s="182">
        <f>IF(D35&lt;2,0,IF(D35=2,(E26*0.4),IF(D35=3,(E26*0.5),IF(D35=4,(E26*0.6),IF(D35=5,(E26*0.7),IF(D35=6,(E26*0.8),IF(D35=7,(E26*0.9))))))))</f>
        <v>0</v>
      </c>
      <c r="G27" s="231" t="s">
        <v>96</v>
      </c>
      <c r="H27" s="232"/>
      <c r="I27" s="192">
        <f>E29+Fevrier!E29</f>
        <v>476</v>
      </c>
    </row>
    <row r="28" spans="1:33">
      <c r="C28" s="227" t="s">
        <v>91</v>
      </c>
      <c r="D28" s="228"/>
      <c r="E28" s="182">
        <f>IF(D36&lt;2,0,IF(D36=2,(E26*0.4),IF(D36=3,(E26*0.5),IF(D36=4,(E26*0.6),IF(D36=5,(E26*0.7),IF(D36=6,(E26*0.8),IF(D36=7,(E26*0.9))))))))</f>
        <v>0</v>
      </c>
      <c r="G28" s="176"/>
      <c r="H28" s="176"/>
      <c r="I28" s="178"/>
    </row>
    <row r="29" spans="1:33" ht="13.5" thickBot="1">
      <c r="B29" s="72"/>
      <c r="C29" s="229" t="s">
        <v>92</v>
      </c>
      <c r="D29" s="230"/>
      <c r="E29" s="185">
        <f>E26+E27+E28</f>
        <v>170</v>
      </c>
      <c r="F29" s="73"/>
      <c r="G29" s="74"/>
      <c r="H29" s="74"/>
      <c r="I29" s="177"/>
    </row>
    <row r="30" spans="1:33" ht="13.5" thickBot="1">
      <c r="D30" s="183" t="s">
        <v>65</v>
      </c>
      <c r="E30" s="184" t="s">
        <v>66</v>
      </c>
      <c r="F30" s="155" t="s">
        <v>67</v>
      </c>
      <c r="G30" s="58" t="s">
        <v>15</v>
      </c>
      <c r="H30" s="59" t="s">
        <v>16</v>
      </c>
      <c r="I30" s="60"/>
      <c r="J30" s="61" t="s">
        <v>30</v>
      </c>
      <c r="N30" s="16" t="s">
        <v>112</v>
      </c>
      <c r="O30" s="202">
        <v>3000</v>
      </c>
      <c r="P30" s="203">
        <v>4500</v>
      </c>
      <c r="Q30" s="203">
        <v>5500</v>
      </c>
      <c r="R30" s="203">
        <v>6500</v>
      </c>
      <c r="S30" s="203">
        <v>7500</v>
      </c>
      <c r="T30" s="204">
        <v>8500</v>
      </c>
    </row>
    <row r="31" spans="1:33" ht="13.5" thickBot="1">
      <c r="A31" s="3" t="s">
        <v>13</v>
      </c>
      <c r="B31" s="12"/>
      <c r="C31" s="23"/>
      <c r="D31" s="152">
        <v>30</v>
      </c>
      <c r="E31" s="152">
        <v>40</v>
      </c>
      <c r="F31" s="152">
        <v>60</v>
      </c>
      <c r="G31" s="38">
        <v>20</v>
      </c>
      <c r="H31" s="15">
        <v>30</v>
      </c>
      <c r="I31" s="44"/>
      <c r="J31" s="35">
        <v>60</v>
      </c>
      <c r="N31" s="208">
        <v>2</v>
      </c>
      <c r="O31" s="193">
        <v>4.0000000000000001E-3</v>
      </c>
      <c r="P31" s="195">
        <v>5.0000000000000001E-3</v>
      </c>
      <c r="Q31" s="195">
        <v>6.0000000000000001E-3</v>
      </c>
      <c r="R31" s="195">
        <v>7.0000000000000001E-3</v>
      </c>
      <c r="S31" s="195">
        <v>8.0000000000000002E-3</v>
      </c>
      <c r="T31" s="196">
        <v>8.9999999999999993E-3</v>
      </c>
    </row>
    <row r="32" spans="1:33">
      <c r="A32" s="6" t="s">
        <v>14</v>
      </c>
      <c r="B32" s="13"/>
      <c r="C32" s="69">
        <f>IF((D25)&gt;=2,70,50)</f>
        <v>50</v>
      </c>
      <c r="D32" s="151">
        <v>50</v>
      </c>
      <c r="E32" s="153"/>
      <c r="F32" s="154"/>
      <c r="G32" s="26"/>
      <c r="H32" s="51"/>
      <c r="I32" s="56"/>
      <c r="J32" s="36"/>
      <c r="N32" s="209">
        <v>3</v>
      </c>
      <c r="O32" s="193">
        <v>5.0000000000000001E-3</v>
      </c>
      <c r="P32" s="195">
        <v>6.0000000000000001E-3</v>
      </c>
      <c r="Q32" s="195">
        <v>7.0000000000000001E-3</v>
      </c>
      <c r="R32" s="195">
        <v>8.0000000000000002E-3</v>
      </c>
      <c r="S32" s="195">
        <v>8.9999999999999993E-3</v>
      </c>
      <c r="T32" s="197">
        <v>0.01</v>
      </c>
    </row>
    <row r="33" spans="1:29" ht="13.5" thickBot="1">
      <c r="A33" s="8" t="s">
        <v>28</v>
      </c>
      <c r="B33" s="14"/>
      <c r="C33" s="14"/>
      <c r="D33" s="18">
        <v>145</v>
      </c>
      <c r="E33" s="21"/>
      <c r="F33" s="66"/>
      <c r="G33" s="42"/>
      <c r="H33" s="41"/>
      <c r="I33" s="45"/>
      <c r="J33" s="37"/>
      <c r="N33" s="209">
        <v>4</v>
      </c>
      <c r="O33" s="193">
        <v>6.0000000000000001E-3</v>
      </c>
      <c r="P33" s="195">
        <v>7.0000000000000001E-3</v>
      </c>
      <c r="Q33" s="195">
        <v>8.0000000000000002E-3</v>
      </c>
      <c r="R33" s="195">
        <v>8.9999999999999993E-3</v>
      </c>
      <c r="S33" s="198">
        <v>0.01</v>
      </c>
      <c r="T33" s="196">
        <v>1.0999999999999999E-2</v>
      </c>
    </row>
    <row r="34" spans="1:29" ht="13.5" thickBot="1">
      <c r="A34" s="39" t="s">
        <v>29</v>
      </c>
      <c r="B34" s="39"/>
      <c r="C34" s="39"/>
      <c r="E34" s="119">
        <v>41670</v>
      </c>
      <c r="F34" s="67"/>
      <c r="N34" s="209">
        <v>5</v>
      </c>
      <c r="O34" s="193">
        <v>7.0000000000000001E-3</v>
      </c>
      <c r="P34" s="195">
        <v>8.0000000000000002E-3</v>
      </c>
      <c r="Q34" s="195">
        <v>8.9999999999999993E-3</v>
      </c>
      <c r="R34" s="198">
        <v>0.01</v>
      </c>
      <c r="S34" s="195">
        <v>1.0999999999999999E-2</v>
      </c>
      <c r="T34" s="196">
        <v>1.2E-2</v>
      </c>
    </row>
    <row r="35" spans="1:29" ht="14.25" customHeight="1" thickBot="1">
      <c r="A35" s="219" t="s">
        <v>34</v>
      </c>
      <c r="B35" s="220"/>
      <c r="C35" s="220"/>
      <c r="D35" s="70">
        <f>SUM(AA4:AA24)</f>
        <v>1</v>
      </c>
      <c r="G35" s="221" t="s">
        <v>51</v>
      </c>
      <c r="H35" s="218"/>
      <c r="I35" s="218"/>
      <c r="J35" s="222"/>
      <c r="K35" s="223">
        <f>(SUMIF(I4:I24,"LIVRABLE",T4:T24))</f>
        <v>12000</v>
      </c>
      <c r="L35" s="224"/>
      <c r="M35" s="218"/>
      <c r="N35" s="210">
        <v>6</v>
      </c>
      <c r="O35" s="194">
        <v>8.0000000000000002E-3</v>
      </c>
      <c r="P35" s="199">
        <v>8.9999999999999993E-3</v>
      </c>
      <c r="Q35" s="200">
        <v>0.01</v>
      </c>
      <c r="R35" s="199">
        <v>1.0999999999999999E-2</v>
      </c>
      <c r="S35" s="199">
        <v>1.2E-2</v>
      </c>
      <c r="T35" s="201">
        <v>1.2999999999999999E-2</v>
      </c>
    </row>
    <row r="36" spans="1:29" ht="15.75" customHeight="1" thickBot="1">
      <c r="A36" s="244" t="s">
        <v>33</v>
      </c>
      <c r="B36" s="245"/>
      <c r="C36" s="245"/>
      <c r="D36" s="71">
        <f>SUM(AB4:AB24)</f>
        <v>1</v>
      </c>
      <c r="G36" s="236" t="s">
        <v>52</v>
      </c>
      <c r="H36" s="218"/>
      <c r="I36" s="218"/>
      <c r="J36" s="222"/>
      <c r="K36" s="223">
        <f>K35/K37</f>
        <v>6000</v>
      </c>
      <c r="L36" s="224"/>
      <c r="M36" s="222"/>
    </row>
    <row r="37" spans="1:29" ht="15.75" customHeight="1" thickBot="1">
      <c r="A37" s="79"/>
      <c r="B37" s="80"/>
      <c r="C37" s="80"/>
      <c r="D37" s="81"/>
      <c r="G37" s="236" t="s">
        <v>97</v>
      </c>
      <c r="H37" s="218"/>
      <c r="I37" s="218"/>
      <c r="J37" s="222"/>
      <c r="K37" s="237">
        <v>2</v>
      </c>
      <c r="L37" s="238"/>
      <c r="M37" s="239"/>
    </row>
    <row r="38" spans="1:29" ht="15.75" customHeight="1" thickBot="1">
      <c r="A38" s="79"/>
      <c r="B38" s="80"/>
      <c r="C38" s="80"/>
      <c r="D38" s="81"/>
      <c r="G38" s="246" t="s">
        <v>49</v>
      </c>
      <c r="H38" s="243"/>
      <c r="I38" s="243"/>
      <c r="J38" s="247"/>
      <c r="K38" s="233">
        <f>K35*HLOOKUP(K36,O30:T35,K37,TRUE)</f>
        <v>72</v>
      </c>
      <c r="L38" s="234"/>
      <c r="M38" s="235"/>
    </row>
    <row r="39" spans="1:29" ht="13.5" thickBot="1"/>
    <row r="40" spans="1:29" ht="18" customHeight="1" thickBot="1">
      <c r="A40" s="242" t="s">
        <v>48</v>
      </c>
      <c r="B40" s="243"/>
      <c r="C40" s="243"/>
      <c r="D40" s="218"/>
      <c r="E40" s="218"/>
      <c r="F40" s="218"/>
      <c r="G40" s="222"/>
      <c r="H40" s="82">
        <v>37</v>
      </c>
      <c r="J40" s="16" t="s">
        <v>88</v>
      </c>
    </row>
    <row r="41" spans="1:29" ht="13.5" thickBot="1">
      <c r="A41" s="240" t="s">
        <v>37</v>
      </c>
      <c r="B41" s="241"/>
      <c r="C41" s="57">
        <v>20</v>
      </c>
      <c r="D41" t="s">
        <v>39</v>
      </c>
    </row>
    <row r="42" spans="1:29" ht="13.5" thickBot="1">
      <c r="A42" s="240" t="s">
        <v>38</v>
      </c>
      <c r="B42" s="241"/>
      <c r="C42" s="57">
        <v>30</v>
      </c>
      <c r="D42" t="s">
        <v>39</v>
      </c>
    </row>
    <row r="43" spans="1:29" ht="13.5" thickBot="1"/>
    <row r="44" spans="1:29" ht="21" thickBot="1">
      <c r="A44" s="117" t="s">
        <v>54</v>
      </c>
      <c r="B44" s="118"/>
      <c r="C44" s="118"/>
      <c r="D44" s="118"/>
      <c r="E44" s="118"/>
      <c r="F44" s="118"/>
      <c r="G44" s="118"/>
      <c r="H44" s="118"/>
      <c r="I44" s="118"/>
      <c r="J44" s="118"/>
      <c r="K44" s="118"/>
      <c r="L44" s="118"/>
      <c r="M44" s="118"/>
      <c r="N44" s="118"/>
      <c r="O44" s="118"/>
      <c r="P44" s="118"/>
      <c r="Q44" s="118"/>
      <c r="R44" s="118"/>
      <c r="S44" s="118"/>
      <c r="T44" s="118"/>
      <c r="U44" s="118"/>
      <c r="V44" s="118"/>
      <c r="W44" s="118"/>
      <c r="X44" s="118"/>
      <c r="Y44" s="118"/>
      <c r="Z44" s="118"/>
      <c r="AA44" s="118"/>
      <c r="AB44" s="149"/>
      <c r="AC44" s="150"/>
    </row>
    <row r="45" spans="1:29" ht="15.75" thickBot="1">
      <c r="A45" s="68"/>
      <c r="B45" s="11"/>
      <c r="C45" s="11"/>
      <c r="D45" s="11"/>
      <c r="E45" s="11"/>
      <c r="F45" s="11"/>
      <c r="G45" s="11"/>
      <c r="H45" s="11"/>
      <c r="I45" s="11"/>
      <c r="J45" s="11"/>
      <c r="K45" s="11"/>
      <c r="L45" s="11"/>
      <c r="M45" s="11"/>
      <c r="N45" s="11"/>
      <c r="O45" s="214" t="s">
        <v>1</v>
      </c>
      <c r="P45" s="215"/>
      <c r="Q45" s="215"/>
      <c r="R45" s="216"/>
      <c r="S45" s="138"/>
      <c r="T45" s="138"/>
      <c r="U45" s="138"/>
      <c r="V45" s="207"/>
      <c r="AA45" s="148"/>
      <c r="AB45" s="148"/>
      <c r="AC45" s="145"/>
    </row>
    <row r="46" spans="1:29" ht="26.25" thickBot="1">
      <c r="A46" s="83" t="s">
        <v>0</v>
      </c>
      <c r="B46" s="84" t="s">
        <v>31</v>
      </c>
      <c r="C46" s="84" t="s">
        <v>54</v>
      </c>
      <c r="D46" s="120" t="s">
        <v>57</v>
      </c>
      <c r="E46" s="87" t="s">
        <v>44</v>
      </c>
      <c r="F46" s="88" t="s">
        <v>8</v>
      </c>
      <c r="G46" s="88" t="s">
        <v>7</v>
      </c>
      <c r="H46" s="89" t="s">
        <v>68</v>
      </c>
      <c r="I46" s="86" t="s">
        <v>27</v>
      </c>
      <c r="J46" s="86" t="s">
        <v>11</v>
      </c>
      <c r="K46" s="86" t="s">
        <v>10</v>
      </c>
      <c r="L46" s="93" t="s">
        <v>9</v>
      </c>
      <c r="M46" s="139" t="s">
        <v>12</v>
      </c>
      <c r="N46" s="162" t="s">
        <v>2</v>
      </c>
      <c r="O46" s="95" t="s">
        <v>3</v>
      </c>
      <c r="P46" s="95" t="s">
        <v>4</v>
      </c>
      <c r="Q46" s="163" t="s">
        <v>5</v>
      </c>
      <c r="R46" s="167" t="s">
        <v>47</v>
      </c>
      <c r="S46" s="160" t="s">
        <v>21</v>
      </c>
      <c r="T46" s="146" t="s">
        <v>80</v>
      </c>
      <c r="U46" s="146"/>
      <c r="V46" s="146"/>
      <c r="W46" s="39"/>
      <c r="X46" s="39"/>
      <c r="Y46" s="39"/>
      <c r="Z46" s="39"/>
      <c r="AA46" s="147"/>
      <c r="AB46" s="147"/>
      <c r="AC46" s="39"/>
    </row>
    <row r="47" spans="1:29" ht="13.5" thickBot="1">
      <c r="A47" s="30" t="s">
        <v>55</v>
      </c>
      <c r="B47" s="30" t="s">
        <v>56</v>
      </c>
      <c r="C47" s="121">
        <v>1</v>
      </c>
      <c r="D47" s="123">
        <f>IF(C47=1,$B$70,0)</f>
        <v>50</v>
      </c>
      <c r="E47" s="173"/>
      <c r="F47" s="124">
        <v>41662</v>
      </c>
      <c r="G47" s="53">
        <v>41664</v>
      </c>
      <c r="H47" s="127">
        <v>1</v>
      </c>
      <c r="I47" s="186" t="str">
        <f>IF(F47=0,0,IF(F47&lt;$E$34,"LIVRABLE","PAS LIVRABLE"))</f>
        <v>LIVRABLE</v>
      </c>
      <c r="J47" s="35">
        <v>20700</v>
      </c>
      <c r="K47" s="46"/>
      <c r="L47" s="46" t="s">
        <v>24</v>
      </c>
      <c r="M47" s="19">
        <v>5000</v>
      </c>
      <c r="N47" s="170">
        <v>1</v>
      </c>
      <c r="O47" s="171"/>
      <c r="P47" s="172"/>
      <c r="Q47" s="164"/>
      <c r="R47" s="168"/>
      <c r="S47" s="161">
        <f>IF(AND(C47=1,H47=1,3000&lt;=M47&lt;=4999),$B$71+$B$72,IF(AND(C47=1,H47=1,M47&gt;=5000),$B$71+$B$73,IF(AND(C47=1,H47=1,M47=0),$B$71,0)))</f>
        <v>60</v>
      </c>
      <c r="T47" s="146">
        <f>S47+D47</f>
        <v>110</v>
      </c>
      <c r="U47" s="146"/>
      <c r="V47" s="146"/>
      <c r="W47" s="39"/>
      <c r="X47" s="39" t="s">
        <v>86</v>
      </c>
      <c r="Y47" s="39">
        <v>8800</v>
      </c>
      <c r="Z47" s="39">
        <v>11700</v>
      </c>
      <c r="AA47" s="39"/>
      <c r="AB47" s="39"/>
      <c r="AC47" s="39"/>
    </row>
    <row r="48" spans="1:29" ht="13.5" thickBot="1">
      <c r="A48" s="31" t="s">
        <v>72</v>
      </c>
      <c r="B48" s="31" t="s">
        <v>71</v>
      </c>
      <c r="C48" s="122">
        <v>1</v>
      </c>
      <c r="D48" s="123">
        <f t="shared" ref="D48:D67" si="11">IF(C48=1,$B$70,0)</f>
        <v>50</v>
      </c>
      <c r="E48" s="174">
        <v>120</v>
      </c>
      <c r="F48" s="125">
        <v>41674</v>
      </c>
      <c r="G48" s="54">
        <v>41666</v>
      </c>
      <c r="H48" s="128">
        <v>1</v>
      </c>
      <c r="I48" s="186" t="str">
        <f t="shared" ref="I48:I67" si="12">IF(F48=0,0,IF(F48&lt;$E$34,"LIVRABLE","PAS LIVRABLE"))</f>
        <v>PAS LIVRABLE</v>
      </c>
      <c r="J48" s="49">
        <v>13800</v>
      </c>
      <c r="K48" s="47"/>
      <c r="L48" s="47"/>
      <c r="M48" s="20"/>
      <c r="N48" s="140"/>
      <c r="O48" s="136"/>
      <c r="P48" s="136"/>
      <c r="Q48" s="165"/>
      <c r="R48" s="168"/>
      <c r="S48" s="161">
        <f t="shared" ref="S48:S67" si="13">IF(AND(C48=1,H48=1,3000&lt;=M48&lt;=4999),$B$71+$B$72,IF(AND(C48=1,H48=1,M48&gt;=5000),$B$71+$B$73,IF(AND(C48=1,H48=1,M48=0),$B$71,0)))</f>
        <v>10</v>
      </c>
      <c r="T48" s="146">
        <f t="shared" ref="T48:T67" si="14">S48+D48</f>
        <v>60</v>
      </c>
      <c r="U48" s="146"/>
      <c r="V48" s="146"/>
      <c r="W48" s="39"/>
      <c r="X48" s="39" t="s">
        <v>85</v>
      </c>
      <c r="Y48" s="39">
        <v>1250</v>
      </c>
      <c r="Z48" s="39">
        <v>1700</v>
      </c>
      <c r="AA48" s="39"/>
      <c r="AB48" s="39"/>
      <c r="AC48" s="39"/>
    </row>
    <row r="49" spans="1:29" ht="13.5" thickBot="1">
      <c r="A49" s="31" t="s">
        <v>73</v>
      </c>
      <c r="B49" s="31" t="s">
        <v>74</v>
      </c>
      <c r="C49" s="122">
        <v>1</v>
      </c>
      <c r="D49" s="123">
        <f t="shared" si="11"/>
        <v>50</v>
      </c>
      <c r="E49" s="174">
        <v>90</v>
      </c>
      <c r="F49" s="125">
        <v>41680</v>
      </c>
      <c r="G49" s="54">
        <v>41666</v>
      </c>
      <c r="H49" s="129">
        <v>1</v>
      </c>
      <c r="I49" s="186" t="str">
        <f t="shared" si="12"/>
        <v>PAS LIVRABLE</v>
      </c>
      <c r="J49" s="36">
        <v>7900</v>
      </c>
      <c r="K49" s="47"/>
      <c r="L49" s="47"/>
      <c r="M49" s="20"/>
      <c r="N49" s="140"/>
      <c r="O49" s="136"/>
      <c r="P49" s="136"/>
      <c r="Q49" s="165"/>
      <c r="R49" s="168"/>
      <c r="S49" s="161">
        <f t="shared" si="13"/>
        <v>10</v>
      </c>
      <c r="T49" s="146">
        <f t="shared" si="14"/>
        <v>60</v>
      </c>
      <c r="U49" s="146"/>
      <c r="V49" s="146"/>
      <c r="W49" s="39"/>
      <c r="X49" s="39"/>
      <c r="Y49" s="39"/>
      <c r="Z49" s="39"/>
      <c r="AA49" s="39"/>
      <c r="AB49" s="39"/>
      <c r="AC49" s="39"/>
    </row>
    <row r="50" spans="1:29" ht="13.5" thickBot="1">
      <c r="A50" s="31" t="s">
        <v>76</v>
      </c>
      <c r="B50" s="31" t="s">
        <v>75</v>
      </c>
      <c r="C50" s="122">
        <v>1</v>
      </c>
      <c r="D50" s="123">
        <f t="shared" si="11"/>
        <v>50</v>
      </c>
      <c r="E50" s="174"/>
      <c r="F50" s="125">
        <v>41685</v>
      </c>
      <c r="G50" s="54">
        <v>41664</v>
      </c>
      <c r="H50" s="129"/>
      <c r="I50" s="186" t="str">
        <f t="shared" si="12"/>
        <v>PAS LIVRABLE</v>
      </c>
      <c r="J50" s="36">
        <v>11000</v>
      </c>
      <c r="K50" s="47"/>
      <c r="L50" s="47"/>
      <c r="M50" s="20"/>
      <c r="N50" s="140"/>
      <c r="O50" s="136"/>
      <c r="P50" s="136"/>
      <c r="Q50" s="165"/>
      <c r="R50" s="168"/>
      <c r="S50" s="161">
        <f t="shared" si="13"/>
        <v>0</v>
      </c>
      <c r="T50" s="146">
        <f t="shared" si="14"/>
        <v>50</v>
      </c>
      <c r="U50" s="146"/>
      <c r="V50" s="146"/>
      <c r="W50" s="39"/>
      <c r="X50" s="39"/>
      <c r="Y50" s="39"/>
      <c r="Z50" s="39"/>
      <c r="AA50" s="39"/>
      <c r="AB50" s="39"/>
      <c r="AC50" s="39"/>
    </row>
    <row r="51" spans="1:29" ht="13.5" thickBot="1">
      <c r="A51" s="31" t="s">
        <v>78</v>
      </c>
      <c r="B51" s="31" t="s">
        <v>79</v>
      </c>
      <c r="C51" s="122">
        <v>1</v>
      </c>
      <c r="D51" s="123">
        <f t="shared" si="11"/>
        <v>50</v>
      </c>
      <c r="E51" s="174"/>
      <c r="F51" s="125">
        <v>41669</v>
      </c>
      <c r="G51" s="54">
        <v>41690</v>
      </c>
      <c r="H51" s="129"/>
      <c r="I51" s="186" t="str">
        <f t="shared" si="12"/>
        <v>LIVRABLE</v>
      </c>
      <c r="J51" s="36"/>
      <c r="K51" s="47"/>
      <c r="L51" s="47"/>
      <c r="M51" s="20"/>
      <c r="N51" s="140"/>
      <c r="O51" s="136"/>
      <c r="P51" s="136"/>
      <c r="Q51" s="165"/>
      <c r="R51" s="168"/>
      <c r="S51" s="161">
        <f t="shared" si="13"/>
        <v>0</v>
      </c>
      <c r="T51" s="146">
        <f t="shared" si="14"/>
        <v>50</v>
      </c>
      <c r="U51" s="146"/>
      <c r="V51" s="146"/>
      <c r="W51" s="39"/>
      <c r="X51" s="39" t="s">
        <v>87</v>
      </c>
      <c r="Y51" s="39">
        <v>8000</v>
      </c>
      <c r="Z51" s="39"/>
      <c r="AA51" s="39"/>
      <c r="AB51" s="39"/>
      <c r="AC51" s="39"/>
    </row>
    <row r="52" spans="1:29" ht="13.5" thickBot="1">
      <c r="A52" s="31"/>
      <c r="B52" s="31"/>
      <c r="C52" s="122"/>
      <c r="D52" s="123">
        <f t="shared" si="11"/>
        <v>0</v>
      </c>
      <c r="E52" s="174"/>
      <c r="F52" s="125"/>
      <c r="G52" s="54"/>
      <c r="H52" s="129"/>
      <c r="I52" s="186">
        <f t="shared" si="12"/>
        <v>0</v>
      </c>
      <c r="J52" s="36"/>
      <c r="K52" s="47"/>
      <c r="L52" s="47"/>
      <c r="M52" s="20"/>
      <c r="N52" s="140"/>
      <c r="O52" s="136"/>
      <c r="P52" s="136"/>
      <c r="Q52" s="165"/>
      <c r="R52" s="168"/>
      <c r="S52" s="161">
        <f t="shared" si="13"/>
        <v>0</v>
      </c>
      <c r="T52" s="146">
        <f t="shared" si="14"/>
        <v>0</v>
      </c>
      <c r="U52" s="146"/>
      <c r="V52" s="146"/>
      <c r="W52" s="39"/>
      <c r="X52" s="39"/>
      <c r="Y52" s="39"/>
      <c r="Z52" s="39"/>
      <c r="AA52" s="39"/>
      <c r="AB52" s="39"/>
      <c r="AC52" s="39"/>
    </row>
    <row r="53" spans="1:29" ht="13.5" thickBot="1">
      <c r="A53" s="31"/>
      <c r="B53" s="31"/>
      <c r="C53" s="122"/>
      <c r="D53" s="123">
        <f t="shared" si="11"/>
        <v>0</v>
      </c>
      <c r="E53" s="174"/>
      <c r="F53" s="125"/>
      <c r="G53" s="54"/>
      <c r="H53" s="129"/>
      <c r="I53" s="186">
        <f t="shared" si="12"/>
        <v>0</v>
      </c>
      <c r="J53" s="36"/>
      <c r="K53" s="47"/>
      <c r="L53" s="47"/>
      <c r="M53" s="20"/>
      <c r="N53" s="140"/>
      <c r="O53" s="136"/>
      <c r="P53" s="136"/>
      <c r="Q53" s="165"/>
      <c r="R53" s="168"/>
      <c r="S53" s="161">
        <f t="shared" si="13"/>
        <v>0</v>
      </c>
      <c r="T53" s="146">
        <f t="shared" si="14"/>
        <v>0</v>
      </c>
      <c r="U53" s="146"/>
      <c r="V53" s="146"/>
      <c r="W53" s="39"/>
      <c r="X53" s="39"/>
      <c r="Y53" s="39"/>
      <c r="Z53" s="39"/>
      <c r="AA53" s="39"/>
      <c r="AB53" s="39"/>
      <c r="AC53" s="39"/>
    </row>
    <row r="54" spans="1:29" ht="13.5" thickBot="1">
      <c r="A54" s="31"/>
      <c r="B54" s="31"/>
      <c r="C54" s="122"/>
      <c r="D54" s="123">
        <f t="shared" si="11"/>
        <v>0</v>
      </c>
      <c r="E54" s="174"/>
      <c r="F54" s="125"/>
      <c r="G54" s="54"/>
      <c r="H54" s="129"/>
      <c r="I54" s="186">
        <f t="shared" si="12"/>
        <v>0</v>
      </c>
      <c r="J54" s="36"/>
      <c r="K54" s="47"/>
      <c r="L54" s="47"/>
      <c r="M54" s="20"/>
      <c r="N54" s="140"/>
      <c r="O54" s="136"/>
      <c r="P54" s="136"/>
      <c r="Q54" s="165"/>
      <c r="R54" s="168"/>
      <c r="S54" s="161">
        <f t="shared" si="13"/>
        <v>0</v>
      </c>
      <c r="T54" s="146">
        <f t="shared" si="14"/>
        <v>0</v>
      </c>
      <c r="U54" s="146"/>
      <c r="V54" s="146"/>
      <c r="W54" s="39"/>
      <c r="X54" s="39"/>
      <c r="Y54" s="39"/>
      <c r="Z54" s="39"/>
      <c r="AA54" s="39"/>
      <c r="AB54" s="39"/>
      <c r="AC54" s="39"/>
    </row>
    <row r="55" spans="1:29" ht="13.5" thickBot="1">
      <c r="A55" s="31"/>
      <c r="B55" s="31"/>
      <c r="C55" s="122"/>
      <c r="D55" s="123">
        <f t="shared" si="11"/>
        <v>0</v>
      </c>
      <c r="E55" s="174"/>
      <c r="F55" s="125"/>
      <c r="G55" s="54"/>
      <c r="H55" s="129"/>
      <c r="I55" s="186">
        <f t="shared" si="12"/>
        <v>0</v>
      </c>
      <c r="J55" s="36"/>
      <c r="K55" s="47"/>
      <c r="L55" s="47"/>
      <c r="M55" s="20"/>
      <c r="N55" s="140"/>
      <c r="O55" s="136"/>
      <c r="P55" s="136"/>
      <c r="Q55" s="165"/>
      <c r="R55" s="168"/>
      <c r="S55" s="161">
        <f t="shared" si="13"/>
        <v>0</v>
      </c>
      <c r="T55" s="146">
        <f t="shared" si="14"/>
        <v>0</v>
      </c>
      <c r="U55" s="146"/>
      <c r="V55" s="146"/>
      <c r="W55" s="39"/>
      <c r="X55" s="39"/>
      <c r="Y55" s="39"/>
      <c r="Z55" s="39"/>
      <c r="AA55" s="39"/>
      <c r="AB55" s="39"/>
      <c r="AC55" s="39"/>
    </row>
    <row r="56" spans="1:29" ht="13.5" thickBot="1">
      <c r="A56" s="31"/>
      <c r="B56" s="31"/>
      <c r="C56" s="122"/>
      <c r="D56" s="123">
        <f t="shared" si="11"/>
        <v>0</v>
      </c>
      <c r="E56" s="174"/>
      <c r="F56" s="125"/>
      <c r="G56" s="54"/>
      <c r="H56" s="129"/>
      <c r="I56" s="186">
        <f t="shared" si="12"/>
        <v>0</v>
      </c>
      <c r="J56" s="36"/>
      <c r="K56" s="47"/>
      <c r="L56" s="47"/>
      <c r="M56" s="20"/>
      <c r="N56" s="140"/>
      <c r="O56" s="136"/>
      <c r="P56" s="136"/>
      <c r="Q56" s="165"/>
      <c r="R56" s="168"/>
      <c r="S56" s="161">
        <f t="shared" si="13"/>
        <v>0</v>
      </c>
      <c r="T56" s="146">
        <f t="shared" si="14"/>
        <v>0</v>
      </c>
      <c r="U56" s="146"/>
      <c r="V56" s="146"/>
      <c r="W56" s="39"/>
      <c r="X56" s="39"/>
      <c r="Y56" s="39"/>
      <c r="Z56" s="39"/>
      <c r="AA56" s="39"/>
      <c r="AB56" s="39"/>
      <c r="AC56" s="39"/>
    </row>
    <row r="57" spans="1:29" ht="13.5" thickBot="1">
      <c r="A57" s="31"/>
      <c r="B57" s="31"/>
      <c r="C57" s="122"/>
      <c r="D57" s="123">
        <f t="shared" si="11"/>
        <v>0</v>
      </c>
      <c r="E57" s="174"/>
      <c r="F57" s="125"/>
      <c r="G57" s="54"/>
      <c r="H57" s="129"/>
      <c r="I57" s="186">
        <f t="shared" si="12"/>
        <v>0</v>
      </c>
      <c r="J57" s="36"/>
      <c r="K57" s="47"/>
      <c r="L57" s="47"/>
      <c r="M57" s="20"/>
      <c r="N57" s="140"/>
      <c r="O57" s="136"/>
      <c r="P57" s="136"/>
      <c r="Q57" s="165"/>
      <c r="R57" s="168"/>
      <c r="S57" s="161">
        <f t="shared" si="13"/>
        <v>0</v>
      </c>
      <c r="T57" s="146">
        <f t="shared" si="14"/>
        <v>0</v>
      </c>
      <c r="U57" s="146"/>
      <c r="V57" s="146"/>
      <c r="W57" s="39"/>
      <c r="X57" s="39"/>
      <c r="Y57" s="39"/>
      <c r="Z57" s="39"/>
      <c r="AA57" s="39"/>
      <c r="AB57" s="39"/>
      <c r="AC57" s="39"/>
    </row>
    <row r="58" spans="1:29" ht="13.5" thickBot="1">
      <c r="A58" s="31"/>
      <c r="B58" s="31"/>
      <c r="C58" s="122"/>
      <c r="D58" s="123">
        <f t="shared" si="11"/>
        <v>0</v>
      </c>
      <c r="E58" s="174"/>
      <c r="F58" s="125"/>
      <c r="G58" s="54"/>
      <c r="H58" s="129"/>
      <c r="I58" s="186">
        <f t="shared" si="12"/>
        <v>0</v>
      </c>
      <c r="J58" s="36"/>
      <c r="K58" s="47"/>
      <c r="L58" s="47"/>
      <c r="M58" s="20"/>
      <c r="N58" s="140"/>
      <c r="O58" s="136"/>
      <c r="P58" s="136"/>
      <c r="Q58" s="165"/>
      <c r="R58" s="168"/>
      <c r="S58" s="161">
        <f t="shared" si="13"/>
        <v>0</v>
      </c>
      <c r="T58" s="146">
        <f t="shared" si="14"/>
        <v>0</v>
      </c>
      <c r="U58" s="146"/>
      <c r="V58" s="146"/>
      <c r="W58" s="39"/>
      <c r="X58" s="39"/>
      <c r="Y58" s="39"/>
      <c r="Z58" s="39"/>
      <c r="AA58" s="39"/>
      <c r="AB58" s="39"/>
      <c r="AC58" s="39"/>
    </row>
    <row r="59" spans="1:29" ht="13.5" thickBot="1">
      <c r="A59" s="31"/>
      <c r="B59" s="31"/>
      <c r="C59" s="122"/>
      <c r="D59" s="123">
        <f t="shared" si="11"/>
        <v>0</v>
      </c>
      <c r="E59" s="174"/>
      <c r="F59" s="125"/>
      <c r="G59" s="54"/>
      <c r="H59" s="129"/>
      <c r="I59" s="186">
        <f t="shared" si="12"/>
        <v>0</v>
      </c>
      <c r="J59" s="36"/>
      <c r="K59" s="47"/>
      <c r="L59" s="47"/>
      <c r="M59" s="20"/>
      <c r="N59" s="140"/>
      <c r="O59" s="136"/>
      <c r="P59" s="136"/>
      <c r="Q59" s="165"/>
      <c r="R59" s="168"/>
      <c r="S59" s="161">
        <f t="shared" si="13"/>
        <v>0</v>
      </c>
      <c r="T59" s="146">
        <f t="shared" si="14"/>
        <v>0</v>
      </c>
      <c r="U59" s="146"/>
      <c r="V59" s="146"/>
      <c r="W59" s="39"/>
      <c r="X59" s="39"/>
      <c r="Y59" s="39"/>
      <c r="Z59" s="39"/>
      <c r="AA59" s="39"/>
      <c r="AB59" s="39"/>
      <c r="AC59" s="39"/>
    </row>
    <row r="60" spans="1:29" ht="13.5" thickBot="1">
      <c r="A60" s="31"/>
      <c r="B60" s="31"/>
      <c r="C60" s="122"/>
      <c r="D60" s="123">
        <f t="shared" si="11"/>
        <v>0</v>
      </c>
      <c r="E60" s="174"/>
      <c r="F60" s="125"/>
      <c r="G60" s="54"/>
      <c r="H60" s="129"/>
      <c r="I60" s="186">
        <f t="shared" si="12"/>
        <v>0</v>
      </c>
      <c r="J60" s="36"/>
      <c r="K60" s="47"/>
      <c r="L60" s="47"/>
      <c r="M60" s="20"/>
      <c r="N60" s="140"/>
      <c r="O60" s="136"/>
      <c r="P60" s="136"/>
      <c r="Q60" s="165"/>
      <c r="R60" s="168"/>
      <c r="S60" s="161">
        <f t="shared" si="13"/>
        <v>0</v>
      </c>
      <c r="T60" s="146">
        <f t="shared" si="14"/>
        <v>0</v>
      </c>
      <c r="U60" s="146"/>
      <c r="V60" s="146"/>
      <c r="W60" s="39"/>
      <c r="X60" s="39"/>
      <c r="Y60" s="39"/>
      <c r="Z60" s="39"/>
      <c r="AA60" s="39"/>
      <c r="AB60" s="39"/>
      <c r="AC60" s="39"/>
    </row>
    <row r="61" spans="1:29" ht="13.5" thickBot="1">
      <c r="A61" s="31"/>
      <c r="B61" s="31"/>
      <c r="C61" s="122"/>
      <c r="D61" s="123">
        <f t="shared" si="11"/>
        <v>0</v>
      </c>
      <c r="E61" s="174"/>
      <c r="F61" s="125"/>
      <c r="G61" s="54"/>
      <c r="H61" s="129"/>
      <c r="I61" s="186">
        <f t="shared" si="12"/>
        <v>0</v>
      </c>
      <c r="J61" s="36"/>
      <c r="K61" s="47"/>
      <c r="L61" s="47"/>
      <c r="M61" s="20"/>
      <c r="N61" s="140"/>
      <c r="O61" s="136"/>
      <c r="P61" s="136"/>
      <c r="Q61" s="165"/>
      <c r="R61" s="168"/>
      <c r="S61" s="161">
        <f t="shared" si="13"/>
        <v>0</v>
      </c>
      <c r="T61" s="146">
        <f t="shared" si="14"/>
        <v>0</v>
      </c>
      <c r="U61" s="146"/>
      <c r="V61" s="146"/>
      <c r="W61" s="39"/>
      <c r="X61" s="39"/>
      <c r="Y61" s="39"/>
      <c r="Z61" s="39"/>
      <c r="AA61" s="39"/>
      <c r="AB61" s="39"/>
      <c r="AC61" s="39"/>
    </row>
    <row r="62" spans="1:29" ht="13.5" thickBot="1">
      <c r="A62" s="31"/>
      <c r="B62" s="31"/>
      <c r="C62" s="122"/>
      <c r="D62" s="123">
        <f t="shared" si="11"/>
        <v>0</v>
      </c>
      <c r="E62" s="174"/>
      <c r="F62" s="125"/>
      <c r="G62" s="54"/>
      <c r="H62" s="129"/>
      <c r="I62" s="186">
        <f t="shared" si="12"/>
        <v>0</v>
      </c>
      <c r="J62" s="36"/>
      <c r="K62" s="47"/>
      <c r="L62" s="47"/>
      <c r="M62" s="20"/>
      <c r="N62" s="140"/>
      <c r="O62" s="136"/>
      <c r="P62" s="136"/>
      <c r="Q62" s="165"/>
      <c r="R62" s="168"/>
      <c r="S62" s="161">
        <f t="shared" si="13"/>
        <v>0</v>
      </c>
      <c r="T62" s="146">
        <f t="shared" si="14"/>
        <v>0</v>
      </c>
      <c r="U62" s="146"/>
      <c r="V62" s="146"/>
      <c r="W62" s="39"/>
      <c r="X62" s="39"/>
      <c r="Y62" s="39"/>
      <c r="Z62" s="39"/>
      <c r="AA62" s="39"/>
      <c r="AB62" s="39"/>
      <c r="AC62" s="39"/>
    </row>
    <row r="63" spans="1:29" ht="13.5" thickBot="1">
      <c r="A63" s="31"/>
      <c r="B63" s="31"/>
      <c r="C63" s="122"/>
      <c r="D63" s="123">
        <f t="shared" si="11"/>
        <v>0</v>
      </c>
      <c r="E63" s="174"/>
      <c r="F63" s="125"/>
      <c r="G63" s="54"/>
      <c r="H63" s="129"/>
      <c r="I63" s="186">
        <f t="shared" si="12"/>
        <v>0</v>
      </c>
      <c r="J63" s="36"/>
      <c r="K63" s="47"/>
      <c r="L63" s="47"/>
      <c r="M63" s="20"/>
      <c r="N63" s="140"/>
      <c r="O63" s="136"/>
      <c r="P63" s="136"/>
      <c r="Q63" s="165"/>
      <c r="R63" s="168"/>
      <c r="S63" s="161">
        <f t="shared" si="13"/>
        <v>0</v>
      </c>
      <c r="T63" s="146">
        <f t="shared" si="14"/>
        <v>0</v>
      </c>
      <c r="U63" s="146"/>
      <c r="V63" s="146"/>
      <c r="W63" s="39"/>
      <c r="X63" s="39"/>
      <c r="Y63" s="39"/>
      <c r="Z63" s="39"/>
      <c r="AA63" s="39"/>
      <c r="AB63" s="39"/>
      <c r="AC63" s="39"/>
    </row>
    <row r="64" spans="1:29" ht="13.5" thickBot="1">
      <c r="A64" s="31"/>
      <c r="B64" s="31"/>
      <c r="C64" s="122"/>
      <c r="D64" s="123">
        <f t="shared" si="11"/>
        <v>0</v>
      </c>
      <c r="E64" s="174"/>
      <c r="F64" s="125"/>
      <c r="G64" s="54"/>
      <c r="H64" s="129"/>
      <c r="I64" s="186">
        <f t="shared" si="12"/>
        <v>0</v>
      </c>
      <c r="J64" s="36"/>
      <c r="K64" s="47"/>
      <c r="L64" s="47"/>
      <c r="M64" s="20"/>
      <c r="N64" s="140"/>
      <c r="O64" s="136"/>
      <c r="P64" s="136"/>
      <c r="Q64" s="165"/>
      <c r="R64" s="168"/>
      <c r="S64" s="161">
        <f t="shared" si="13"/>
        <v>0</v>
      </c>
      <c r="T64" s="146">
        <f t="shared" si="14"/>
        <v>0</v>
      </c>
      <c r="U64" s="146"/>
      <c r="V64" s="146"/>
      <c r="W64" s="39"/>
      <c r="X64" s="39"/>
      <c r="Y64" s="39"/>
      <c r="Z64" s="39"/>
      <c r="AA64" s="39"/>
      <c r="AB64" s="39"/>
      <c r="AC64" s="39"/>
    </row>
    <row r="65" spans="1:29" ht="13.5" thickBot="1">
      <c r="A65" s="31"/>
      <c r="B65" s="31"/>
      <c r="C65" s="122"/>
      <c r="D65" s="123">
        <f t="shared" si="11"/>
        <v>0</v>
      </c>
      <c r="E65" s="174"/>
      <c r="F65" s="125"/>
      <c r="G65" s="54"/>
      <c r="H65" s="129"/>
      <c r="I65" s="186">
        <f t="shared" si="12"/>
        <v>0</v>
      </c>
      <c r="J65" s="36"/>
      <c r="K65" s="47"/>
      <c r="L65" s="47"/>
      <c r="M65" s="20"/>
      <c r="N65" s="140"/>
      <c r="O65" s="136"/>
      <c r="P65" s="136"/>
      <c r="Q65" s="165"/>
      <c r="R65" s="168"/>
      <c r="S65" s="161">
        <f t="shared" si="13"/>
        <v>0</v>
      </c>
      <c r="T65" s="146">
        <f t="shared" si="14"/>
        <v>0</v>
      </c>
      <c r="U65" s="146"/>
      <c r="V65" s="146"/>
      <c r="W65" s="39"/>
      <c r="X65" s="39"/>
      <c r="Y65" s="39"/>
      <c r="Z65" s="39"/>
      <c r="AA65" s="39"/>
      <c r="AB65" s="39"/>
      <c r="AC65" s="39"/>
    </row>
    <row r="66" spans="1:29" ht="13.5" thickBot="1">
      <c r="A66" s="31"/>
      <c r="B66" s="31"/>
      <c r="C66" s="122"/>
      <c r="D66" s="123">
        <f t="shared" si="11"/>
        <v>0</v>
      </c>
      <c r="E66" s="174"/>
      <c r="F66" s="125"/>
      <c r="G66" s="54"/>
      <c r="H66" s="129"/>
      <c r="I66" s="186">
        <f t="shared" si="12"/>
        <v>0</v>
      </c>
      <c r="J66" s="36"/>
      <c r="K66" s="47"/>
      <c r="L66" s="47"/>
      <c r="M66" s="20"/>
      <c r="N66" s="140"/>
      <c r="O66" s="136"/>
      <c r="P66" s="136"/>
      <c r="Q66" s="165"/>
      <c r="R66" s="168"/>
      <c r="S66" s="161">
        <f t="shared" si="13"/>
        <v>0</v>
      </c>
      <c r="T66" s="146">
        <f t="shared" si="14"/>
        <v>0</v>
      </c>
      <c r="U66" s="146"/>
      <c r="V66" s="146"/>
      <c r="W66" s="39"/>
      <c r="X66" s="39"/>
      <c r="Y66" s="39"/>
      <c r="Z66" s="39"/>
      <c r="AA66" s="39"/>
      <c r="AB66" s="39"/>
      <c r="AC66" s="39"/>
    </row>
    <row r="67" spans="1:29" ht="13.5" thickBot="1">
      <c r="A67" s="32"/>
      <c r="B67" s="32"/>
      <c r="C67" s="131"/>
      <c r="D67" s="123">
        <f t="shared" si="11"/>
        <v>0</v>
      </c>
      <c r="E67" s="175"/>
      <c r="F67" s="126"/>
      <c r="G67" s="55"/>
      <c r="H67" s="130"/>
      <c r="I67" s="186">
        <f t="shared" si="12"/>
        <v>0</v>
      </c>
      <c r="J67" s="37"/>
      <c r="K67" s="48"/>
      <c r="L67" s="48"/>
      <c r="M67" s="21"/>
      <c r="N67" s="141"/>
      <c r="O67" s="137"/>
      <c r="P67" s="137"/>
      <c r="Q67" s="166"/>
      <c r="R67" s="169"/>
      <c r="S67" s="161">
        <f t="shared" si="13"/>
        <v>0</v>
      </c>
      <c r="T67" s="146">
        <f t="shared" si="14"/>
        <v>0</v>
      </c>
      <c r="U67" s="146"/>
      <c r="V67" s="146"/>
      <c r="W67" s="39"/>
      <c r="X67" s="39"/>
      <c r="Y67" s="39"/>
      <c r="Z67" s="39"/>
      <c r="AA67" s="39"/>
      <c r="AB67" s="39"/>
      <c r="AC67" s="39"/>
    </row>
    <row r="68" spans="1:29" ht="13.5" thickBot="1">
      <c r="C68" s="132">
        <f>SUM(C47:C67)</f>
        <v>5</v>
      </c>
      <c r="D68" s="39"/>
      <c r="G68" s="75" t="s">
        <v>50</v>
      </c>
      <c r="H68" s="76"/>
      <c r="I68" s="77">
        <f>COUNTIF(I47:I67,"LIVRABLE")</f>
        <v>2</v>
      </c>
    </row>
    <row r="69" spans="1:29" ht="13.5" thickBot="1"/>
    <row r="70" spans="1:29">
      <c r="A70" s="3" t="s">
        <v>58</v>
      </c>
      <c r="B70" s="142">
        <v>50</v>
      </c>
    </row>
    <row r="71" spans="1:29">
      <c r="A71" s="6" t="s">
        <v>59</v>
      </c>
      <c r="B71" s="143">
        <v>10</v>
      </c>
    </row>
    <row r="72" spans="1:29">
      <c r="A72" s="6" t="s">
        <v>60</v>
      </c>
      <c r="B72" s="143">
        <v>20</v>
      </c>
      <c r="C72" t="s">
        <v>62</v>
      </c>
    </row>
    <row r="73" spans="1:29" ht="13.5" thickBot="1">
      <c r="A73" s="8" t="s">
        <v>61</v>
      </c>
      <c r="B73" s="144">
        <v>50</v>
      </c>
      <c r="C73" t="s">
        <v>63</v>
      </c>
    </row>
  </sheetData>
  <mergeCells count="22">
    <mergeCell ref="A41:B41"/>
    <mergeCell ref="A42:B42"/>
    <mergeCell ref="A40:G40"/>
    <mergeCell ref="A36:C36"/>
    <mergeCell ref="G38:J38"/>
    <mergeCell ref="G37:J37"/>
    <mergeCell ref="G27:H27"/>
    <mergeCell ref="O45:R45"/>
    <mergeCell ref="K36:M36"/>
    <mergeCell ref="K38:M38"/>
    <mergeCell ref="G36:J36"/>
    <mergeCell ref="K37:M37"/>
    <mergeCell ref="A1:AC1"/>
    <mergeCell ref="W2:Z2"/>
    <mergeCell ref="A2:T2"/>
    <mergeCell ref="A35:C35"/>
    <mergeCell ref="G35:J35"/>
    <mergeCell ref="K35:M35"/>
    <mergeCell ref="C26:D26"/>
    <mergeCell ref="C27:D27"/>
    <mergeCell ref="C28:D28"/>
    <mergeCell ref="C29:D29"/>
  </mergeCells>
  <phoneticPr fontId="2" type="noConversion"/>
  <conditionalFormatting sqref="I47:I67 I4:I24">
    <cfRule type="expression" dxfId="5" priority="1" stopIfTrue="1">
      <formula>"D4&lt;$C$30"</formula>
    </cfRule>
    <cfRule type="expression" dxfId="4" priority="2" stopIfTrue="1">
      <formula>"D4&gt;$C$30"</formula>
    </cfRule>
  </conditionalFormatting>
  <pageMargins left="0.75" right="0.75" top="1" bottom="1" header="0.4921259845" footer="0.4921259845"/>
  <pageSetup paperSize="9" orientation="portrait" r:id="rId1"/>
  <headerFooter alignWithMargins="0"/>
</worksheet>
</file>

<file path=xl/worksheets/sheet2.xml><?xml version="1.0" encoding="utf-8"?>
<worksheet xmlns="http://schemas.openxmlformats.org/spreadsheetml/2006/main" xmlns:r="http://schemas.openxmlformats.org/officeDocument/2006/relationships">
  <dimension ref="A1:AI72"/>
  <sheetViews>
    <sheetView topLeftCell="A10" workbookViewId="0">
      <selection activeCell="C15" sqref="C15"/>
    </sheetView>
  </sheetViews>
  <sheetFormatPr defaultColWidth="11.42578125" defaultRowHeight="12.75"/>
  <cols>
    <col min="1" max="1" width="15.140625" customWidth="1"/>
    <col min="2" max="2" width="16.140625" customWidth="1"/>
    <col min="3" max="4" width="9.42578125" customWidth="1"/>
    <col min="5" max="5" width="11.28515625" style="16" customWidth="1"/>
    <col min="6" max="6" width="9.85546875" style="65" customWidth="1"/>
    <col min="7" max="7" width="9.28515625" style="40" customWidth="1"/>
    <col min="8" max="8" width="15.140625" style="40" customWidth="1"/>
    <col min="9" max="9" width="14.140625" style="43" customWidth="1"/>
    <col min="10" max="10" width="12.42578125" style="16" customWidth="1"/>
    <col min="11" max="11" width="9.140625" style="16" customWidth="1"/>
    <col min="12" max="12" width="9.28515625" style="16" customWidth="1"/>
    <col min="13" max="13" width="11.5703125" style="16" customWidth="1"/>
    <col min="14" max="15" width="11.85546875" style="16" customWidth="1"/>
    <col min="16" max="16" width="10.5703125" style="22" customWidth="1"/>
    <col min="17" max="17" width="14.5703125" style="16" customWidth="1"/>
    <col min="18" max="18" width="10.7109375" style="16" customWidth="1"/>
    <col min="19" max="19" width="11.85546875" customWidth="1"/>
    <col min="20" max="20" width="15.28515625" style="16" customWidth="1"/>
    <col min="21" max="21" width="8.28515625" style="16" customWidth="1"/>
    <col min="22" max="22" width="6" customWidth="1"/>
    <col min="23" max="23" width="8.28515625" customWidth="1"/>
    <col min="24" max="24" width="11.5703125" customWidth="1"/>
    <col min="25" max="25" width="9" customWidth="1"/>
    <col min="26" max="26" width="8.140625" customWidth="1"/>
    <col min="27" max="27" width="7.5703125" customWidth="1"/>
    <col min="28" max="28" width="6.28515625" customWidth="1"/>
    <col min="29" max="29" width="9" style="16" customWidth="1"/>
    <col min="30" max="30" width="10.5703125" style="16" customWidth="1"/>
    <col min="31" max="31" width="11.140625" customWidth="1"/>
  </cols>
  <sheetData>
    <row r="1" spans="1:35" ht="21.75" customHeight="1" thickBot="1">
      <c r="A1" s="211" t="s">
        <v>6</v>
      </c>
      <c r="B1" s="212"/>
      <c r="C1" s="212"/>
      <c r="D1" s="212"/>
      <c r="E1" s="212"/>
      <c r="F1" s="212"/>
      <c r="G1" s="212"/>
      <c r="H1" s="212"/>
      <c r="I1" s="212"/>
      <c r="J1" s="212"/>
      <c r="K1" s="212"/>
      <c r="L1" s="212"/>
      <c r="M1" s="212"/>
      <c r="N1" s="212"/>
      <c r="O1" s="212"/>
      <c r="P1" s="212"/>
      <c r="Q1" s="212"/>
      <c r="R1" s="212"/>
      <c r="S1" s="212"/>
      <c r="T1" s="212"/>
      <c r="U1" s="212"/>
      <c r="V1" s="212"/>
      <c r="W1" s="212"/>
      <c r="X1" s="212"/>
      <c r="Y1" s="212"/>
      <c r="Z1" s="212"/>
      <c r="AA1" s="212"/>
      <c r="AB1" s="213"/>
    </row>
    <row r="2" spans="1:35" ht="15.75" thickBot="1">
      <c r="A2" s="217"/>
      <c r="B2" s="218"/>
      <c r="C2" s="218"/>
      <c r="D2" s="218"/>
      <c r="E2" s="218"/>
      <c r="F2" s="218"/>
      <c r="G2" s="218"/>
      <c r="H2" s="218"/>
      <c r="I2" s="218"/>
      <c r="J2" s="218"/>
      <c r="K2" s="218"/>
      <c r="L2" s="218"/>
      <c r="M2" s="218"/>
      <c r="N2" s="218"/>
      <c r="O2" s="218"/>
      <c r="P2" s="218"/>
      <c r="Q2" s="218"/>
      <c r="R2" s="218"/>
      <c r="S2" s="218"/>
      <c r="T2" s="218"/>
      <c r="U2" s="11"/>
      <c r="V2" s="214" t="s">
        <v>1</v>
      </c>
      <c r="W2" s="215"/>
      <c r="X2" s="215"/>
      <c r="Y2" s="216"/>
      <c r="Z2" s="50"/>
      <c r="AA2" s="50"/>
      <c r="AB2" s="1"/>
    </row>
    <row r="3" spans="1:35" s="97" customFormat="1" ht="38.25" customHeight="1" thickBot="1">
      <c r="A3" s="83" t="s">
        <v>0</v>
      </c>
      <c r="B3" s="84" t="s">
        <v>31</v>
      </c>
      <c r="C3" s="84" t="s">
        <v>6</v>
      </c>
      <c r="D3" s="85" t="s">
        <v>32</v>
      </c>
      <c r="E3" s="98" t="s">
        <v>17</v>
      </c>
      <c r="F3" s="87" t="s">
        <v>44</v>
      </c>
      <c r="G3" s="88" t="s">
        <v>8</v>
      </c>
      <c r="H3" s="88" t="s">
        <v>7</v>
      </c>
      <c r="I3" s="89" t="s">
        <v>27</v>
      </c>
      <c r="J3" s="86" t="s">
        <v>18</v>
      </c>
      <c r="K3" s="86" t="s">
        <v>19</v>
      </c>
      <c r="L3" s="86" t="s">
        <v>64</v>
      </c>
      <c r="M3" s="86" t="s">
        <v>11</v>
      </c>
      <c r="N3" s="90" t="s">
        <v>23</v>
      </c>
      <c r="O3" s="91" t="s">
        <v>20</v>
      </c>
      <c r="P3" s="92" t="s">
        <v>22</v>
      </c>
      <c r="Q3" s="86" t="s">
        <v>10</v>
      </c>
      <c r="R3" s="98" t="s">
        <v>21</v>
      </c>
      <c r="S3" s="93" t="s">
        <v>9</v>
      </c>
      <c r="T3" s="94" t="s">
        <v>12</v>
      </c>
      <c r="U3" s="98" t="s">
        <v>25</v>
      </c>
      <c r="V3" s="95" t="s">
        <v>2</v>
      </c>
      <c r="W3" s="95" t="s">
        <v>3</v>
      </c>
      <c r="X3" s="95" t="s">
        <v>4</v>
      </c>
      <c r="Y3" s="95" t="s">
        <v>5</v>
      </c>
      <c r="Z3" s="96" t="s">
        <v>36</v>
      </c>
      <c r="AA3" s="96" t="s">
        <v>35</v>
      </c>
      <c r="AB3" s="96" t="s">
        <v>47</v>
      </c>
      <c r="AC3" s="102" t="s">
        <v>25</v>
      </c>
      <c r="AD3" s="113" t="s">
        <v>53</v>
      </c>
      <c r="AE3" s="111" t="s">
        <v>26</v>
      </c>
    </row>
    <row r="4" spans="1:35" ht="13.5" thickBot="1">
      <c r="A4" s="30" t="s">
        <v>94</v>
      </c>
      <c r="B4" s="30" t="s">
        <v>93</v>
      </c>
      <c r="C4" s="30"/>
      <c r="D4" s="52">
        <v>1</v>
      </c>
      <c r="E4" s="99">
        <f>IF(AND(C4=1,COUNTIF(A4:A24,"DS")),$E$31,IF(AND(C4=1,COUNTIF(A4:A24,"VU")),$F$31,IF(C4=1,$D$31,IF(D4=1,$C$32,0))))</f>
        <v>70</v>
      </c>
      <c r="F4" s="62">
        <v>224</v>
      </c>
      <c r="G4" s="53">
        <v>41695</v>
      </c>
      <c r="H4" s="156">
        <v>41676</v>
      </c>
      <c r="I4" s="186" t="str">
        <f>IF(G4=0,0,IF(G4&lt;=$E$34,"LIVRABLE","PAS LIVRABLE"))</f>
        <v>LIVRABLE</v>
      </c>
      <c r="J4" s="35"/>
      <c r="K4" s="46"/>
      <c r="L4" s="46"/>
      <c r="M4" s="15"/>
      <c r="N4" s="19"/>
      <c r="O4" s="29"/>
      <c r="P4" s="187">
        <f>(((M4+K4)-(J4+$D$33))+((N4*1.2)+(O4*1.2)))-Q4</f>
        <v>-145</v>
      </c>
      <c r="Q4" s="28"/>
      <c r="R4" s="133">
        <f>IF(P4&gt;0,P4*0.1,0)</f>
        <v>0</v>
      </c>
      <c r="S4" s="107" t="s">
        <v>24</v>
      </c>
      <c r="T4" s="108">
        <v>6000</v>
      </c>
      <c r="U4" s="105">
        <f>IF(AND(A4="C4picasso",T4&gt;=5000),$J$31,IF(T4&gt;=5000,$H$31,0))</f>
        <v>30</v>
      </c>
      <c r="V4" s="3">
        <v>1</v>
      </c>
      <c r="W4" s="4"/>
      <c r="X4" s="4"/>
      <c r="Y4" s="5"/>
      <c r="Z4" s="190">
        <f>IF(AND(D4=1,(V4+W4+X4+Y4)=1),1,0)</f>
        <v>1</v>
      </c>
      <c r="AA4" s="191">
        <f>IF(AND(T4&gt;=5000,D4=1),1,0)</f>
        <v>1</v>
      </c>
      <c r="AB4" s="23">
        <v>0</v>
      </c>
      <c r="AC4" s="103">
        <f>IF(V4+W4+X4+Y4&gt;0,$G$31,0)</f>
        <v>20</v>
      </c>
      <c r="AD4" s="114">
        <f t="shared" ref="AD4:AD24" si="0">IF($H$39&gt;=39,$C$41,IF($H$39&gt;=35,$C$40,0))</f>
        <v>0</v>
      </c>
      <c r="AE4" s="112">
        <f>IF(L4&lt;185,E4,E4+R4+U4+AC4+AD4)</f>
        <v>70</v>
      </c>
      <c r="AG4" t="s">
        <v>81</v>
      </c>
      <c r="AH4">
        <v>5</v>
      </c>
    </row>
    <row r="5" spans="1:35" ht="13.5" thickBot="1">
      <c r="A5" s="31" t="s">
        <v>98</v>
      </c>
      <c r="B5" s="31" t="s">
        <v>99</v>
      </c>
      <c r="C5" s="31"/>
      <c r="D5" s="33">
        <v>1</v>
      </c>
      <c r="E5" s="100">
        <f>IF(C5=1,$D$31,IF(D5=1,$C$32,0))</f>
        <v>70</v>
      </c>
      <c r="F5" s="63">
        <v>257</v>
      </c>
      <c r="G5" s="54"/>
      <c r="H5" s="157"/>
      <c r="I5" s="186">
        <f t="shared" ref="I5:I24" si="1">IF(G5=0,0,IF(G5&lt;=$E$34,"LIVRABLE","PAS LIVRABLE"))</f>
        <v>0</v>
      </c>
      <c r="J5" s="49"/>
      <c r="K5" s="47"/>
      <c r="L5" s="47"/>
      <c r="M5" s="17"/>
      <c r="N5" s="20"/>
      <c r="O5" s="26"/>
      <c r="P5" s="188">
        <f t="shared" ref="P5:P24" si="2">(((M5+K5)-(J5+$D$33))+((N5*1.2)+(O5*1.2)))-Q5</f>
        <v>-145</v>
      </c>
      <c r="Q5" s="17"/>
      <c r="R5" s="134">
        <f t="shared" ref="R5:R24" si="3">IF(P5&gt;0,P5*0.1,0)</f>
        <v>0</v>
      </c>
      <c r="S5" s="31"/>
      <c r="T5" s="109">
        <v>5250</v>
      </c>
      <c r="U5" s="104">
        <f t="shared" ref="U5:U24" si="4">IF(AND(A5="C4picasso",T5&gt;=5000),$J$31,IF(T5&gt;=5000,$H$31,0))</f>
        <v>30</v>
      </c>
      <c r="V5" s="6"/>
      <c r="W5" s="2">
        <v>1</v>
      </c>
      <c r="X5" s="2"/>
      <c r="Y5" s="7"/>
      <c r="Z5" s="190">
        <f t="shared" ref="Z5:Z24" si="5">IF(AND(D5=1,(V5+W5+X5+Y5)=1),1,0)</f>
        <v>1</v>
      </c>
      <c r="AA5" s="191">
        <f t="shared" ref="AA5:AA24" si="6">IF(AND(T5&gt;=5000,D5=1),1,0)</f>
        <v>1</v>
      </c>
      <c r="AB5" s="24"/>
      <c r="AC5" s="103">
        <f t="shared" ref="AC5:AC24" si="7">IF(V5+W5+X5+Y5&gt;0,$G$31,0)</f>
        <v>20</v>
      </c>
      <c r="AD5" s="114">
        <f t="shared" si="0"/>
        <v>0</v>
      </c>
      <c r="AE5" s="112">
        <f t="shared" ref="AE5:AE24" si="8">IF(L5&lt;185,E5,E5+R5+U5+AC5+AD5)</f>
        <v>70</v>
      </c>
      <c r="AG5" t="s">
        <v>82</v>
      </c>
      <c r="AH5">
        <v>300</v>
      </c>
      <c r="AI5">
        <v>120</v>
      </c>
    </row>
    <row r="6" spans="1:35" ht="13.5" thickBot="1">
      <c r="A6" s="31" t="s">
        <v>40</v>
      </c>
      <c r="B6" s="31" t="s">
        <v>100</v>
      </c>
      <c r="C6" s="31">
        <v>1</v>
      </c>
      <c r="D6" s="33"/>
      <c r="E6" s="100">
        <f>IF(C6=1,$D$31,IF(D6=1,$C$32,0))</f>
        <v>30</v>
      </c>
      <c r="F6" s="63">
        <v>92</v>
      </c>
      <c r="G6" s="54"/>
      <c r="H6" s="158"/>
      <c r="I6" s="186">
        <f t="shared" si="1"/>
        <v>0</v>
      </c>
      <c r="J6" s="36"/>
      <c r="K6" s="47"/>
      <c r="L6" s="47"/>
      <c r="M6" s="17"/>
      <c r="N6" s="20"/>
      <c r="O6" s="26"/>
      <c r="P6" s="188">
        <f t="shared" si="2"/>
        <v>-145</v>
      </c>
      <c r="Q6" s="17"/>
      <c r="R6" s="134">
        <f t="shared" si="3"/>
        <v>0</v>
      </c>
      <c r="S6" s="31"/>
      <c r="T6" s="109"/>
      <c r="U6" s="104">
        <f t="shared" si="4"/>
        <v>0</v>
      </c>
      <c r="V6" s="6"/>
      <c r="W6" s="2"/>
      <c r="X6" s="2"/>
      <c r="Y6" s="7"/>
      <c r="Z6" s="190">
        <f t="shared" si="5"/>
        <v>0</v>
      </c>
      <c r="AA6" s="191">
        <f t="shared" si="6"/>
        <v>0</v>
      </c>
      <c r="AB6" s="24"/>
      <c r="AC6" s="103">
        <f t="shared" si="7"/>
        <v>0</v>
      </c>
      <c r="AD6" s="114">
        <f t="shared" si="0"/>
        <v>0</v>
      </c>
      <c r="AE6" s="112">
        <f t="shared" si="8"/>
        <v>30</v>
      </c>
      <c r="AG6" t="s">
        <v>83</v>
      </c>
    </row>
    <row r="7" spans="1:35" ht="13.5" thickBot="1">
      <c r="A7" s="31"/>
      <c r="B7" s="31"/>
      <c r="C7" s="31"/>
      <c r="D7" s="33"/>
      <c r="E7" s="100">
        <f>IF(C7=1,$D$31,IF(D7=1,$C$32,0))</f>
        <v>0</v>
      </c>
      <c r="F7" s="63"/>
      <c r="G7" s="54"/>
      <c r="H7" s="158"/>
      <c r="I7" s="186">
        <f t="shared" si="1"/>
        <v>0</v>
      </c>
      <c r="J7" s="36"/>
      <c r="K7" s="47"/>
      <c r="L7" s="47"/>
      <c r="M7" s="17"/>
      <c r="N7" s="20"/>
      <c r="O7" s="26"/>
      <c r="P7" s="188">
        <f t="shared" si="2"/>
        <v>-145</v>
      </c>
      <c r="Q7" s="17"/>
      <c r="R7" s="134">
        <f t="shared" si="3"/>
        <v>0</v>
      </c>
      <c r="S7" s="31"/>
      <c r="T7" s="109"/>
      <c r="U7" s="104">
        <f>IF(AND(C7=1,A7="C4picasso",T7&gt;=5000),$J$31,IF(T7&gt;=5000,$H$31,0))</f>
        <v>0</v>
      </c>
      <c r="V7" s="6"/>
      <c r="W7" s="2"/>
      <c r="X7" s="2"/>
      <c r="Y7" s="7"/>
      <c r="Z7" s="190">
        <f t="shared" si="5"/>
        <v>0</v>
      </c>
      <c r="AA7" s="191">
        <f t="shared" si="6"/>
        <v>0</v>
      </c>
      <c r="AB7" s="24"/>
      <c r="AC7" s="103">
        <f t="shared" si="7"/>
        <v>0</v>
      </c>
      <c r="AD7" s="114">
        <f t="shared" si="0"/>
        <v>0</v>
      </c>
      <c r="AE7" s="112">
        <f t="shared" si="8"/>
        <v>0</v>
      </c>
      <c r="AG7" t="s">
        <v>84</v>
      </c>
      <c r="AH7">
        <v>0</v>
      </c>
      <c r="AI7">
        <v>600</v>
      </c>
    </row>
    <row r="8" spans="1:35" ht="13.5" thickBot="1">
      <c r="A8" s="31"/>
      <c r="B8" s="31"/>
      <c r="C8" s="31"/>
      <c r="D8" s="33"/>
      <c r="E8" s="100">
        <f t="shared" ref="E8:E24" si="9">IF(C8=1,$D$31,IF(D8=1,$C$32,0))</f>
        <v>0</v>
      </c>
      <c r="F8" s="63"/>
      <c r="G8" s="54"/>
      <c r="H8" s="158"/>
      <c r="I8" s="186">
        <f t="shared" si="1"/>
        <v>0</v>
      </c>
      <c r="J8" s="36"/>
      <c r="K8" s="47"/>
      <c r="L8" s="47"/>
      <c r="M8" s="17"/>
      <c r="N8" s="20"/>
      <c r="O8" s="26"/>
      <c r="P8" s="188">
        <f t="shared" si="2"/>
        <v>-145</v>
      </c>
      <c r="Q8" s="17"/>
      <c r="R8" s="134">
        <f t="shared" si="3"/>
        <v>0</v>
      </c>
      <c r="S8" s="31"/>
      <c r="T8" s="109"/>
      <c r="U8" s="104">
        <f t="shared" si="4"/>
        <v>0</v>
      </c>
      <c r="V8" s="6"/>
      <c r="W8" s="2"/>
      <c r="X8" s="2"/>
      <c r="Y8" s="7"/>
      <c r="Z8" s="190">
        <f t="shared" si="5"/>
        <v>0</v>
      </c>
      <c r="AA8" s="191">
        <f t="shared" si="6"/>
        <v>0</v>
      </c>
      <c r="AB8" s="24"/>
      <c r="AC8" s="103">
        <f t="shared" si="7"/>
        <v>0</v>
      </c>
      <c r="AD8" s="114">
        <f t="shared" si="0"/>
        <v>0</v>
      </c>
      <c r="AE8" s="112">
        <f t="shared" si="8"/>
        <v>0</v>
      </c>
    </row>
    <row r="9" spans="1:35" ht="13.5" thickBot="1">
      <c r="A9" s="31"/>
      <c r="B9" s="31"/>
      <c r="C9" s="31"/>
      <c r="D9" s="33"/>
      <c r="E9" s="100">
        <f t="shared" si="9"/>
        <v>0</v>
      </c>
      <c r="F9" s="63"/>
      <c r="G9" s="54"/>
      <c r="H9" s="158"/>
      <c r="I9" s="186">
        <f t="shared" si="1"/>
        <v>0</v>
      </c>
      <c r="J9" s="36"/>
      <c r="K9" s="47"/>
      <c r="L9" s="47"/>
      <c r="M9" s="17"/>
      <c r="N9" s="20"/>
      <c r="O9" s="26"/>
      <c r="P9" s="188">
        <f t="shared" si="2"/>
        <v>-145</v>
      </c>
      <c r="Q9" s="17"/>
      <c r="R9" s="134">
        <f t="shared" si="3"/>
        <v>0</v>
      </c>
      <c r="S9" s="31"/>
      <c r="T9" s="109"/>
      <c r="U9" s="104">
        <f t="shared" si="4"/>
        <v>0</v>
      </c>
      <c r="V9" s="6"/>
      <c r="W9" s="2"/>
      <c r="X9" s="2"/>
      <c r="Y9" s="7"/>
      <c r="Z9" s="190">
        <f t="shared" si="5"/>
        <v>0</v>
      </c>
      <c r="AA9" s="191">
        <f t="shared" si="6"/>
        <v>0</v>
      </c>
      <c r="AB9" s="24"/>
      <c r="AC9" s="103">
        <f t="shared" si="7"/>
        <v>0</v>
      </c>
      <c r="AD9" s="114">
        <f t="shared" si="0"/>
        <v>0</v>
      </c>
      <c r="AE9" s="112">
        <f t="shared" si="8"/>
        <v>0</v>
      </c>
    </row>
    <row r="10" spans="1:35" ht="13.5" thickBot="1">
      <c r="A10" s="31"/>
      <c r="B10" s="31"/>
      <c r="C10" s="31"/>
      <c r="D10" s="33"/>
      <c r="E10" s="100">
        <f t="shared" si="9"/>
        <v>0</v>
      </c>
      <c r="F10" s="63"/>
      <c r="G10" s="54"/>
      <c r="H10" s="158"/>
      <c r="I10" s="186">
        <f t="shared" si="1"/>
        <v>0</v>
      </c>
      <c r="J10" s="36"/>
      <c r="K10" s="47"/>
      <c r="L10" s="47"/>
      <c r="M10" s="17"/>
      <c r="N10" s="20"/>
      <c r="O10" s="26"/>
      <c r="P10" s="188">
        <f t="shared" si="2"/>
        <v>-145</v>
      </c>
      <c r="Q10" s="17"/>
      <c r="R10" s="134">
        <f t="shared" si="3"/>
        <v>0</v>
      </c>
      <c r="S10" s="31"/>
      <c r="T10" s="109"/>
      <c r="U10" s="104">
        <f t="shared" si="4"/>
        <v>0</v>
      </c>
      <c r="V10" s="6"/>
      <c r="W10" s="2"/>
      <c r="X10" s="2"/>
      <c r="Y10" s="7"/>
      <c r="Z10" s="190">
        <f t="shared" si="5"/>
        <v>0</v>
      </c>
      <c r="AA10" s="191">
        <f t="shared" si="6"/>
        <v>0</v>
      </c>
      <c r="AB10" s="24"/>
      <c r="AC10" s="103">
        <f t="shared" si="7"/>
        <v>0</v>
      </c>
      <c r="AD10" s="114">
        <f t="shared" si="0"/>
        <v>0</v>
      </c>
      <c r="AE10" s="112">
        <f t="shared" si="8"/>
        <v>0</v>
      </c>
    </row>
    <row r="11" spans="1:35" ht="13.5" thickBot="1">
      <c r="A11" s="31"/>
      <c r="B11" s="31"/>
      <c r="C11" s="31"/>
      <c r="D11" s="33"/>
      <c r="E11" s="100">
        <f t="shared" si="9"/>
        <v>0</v>
      </c>
      <c r="F11" s="63"/>
      <c r="G11" s="54"/>
      <c r="H11" s="158"/>
      <c r="I11" s="186">
        <f t="shared" si="1"/>
        <v>0</v>
      </c>
      <c r="J11" s="36"/>
      <c r="K11" s="47"/>
      <c r="L11" s="47"/>
      <c r="M11" s="17"/>
      <c r="N11" s="20"/>
      <c r="O11" s="26"/>
      <c r="P11" s="188">
        <f t="shared" si="2"/>
        <v>-145</v>
      </c>
      <c r="Q11" s="17"/>
      <c r="R11" s="134">
        <f t="shared" si="3"/>
        <v>0</v>
      </c>
      <c r="S11" s="31"/>
      <c r="T11" s="109"/>
      <c r="U11" s="104">
        <f t="shared" si="4"/>
        <v>0</v>
      </c>
      <c r="V11" s="6"/>
      <c r="W11" s="2"/>
      <c r="X11" s="2"/>
      <c r="Y11" s="7"/>
      <c r="Z11" s="190">
        <f t="shared" si="5"/>
        <v>0</v>
      </c>
      <c r="AA11" s="191">
        <f t="shared" si="6"/>
        <v>0</v>
      </c>
      <c r="AB11" s="24"/>
      <c r="AC11" s="103">
        <f t="shared" si="7"/>
        <v>0</v>
      </c>
      <c r="AD11" s="114">
        <f t="shared" si="0"/>
        <v>0</v>
      </c>
      <c r="AE11" s="112">
        <f t="shared" si="8"/>
        <v>0</v>
      </c>
    </row>
    <row r="12" spans="1:35" ht="13.5" thickBot="1">
      <c r="A12" s="31"/>
      <c r="B12" s="31"/>
      <c r="C12" s="31"/>
      <c r="D12" s="33"/>
      <c r="E12" s="100">
        <f t="shared" si="9"/>
        <v>0</v>
      </c>
      <c r="F12" s="63"/>
      <c r="G12" s="54"/>
      <c r="H12" s="158"/>
      <c r="I12" s="186">
        <f t="shared" si="1"/>
        <v>0</v>
      </c>
      <c r="J12" s="36"/>
      <c r="K12" s="47"/>
      <c r="L12" s="47"/>
      <c r="M12" s="17"/>
      <c r="N12" s="20"/>
      <c r="O12" s="26"/>
      <c r="P12" s="188">
        <f t="shared" si="2"/>
        <v>-145</v>
      </c>
      <c r="Q12" s="17"/>
      <c r="R12" s="134">
        <f t="shared" si="3"/>
        <v>0</v>
      </c>
      <c r="S12" s="31"/>
      <c r="T12" s="109"/>
      <c r="U12" s="104">
        <f t="shared" si="4"/>
        <v>0</v>
      </c>
      <c r="V12" s="6"/>
      <c r="W12" s="2"/>
      <c r="X12" s="2"/>
      <c r="Y12" s="7"/>
      <c r="Z12" s="190">
        <f t="shared" si="5"/>
        <v>0</v>
      </c>
      <c r="AA12" s="191">
        <f t="shared" si="6"/>
        <v>0</v>
      </c>
      <c r="AB12" s="24"/>
      <c r="AC12" s="103">
        <f t="shared" si="7"/>
        <v>0</v>
      </c>
      <c r="AD12" s="114">
        <f t="shared" si="0"/>
        <v>0</v>
      </c>
      <c r="AE12" s="112">
        <f t="shared" si="8"/>
        <v>0</v>
      </c>
    </row>
    <row r="13" spans="1:35" ht="13.5" thickBot="1">
      <c r="A13" s="31"/>
      <c r="B13" s="31"/>
      <c r="C13" s="31"/>
      <c r="D13" s="33"/>
      <c r="E13" s="100">
        <f t="shared" si="9"/>
        <v>0</v>
      </c>
      <c r="F13" s="63"/>
      <c r="G13" s="54"/>
      <c r="H13" s="158"/>
      <c r="I13" s="186">
        <f t="shared" si="1"/>
        <v>0</v>
      </c>
      <c r="J13" s="36"/>
      <c r="K13" s="47"/>
      <c r="L13" s="47"/>
      <c r="M13" s="17"/>
      <c r="N13" s="20"/>
      <c r="O13" s="26"/>
      <c r="P13" s="188">
        <f t="shared" si="2"/>
        <v>-145</v>
      </c>
      <c r="Q13" s="17"/>
      <c r="R13" s="134">
        <f t="shared" si="3"/>
        <v>0</v>
      </c>
      <c r="S13" s="31"/>
      <c r="T13" s="109"/>
      <c r="U13" s="104">
        <f t="shared" si="4"/>
        <v>0</v>
      </c>
      <c r="V13" s="6"/>
      <c r="W13" s="2"/>
      <c r="X13" s="2"/>
      <c r="Y13" s="7"/>
      <c r="Z13" s="190">
        <f t="shared" si="5"/>
        <v>0</v>
      </c>
      <c r="AA13" s="191">
        <f t="shared" si="6"/>
        <v>0</v>
      </c>
      <c r="AB13" s="24"/>
      <c r="AC13" s="103">
        <f t="shared" si="7"/>
        <v>0</v>
      </c>
      <c r="AD13" s="114">
        <f t="shared" si="0"/>
        <v>0</v>
      </c>
      <c r="AE13" s="112">
        <f t="shared" si="8"/>
        <v>0</v>
      </c>
    </row>
    <row r="14" spans="1:35" ht="13.5" thickBot="1">
      <c r="A14" s="31"/>
      <c r="B14" s="31"/>
      <c r="C14" s="31"/>
      <c r="D14" s="33"/>
      <c r="E14" s="100">
        <f t="shared" si="9"/>
        <v>0</v>
      </c>
      <c r="F14" s="63"/>
      <c r="G14" s="54"/>
      <c r="H14" s="158"/>
      <c r="I14" s="186">
        <f t="shared" si="1"/>
        <v>0</v>
      </c>
      <c r="J14" s="36"/>
      <c r="K14" s="47"/>
      <c r="L14" s="47"/>
      <c r="M14" s="17"/>
      <c r="N14" s="20"/>
      <c r="O14" s="26"/>
      <c r="P14" s="188">
        <f t="shared" si="2"/>
        <v>-145</v>
      </c>
      <c r="Q14" s="17"/>
      <c r="R14" s="134">
        <f t="shared" si="3"/>
        <v>0</v>
      </c>
      <c r="S14" s="31"/>
      <c r="T14" s="109"/>
      <c r="U14" s="104">
        <f t="shared" si="4"/>
        <v>0</v>
      </c>
      <c r="V14" s="6"/>
      <c r="W14" s="2"/>
      <c r="X14" s="2"/>
      <c r="Y14" s="7"/>
      <c r="Z14" s="190">
        <f t="shared" si="5"/>
        <v>0</v>
      </c>
      <c r="AA14" s="191">
        <f t="shared" si="6"/>
        <v>0</v>
      </c>
      <c r="AB14" s="24"/>
      <c r="AC14" s="103">
        <f t="shared" si="7"/>
        <v>0</v>
      </c>
      <c r="AD14" s="114">
        <f t="shared" si="0"/>
        <v>0</v>
      </c>
      <c r="AE14" s="112">
        <f t="shared" si="8"/>
        <v>0</v>
      </c>
    </row>
    <row r="15" spans="1:35" ht="13.5" thickBot="1">
      <c r="A15" s="31"/>
      <c r="B15" s="31"/>
      <c r="C15" s="31"/>
      <c r="D15" s="33"/>
      <c r="E15" s="100">
        <f t="shared" si="9"/>
        <v>0</v>
      </c>
      <c r="F15" s="63"/>
      <c r="G15" s="54"/>
      <c r="H15" s="158"/>
      <c r="I15" s="186">
        <f t="shared" si="1"/>
        <v>0</v>
      </c>
      <c r="J15" s="36"/>
      <c r="K15" s="47"/>
      <c r="L15" s="47"/>
      <c r="M15" s="17"/>
      <c r="N15" s="20"/>
      <c r="O15" s="26"/>
      <c r="P15" s="188">
        <f t="shared" si="2"/>
        <v>-145</v>
      </c>
      <c r="Q15" s="17"/>
      <c r="R15" s="134">
        <f t="shared" si="3"/>
        <v>0</v>
      </c>
      <c r="S15" s="31"/>
      <c r="T15" s="109"/>
      <c r="U15" s="104">
        <f t="shared" si="4"/>
        <v>0</v>
      </c>
      <c r="V15" s="6"/>
      <c r="W15" s="2"/>
      <c r="X15" s="2"/>
      <c r="Y15" s="7"/>
      <c r="Z15" s="190">
        <f t="shared" si="5"/>
        <v>0</v>
      </c>
      <c r="AA15" s="191">
        <f t="shared" si="6"/>
        <v>0</v>
      </c>
      <c r="AB15" s="24"/>
      <c r="AC15" s="103">
        <f t="shared" si="7"/>
        <v>0</v>
      </c>
      <c r="AD15" s="114">
        <f t="shared" si="0"/>
        <v>0</v>
      </c>
      <c r="AE15" s="112">
        <f t="shared" si="8"/>
        <v>0</v>
      </c>
    </row>
    <row r="16" spans="1:35" ht="13.5" thickBot="1">
      <c r="A16" s="31"/>
      <c r="B16" s="31"/>
      <c r="C16" s="31"/>
      <c r="D16" s="33"/>
      <c r="E16" s="100">
        <f t="shared" si="9"/>
        <v>0</v>
      </c>
      <c r="F16" s="63"/>
      <c r="G16" s="54"/>
      <c r="H16" s="158"/>
      <c r="I16" s="186">
        <f t="shared" si="1"/>
        <v>0</v>
      </c>
      <c r="J16" s="36"/>
      <c r="K16" s="47"/>
      <c r="L16" s="47"/>
      <c r="M16" s="17"/>
      <c r="N16" s="20"/>
      <c r="O16" s="26"/>
      <c r="P16" s="188">
        <f t="shared" si="2"/>
        <v>-145</v>
      </c>
      <c r="Q16" s="17"/>
      <c r="R16" s="134">
        <f t="shared" si="3"/>
        <v>0</v>
      </c>
      <c r="S16" s="31"/>
      <c r="T16" s="109"/>
      <c r="U16" s="104">
        <f t="shared" si="4"/>
        <v>0</v>
      </c>
      <c r="V16" s="6"/>
      <c r="W16" s="2"/>
      <c r="X16" s="2"/>
      <c r="Y16" s="7"/>
      <c r="Z16" s="190">
        <f t="shared" si="5"/>
        <v>0</v>
      </c>
      <c r="AA16" s="191">
        <f t="shared" si="6"/>
        <v>0</v>
      </c>
      <c r="AB16" s="24"/>
      <c r="AC16" s="103">
        <f t="shared" si="7"/>
        <v>0</v>
      </c>
      <c r="AD16" s="114">
        <f t="shared" si="0"/>
        <v>0</v>
      </c>
      <c r="AE16" s="112">
        <f t="shared" si="8"/>
        <v>0</v>
      </c>
    </row>
    <row r="17" spans="1:31" ht="13.5" thickBot="1">
      <c r="A17" s="31"/>
      <c r="B17" s="31"/>
      <c r="C17" s="31"/>
      <c r="D17" s="33"/>
      <c r="E17" s="100">
        <f t="shared" si="9"/>
        <v>0</v>
      </c>
      <c r="F17" s="63"/>
      <c r="G17" s="54"/>
      <c r="H17" s="158"/>
      <c r="I17" s="186">
        <f t="shared" si="1"/>
        <v>0</v>
      </c>
      <c r="J17" s="36"/>
      <c r="K17" s="47"/>
      <c r="L17" s="47"/>
      <c r="M17" s="17"/>
      <c r="N17" s="20"/>
      <c r="O17" s="26"/>
      <c r="P17" s="188">
        <f t="shared" si="2"/>
        <v>-145</v>
      </c>
      <c r="Q17" s="17"/>
      <c r="R17" s="134">
        <f t="shared" si="3"/>
        <v>0</v>
      </c>
      <c r="S17" s="31"/>
      <c r="T17" s="109"/>
      <c r="U17" s="104">
        <f t="shared" si="4"/>
        <v>0</v>
      </c>
      <c r="V17" s="6"/>
      <c r="W17" s="2"/>
      <c r="X17" s="2"/>
      <c r="Y17" s="7"/>
      <c r="Z17" s="190">
        <f t="shared" si="5"/>
        <v>0</v>
      </c>
      <c r="AA17" s="191">
        <f t="shared" si="6"/>
        <v>0</v>
      </c>
      <c r="AB17" s="24"/>
      <c r="AC17" s="103">
        <f t="shared" si="7"/>
        <v>0</v>
      </c>
      <c r="AD17" s="114">
        <f t="shared" si="0"/>
        <v>0</v>
      </c>
      <c r="AE17" s="112">
        <f t="shared" si="8"/>
        <v>0</v>
      </c>
    </row>
    <row r="18" spans="1:31" ht="13.5" thickBot="1">
      <c r="A18" s="31"/>
      <c r="B18" s="31"/>
      <c r="C18" s="31"/>
      <c r="D18" s="33"/>
      <c r="E18" s="100">
        <f t="shared" si="9"/>
        <v>0</v>
      </c>
      <c r="F18" s="63"/>
      <c r="G18" s="54"/>
      <c r="H18" s="158"/>
      <c r="I18" s="186">
        <f t="shared" si="1"/>
        <v>0</v>
      </c>
      <c r="J18" s="36"/>
      <c r="K18" s="47"/>
      <c r="L18" s="47"/>
      <c r="M18" s="17"/>
      <c r="N18" s="20"/>
      <c r="O18" s="26"/>
      <c r="P18" s="188">
        <f t="shared" si="2"/>
        <v>-145</v>
      </c>
      <c r="Q18" s="17"/>
      <c r="R18" s="134">
        <f t="shared" si="3"/>
        <v>0</v>
      </c>
      <c r="S18" s="31"/>
      <c r="T18" s="109"/>
      <c r="U18" s="104">
        <f t="shared" si="4"/>
        <v>0</v>
      </c>
      <c r="V18" s="6"/>
      <c r="W18" s="2"/>
      <c r="X18" s="2"/>
      <c r="Y18" s="7"/>
      <c r="Z18" s="190">
        <f t="shared" si="5"/>
        <v>0</v>
      </c>
      <c r="AA18" s="191">
        <f t="shared" si="6"/>
        <v>0</v>
      </c>
      <c r="AB18" s="24"/>
      <c r="AC18" s="103">
        <f t="shared" si="7"/>
        <v>0</v>
      </c>
      <c r="AD18" s="114">
        <f t="shared" si="0"/>
        <v>0</v>
      </c>
      <c r="AE18" s="112">
        <f t="shared" si="8"/>
        <v>0</v>
      </c>
    </row>
    <row r="19" spans="1:31" ht="13.5" thickBot="1">
      <c r="A19" s="31"/>
      <c r="B19" s="31"/>
      <c r="C19" s="31"/>
      <c r="D19" s="33"/>
      <c r="E19" s="100">
        <f t="shared" si="9"/>
        <v>0</v>
      </c>
      <c r="F19" s="63"/>
      <c r="G19" s="54"/>
      <c r="H19" s="158"/>
      <c r="I19" s="186">
        <f t="shared" si="1"/>
        <v>0</v>
      </c>
      <c r="J19" s="36"/>
      <c r="K19" s="47"/>
      <c r="L19" s="47"/>
      <c r="M19" s="17"/>
      <c r="N19" s="20"/>
      <c r="O19" s="26"/>
      <c r="P19" s="188">
        <f t="shared" si="2"/>
        <v>-145</v>
      </c>
      <c r="Q19" s="17"/>
      <c r="R19" s="134">
        <f t="shared" si="3"/>
        <v>0</v>
      </c>
      <c r="S19" s="31"/>
      <c r="T19" s="109"/>
      <c r="U19" s="104">
        <f t="shared" si="4"/>
        <v>0</v>
      </c>
      <c r="V19" s="6"/>
      <c r="W19" s="2"/>
      <c r="X19" s="2"/>
      <c r="Y19" s="7"/>
      <c r="Z19" s="190">
        <f t="shared" si="5"/>
        <v>0</v>
      </c>
      <c r="AA19" s="191">
        <f t="shared" si="6"/>
        <v>0</v>
      </c>
      <c r="AB19" s="24"/>
      <c r="AC19" s="103">
        <f t="shared" si="7"/>
        <v>0</v>
      </c>
      <c r="AD19" s="114">
        <f t="shared" si="0"/>
        <v>0</v>
      </c>
      <c r="AE19" s="112">
        <f t="shared" si="8"/>
        <v>0</v>
      </c>
    </row>
    <row r="20" spans="1:31" ht="13.5" thickBot="1">
      <c r="A20" s="31"/>
      <c r="B20" s="31"/>
      <c r="C20" s="31"/>
      <c r="D20" s="33"/>
      <c r="E20" s="100">
        <f t="shared" si="9"/>
        <v>0</v>
      </c>
      <c r="F20" s="63"/>
      <c r="G20" s="54"/>
      <c r="H20" s="158"/>
      <c r="I20" s="186">
        <f t="shared" si="1"/>
        <v>0</v>
      </c>
      <c r="J20" s="36"/>
      <c r="K20" s="47"/>
      <c r="L20" s="47"/>
      <c r="M20" s="17"/>
      <c r="N20" s="20"/>
      <c r="O20" s="26"/>
      <c r="P20" s="188">
        <f t="shared" si="2"/>
        <v>-145</v>
      </c>
      <c r="Q20" s="17"/>
      <c r="R20" s="134">
        <f t="shared" si="3"/>
        <v>0</v>
      </c>
      <c r="S20" s="31"/>
      <c r="T20" s="109"/>
      <c r="U20" s="104">
        <f t="shared" si="4"/>
        <v>0</v>
      </c>
      <c r="V20" s="6"/>
      <c r="W20" s="2"/>
      <c r="X20" s="2"/>
      <c r="Y20" s="7"/>
      <c r="Z20" s="190">
        <f t="shared" si="5"/>
        <v>0</v>
      </c>
      <c r="AA20" s="191">
        <f t="shared" si="6"/>
        <v>0</v>
      </c>
      <c r="AB20" s="24"/>
      <c r="AC20" s="103">
        <f t="shared" si="7"/>
        <v>0</v>
      </c>
      <c r="AD20" s="114">
        <f t="shared" si="0"/>
        <v>0</v>
      </c>
      <c r="AE20" s="112">
        <f t="shared" si="8"/>
        <v>0</v>
      </c>
    </row>
    <row r="21" spans="1:31" ht="13.5" thickBot="1">
      <c r="A21" s="31"/>
      <c r="B21" s="31"/>
      <c r="C21" s="31"/>
      <c r="D21" s="33"/>
      <c r="E21" s="100">
        <f t="shared" si="9"/>
        <v>0</v>
      </c>
      <c r="F21" s="63"/>
      <c r="G21" s="54"/>
      <c r="H21" s="158"/>
      <c r="I21" s="186">
        <f t="shared" si="1"/>
        <v>0</v>
      </c>
      <c r="J21" s="36"/>
      <c r="K21" s="47"/>
      <c r="L21" s="47"/>
      <c r="M21" s="17"/>
      <c r="N21" s="20"/>
      <c r="O21" s="26"/>
      <c r="P21" s="188">
        <f t="shared" si="2"/>
        <v>-145</v>
      </c>
      <c r="Q21" s="17"/>
      <c r="R21" s="134">
        <f t="shared" si="3"/>
        <v>0</v>
      </c>
      <c r="S21" s="31"/>
      <c r="T21" s="109"/>
      <c r="U21" s="104">
        <f t="shared" si="4"/>
        <v>0</v>
      </c>
      <c r="V21" s="6"/>
      <c r="W21" s="2"/>
      <c r="X21" s="2"/>
      <c r="Y21" s="7"/>
      <c r="Z21" s="190">
        <f t="shared" si="5"/>
        <v>0</v>
      </c>
      <c r="AA21" s="191">
        <f t="shared" si="6"/>
        <v>0</v>
      </c>
      <c r="AB21" s="24"/>
      <c r="AC21" s="103">
        <f t="shared" si="7"/>
        <v>0</v>
      </c>
      <c r="AD21" s="114">
        <f t="shared" si="0"/>
        <v>0</v>
      </c>
      <c r="AE21" s="112">
        <f t="shared" si="8"/>
        <v>0</v>
      </c>
    </row>
    <row r="22" spans="1:31" ht="13.5" thickBot="1">
      <c r="A22" s="31"/>
      <c r="B22" s="31"/>
      <c r="C22" s="31"/>
      <c r="D22" s="33"/>
      <c r="E22" s="100">
        <f t="shared" si="9"/>
        <v>0</v>
      </c>
      <c r="F22" s="63"/>
      <c r="G22" s="54"/>
      <c r="H22" s="158"/>
      <c r="I22" s="186">
        <f t="shared" si="1"/>
        <v>0</v>
      </c>
      <c r="J22" s="36"/>
      <c r="K22" s="47"/>
      <c r="L22" s="47"/>
      <c r="M22" s="17"/>
      <c r="N22" s="20"/>
      <c r="O22" s="26"/>
      <c r="P22" s="188">
        <f t="shared" si="2"/>
        <v>-145</v>
      </c>
      <c r="Q22" s="17"/>
      <c r="R22" s="134">
        <f t="shared" si="3"/>
        <v>0</v>
      </c>
      <c r="S22" s="31"/>
      <c r="T22" s="109"/>
      <c r="U22" s="104">
        <f t="shared" si="4"/>
        <v>0</v>
      </c>
      <c r="V22" s="6"/>
      <c r="W22" s="2"/>
      <c r="X22" s="2"/>
      <c r="Y22" s="7"/>
      <c r="Z22" s="190">
        <f t="shared" si="5"/>
        <v>0</v>
      </c>
      <c r="AA22" s="191">
        <f t="shared" si="6"/>
        <v>0</v>
      </c>
      <c r="AB22" s="24"/>
      <c r="AC22" s="103">
        <f t="shared" si="7"/>
        <v>0</v>
      </c>
      <c r="AD22" s="114">
        <f t="shared" si="0"/>
        <v>0</v>
      </c>
      <c r="AE22" s="112">
        <f t="shared" si="8"/>
        <v>0</v>
      </c>
    </row>
    <row r="23" spans="1:31" ht="13.5" thickBot="1">
      <c r="A23" s="31"/>
      <c r="B23" s="31"/>
      <c r="C23" s="31"/>
      <c r="D23" s="33"/>
      <c r="E23" s="100">
        <f t="shared" si="9"/>
        <v>0</v>
      </c>
      <c r="F23" s="63"/>
      <c r="G23" s="54"/>
      <c r="H23" s="158"/>
      <c r="I23" s="186">
        <f t="shared" si="1"/>
        <v>0</v>
      </c>
      <c r="J23" s="36"/>
      <c r="K23" s="47"/>
      <c r="L23" s="47"/>
      <c r="M23" s="17"/>
      <c r="N23" s="20"/>
      <c r="O23" s="26"/>
      <c r="P23" s="188">
        <f t="shared" si="2"/>
        <v>-145</v>
      </c>
      <c r="Q23" s="17"/>
      <c r="R23" s="134">
        <f t="shared" si="3"/>
        <v>0</v>
      </c>
      <c r="S23" s="31"/>
      <c r="T23" s="109"/>
      <c r="U23" s="104">
        <f t="shared" si="4"/>
        <v>0</v>
      </c>
      <c r="V23" s="6"/>
      <c r="W23" s="2"/>
      <c r="X23" s="2"/>
      <c r="Y23" s="7"/>
      <c r="Z23" s="190">
        <f t="shared" si="5"/>
        <v>0</v>
      </c>
      <c r="AA23" s="191">
        <f t="shared" si="6"/>
        <v>0</v>
      </c>
      <c r="AB23" s="24"/>
      <c r="AC23" s="103">
        <f t="shared" si="7"/>
        <v>0</v>
      </c>
      <c r="AD23" s="114">
        <f t="shared" si="0"/>
        <v>0</v>
      </c>
      <c r="AE23" s="112">
        <f t="shared" si="8"/>
        <v>0</v>
      </c>
    </row>
    <row r="24" spans="1:31" ht="13.5" thickBot="1">
      <c r="A24" s="32"/>
      <c r="B24" s="32"/>
      <c r="C24" s="32"/>
      <c r="D24" s="34"/>
      <c r="E24" s="101">
        <f t="shared" si="9"/>
        <v>0</v>
      </c>
      <c r="F24" s="64"/>
      <c r="G24" s="55"/>
      <c r="H24" s="159"/>
      <c r="I24" s="186">
        <f t="shared" si="1"/>
        <v>0</v>
      </c>
      <c r="J24" s="37"/>
      <c r="K24" s="48"/>
      <c r="L24" s="48"/>
      <c r="M24" s="18"/>
      <c r="N24" s="21"/>
      <c r="O24" s="27"/>
      <c r="P24" s="189">
        <f t="shared" si="2"/>
        <v>-145</v>
      </c>
      <c r="Q24" s="18"/>
      <c r="R24" s="135">
        <f t="shared" si="3"/>
        <v>0</v>
      </c>
      <c r="S24" s="32"/>
      <c r="T24" s="110"/>
      <c r="U24" s="106">
        <f t="shared" si="4"/>
        <v>0</v>
      </c>
      <c r="V24" s="8"/>
      <c r="W24" s="9"/>
      <c r="X24" s="9"/>
      <c r="Y24" s="10"/>
      <c r="Z24" s="190">
        <f t="shared" si="5"/>
        <v>0</v>
      </c>
      <c r="AA24" s="191">
        <f t="shared" si="6"/>
        <v>0</v>
      </c>
      <c r="AB24" s="25"/>
      <c r="AC24" s="115">
        <f t="shared" si="7"/>
        <v>0</v>
      </c>
      <c r="AD24" s="116">
        <f t="shared" si="0"/>
        <v>0</v>
      </c>
      <c r="AE24" s="112">
        <f t="shared" si="8"/>
        <v>0</v>
      </c>
    </row>
    <row r="25" spans="1:31" ht="13.5" thickBot="1">
      <c r="C25" s="179">
        <f>SUM(C4:C24)</f>
        <v>1</v>
      </c>
      <c r="D25" s="180">
        <f>SUM(D4:D24)</f>
        <v>2</v>
      </c>
      <c r="G25" s="75" t="s">
        <v>50</v>
      </c>
      <c r="H25" s="76"/>
      <c r="I25" s="77">
        <f>COUNTIF(I4:I24,"LIVRABLE")</f>
        <v>1</v>
      </c>
    </row>
    <row r="26" spans="1:31" ht="13.5" thickBot="1">
      <c r="C26" s="225" t="s">
        <v>89</v>
      </c>
      <c r="D26" s="226"/>
      <c r="E26" s="181">
        <f>SUM(E4:E24)</f>
        <v>170</v>
      </c>
      <c r="G26" s="176"/>
      <c r="H26" s="176"/>
      <c r="I26" s="178"/>
    </row>
    <row r="27" spans="1:31" ht="13.5" thickBot="1">
      <c r="C27" s="227" t="s">
        <v>90</v>
      </c>
      <c r="D27" s="228"/>
      <c r="E27" s="182">
        <f>IF(D35&lt;2,0,IF(D35=2,(E26*0.4),IF(D35=3,(E26*0.5),IF(D35=4,(E26*0.6),IF(D35=5,(E26*0.7),IF(D35=6,(E26*0.8),IF(D35=7,(E26*0.9))))))))</f>
        <v>68</v>
      </c>
      <c r="G27" s="231" t="s">
        <v>96</v>
      </c>
      <c r="H27" s="232"/>
      <c r="I27" s="192">
        <f>E29+Janvier!E29</f>
        <v>476</v>
      </c>
    </row>
    <row r="28" spans="1:31">
      <c r="C28" s="227" t="s">
        <v>91</v>
      </c>
      <c r="D28" s="228"/>
      <c r="E28" s="182">
        <f>IF(D36&lt;2,0,IF(D36=2,(E26*0.4),IF(D36=3,(E26*0.5),IF(D36=4,(E26*0.6),IF(D36=5,(E26*0.7),IF(D36=6,(E26*0.8),IF(D36=7,(E26*0.9))))))))</f>
        <v>68</v>
      </c>
      <c r="G28" s="176"/>
      <c r="H28" s="176"/>
      <c r="I28" s="178"/>
    </row>
    <row r="29" spans="1:31" ht="13.5" thickBot="1">
      <c r="B29" s="72"/>
      <c r="C29" s="229" t="s">
        <v>92</v>
      </c>
      <c r="D29" s="230"/>
      <c r="E29" s="185">
        <f>E26+E27+E28</f>
        <v>306</v>
      </c>
      <c r="F29" s="73"/>
      <c r="G29" s="74"/>
      <c r="H29" s="74"/>
      <c r="I29" s="177"/>
    </row>
    <row r="30" spans="1:31" ht="13.5" thickBot="1">
      <c r="D30" s="183" t="s">
        <v>65</v>
      </c>
      <c r="E30" s="184" t="s">
        <v>66</v>
      </c>
      <c r="F30" s="155" t="s">
        <v>67</v>
      </c>
      <c r="G30" s="58" t="s">
        <v>15</v>
      </c>
      <c r="H30" s="59" t="s">
        <v>16</v>
      </c>
      <c r="I30" s="60"/>
      <c r="J30" s="61" t="s">
        <v>30</v>
      </c>
    </row>
    <row r="31" spans="1:31" ht="13.5" thickBot="1">
      <c r="A31" s="3" t="s">
        <v>13</v>
      </c>
      <c r="B31" s="12"/>
      <c r="C31" s="23"/>
      <c r="D31" s="152">
        <v>30</v>
      </c>
      <c r="E31" s="152">
        <v>40</v>
      </c>
      <c r="F31" s="152">
        <v>60</v>
      </c>
      <c r="G31" s="38">
        <v>20</v>
      </c>
      <c r="H31" s="15">
        <v>30</v>
      </c>
      <c r="I31" s="44"/>
      <c r="J31" s="35">
        <v>60</v>
      </c>
    </row>
    <row r="32" spans="1:31">
      <c r="A32" s="6" t="s">
        <v>14</v>
      </c>
      <c r="B32" s="13"/>
      <c r="C32" s="69">
        <f>IF(Janvier!C32&gt;=2,70,50)</f>
        <v>70</v>
      </c>
      <c r="D32" s="151">
        <v>50</v>
      </c>
      <c r="E32" s="153"/>
      <c r="F32" s="154"/>
      <c r="G32" s="26"/>
      <c r="H32" s="51"/>
      <c r="I32" s="56"/>
      <c r="J32" s="36"/>
    </row>
    <row r="33" spans="1:28" ht="13.5" thickBot="1">
      <c r="A33" s="8" t="s">
        <v>28</v>
      </c>
      <c r="B33" s="14"/>
      <c r="C33" s="14"/>
      <c r="D33" s="18">
        <v>145</v>
      </c>
      <c r="E33" s="21"/>
      <c r="F33" s="66"/>
      <c r="G33" s="42"/>
      <c r="H33" s="41"/>
      <c r="I33" s="45"/>
      <c r="J33" s="37"/>
    </row>
    <row r="34" spans="1:28" ht="13.5" thickBot="1">
      <c r="A34" s="39" t="s">
        <v>29</v>
      </c>
      <c r="B34" s="39"/>
      <c r="C34" s="39"/>
      <c r="E34" s="119" t="s">
        <v>95</v>
      </c>
      <c r="F34" s="67"/>
    </row>
    <row r="35" spans="1:28" ht="14.25" customHeight="1" thickBot="1">
      <c r="A35" s="219" t="s">
        <v>34</v>
      </c>
      <c r="B35" s="220"/>
      <c r="C35" s="220"/>
      <c r="D35" s="70">
        <f>SUM(Z4:Z24)</f>
        <v>2</v>
      </c>
      <c r="G35" s="221" t="s">
        <v>51</v>
      </c>
      <c r="H35" s="218"/>
      <c r="I35" s="218"/>
      <c r="J35" s="222"/>
      <c r="K35" s="223">
        <f>(SUMIF(I4:I24,"LIVRABLE",T4:T24))</f>
        <v>6000</v>
      </c>
      <c r="L35" s="224"/>
      <c r="M35" s="222"/>
    </row>
    <row r="36" spans="1:28" ht="15.75" customHeight="1" thickBot="1">
      <c r="A36" s="244" t="s">
        <v>33</v>
      </c>
      <c r="B36" s="245"/>
      <c r="C36" s="245"/>
      <c r="D36" s="71">
        <f>SUM(AA4:AA24)</f>
        <v>2</v>
      </c>
      <c r="G36" s="236" t="s">
        <v>52</v>
      </c>
      <c r="H36" s="218"/>
      <c r="I36" s="218"/>
      <c r="J36" s="222"/>
      <c r="K36" s="223">
        <f>K35/I25</f>
        <v>6000</v>
      </c>
      <c r="L36" s="224"/>
      <c r="M36" s="222"/>
    </row>
    <row r="37" spans="1:28" ht="15.75" customHeight="1" thickBot="1">
      <c r="A37" s="79"/>
      <c r="B37" s="80"/>
      <c r="C37" s="80"/>
      <c r="D37" s="81"/>
      <c r="G37" s="246" t="s">
        <v>49</v>
      </c>
      <c r="H37" s="243"/>
      <c r="I37" s="243"/>
      <c r="J37" s="247"/>
      <c r="K37" s="223"/>
      <c r="L37" s="224"/>
      <c r="M37" s="222"/>
    </row>
    <row r="38" spans="1:28" ht="13.5" thickBot="1"/>
    <row r="39" spans="1:28" ht="18" customHeight="1" thickBot="1">
      <c r="A39" s="242" t="s">
        <v>48</v>
      </c>
      <c r="B39" s="243"/>
      <c r="C39" s="243"/>
      <c r="D39" s="218"/>
      <c r="E39" s="218"/>
      <c r="F39" s="218"/>
      <c r="G39" s="222"/>
      <c r="H39" s="82"/>
      <c r="J39" s="16" t="s">
        <v>88</v>
      </c>
    </row>
    <row r="40" spans="1:28" ht="13.5" thickBot="1">
      <c r="A40" s="240" t="s">
        <v>37</v>
      </c>
      <c r="B40" s="241"/>
      <c r="C40" s="57">
        <v>20</v>
      </c>
      <c r="D40" t="s">
        <v>39</v>
      </c>
    </row>
    <row r="41" spans="1:28" ht="13.5" thickBot="1">
      <c r="A41" s="240" t="s">
        <v>38</v>
      </c>
      <c r="B41" s="241"/>
      <c r="C41" s="57">
        <v>30</v>
      </c>
      <c r="D41" t="s">
        <v>39</v>
      </c>
    </row>
    <row r="42" spans="1:28" ht="13.5" thickBot="1"/>
    <row r="43" spans="1:28" ht="21" thickBot="1">
      <c r="A43" s="117" t="s">
        <v>54</v>
      </c>
      <c r="B43" s="118"/>
      <c r="C43" s="118"/>
      <c r="D43" s="118"/>
      <c r="E43" s="118"/>
      <c r="F43" s="118"/>
      <c r="G43" s="118"/>
      <c r="H43" s="118"/>
      <c r="I43" s="118"/>
      <c r="J43" s="118"/>
      <c r="K43" s="118"/>
      <c r="L43" s="118"/>
      <c r="M43" s="118"/>
      <c r="N43" s="118"/>
      <c r="O43" s="118"/>
      <c r="P43" s="118"/>
      <c r="Q43" s="118"/>
      <c r="R43" s="118"/>
      <c r="S43" s="118"/>
      <c r="T43" s="118"/>
      <c r="U43" s="118"/>
      <c r="V43" s="118"/>
      <c r="W43" s="118"/>
      <c r="X43" s="118"/>
      <c r="Y43" s="118"/>
      <c r="Z43" s="118"/>
      <c r="AA43" s="149"/>
      <c r="AB43" s="150"/>
    </row>
    <row r="44" spans="1:28" ht="15.75" thickBot="1">
      <c r="A44" s="68"/>
      <c r="B44" s="11"/>
      <c r="C44" s="11"/>
      <c r="D44" s="11"/>
      <c r="E44" s="11"/>
      <c r="F44" s="11"/>
      <c r="G44" s="11"/>
      <c r="H44" s="11"/>
      <c r="I44" s="11"/>
      <c r="J44" s="11"/>
      <c r="K44" s="11"/>
      <c r="L44" s="11"/>
      <c r="M44" s="11"/>
      <c r="N44" s="11"/>
      <c r="O44" s="214" t="s">
        <v>1</v>
      </c>
      <c r="P44" s="215"/>
      <c r="Q44" s="215"/>
      <c r="R44" s="216"/>
      <c r="S44" s="138"/>
      <c r="T44" s="138"/>
      <c r="U44" s="138"/>
      <c r="Z44" s="148"/>
      <c r="AA44" s="148"/>
      <c r="AB44" s="145"/>
    </row>
    <row r="45" spans="1:28" ht="26.25" thickBot="1">
      <c r="A45" s="83" t="s">
        <v>0</v>
      </c>
      <c r="B45" s="84" t="s">
        <v>31</v>
      </c>
      <c r="C45" s="84" t="s">
        <v>54</v>
      </c>
      <c r="D45" s="120" t="s">
        <v>57</v>
      </c>
      <c r="E45" s="87" t="s">
        <v>44</v>
      </c>
      <c r="F45" s="88" t="s">
        <v>8</v>
      </c>
      <c r="G45" s="88" t="s">
        <v>7</v>
      </c>
      <c r="H45" s="89" t="s">
        <v>68</v>
      </c>
      <c r="I45" s="86" t="s">
        <v>27</v>
      </c>
      <c r="J45" s="86" t="s">
        <v>11</v>
      </c>
      <c r="K45" s="86" t="s">
        <v>10</v>
      </c>
      <c r="L45" s="93" t="s">
        <v>9</v>
      </c>
      <c r="M45" s="139" t="s">
        <v>12</v>
      </c>
      <c r="N45" s="162" t="s">
        <v>2</v>
      </c>
      <c r="O45" s="95" t="s">
        <v>3</v>
      </c>
      <c r="P45" s="95" t="s">
        <v>4</v>
      </c>
      <c r="Q45" s="163" t="s">
        <v>5</v>
      </c>
      <c r="R45" s="167" t="s">
        <v>47</v>
      </c>
      <c r="S45" s="160" t="s">
        <v>21</v>
      </c>
      <c r="T45" s="146" t="s">
        <v>80</v>
      </c>
      <c r="U45" s="146"/>
      <c r="V45" s="39"/>
      <c r="W45" s="39"/>
      <c r="X45" s="39"/>
      <c r="Y45" s="39"/>
      <c r="Z45" s="147"/>
      <c r="AA45" s="147"/>
      <c r="AB45" s="39"/>
    </row>
    <row r="46" spans="1:28" ht="13.5" thickBot="1">
      <c r="A46" t="s">
        <v>76</v>
      </c>
      <c r="B46" s="30" t="s">
        <v>101</v>
      </c>
      <c r="C46" s="121">
        <v>1</v>
      </c>
      <c r="D46" s="123">
        <f>IF(C46=1,$B$69,0)</f>
        <v>50</v>
      </c>
      <c r="E46" s="173"/>
      <c r="F46" s="124"/>
      <c r="G46" s="53"/>
      <c r="H46" s="127"/>
      <c r="I46" s="186">
        <f>IF(F46=0,0,IF(F46&lt;$E$34,"LIVRABLE","PAS LIVRABLE"))</f>
        <v>0</v>
      </c>
      <c r="J46" s="35"/>
      <c r="K46" s="46"/>
      <c r="L46" s="46"/>
      <c r="M46" s="19"/>
      <c r="N46" s="170"/>
      <c r="O46" s="171"/>
      <c r="P46" s="172"/>
      <c r="Q46" s="164"/>
      <c r="R46" s="168"/>
      <c r="S46" s="161">
        <f>IF(AND(C46=1,H46=1,3000&lt;=M46&lt;=4999),$B$70+$B$71,IF(AND(C46=1,H46=1,M46&gt;=5000),$B$70+$B$72,IF(AND(C46=1,H46=1,M46=0),$B$70,0)))</f>
        <v>0</v>
      </c>
      <c r="T46" s="146">
        <f>S46+D46</f>
        <v>50</v>
      </c>
      <c r="U46" s="146"/>
      <c r="V46" s="39"/>
      <c r="W46" s="39" t="s">
        <v>86</v>
      </c>
      <c r="X46" s="39">
        <v>8800</v>
      </c>
      <c r="Y46" s="39">
        <v>11700</v>
      </c>
      <c r="Z46" s="39"/>
      <c r="AA46" s="39"/>
      <c r="AB46" s="39"/>
    </row>
    <row r="47" spans="1:28" ht="13.5" thickBot="1">
      <c r="A47" s="31" t="s">
        <v>102</v>
      </c>
      <c r="B47" s="31" t="s">
        <v>103</v>
      </c>
      <c r="C47" s="122">
        <v>1</v>
      </c>
      <c r="D47" s="123">
        <f t="shared" ref="D47:D66" si="10">IF(C47=1,$B$69,0)</f>
        <v>50</v>
      </c>
      <c r="E47" s="174"/>
      <c r="F47" s="125"/>
      <c r="G47" s="54"/>
      <c r="H47" s="128"/>
      <c r="I47" s="186">
        <f t="shared" ref="I47:I66" si="11">IF(F47=0,0,IF(F47&lt;$E$34,"LIVRABLE","PAS LIVRABLE"))</f>
        <v>0</v>
      </c>
      <c r="J47" s="49"/>
      <c r="K47" s="47"/>
      <c r="L47" s="47"/>
      <c r="M47" s="20"/>
      <c r="N47" s="140"/>
      <c r="O47" s="136"/>
      <c r="P47" s="136"/>
      <c r="Q47" s="165"/>
      <c r="R47" s="168"/>
      <c r="S47" s="161">
        <f t="shared" ref="S47:S66" si="12">IF(AND(C47=1,H47=1,3000&lt;=M47&lt;=4999),$B$70+$B$71,IF(AND(C47=1,H47=1,M47&gt;=5000),$B$70+$B$72,IF(AND(C47=1,H47=1,M47=0),$B$70,0)))</f>
        <v>0</v>
      </c>
      <c r="T47" s="146">
        <f t="shared" ref="T47:T66" si="13">S47+D47</f>
        <v>50</v>
      </c>
      <c r="U47" s="146"/>
      <c r="V47" s="39"/>
      <c r="W47" s="39" t="s">
        <v>85</v>
      </c>
      <c r="X47" s="39">
        <v>1250</v>
      </c>
      <c r="Y47" s="39">
        <v>1700</v>
      </c>
      <c r="Z47" s="39"/>
      <c r="AA47" s="39"/>
      <c r="AB47" s="39"/>
    </row>
    <row r="48" spans="1:28" ht="13.5" thickBot="1">
      <c r="A48" s="31" t="s">
        <v>104</v>
      </c>
      <c r="B48" s="31" t="s">
        <v>105</v>
      </c>
      <c r="C48" s="122">
        <v>1</v>
      </c>
      <c r="D48" s="123">
        <f t="shared" si="10"/>
        <v>50</v>
      </c>
      <c r="E48" s="174"/>
      <c r="F48" s="125"/>
      <c r="G48" s="54"/>
      <c r="H48" s="129"/>
      <c r="I48" s="186">
        <f t="shared" si="11"/>
        <v>0</v>
      </c>
      <c r="J48" s="36"/>
      <c r="K48" s="47"/>
      <c r="L48" s="47"/>
      <c r="M48" s="20"/>
      <c r="N48" s="140"/>
      <c r="O48" s="136"/>
      <c r="P48" s="136"/>
      <c r="Q48" s="165"/>
      <c r="R48" s="168"/>
      <c r="S48" s="161">
        <f t="shared" si="12"/>
        <v>0</v>
      </c>
      <c r="T48" s="146">
        <f t="shared" si="13"/>
        <v>50</v>
      </c>
      <c r="U48" s="146"/>
      <c r="V48" s="39"/>
      <c r="W48" s="39"/>
      <c r="X48" s="39"/>
      <c r="Y48" s="39"/>
      <c r="Z48" s="39"/>
      <c r="AA48" s="39"/>
      <c r="AB48" s="39"/>
    </row>
    <row r="49" spans="1:28" ht="13.5" thickBot="1">
      <c r="A49" s="31" t="s">
        <v>55</v>
      </c>
      <c r="B49" s="31" t="s">
        <v>106</v>
      </c>
      <c r="C49" s="122">
        <v>1</v>
      </c>
      <c r="D49" s="123">
        <f t="shared" si="10"/>
        <v>50</v>
      </c>
      <c r="E49" s="174"/>
      <c r="F49" s="125"/>
      <c r="G49" s="54"/>
      <c r="H49" s="129"/>
      <c r="I49" s="186">
        <f t="shared" si="11"/>
        <v>0</v>
      </c>
      <c r="J49" s="36"/>
      <c r="K49" s="47"/>
      <c r="L49" s="47"/>
      <c r="M49" s="20"/>
      <c r="N49" s="140"/>
      <c r="O49" s="136"/>
      <c r="P49" s="136"/>
      <c r="Q49" s="165"/>
      <c r="R49" s="168"/>
      <c r="S49" s="161">
        <f t="shared" si="12"/>
        <v>0</v>
      </c>
      <c r="T49" s="146">
        <f t="shared" si="13"/>
        <v>50</v>
      </c>
      <c r="U49" s="146"/>
      <c r="V49" s="39"/>
      <c r="W49" s="39"/>
      <c r="X49" s="39"/>
      <c r="Y49" s="39"/>
      <c r="Z49" s="39"/>
      <c r="AA49" s="39"/>
      <c r="AB49" s="39"/>
    </row>
    <row r="50" spans="1:28" ht="13.5" thickBot="1">
      <c r="A50" s="31" t="s">
        <v>107</v>
      </c>
      <c r="B50" s="31" t="s">
        <v>108</v>
      </c>
      <c r="C50" s="122">
        <v>1</v>
      </c>
      <c r="D50" s="123">
        <f t="shared" si="10"/>
        <v>50</v>
      </c>
      <c r="E50" s="174"/>
      <c r="F50" s="125"/>
      <c r="G50" s="54"/>
      <c r="H50" s="129"/>
      <c r="I50" s="186">
        <f t="shared" si="11"/>
        <v>0</v>
      </c>
      <c r="J50" s="36"/>
      <c r="K50" s="47"/>
      <c r="L50" s="47"/>
      <c r="M50" s="20"/>
      <c r="N50" s="140"/>
      <c r="O50" s="136"/>
      <c r="P50" s="136"/>
      <c r="Q50" s="165"/>
      <c r="R50" s="168"/>
      <c r="S50" s="161">
        <f t="shared" si="12"/>
        <v>0</v>
      </c>
      <c r="T50" s="146">
        <f t="shared" si="13"/>
        <v>50</v>
      </c>
      <c r="U50" s="146"/>
      <c r="V50" s="39"/>
      <c r="W50" s="39" t="s">
        <v>87</v>
      </c>
      <c r="X50" s="39">
        <v>8000</v>
      </c>
      <c r="Y50" s="39"/>
      <c r="Z50" s="39"/>
      <c r="AA50" s="39"/>
      <c r="AB50" s="39"/>
    </row>
    <row r="51" spans="1:28" ht="13.5" thickBot="1">
      <c r="A51" s="31" t="s">
        <v>110</v>
      </c>
      <c r="B51" s="31" t="s">
        <v>109</v>
      </c>
      <c r="C51" s="122">
        <v>1</v>
      </c>
      <c r="D51" s="123">
        <f t="shared" si="10"/>
        <v>50</v>
      </c>
      <c r="E51" s="174"/>
      <c r="F51" s="125"/>
      <c r="G51" s="54"/>
      <c r="H51" s="129"/>
      <c r="I51" s="186">
        <f t="shared" si="11"/>
        <v>0</v>
      </c>
      <c r="J51" s="36"/>
      <c r="K51" s="47"/>
      <c r="L51" s="47"/>
      <c r="M51" s="20">
        <v>5000</v>
      </c>
      <c r="N51" s="140"/>
      <c r="O51" s="136"/>
      <c r="P51" s="136"/>
      <c r="Q51" s="165"/>
      <c r="R51" s="168"/>
      <c r="S51" s="161">
        <f t="shared" si="12"/>
        <v>0</v>
      </c>
      <c r="T51" s="146">
        <f t="shared" si="13"/>
        <v>50</v>
      </c>
      <c r="U51" s="146"/>
      <c r="V51" s="39"/>
      <c r="W51" s="39"/>
      <c r="X51" s="39"/>
      <c r="Y51" s="39"/>
      <c r="Z51" s="39"/>
      <c r="AA51" s="39"/>
      <c r="AB51" s="39"/>
    </row>
    <row r="52" spans="1:28" ht="13.5" thickBot="1">
      <c r="A52" s="31"/>
      <c r="B52" s="31"/>
      <c r="C52" s="122"/>
      <c r="D52" s="123">
        <f t="shared" si="10"/>
        <v>0</v>
      </c>
      <c r="E52" s="174"/>
      <c r="F52" s="125"/>
      <c r="G52" s="54"/>
      <c r="H52" s="129"/>
      <c r="I52" s="186">
        <f t="shared" si="11"/>
        <v>0</v>
      </c>
      <c r="J52" s="36"/>
      <c r="K52" s="47"/>
      <c r="L52" s="47"/>
      <c r="M52" s="20"/>
      <c r="N52" s="140"/>
      <c r="O52" s="136"/>
      <c r="P52" s="136"/>
      <c r="Q52" s="165"/>
      <c r="R52" s="168"/>
      <c r="S52" s="161">
        <f t="shared" si="12"/>
        <v>0</v>
      </c>
      <c r="T52" s="146">
        <f t="shared" si="13"/>
        <v>0</v>
      </c>
      <c r="U52" s="146"/>
      <c r="V52" s="39"/>
      <c r="W52" s="39"/>
      <c r="X52" s="39"/>
      <c r="Y52" s="39"/>
      <c r="Z52" s="39"/>
      <c r="AA52" s="39"/>
      <c r="AB52" s="39"/>
    </row>
    <row r="53" spans="1:28" ht="13.5" thickBot="1">
      <c r="A53" s="31"/>
      <c r="B53" s="31"/>
      <c r="C53" s="122"/>
      <c r="D53" s="123">
        <f t="shared" si="10"/>
        <v>0</v>
      </c>
      <c r="E53" s="174"/>
      <c r="F53" s="125"/>
      <c r="G53" s="54"/>
      <c r="H53" s="129"/>
      <c r="I53" s="186">
        <f t="shared" si="11"/>
        <v>0</v>
      </c>
      <c r="J53" s="36"/>
      <c r="K53" s="47"/>
      <c r="L53" s="47"/>
      <c r="M53" s="20"/>
      <c r="N53" s="140"/>
      <c r="O53" s="136"/>
      <c r="P53" s="136"/>
      <c r="Q53" s="165"/>
      <c r="R53" s="168"/>
      <c r="S53" s="161">
        <f t="shared" si="12"/>
        <v>0</v>
      </c>
      <c r="T53" s="146">
        <f t="shared" si="13"/>
        <v>0</v>
      </c>
      <c r="U53" s="146"/>
      <c r="V53" s="39"/>
      <c r="W53" s="39"/>
      <c r="X53" s="39"/>
      <c r="Y53" s="39"/>
      <c r="Z53" s="39"/>
      <c r="AA53" s="39"/>
      <c r="AB53" s="39"/>
    </row>
    <row r="54" spans="1:28" ht="13.5" thickBot="1">
      <c r="A54" s="31"/>
      <c r="B54" s="31"/>
      <c r="C54" s="122"/>
      <c r="D54" s="123">
        <f t="shared" si="10"/>
        <v>0</v>
      </c>
      <c r="E54" s="174"/>
      <c r="F54" s="125"/>
      <c r="G54" s="54"/>
      <c r="H54" s="129"/>
      <c r="I54" s="186">
        <f t="shared" si="11"/>
        <v>0</v>
      </c>
      <c r="J54" s="36"/>
      <c r="K54" s="47"/>
      <c r="L54" s="47"/>
      <c r="M54" s="20"/>
      <c r="N54" s="140"/>
      <c r="O54" s="136"/>
      <c r="P54" s="136"/>
      <c r="Q54" s="165"/>
      <c r="R54" s="168"/>
      <c r="S54" s="161">
        <f t="shared" si="12"/>
        <v>0</v>
      </c>
      <c r="T54" s="146">
        <f t="shared" si="13"/>
        <v>0</v>
      </c>
      <c r="U54" s="146"/>
      <c r="V54" s="39"/>
      <c r="W54" s="39"/>
      <c r="X54" s="39"/>
      <c r="Y54" s="39"/>
      <c r="Z54" s="39"/>
      <c r="AA54" s="39"/>
      <c r="AB54" s="39"/>
    </row>
    <row r="55" spans="1:28" ht="13.5" thickBot="1">
      <c r="A55" s="31"/>
      <c r="B55" s="31"/>
      <c r="C55" s="122"/>
      <c r="D55" s="123">
        <f t="shared" si="10"/>
        <v>0</v>
      </c>
      <c r="E55" s="174"/>
      <c r="F55" s="125"/>
      <c r="G55" s="54"/>
      <c r="H55" s="129"/>
      <c r="I55" s="186">
        <f t="shared" si="11"/>
        <v>0</v>
      </c>
      <c r="J55" s="36"/>
      <c r="K55" s="47"/>
      <c r="L55" s="47"/>
      <c r="M55" s="20"/>
      <c r="N55" s="140"/>
      <c r="O55" s="136"/>
      <c r="P55" s="136"/>
      <c r="Q55" s="165"/>
      <c r="R55" s="168"/>
      <c r="S55" s="161">
        <f t="shared" si="12"/>
        <v>0</v>
      </c>
      <c r="T55" s="146">
        <f t="shared" si="13"/>
        <v>0</v>
      </c>
      <c r="U55" s="146"/>
      <c r="V55" s="39"/>
      <c r="W55" s="39"/>
      <c r="X55" s="39"/>
      <c r="Y55" s="39"/>
      <c r="Z55" s="39"/>
      <c r="AA55" s="39"/>
      <c r="AB55" s="39"/>
    </row>
    <row r="56" spans="1:28" ht="13.5" thickBot="1">
      <c r="A56" s="31"/>
      <c r="B56" s="31"/>
      <c r="C56" s="122"/>
      <c r="D56" s="123">
        <f t="shared" si="10"/>
        <v>0</v>
      </c>
      <c r="E56" s="174"/>
      <c r="F56" s="125"/>
      <c r="G56" s="54"/>
      <c r="H56" s="129"/>
      <c r="I56" s="186">
        <f t="shared" si="11"/>
        <v>0</v>
      </c>
      <c r="J56" s="36"/>
      <c r="K56" s="47"/>
      <c r="L56" s="47"/>
      <c r="M56" s="20"/>
      <c r="N56" s="140"/>
      <c r="O56" s="136"/>
      <c r="P56" s="136"/>
      <c r="Q56" s="165"/>
      <c r="R56" s="168"/>
      <c r="S56" s="161">
        <f t="shared" si="12"/>
        <v>0</v>
      </c>
      <c r="T56" s="146">
        <f t="shared" si="13"/>
        <v>0</v>
      </c>
      <c r="U56" s="146"/>
      <c r="V56" s="39"/>
      <c r="W56" s="39"/>
      <c r="X56" s="39"/>
      <c r="Y56" s="39"/>
      <c r="Z56" s="39"/>
      <c r="AA56" s="39"/>
      <c r="AB56" s="39"/>
    </row>
    <row r="57" spans="1:28" ht="13.5" thickBot="1">
      <c r="A57" s="31"/>
      <c r="B57" s="31"/>
      <c r="C57" s="122"/>
      <c r="D57" s="123">
        <f t="shared" si="10"/>
        <v>0</v>
      </c>
      <c r="E57" s="174"/>
      <c r="F57" s="125"/>
      <c r="G57" s="54"/>
      <c r="H57" s="129"/>
      <c r="I57" s="186">
        <f t="shared" si="11"/>
        <v>0</v>
      </c>
      <c r="J57" s="36"/>
      <c r="K57" s="47"/>
      <c r="L57" s="47"/>
      <c r="M57" s="20"/>
      <c r="N57" s="140"/>
      <c r="O57" s="136"/>
      <c r="P57" s="136"/>
      <c r="Q57" s="165"/>
      <c r="R57" s="168"/>
      <c r="S57" s="161">
        <f t="shared" si="12"/>
        <v>0</v>
      </c>
      <c r="T57" s="146">
        <f t="shared" si="13"/>
        <v>0</v>
      </c>
      <c r="U57" s="146"/>
      <c r="V57" s="39"/>
      <c r="W57" s="39"/>
      <c r="X57" s="39"/>
      <c r="Y57" s="39"/>
      <c r="Z57" s="39"/>
      <c r="AA57" s="39"/>
      <c r="AB57" s="39"/>
    </row>
    <row r="58" spans="1:28" ht="13.5" thickBot="1">
      <c r="A58" s="31"/>
      <c r="B58" s="31"/>
      <c r="C58" s="122"/>
      <c r="D58" s="123">
        <f t="shared" si="10"/>
        <v>0</v>
      </c>
      <c r="E58" s="174"/>
      <c r="F58" s="125"/>
      <c r="G58" s="54"/>
      <c r="H58" s="129"/>
      <c r="I58" s="186">
        <f t="shared" si="11"/>
        <v>0</v>
      </c>
      <c r="J58" s="36"/>
      <c r="K58" s="47"/>
      <c r="L58" s="47"/>
      <c r="M58" s="20"/>
      <c r="N58" s="140"/>
      <c r="O58" s="136"/>
      <c r="P58" s="136"/>
      <c r="Q58" s="165"/>
      <c r="R58" s="168"/>
      <c r="S58" s="161">
        <f t="shared" si="12"/>
        <v>0</v>
      </c>
      <c r="T58" s="146">
        <f t="shared" si="13"/>
        <v>0</v>
      </c>
      <c r="U58" s="146"/>
      <c r="V58" s="39"/>
      <c r="W58" s="39"/>
      <c r="X58" s="39"/>
      <c r="Y58" s="39"/>
      <c r="Z58" s="39"/>
      <c r="AA58" s="39"/>
      <c r="AB58" s="39"/>
    </row>
    <row r="59" spans="1:28" ht="13.5" thickBot="1">
      <c r="A59" s="31"/>
      <c r="B59" s="31"/>
      <c r="C59" s="122"/>
      <c r="D59" s="123">
        <f t="shared" si="10"/>
        <v>0</v>
      </c>
      <c r="E59" s="174"/>
      <c r="F59" s="125"/>
      <c r="G59" s="54"/>
      <c r="H59" s="129"/>
      <c r="I59" s="186">
        <f t="shared" si="11"/>
        <v>0</v>
      </c>
      <c r="J59" s="36"/>
      <c r="K59" s="47"/>
      <c r="L59" s="47"/>
      <c r="M59" s="20"/>
      <c r="N59" s="140"/>
      <c r="O59" s="136"/>
      <c r="P59" s="136"/>
      <c r="Q59" s="165"/>
      <c r="R59" s="168"/>
      <c r="S59" s="161">
        <f t="shared" si="12"/>
        <v>0</v>
      </c>
      <c r="T59" s="146">
        <f t="shared" si="13"/>
        <v>0</v>
      </c>
      <c r="U59" s="146"/>
      <c r="V59" s="39"/>
      <c r="W59" s="39"/>
      <c r="X59" s="39"/>
      <c r="Y59" s="39"/>
      <c r="Z59" s="39"/>
      <c r="AA59" s="39"/>
      <c r="AB59" s="39"/>
    </row>
    <row r="60" spans="1:28" ht="13.5" thickBot="1">
      <c r="A60" s="31"/>
      <c r="B60" s="31"/>
      <c r="C60" s="122"/>
      <c r="D60" s="123">
        <f t="shared" si="10"/>
        <v>0</v>
      </c>
      <c r="E60" s="174"/>
      <c r="F60" s="125"/>
      <c r="G60" s="54"/>
      <c r="H60" s="129"/>
      <c r="I60" s="186">
        <f t="shared" si="11"/>
        <v>0</v>
      </c>
      <c r="J60" s="36"/>
      <c r="K60" s="47"/>
      <c r="L60" s="47"/>
      <c r="M60" s="20"/>
      <c r="N60" s="140"/>
      <c r="O60" s="136"/>
      <c r="P60" s="136"/>
      <c r="Q60" s="165"/>
      <c r="R60" s="168"/>
      <c r="S60" s="161">
        <f t="shared" si="12"/>
        <v>0</v>
      </c>
      <c r="T60" s="146">
        <f t="shared" si="13"/>
        <v>0</v>
      </c>
      <c r="U60" s="146"/>
      <c r="V60" s="39"/>
      <c r="W60" s="39"/>
      <c r="X60" s="39"/>
      <c r="Y60" s="39"/>
      <c r="Z60" s="39"/>
      <c r="AA60" s="39"/>
      <c r="AB60" s="39"/>
    </row>
    <row r="61" spans="1:28" ht="13.5" thickBot="1">
      <c r="A61" s="31"/>
      <c r="B61" s="31"/>
      <c r="C61" s="122"/>
      <c r="D61" s="123">
        <f t="shared" si="10"/>
        <v>0</v>
      </c>
      <c r="E61" s="174"/>
      <c r="F61" s="125"/>
      <c r="G61" s="54"/>
      <c r="H61" s="129"/>
      <c r="I61" s="186">
        <f t="shared" si="11"/>
        <v>0</v>
      </c>
      <c r="J61" s="36"/>
      <c r="K61" s="47"/>
      <c r="L61" s="47"/>
      <c r="M61" s="20"/>
      <c r="N61" s="140"/>
      <c r="O61" s="136"/>
      <c r="P61" s="136"/>
      <c r="Q61" s="165"/>
      <c r="R61" s="168"/>
      <c r="S61" s="161">
        <f t="shared" si="12"/>
        <v>0</v>
      </c>
      <c r="T61" s="146">
        <f t="shared" si="13"/>
        <v>0</v>
      </c>
      <c r="U61" s="146"/>
      <c r="V61" s="39"/>
      <c r="W61" s="39"/>
      <c r="X61" s="39"/>
      <c r="Y61" s="39"/>
      <c r="Z61" s="39"/>
      <c r="AA61" s="39"/>
      <c r="AB61" s="39"/>
    </row>
    <row r="62" spans="1:28" ht="13.5" thickBot="1">
      <c r="A62" s="31"/>
      <c r="B62" s="31"/>
      <c r="C62" s="122"/>
      <c r="D62" s="123">
        <f t="shared" si="10"/>
        <v>0</v>
      </c>
      <c r="E62" s="174"/>
      <c r="F62" s="125"/>
      <c r="G62" s="54"/>
      <c r="H62" s="129"/>
      <c r="I62" s="186">
        <f t="shared" si="11"/>
        <v>0</v>
      </c>
      <c r="J62" s="36"/>
      <c r="K62" s="47"/>
      <c r="L62" s="47"/>
      <c r="M62" s="20"/>
      <c r="N62" s="140"/>
      <c r="O62" s="136"/>
      <c r="P62" s="136"/>
      <c r="Q62" s="165"/>
      <c r="R62" s="168"/>
      <c r="S62" s="161">
        <f t="shared" si="12"/>
        <v>0</v>
      </c>
      <c r="T62" s="146">
        <f t="shared" si="13"/>
        <v>0</v>
      </c>
      <c r="U62" s="146"/>
      <c r="V62" s="39"/>
      <c r="W62" s="39"/>
      <c r="X62" s="39"/>
      <c r="Y62" s="39"/>
      <c r="Z62" s="39"/>
      <c r="AA62" s="39"/>
      <c r="AB62" s="39"/>
    </row>
    <row r="63" spans="1:28" ht="13.5" thickBot="1">
      <c r="A63" s="31"/>
      <c r="B63" s="31"/>
      <c r="C63" s="122"/>
      <c r="D63" s="123">
        <f t="shared" si="10"/>
        <v>0</v>
      </c>
      <c r="E63" s="174"/>
      <c r="F63" s="125"/>
      <c r="G63" s="54"/>
      <c r="H63" s="129"/>
      <c r="I63" s="186">
        <f t="shared" si="11"/>
        <v>0</v>
      </c>
      <c r="J63" s="36"/>
      <c r="K63" s="47"/>
      <c r="L63" s="47"/>
      <c r="M63" s="20"/>
      <c r="N63" s="140"/>
      <c r="O63" s="136"/>
      <c r="P63" s="136"/>
      <c r="Q63" s="165"/>
      <c r="R63" s="168"/>
      <c r="S63" s="161">
        <f t="shared" si="12"/>
        <v>0</v>
      </c>
      <c r="T63" s="146">
        <f t="shared" si="13"/>
        <v>0</v>
      </c>
      <c r="U63" s="146"/>
      <c r="V63" s="39"/>
      <c r="W63" s="39"/>
      <c r="X63" s="39"/>
      <c r="Y63" s="39"/>
      <c r="Z63" s="39"/>
      <c r="AA63" s="39"/>
      <c r="AB63" s="39"/>
    </row>
    <row r="64" spans="1:28" ht="13.5" thickBot="1">
      <c r="A64" s="31"/>
      <c r="B64" s="31"/>
      <c r="C64" s="122"/>
      <c r="D64" s="123">
        <f t="shared" si="10"/>
        <v>0</v>
      </c>
      <c r="E64" s="174"/>
      <c r="F64" s="125"/>
      <c r="G64" s="54"/>
      <c r="H64" s="129"/>
      <c r="I64" s="186">
        <f t="shared" si="11"/>
        <v>0</v>
      </c>
      <c r="J64" s="36"/>
      <c r="K64" s="47"/>
      <c r="L64" s="47"/>
      <c r="M64" s="20"/>
      <c r="N64" s="140"/>
      <c r="O64" s="136"/>
      <c r="P64" s="136"/>
      <c r="Q64" s="165"/>
      <c r="R64" s="168"/>
      <c r="S64" s="161">
        <f t="shared" si="12"/>
        <v>0</v>
      </c>
      <c r="T64" s="146">
        <f t="shared" si="13"/>
        <v>0</v>
      </c>
      <c r="U64" s="146"/>
      <c r="V64" s="39"/>
      <c r="W64" s="39"/>
      <c r="X64" s="39"/>
      <c r="Y64" s="39"/>
      <c r="Z64" s="39"/>
      <c r="AA64" s="39"/>
      <c r="AB64" s="39"/>
    </row>
    <row r="65" spans="1:28" ht="13.5" thickBot="1">
      <c r="A65" s="31"/>
      <c r="B65" s="31"/>
      <c r="C65" s="122"/>
      <c r="D65" s="123">
        <f t="shared" si="10"/>
        <v>0</v>
      </c>
      <c r="E65" s="174"/>
      <c r="F65" s="125"/>
      <c r="G65" s="54"/>
      <c r="H65" s="129"/>
      <c r="I65" s="186">
        <f t="shared" si="11"/>
        <v>0</v>
      </c>
      <c r="J65" s="36"/>
      <c r="K65" s="47"/>
      <c r="L65" s="47"/>
      <c r="M65" s="20"/>
      <c r="N65" s="140"/>
      <c r="O65" s="136"/>
      <c r="P65" s="136"/>
      <c r="Q65" s="165"/>
      <c r="R65" s="168"/>
      <c r="S65" s="161">
        <f t="shared" si="12"/>
        <v>0</v>
      </c>
      <c r="T65" s="146">
        <f t="shared" si="13"/>
        <v>0</v>
      </c>
      <c r="U65" s="146"/>
      <c r="V65" s="39"/>
      <c r="W65" s="39"/>
      <c r="X65" s="39"/>
      <c r="Y65" s="39"/>
      <c r="Z65" s="39"/>
      <c r="AA65" s="39"/>
      <c r="AB65" s="39"/>
    </row>
    <row r="66" spans="1:28" ht="13.5" thickBot="1">
      <c r="A66" s="32"/>
      <c r="B66" s="32"/>
      <c r="C66" s="131"/>
      <c r="D66" s="123">
        <f t="shared" si="10"/>
        <v>0</v>
      </c>
      <c r="E66" s="175"/>
      <c r="F66" s="126"/>
      <c r="G66" s="55"/>
      <c r="H66" s="130"/>
      <c r="I66" s="186">
        <f t="shared" si="11"/>
        <v>0</v>
      </c>
      <c r="J66" s="37"/>
      <c r="K66" s="48"/>
      <c r="L66" s="48"/>
      <c r="M66" s="21"/>
      <c r="N66" s="141"/>
      <c r="O66" s="137"/>
      <c r="P66" s="137"/>
      <c r="Q66" s="166"/>
      <c r="R66" s="169"/>
      <c r="S66" s="161">
        <f t="shared" si="12"/>
        <v>0</v>
      </c>
      <c r="T66" s="146">
        <f t="shared" si="13"/>
        <v>0</v>
      </c>
      <c r="U66" s="146"/>
      <c r="V66" s="39"/>
      <c r="W66" s="39"/>
      <c r="X66" s="39"/>
      <c r="Y66" s="39"/>
      <c r="Z66" s="39"/>
      <c r="AA66" s="39"/>
      <c r="AB66" s="39"/>
    </row>
    <row r="67" spans="1:28" ht="13.5" thickBot="1">
      <c r="C67" s="132">
        <f>SUM(C46:C66)</f>
        <v>6</v>
      </c>
      <c r="D67" s="39"/>
      <c r="G67" s="75" t="s">
        <v>50</v>
      </c>
      <c r="H67" s="76"/>
      <c r="I67" s="77">
        <f>COUNTIF(I46:I66,"LIVRABLE")</f>
        <v>0</v>
      </c>
    </row>
    <row r="68" spans="1:28" ht="13.5" thickBot="1"/>
    <row r="69" spans="1:28">
      <c r="A69" s="3" t="s">
        <v>58</v>
      </c>
      <c r="B69" s="142">
        <v>50</v>
      </c>
    </row>
    <row r="70" spans="1:28">
      <c r="A70" s="6" t="s">
        <v>59</v>
      </c>
      <c r="B70" s="143">
        <v>10</v>
      </c>
    </row>
    <row r="71" spans="1:28">
      <c r="A71" s="6" t="s">
        <v>60</v>
      </c>
      <c r="B71" s="143">
        <v>20</v>
      </c>
      <c r="C71" t="s">
        <v>62</v>
      </c>
    </row>
    <row r="72" spans="1:28" ht="13.5" thickBot="1">
      <c r="A72" s="8" t="s">
        <v>61</v>
      </c>
      <c r="B72" s="144">
        <v>50</v>
      </c>
      <c r="C72" t="s">
        <v>63</v>
      </c>
    </row>
  </sheetData>
  <mergeCells count="20">
    <mergeCell ref="A1:AB1"/>
    <mergeCell ref="A2:T2"/>
    <mergeCell ref="V2:Y2"/>
    <mergeCell ref="C26:D26"/>
    <mergeCell ref="G36:J36"/>
    <mergeCell ref="K36:M36"/>
    <mergeCell ref="C27:D27"/>
    <mergeCell ref="C28:D28"/>
    <mergeCell ref="C29:D29"/>
    <mergeCell ref="A35:C35"/>
    <mergeCell ref="A41:B41"/>
    <mergeCell ref="O44:R44"/>
    <mergeCell ref="G27:H27"/>
    <mergeCell ref="G37:J37"/>
    <mergeCell ref="K37:M37"/>
    <mergeCell ref="A39:G39"/>
    <mergeCell ref="A40:B40"/>
    <mergeCell ref="G35:J35"/>
    <mergeCell ref="K35:M35"/>
    <mergeCell ref="A36:C36"/>
  </mergeCells>
  <phoneticPr fontId="2" type="noConversion"/>
  <conditionalFormatting sqref="I46:I66 I4:I24">
    <cfRule type="expression" dxfId="3" priority="1" stopIfTrue="1">
      <formula>"D4&lt;$C$30"</formula>
    </cfRule>
    <cfRule type="expression" dxfId="2" priority="2" stopIfTrue="1">
      <formula>"D4&gt;$C$30"</formula>
    </cfRule>
  </conditionalFormatting>
  <pageMargins left="0.75" right="0.75" top="1" bottom="1" header="0.4921259845" footer="0.4921259845"/>
  <headerFooter alignWithMargins="0"/>
</worksheet>
</file>

<file path=xl/worksheets/sheet3.xml><?xml version="1.0" encoding="utf-8"?>
<worksheet xmlns="http://schemas.openxmlformats.org/spreadsheetml/2006/main" xmlns:r="http://schemas.openxmlformats.org/officeDocument/2006/relationships">
  <dimension ref="A1:AI72"/>
  <sheetViews>
    <sheetView workbookViewId="0">
      <selection activeCell="B27" sqref="B27"/>
    </sheetView>
  </sheetViews>
  <sheetFormatPr defaultColWidth="11.42578125" defaultRowHeight="12.75"/>
  <cols>
    <col min="1" max="1" width="15.140625" customWidth="1"/>
    <col min="2" max="2" width="16.140625" customWidth="1"/>
    <col min="3" max="4" width="9.42578125" customWidth="1"/>
    <col min="5" max="5" width="11.28515625" style="16" customWidth="1"/>
    <col min="6" max="6" width="9.85546875" style="65" customWidth="1"/>
    <col min="7" max="7" width="9.28515625" style="40" customWidth="1"/>
    <col min="8" max="8" width="15.140625" style="40" customWidth="1"/>
    <col min="9" max="9" width="14.140625" style="43" customWidth="1"/>
    <col min="10" max="10" width="12.42578125" style="16" customWidth="1"/>
    <col min="11" max="11" width="9.140625" style="16" customWidth="1"/>
    <col min="12" max="12" width="9.28515625" style="16" customWidth="1"/>
    <col min="13" max="13" width="11.5703125" style="16" customWidth="1"/>
    <col min="14" max="15" width="11.85546875" style="16" customWidth="1"/>
    <col min="16" max="16" width="10.5703125" style="22" customWidth="1"/>
    <col min="17" max="17" width="14.5703125" style="16" customWidth="1"/>
    <col min="18" max="18" width="10.7109375" style="16" customWidth="1"/>
    <col min="19" max="19" width="11.85546875" customWidth="1"/>
    <col min="20" max="20" width="15.28515625" style="16" customWidth="1"/>
    <col min="21" max="21" width="8.28515625" style="16" customWidth="1"/>
    <col min="22" max="22" width="6" customWidth="1"/>
    <col min="23" max="23" width="8.28515625" customWidth="1"/>
    <col min="24" max="24" width="11.5703125" customWidth="1"/>
    <col min="25" max="25" width="9" customWidth="1"/>
    <col min="26" max="26" width="8.140625" customWidth="1"/>
    <col min="27" max="27" width="7.5703125" customWidth="1"/>
    <col min="28" max="28" width="6.28515625" customWidth="1"/>
    <col min="29" max="29" width="9" style="16" customWidth="1"/>
    <col min="30" max="30" width="10.5703125" style="16" customWidth="1"/>
    <col min="31" max="31" width="11.140625" customWidth="1"/>
  </cols>
  <sheetData>
    <row r="1" spans="1:35" ht="21.75" customHeight="1" thickBot="1">
      <c r="A1" s="211" t="s">
        <v>6</v>
      </c>
      <c r="B1" s="212"/>
      <c r="C1" s="212"/>
      <c r="D1" s="212"/>
      <c r="E1" s="212"/>
      <c r="F1" s="212"/>
      <c r="G1" s="212"/>
      <c r="H1" s="212"/>
      <c r="I1" s="212"/>
      <c r="J1" s="212"/>
      <c r="K1" s="212"/>
      <c r="L1" s="212"/>
      <c r="M1" s="212"/>
      <c r="N1" s="212"/>
      <c r="O1" s="212"/>
      <c r="P1" s="212"/>
      <c r="Q1" s="212"/>
      <c r="R1" s="212"/>
      <c r="S1" s="212"/>
      <c r="T1" s="212"/>
      <c r="U1" s="212"/>
      <c r="V1" s="212"/>
      <c r="W1" s="212"/>
      <c r="X1" s="212"/>
      <c r="Y1" s="212"/>
      <c r="Z1" s="212"/>
      <c r="AA1" s="212"/>
      <c r="AB1" s="213"/>
    </row>
    <row r="2" spans="1:35" ht="15.75" thickBot="1">
      <c r="A2" s="217"/>
      <c r="B2" s="218"/>
      <c r="C2" s="218"/>
      <c r="D2" s="218"/>
      <c r="E2" s="218"/>
      <c r="F2" s="218"/>
      <c r="G2" s="218"/>
      <c r="H2" s="218"/>
      <c r="I2" s="218"/>
      <c r="J2" s="218"/>
      <c r="K2" s="218"/>
      <c r="L2" s="218"/>
      <c r="M2" s="218"/>
      <c r="N2" s="218"/>
      <c r="O2" s="218"/>
      <c r="P2" s="218"/>
      <c r="Q2" s="218"/>
      <c r="R2" s="218"/>
      <c r="S2" s="218"/>
      <c r="T2" s="218"/>
      <c r="U2" s="11"/>
      <c r="V2" s="214" t="s">
        <v>1</v>
      </c>
      <c r="W2" s="215"/>
      <c r="X2" s="215"/>
      <c r="Y2" s="216"/>
      <c r="Z2" s="50"/>
      <c r="AA2" s="50"/>
      <c r="AB2" s="1"/>
    </row>
    <row r="3" spans="1:35" s="97" customFormat="1" ht="38.25" customHeight="1" thickBot="1">
      <c r="A3" s="83" t="s">
        <v>0</v>
      </c>
      <c r="B3" s="84" t="s">
        <v>31</v>
      </c>
      <c r="C3" s="84" t="s">
        <v>6</v>
      </c>
      <c r="D3" s="85" t="s">
        <v>32</v>
      </c>
      <c r="E3" s="98" t="s">
        <v>17</v>
      </c>
      <c r="F3" s="87" t="s">
        <v>44</v>
      </c>
      <c r="G3" s="88" t="s">
        <v>8</v>
      </c>
      <c r="H3" s="88" t="s">
        <v>7</v>
      </c>
      <c r="I3" s="89" t="s">
        <v>27</v>
      </c>
      <c r="J3" s="86" t="s">
        <v>18</v>
      </c>
      <c r="K3" s="86" t="s">
        <v>19</v>
      </c>
      <c r="L3" s="86" t="s">
        <v>64</v>
      </c>
      <c r="M3" s="86" t="s">
        <v>11</v>
      </c>
      <c r="N3" s="90" t="s">
        <v>23</v>
      </c>
      <c r="O3" s="91" t="s">
        <v>20</v>
      </c>
      <c r="P3" s="92" t="s">
        <v>22</v>
      </c>
      <c r="Q3" s="86" t="s">
        <v>10</v>
      </c>
      <c r="R3" s="98" t="s">
        <v>21</v>
      </c>
      <c r="S3" s="93" t="s">
        <v>9</v>
      </c>
      <c r="T3" s="94" t="s">
        <v>12</v>
      </c>
      <c r="U3" s="98" t="s">
        <v>25</v>
      </c>
      <c r="V3" s="95" t="s">
        <v>2</v>
      </c>
      <c r="W3" s="95" t="s">
        <v>3</v>
      </c>
      <c r="X3" s="95" t="s">
        <v>4</v>
      </c>
      <c r="Y3" s="95" t="s">
        <v>5</v>
      </c>
      <c r="Z3" s="96" t="s">
        <v>36</v>
      </c>
      <c r="AA3" s="96" t="s">
        <v>35</v>
      </c>
      <c r="AB3" s="96" t="s">
        <v>47</v>
      </c>
      <c r="AC3" s="102" t="s">
        <v>25</v>
      </c>
      <c r="AD3" s="113" t="s">
        <v>53</v>
      </c>
      <c r="AE3" s="111" t="s">
        <v>26</v>
      </c>
    </row>
    <row r="4" spans="1:35" ht="13.5" thickBot="1">
      <c r="A4" s="30" t="s">
        <v>40</v>
      </c>
      <c r="B4" s="30" t="s">
        <v>41</v>
      </c>
      <c r="C4" s="30"/>
      <c r="D4" s="52">
        <v>1</v>
      </c>
      <c r="E4" s="99">
        <f>IF(AND(C4=1,COUNTIF(A4:A24,"DS")),$E$31,IF(AND(C4=1,COUNTIF(A4:A24,"VU")),$F$31,IF(C4=1,$D$31,IF(D4=1,$C$32,0))))</f>
        <v>70</v>
      </c>
      <c r="F4" s="62" t="s">
        <v>45</v>
      </c>
      <c r="G4" s="53">
        <v>41723</v>
      </c>
      <c r="H4" s="156">
        <v>41653</v>
      </c>
      <c r="I4" s="186" t="str">
        <f>IF(G4=0,0,IF(G4&lt;=$E$34,"LIVRABLE","PAS LIVRABLE"))</f>
        <v>PAS LIVRABLE</v>
      </c>
      <c r="J4" s="35">
        <v>15195.6</v>
      </c>
      <c r="K4" s="46">
        <v>355</v>
      </c>
      <c r="L4" s="46">
        <v>185</v>
      </c>
      <c r="M4" s="15">
        <v>16650</v>
      </c>
      <c r="N4" s="19">
        <v>3060</v>
      </c>
      <c r="O4" s="29">
        <v>0</v>
      </c>
      <c r="P4" s="187">
        <f>(((M4+K4)-(J4+$D$33))+((N4*1.2)+(O4*1.2)))-Q4</f>
        <v>176.39999999999964</v>
      </c>
      <c r="Q4" s="28">
        <v>5160</v>
      </c>
      <c r="R4" s="133">
        <f>IF(P4&gt;0,P4*0.1,0)</f>
        <v>17.639999999999965</v>
      </c>
      <c r="S4" s="107" t="s">
        <v>24</v>
      </c>
      <c r="T4" s="108">
        <v>5000</v>
      </c>
      <c r="U4" s="105">
        <f>IF(AND(A4="C4picasso",T4&gt;=5000),$J$31,IF(T4&gt;=5000,$H$31,0))</f>
        <v>30</v>
      </c>
      <c r="V4" s="3">
        <v>1</v>
      </c>
      <c r="W4" s="4"/>
      <c r="X4" s="4"/>
      <c r="Y4" s="5"/>
      <c r="Z4" s="190">
        <f>IF(AND(D4=1,(V4+W4+X4+Y4)=1),1,0)</f>
        <v>1</v>
      </c>
      <c r="AA4" s="191">
        <f>IF(AND(T4&gt;=5000,D4=1),1,0)</f>
        <v>1</v>
      </c>
      <c r="AB4" s="23">
        <v>0</v>
      </c>
      <c r="AC4" s="103">
        <f>IF(V4+W4+X4+Y4&gt;0,$G$31,0)</f>
        <v>20</v>
      </c>
      <c r="AD4" s="114">
        <f t="shared" ref="AD4:AD24" si="0">IF($H$39&gt;=39,$C$41,IF($H$39&gt;=35,$C$40,0))</f>
        <v>20</v>
      </c>
      <c r="AE4" s="112">
        <f>IF(L4&lt;185,E4,E4+R4+U4+AC4+AD4)</f>
        <v>157.63999999999996</v>
      </c>
      <c r="AG4" t="s">
        <v>81</v>
      </c>
      <c r="AH4">
        <v>5</v>
      </c>
    </row>
    <row r="5" spans="1:35" ht="13.5" thickBot="1">
      <c r="A5" s="31" t="s">
        <v>43</v>
      </c>
      <c r="B5" s="31" t="s">
        <v>42</v>
      </c>
      <c r="C5" s="31"/>
      <c r="D5" s="33">
        <v>1</v>
      </c>
      <c r="E5" s="100">
        <f>IF(C5=1,$D$31,IF(D5=1,$C$32,0))</f>
        <v>70</v>
      </c>
      <c r="F5" s="63">
        <v>174</v>
      </c>
      <c r="G5" s="54">
        <v>41664</v>
      </c>
      <c r="H5" s="157">
        <v>41669</v>
      </c>
      <c r="I5" s="186" t="str">
        <f t="shared" ref="I5:I24" si="1">IF(G5=0,0,IF(G5&lt;=$E$34,"LIVRABLE","PAS LIVRABLE"))</f>
        <v>LIVRABLE</v>
      </c>
      <c r="J5" s="49"/>
      <c r="K5" s="47"/>
      <c r="L5" s="47">
        <v>185</v>
      </c>
      <c r="M5" s="17"/>
      <c r="N5" s="20"/>
      <c r="O5" s="26"/>
      <c r="P5" s="188">
        <f t="shared" ref="P5:P24" si="2">(((M5+K5)-(J5+$D$33))+((N5*1.2)+(O5*1.2)))-Q5</f>
        <v>-145</v>
      </c>
      <c r="Q5" s="17"/>
      <c r="R5" s="134">
        <f t="shared" ref="R5:R24" si="3">IF(P5&gt;0,P5*0.1,0)</f>
        <v>0</v>
      </c>
      <c r="S5" s="31"/>
      <c r="T5" s="109"/>
      <c r="U5" s="104">
        <f t="shared" ref="U5:U24" si="4">IF(AND(A5="C4picasso",T5&gt;=5000),$J$31,IF(T5&gt;=5000,$H$31,0))</f>
        <v>0</v>
      </c>
      <c r="V5" s="6">
        <v>1</v>
      </c>
      <c r="W5" s="2"/>
      <c r="X5" s="2"/>
      <c r="Y5" s="7"/>
      <c r="Z5" s="190">
        <f t="shared" ref="Z5:Z24" si="5">IF(AND(D5=1,(V5+W5+X5+Y5)=1),1,0)</f>
        <v>1</v>
      </c>
      <c r="AA5" s="191">
        <f t="shared" ref="AA5:AA24" si="6">IF(AND(T5&gt;=5000,D5=1),1,0)</f>
        <v>0</v>
      </c>
      <c r="AB5" s="24"/>
      <c r="AC5" s="103">
        <f t="shared" ref="AC5:AC24" si="7">IF(V5+W5+X5+Y5&gt;0,$G$31,0)</f>
        <v>20</v>
      </c>
      <c r="AD5" s="114">
        <f t="shared" si="0"/>
        <v>20</v>
      </c>
      <c r="AE5" s="112">
        <f t="shared" ref="AE5:AE24" si="8">IF(L5&lt;185,E5,E5+R5+U5+AC5+AD5)</f>
        <v>110</v>
      </c>
      <c r="AG5" t="s">
        <v>82</v>
      </c>
      <c r="AH5">
        <v>300</v>
      </c>
      <c r="AI5">
        <v>120</v>
      </c>
    </row>
    <row r="6" spans="1:35" ht="13.5" thickBot="1">
      <c r="A6" s="31" t="s">
        <v>40</v>
      </c>
      <c r="B6" s="31" t="s">
        <v>46</v>
      </c>
      <c r="C6" s="31"/>
      <c r="D6" s="33">
        <v>1</v>
      </c>
      <c r="E6" s="100">
        <f>IF(C6=1,$D$31,IF(D6=1,$C$32,0))</f>
        <v>70</v>
      </c>
      <c r="F6" s="63" t="s">
        <v>45</v>
      </c>
      <c r="G6" s="54">
        <v>41685</v>
      </c>
      <c r="H6" s="158">
        <v>41657</v>
      </c>
      <c r="I6" s="186" t="str">
        <f t="shared" si="1"/>
        <v>PAS LIVRABLE</v>
      </c>
      <c r="J6" s="36"/>
      <c r="K6" s="47"/>
      <c r="L6" s="47"/>
      <c r="M6" s="17"/>
      <c r="N6" s="20"/>
      <c r="O6" s="26"/>
      <c r="P6" s="188">
        <f t="shared" si="2"/>
        <v>-145</v>
      </c>
      <c r="Q6" s="17"/>
      <c r="R6" s="134">
        <f t="shared" si="3"/>
        <v>0</v>
      </c>
      <c r="S6" s="31"/>
      <c r="T6" s="109">
        <v>11705.5</v>
      </c>
      <c r="U6" s="104">
        <f t="shared" si="4"/>
        <v>30</v>
      </c>
      <c r="V6" s="6"/>
      <c r="W6" s="2">
        <v>1</v>
      </c>
      <c r="X6" s="2"/>
      <c r="Y6" s="7"/>
      <c r="Z6" s="190">
        <f t="shared" si="5"/>
        <v>1</v>
      </c>
      <c r="AA6" s="191">
        <f t="shared" si="6"/>
        <v>1</v>
      </c>
      <c r="AB6" s="24"/>
      <c r="AC6" s="103">
        <f t="shared" si="7"/>
        <v>20</v>
      </c>
      <c r="AD6" s="114">
        <f t="shared" si="0"/>
        <v>20</v>
      </c>
      <c r="AE6" s="112">
        <f t="shared" si="8"/>
        <v>70</v>
      </c>
      <c r="AG6" t="s">
        <v>83</v>
      </c>
    </row>
    <row r="7" spans="1:35" ht="13.5" thickBot="1">
      <c r="A7" s="31" t="s">
        <v>70</v>
      </c>
      <c r="B7" s="31" t="s">
        <v>69</v>
      </c>
      <c r="C7" s="31"/>
      <c r="D7" s="33">
        <v>1</v>
      </c>
      <c r="E7" s="100">
        <f>IF(C7=1,$D$31,IF(D7=1,$C$32,0))</f>
        <v>70</v>
      </c>
      <c r="F7" s="63"/>
      <c r="G7" s="54">
        <v>41670</v>
      </c>
      <c r="H7" s="158">
        <v>41666</v>
      </c>
      <c r="I7" s="186" t="str">
        <f t="shared" si="1"/>
        <v>LIVRABLE</v>
      </c>
      <c r="J7" s="36">
        <v>26459.11</v>
      </c>
      <c r="K7" s="47">
        <v>355</v>
      </c>
      <c r="L7" s="47">
        <v>185</v>
      </c>
      <c r="M7" s="17">
        <v>28840</v>
      </c>
      <c r="N7" s="20">
        <v>2740</v>
      </c>
      <c r="O7" s="26"/>
      <c r="P7" s="188">
        <f t="shared" si="2"/>
        <v>-2286.6100000000006</v>
      </c>
      <c r="Q7" s="17">
        <v>8165.5</v>
      </c>
      <c r="R7" s="134">
        <f t="shared" si="3"/>
        <v>0</v>
      </c>
      <c r="S7" s="31" t="s">
        <v>24</v>
      </c>
      <c r="T7" s="109">
        <v>5000</v>
      </c>
      <c r="U7" s="104">
        <f>IF(AND(C7=1,A7="C4picasso",T7&gt;=5000),$J$31,IF(T7&gt;=5000,$H$31,0))</f>
        <v>30</v>
      </c>
      <c r="V7" s="6"/>
      <c r="W7" s="2"/>
      <c r="X7" s="2"/>
      <c r="Y7" s="7"/>
      <c r="Z7" s="190">
        <f t="shared" si="5"/>
        <v>0</v>
      </c>
      <c r="AA7" s="191">
        <f t="shared" si="6"/>
        <v>1</v>
      </c>
      <c r="AB7" s="24"/>
      <c r="AC7" s="103">
        <f t="shared" si="7"/>
        <v>0</v>
      </c>
      <c r="AD7" s="114">
        <f t="shared" si="0"/>
        <v>20</v>
      </c>
      <c r="AE7" s="112">
        <f t="shared" si="8"/>
        <v>120</v>
      </c>
      <c r="AG7" t="s">
        <v>84</v>
      </c>
      <c r="AH7">
        <v>0</v>
      </c>
      <c r="AI7">
        <v>600</v>
      </c>
    </row>
    <row r="8" spans="1:35" ht="13.5" thickBot="1">
      <c r="A8" s="31" t="s">
        <v>76</v>
      </c>
      <c r="B8" s="31" t="s">
        <v>77</v>
      </c>
      <c r="C8" s="31"/>
      <c r="D8" s="33">
        <v>1</v>
      </c>
      <c r="E8" s="100">
        <f t="shared" ref="E8:E24" si="9">IF(C8=1,$D$31,IF(D8=1,$C$32,0))</f>
        <v>70</v>
      </c>
      <c r="F8" s="63" t="s">
        <v>45</v>
      </c>
      <c r="G8" s="54">
        <v>41685</v>
      </c>
      <c r="H8" s="158">
        <v>41667</v>
      </c>
      <c r="I8" s="186" t="str">
        <f t="shared" si="1"/>
        <v>PAS LIVRABLE</v>
      </c>
      <c r="J8" s="36"/>
      <c r="K8" s="47"/>
      <c r="L8" s="47"/>
      <c r="M8" s="17"/>
      <c r="N8" s="20"/>
      <c r="O8" s="26"/>
      <c r="P8" s="188">
        <f t="shared" si="2"/>
        <v>-145</v>
      </c>
      <c r="Q8" s="17"/>
      <c r="R8" s="134">
        <f t="shared" si="3"/>
        <v>0</v>
      </c>
      <c r="S8" s="31"/>
      <c r="T8" s="109">
        <v>5000</v>
      </c>
      <c r="U8" s="104">
        <f t="shared" si="4"/>
        <v>30</v>
      </c>
      <c r="V8" s="6"/>
      <c r="W8" s="2"/>
      <c r="X8" s="2"/>
      <c r="Y8" s="7"/>
      <c r="Z8" s="190">
        <f t="shared" si="5"/>
        <v>0</v>
      </c>
      <c r="AA8" s="191">
        <f t="shared" si="6"/>
        <v>1</v>
      </c>
      <c r="AB8" s="24"/>
      <c r="AC8" s="103">
        <f t="shared" si="7"/>
        <v>0</v>
      </c>
      <c r="AD8" s="114">
        <f t="shared" si="0"/>
        <v>20</v>
      </c>
      <c r="AE8" s="112">
        <f t="shared" si="8"/>
        <v>70</v>
      </c>
    </row>
    <row r="9" spans="1:35" ht="13.5" thickBot="1">
      <c r="A9" s="31"/>
      <c r="B9" s="31"/>
      <c r="C9" s="31"/>
      <c r="D9" s="33">
        <v>1</v>
      </c>
      <c r="E9" s="100">
        <f t="shared" si="9"/>
        <v>70</v>
      </c>
      <c r="F9" s="63"/>
      <c r="G9" s="54"/>
      <c r="H9" s="158"/>
      <c r="I9" s="186">
        <f t="shared" si="1"/>
        <v>0</v>
      </c>
      <c r="J9" s="36"/>
      <c r="K9" s="47"/>
      <c r="L9" s="47"/>
      <c r="M9" s="17"/>
      <c r="N9" s="20"/>
      <c r="O9" s="26"/>
      <c r="P9" s="188">
        <f t="shared" si="2"/>
        <v>-145</v>
      </c>
      <c r="Q9" s="17"/>
      <c r="R9" s="134">
        <f t="shared" si="3"/>
        <v>0</v>
      </c>
      <c r="S9" s="31"/>
      <c r="T9" s="109"/>
      <c r="U9" s="104">
        <f t="shared" si="4"/>
        <v>0</v>
      </c>
      <c r="V9" s="6"/>
      <c r="W9" s="2"/>
      <c r="X9" s="2"/>
      <c r="Y9" s="7"/>
      <c r="Z9" s="190">
        <f t="shared" si="5"/>
        <v>0</v>
      </c>
      <c r="AA9" s="191">
        <f t="shared" si="6"/>
        <v>0</v>
      </c>
      <c r="AB9" s="24"/>
      <c r="AC9" s="103">
        <f t="shared" si="7"/>
        <v>0</v>
      </c>
      <c r="AD9" s="114">
        <f t="shared" si="0"/>
        <v>20</v>
      </c>
      <c r="AE9" s="112">
        <f t="shared" si="8"/>
        <v>70</v>
      </c>
    </row>
    <row r="10" spans="1:35" ht="13.5" thickBot="1">
      <c r="A10" s="31"/>
      <c r="B10" s="31"/>
      <c r="C10" s="31"/>
      <c r="D10" s="33">
        <v>1</v>
      </c>
      <c r="E10" s="100">
        <f t="shared" si="9"/>
        <v>70</v>
      </c>
      <c r="F10" s="63"/>
      <c r="G10" s="54"/>
      <c r="H10" s="158"/>
      <c r="I10" s="186">
        <f t="shared" si="1"/>
        <v>0</v>
      </c>
      <c r="J10" s="36"/>
      <c r="K10" s="47"/>
      <c r="L10" s="47"/>
      <c r="M10" s="17"/>
      <c r="N10" s="20"/>
      <c r="O10" s="26"/>
      <c r="P10" s="188">
        <f t="shared" si="2"/>
        <v>-145</v>
      </c>
      <c r="Q10" s="17"/>
      <c r="R10" s="134">
        <f t="shared" si="3"/>
        <v>0</v>
      </c>
      <c r="S10" s="31"/>
      <c r="T10" s="109"/>
      <c r="U10" s="104">
        <f t="shared" si="4"/>
        <v>0</v>
      </c>
      <c r="V10" s="6"/>
      <c r="W10" s="2"/>
      <c r="X10" s="2"/>
      <c r="Y10" s="7"/>
      <c r="Z10" s="190">
        <f t="shared" si="5"/>
        <v>0</v>
      </c>
      <c r="AA10" s="191">
        <f t="shared" si="6"/>
        <v>0</v>
      </c>
      <c r="AB10" s="24"/>
      <c r="AC10" s="103">
        <f t="shared" si="7"/>
        <v>0</v>
      </c>
      <c r="AD10" s="114">
        <f t="shared" si="0"/>
        <v>20</v>
      </c>
      <c r="AE10" s="112">
        <f t="shared" si="8"/>
        <v>70</v>
      </c>
    </row>
    <row r="11" spans="1:35" ht="13.5" thickBot="1">
      <c r="A11" s="31"/>
      <c r="B11" s="31"/>
      <c r="C11" s="31"/>
      <c r="D11" s="33"/>
      <c r="E11" s="100">
        <f t="shared" si="9"/>
        <v>0</v>
      </c>
      <c r="F11" s="63"/>
      <c r="G11" s="54"/>
      <c r="H11" s="158"/>
      <c r="I11" s="186">
        <f t="shared" si="1"/>
        <v>0</v>
      </c>
      <c r="J11" s="36"/>
      <c r="K11" s="47"/>
      <c r="L11" s="47"/>
      <c r="M11" s="17"/>
      <c r="N11" s="20"/>
      <c r="O11" s="26"/>
      <c r="P11" s="188">
        <f t="shared" si="2"/>
        <v>-145</v>
      </c>
      <c r="Q11" s="17"/>
      <c r="R11" s="134">
        <f t="shared" si="3"/>
        <v>0</v>
      </c>
      <c r="S11" s="31"/>
      <c r="T11" s="109"/>
      <c r="U11" s="104">
        <f t="shared" si="4"/>
        <v>0</v>
      </c>
      <c r="V11" s="6"/>
      <c r="W11" s="2"/>
      <c r="X11" s="2"/>
      <c r="Y11" s="7"/>
      <c r="Z11" s="190">
        <f t="shared" si="5"/>
        <v>0</v>
      </c>
      <c r="AA11" s="191">
        <f t="shared" si="6"/>
        <v>0</v>
      </c>
      <c r="AB11" s="24"/>
      <c r="AC11" s="103">
        <f t="shared" si="7"/>
        <v>0</v>
      </c>
      <c r="AD11" s="114">
        <f t="shared" si="0"/>
        <v>20</v>
      </c>
      <c r="AE11" s="112">
        <f t="shared" si="8"/>
        <v>0</v>
      </c>
    </row>
    <row r="12" spans="1:35" ht="13.5" thickBot="1">
      <c r="A12" s="31"/>
      <c r="B12" s="31"/>
      <c r="C12" s="31"/>
      <c r="D12" s="33"/>
      <c r="E12" s="100">
        <f t="shared" si="9"/>
        <v>0</v>
      </c>
      <c r="F12" s="63"/>
      <c r="G12" s="54"/>
      <c r="H12" s="158"/>
      <c r="I12" s="186">
        <f t="shared" si="1"/>
        <v>0</v>
      </c>
      <c r="J12" s="36"/>
      <c r="K12" s="47"/>
      <c r="L12" s="47"/>
      <c r="M12" s="17"/>
      <c r="N12" s="20"/>
      <c r="O12" s="26"/>
      <c r="P12" s="188">
        <f t="shared" si="2"/>
        <v>-145</v>
      </c>
      <c r="Q12" s="17"/>
      <c r="R12" s="134">
        <f t="shared" si="3"/>
        <v>0</v>
      </c>
      <c r="S12" s="31"/>
      <c r="T12" s="109"/>
      <c r="U12" s="104">
        <f t="shared" si="4"/>
        <v>0</v>
      </c>
      <c r="V12" s="6"/>
      <c r="W12" s="2"/>
      <c r="X12" s="2"/>
      <c r="Y12" s="7"/>
      <c r="Z12" s="190">
        <f t="shared" si="5"/>
        <v>0</v>
      </c>
      <c r="AA12" s="191">
        <f t="shared" si="6"/>
        <v>0</v>
      </c>
      <c r="AB12" s="24"/>
      <c r="AC12" s="103">
        <f t="shared" si="7"/>
        <v>0</v>
      </c>
      <c r="AD12" s="114">
        <f t="shared" si="0"/>
        <v>20</v>
      </c>
      <c r="AE12" s="112">
        <f t="shared" si="8"/>
        <v>0</v>
      </c>
    </row>
    <row r="13" spans="1:35" ht="13.5" thickBot="1">
      <c r="A13" s="31"/>
      <c r="B13" s="31"/>
      <c r="C13" s="31"/>
      <c r="D13" s="33"/>
      <c r="E13" s="100">
        <f t="shared" si="9"/>
        <v>0</v>
      </c>
      <c r="F13" s="63"/>
      <c r="G13" s="54"/>
      <c r="H13" s="158"/>
      <c r="I13" s="186">
        <f t="shared" si="1"/>
        <v>0</v>
      </c>
      <c r="J13" s="36"/>
      <c r="K13" s="47"/>
      <c r="L13" s="47"/>
      <c r="M13" s="17"/>
      <c r="N13" s="20"/>
      <c r="O13" s="26"/>
      <c r="P13" s="188">
        <f t="shared" si="2"/>
        <v>-145</v>
      </c>
      <c r="Q13" s="17"/>
      <c r="R13" s="134">
        <f t="shared" si="3"/>
        <v>0</v>
      </c>
      <c r="S13" s="31"/>
      <c r="T13" s="109"/>
      <c r="U13" s="104">
        <f t="shared" si="4"/>
        <v>0</v>
      </c>
      <c r="V13" s="6"/>
      <c r="W13" s="2"/>
      <c r="X13" s="2"/>
      <c r="Y13" s="7"/>
      <c r="Z13" s="190">
        <f t="shared" si="5"/>
        <v>0</v>
      </c>
      <c r="AA13" s="191">
        <f t="shared" si="6"/>
        <v>0</v>
      </c>
      <c r="AB13" s="24"/>
      <c r="AC13" s="103">
        <f t="shared" si="7"/>
        <v>0</v>
      </c>
      <c r="AD13" s="114">
        <f t="shared" si="0"/>
        <v>20</v>
      </c>
      <c r="AE13" s="112">
        <f t="shared" si="8"/>
        <v>0</v>
      </c>
    </row>
    <row r="14" spans="1:35" ht="13.5" thickBot="1">
      <c r="A14" s="31"/>
      <c r="B14" s="31"/>
      <c r="C14" s="31"/>
      <c r="D14" s="33"/>
      <c r="E14" s="100">
        <f t="shared" si="9"/>
        <v>0</v>
      </c>
      <c r="F14" s="63"/>
      <c r="G14" s="54"/>
      <c r="H14" s="158"/>
      <c r="I14" s="186">
        <f t="shared" si="1"/>
        <v>0</v>
      </c>
      <c r="J14" s="36"/>
      <c r="K14" s="47"/>
      <c r="L14" s="47"/>
      <c r="M14" s="17"/>
      <c r="N14" s="20"/>
      <c r="O14" s="26"/>
      <c r="P14" s="188">
        <f t="shared" si="2"/>
        <v>-145</v>
      </c>
      <c r="Q14" s="17"/>
      <c r="R14" s="134">
        <f t="shared" si="3"/>
        <v>0</v>
      </c>
      <c r="S14" s="31"/>
      <c r="T14" s="109"/>
      <c r="U14" s="104">
        <f t="shared" si="4"/>
        <v>0</v>
      </c>
      <c r="V14" s="6"/>
      <c r="W14" s="2"/>
      <c r="X14" s="2"/>
      <c r="Y14" s="7"/>
      <c r="Z14" s="190">
        <f t="shared" si="5"/>
        <v>0</v>
      </c>
      <c r="AA14" s="191">
        <f t="shared" si="6"/>
        <v>0</v>
      </c>
      <c r="AB14" s="24"/>
      <c r="AC14" s="103">
        <f t="shared" si="7"/>
        <v>0</v>
      </c>
      <c r="AD14" s="114">
        <f t="shared" si="0"/>
        <v>20</v>
      </c>
      <c r="AE14" s="112">
        <f t="shared" si="8"/>
        <v>0</v>
      </c>
    </row>
    <row r="15" spans="1:35" ht="13.5" thickBot="1">
      <c r="A15" s="31"/>
      <c r="B15" s="31"/>
      <c r="C15" s="31"/>
      <c r="D15" s="33"/>
      <c r="E15" s="100">
        <f t="shared" si="9"/>
        <v>0</v>
      </c>
      <c r="F15" s="63"/>
      <c r="G15" s="54"/>
      <c r="H15" s="158"/>
      <c r="I15" s="186">
        <f t="shared" si="1"/>
        <v>0</v>
      </c>
      <c r="J15" s="36"/>
      <c r="K15" s="47"/>
      <c r="L15" s="47"/>
      <c r="M15" s="17"/>
      <c r="N15" s="20"/>
      <c r="O15" s="26"/>
      <c r="P15" s="188">
        <f t="shared" si="2"/>
        <v>-145</v>
      </c>
      <c r="Q15" s="17"/>
      <c r="R15" s="134">
        <f t="shared" si="3"/>
        <v>0</v>
      </c>
      <c r="S15" s="31"/>
      <c r="T15" s="109"/>
      <c r="U15" s="104">
        <f t="shared" si="4"/>
        <v>0</v>
      </c>
      <c r="V15" s="6"/>
      <c r="W15" s="2"/>
      <c r="X15" s="2"/>
      <c r="Y15" s="7"/>
      <c r="Z15" s="190">
        <f t="shared" si="5"/>
        <v>0</v>
      </c>
      <c r="AA15" s="191">
        <f t="shared" si="6"/>
        <v>0</v>
      </c>
      <c r="AB15" s="24"/>
      <c r="AC15" s="103">
        <f t="shared" si="7"/>
        <v>0</v>
      </c>
      <c r="AD15" s="114">
        <f t="shared" si="0"/>
        <v>20</v>
      </c>
      <c r="AE15" s="112">
        <f t="shared" si="8"/>
        <v>0</v>
      </c>
    </row>
    <row r="16" spans="1:35" ht="13.5" thickBot="1">
      <c r="A16" s="31"/>
      <c r="B16" s="31"/>
      <c r="C16" s="31"/>
      <c r="D16" s="33"/>
      <c r="E16" s="100">
        <f t="shared" si="9"/>
        <v>0</v>
      </c>
      <c r="F16" s="63"/>
      <c r="G16" s="54"/>
      <c r="H16" s="158"/>
      <c r="I16" s="186">
        <f t="shared" si="1"/>
        <v>0</v>
      </c>
      <c r="J16" s="36"/>
      <c r="K16" s="47"/>
      <c r="L16" s="47"/>
      <c r="M16" s="17"/>
      <c r="N16" s="20"/>
      <c r="O16" s="26"/>
      <c r="P16" s="188">
        <f t="shared" si="2"/>
        <v>-145</v>
      </c>
      <c r="Q16" s="17"/>
      <c r="R16" s="134">
        <f t="shared" si="3"/>
        <v>0</v>
      </c>
      <c r="S16" s="31"/>
      <c r="T16" s="109"/>
      <c r="U16" s="104">
        <f t="shared" si="4"/>
        <v>0</v>
      </c>
      <c r="V16" s="6"/>
      <c r="W16" s="2"/>
      <c r="X16" s="2"/>
      <c r="Y16" s="7"/>
      <c r="Z16" s="190">
        <f t="shared" si="5"/>
        <v>0</v>
      </c>
      <c r="AA16" s="191">
        <f t="shared" si="6"/>
        <v>0</v>
      </c>
      <c r="AB16" s="24"/>
      <c r="AC16" s="103">
        <f t="shared" si="7"/>
        <v>0</v>
      </c>
      <c r="AD16" s="114">
        <f t="shared" si="0"/>
        <v>20</v>
      </c>
      <c r="AE16" s="112">
        <f t="shared" si="8"/>
        <v>0</v>
      </c>
    </row>
    <row r="17" spans="1:31" ht="13.5" thickBot="1">
      <c r="A17" s="31"/>
      <c r="B17" s="31"/>
      <c r="C17" s="31"/>
      <c r="D17" s="33"/>
      <c r="E17" s="100">
        <f t="shared" si="9"/>
        <v>0</v>
      </c>
      <c r="F17" s="63"/>
      <c r="G17" s="54"/>
      <c r="H17" s="158"/>
      <c r="I17" s="186">
        <f t="shared" si="1"/>
        <v>0</v>
      </c>
      <c r="J17" s="36"/>
      <c r="K17" s="47"/>
      <c r="L17" s="47"/>
      <c r="M17" s="17"/>
      <c r="N17" s="20"/>
      <c r="O17" s="26"/>
      <c r="P17" s="188">
        <f t="shared" si="2"/>
        <v>-145</v>
      </c>
      <c r="Q17" s="17"/>
      <c r="R17" s="134">
        <f t="shared" si="3"/>
        <v>0</v>
      </c>
      <c r="S17" s="31"/>
      <c r="T17" s="109"/>
      <c r="U17" s="104">
        <f t="shared" si="4"/>
        <v>0</v>
      </c>
      <c r="V17" s="6"/>
      <c r="W17" s="2"/>
      <c r="X17" s="2"/>
      <c r="Y17" s="7"/>
      <c r="Z17" s="190">
        <f t="shared" si="5"/>
        <v>0</v>
      </c>
      <c r="AA17" s="191">
        <f t="shared" si="6"/>
        <v>0</v>
      </c>
      <c r="AB17" s="24"/>
      <c r="AC17" s="103">
        <f t="shared" si="7"/>
        <v>0</v>
      </c>
      <c r="AD17" s="114">
        <f t="shared" si="0"/>
        <v>20</v>
      </c>
      <c r="AE17" s="112">
        <f t="shared" si="8"/>
        <v>0</v>
      </c>
    </row>
    <row r="18" spans="1:31" ht="13.5" thickBot="1">
      <c r="A18" s="31"/>
      <c r="B18" s="31"/>
      <c r="C18" s="31"/>
      <c r="D18" s="33"/>
      <c r="E18" s="100">
        <f t="shared" si="9"/>
        <v>0</v>
      </c>
      <c r="F18" s="63"/>
      <c r="G18" s="54"/>
      <c r="H18" s="158"/>
      <c r="I18" s="186">
        <f t="shared" si="1"/>
        <v>0</v>
      </c>
      <c r="J18" s="36"/>
      <c r="K18" s="47"/>
      <c r="L18" s="47"/>
      <c r="M18" s="17"/>
      <c r="N18" s="20"/>
      <c r="O18" s="26"/>
      <c r="P18" s="188">
        <f t="shared" si="2"/>
        <v>-145</v>
      </c>
      <c r="Q18" s="17"/>
      <c r="R18" s="134">
        <f t="shared" si="3"/>
        <v>0</v>
      </c>
      <c r="S18" s="31"/>
      <c r="T18" s="109"/>
      <c r="U18" s="104">
        <f t="shared" si="4"/>
        <v>0</v>
      </c>
      <c r="V18" s="6"/>
      <c r="W18" s="2"/>
      <c r="X18" s="2"/>
      <c r="Y18" s="7"/>
      <c r="Z18" s="190">
        <f t="shared" si="5"/>
        <v>0</v>
      </c>
      <c r="AA18" s="191">
        <f t="shared" si="6"/>
        <v>0</v>
      </c>
      <c r="AB18" s="24"/>
      <c r="AC18" s="103">
        <f t="shared" si="7"/>
        <v>0</v>
      </c>
      <c r="AD18" s="114">
        <f t="shared" si="0"/>
        <v>20</v>
      </c>
      <c r="AE18" s="112">
        <f t="shared" si="8"/>
        <v>0</v>
      </c>
    </row>
    <row r="19" spans="1:31" ht="13.5" thickBot="1">
      <c r="A19" s="31"/>
      <c r="B19" s="31"/>
      <c r="C19" s="31"/>
      <c r="D19" s="33"/>
      <c r="E19" s="100">
        <f t="shared" si="9"/>
        <v>0</v>
      </c>
      <c r="F19" s="63"/>
      <c r="G19" s="54"/>
      <c r="H19" s="158"/>
      <c r="I19" s="186">
        <f t="shared" si="1"/>
        <v>0</v>
      </c>
      <c r="J19" s="36"/>
      <c r="K19" s="47"/>
      <c r="L19" s="47"/>
      <c r="M19" s="17"/>
      <c r="N19" s="20"/>
      <c r="O19" s="26"/>
      <c r="P19" s="188">
        <f t="shared" si="2"/>
        <v>-145</v>
      </c>
      <c r="Q19" s="17"/>
      <c r="R19" s="134">
        <f t="shared" si="3"/>
        <v>0</v>
      </c>
      <c r="S19" s="31"/>
      <c r="T19" s="109"/>
      <c r="U19" s="104">
        <f t="shared" si="4"/>
        <v>0</v>
      </c>
      <c r="V19" s="6"/>
      <c r="W19" s="2"/>
      <c r="X19" s="2"/>
      <c r="Y19" s="7"/>
      <c r="Z19" s="190">
        <f t="shared" si="5"/>
        <v>0</v>
      </c>
      <c r="AA19" s="191">
        <f t="shared" si="6"/>
        <v>0</v>
      </c>
      <c r="AB19" s="24"/>
      <c r="AC19" s="103">
        <f t="shared" si="7"/>
        <v>0</v>
      </c>
      <c r="AD19" s="114">
        <f t="shared" si="0"/>
        <v>20</v>
      </c>
      <c r="AE19" s="112">
        <f t="shared" si="8"/>
        <v>0</v>
      </c>
    </row>
    <row r="20" spans="1:31" ht="13.5" thickBot="1">
      <c r="A20" s="31"/>
      <c r="B20" s="31"/>
      <c r="C20" s="31"/>
      <c r="D20" s="33"/>
      <c r="E20" s="100">
        <f t="shared" si="9"/>
        <v>0</v>
      </c>
      <c r="F20" s="63"/>
      <c r="G20" s="54"/>
      <c r="H20" s="158"/>
      <c r="I20" s="186">
        <f t="shared" si="1"/>
        <v>0</v>
      </c>
      <c r="J20" s="36"/>
      <c r="K20" s="47"/>
      <c r="L20" s="47"/>
      <c r="M20" s="17"/>
      <c r="N20" s="20"/>
      <c r="O20" s="26"/>
      <c r="P20" s="188">
        <f t="shared" si="2"/>
        <v>-145</v>
      </c>
      <c r="Q20" s="17"/>
      <c r="R20" s="134">
        <f t="shared" si="3"/>
        <v>0</v>
      </c>
      <c r="S20" s="31"/>
      <c r="T20" s="109"/>
      <c r="U20" s="104">
        <f t="shared" si="4"/>
        <v>0</v>
      </c>
      <c r="V20" s="6"/>
      <c r="W20" s="2"/>
      <c r="X20" s="2"/>
      <c r="Y20" s="7"/>
      <c r="Z20" s="190">
        <f t="shared" si="5"/>
        <v>0</v>
      </c>
      <c r="AA20" s="191">
        <f t="shared" si="6"/>
        <v>0</v>
      </c>
      <c r="AB20" s="24"/>
      <c r="AC20" s="103">
        <f t="shared" si="7"/>
        <v>0</v>
      </c>
      <c r="AD20" s="114">
        <f t="shared" si="0"/>
        <v>20</v>
      </c>
      <c r="AE20" s="112">
        <f t="shared" si="8"/>
        <v>0</v>
      </c>
    </row>
    <row r="21" spans="1:31" ht="13.5" thickBot="1">
      <c r="A21" s="31"/>
      <c r="B21" s="31"/>
      <c r="C21" s="31"/>
      <c r="D21" s="33"/>
      <c r="E21" s="100">
        <f t="shared" si="9"/>
        <v>0</v>
      </c>
      <c r="F21" s="63"/>
      <c r="G21" s="54"/>
      <c r="H21" s="158"/>
      <c r="I21" s="186">
        <f t="shared" si="1"/>
        <v>0</v>
      </c>
      <c r="J21" s="36"/>
      <c r="K21" s="47"/>
      <c r="L21" s="47"/>
      <c r="M21" s="17"/>
      <c r="N21" s="20"/>
      <c r="O21" s="26"/>
      <c r="P21" s="188">
        <f t="shared" si="2"/>
        <v>-145</v>
      </c>
      <c r="Q21" s="17"/>
      <c r="R21" s="134">
        <f t="shared" si="3"/>
        <v>0</v>
      </c>
      <c r="S21" s="31"/>
      <c r="T21" s="109"/>
      <c r="U21" s="104">
        <f t="shared" si="4"/>
        <v>0</v>
      </c>
      <c r="V21" s="6"/>
      <c r="W21" s="2"/>
      <c r="X21" s="2"/>
      <c r="Y21" s="7"/>
      <c r="Z21" s="190">
        <f t="shared" si="5"/>
        <v>0</v>
      </c>
      <c r="AA21" s="191">
        <f t="shared" si="6"/>
        <v>0</v>
      </c>
      <c r="AB21" s="24"/>
      <c r="AC21" s="103">
        <f t="shared" si="7"/>
        <v>0</v>
      </c>
      <c r="AD21" s="114">
        <f t="shared" si="0"/>
        <v>20</v>
      </c>
      <c r="AE21" s="112">
        <f t="shared" si="8"/>
        <v>0</v>
      </c>
    </row>
    <row r="22" spans="1:31" ht="13.5" thickBot="1">
      <c r="A22" s="31"/>
      <c r="B22" s="31"/>
      <c r="C22" s="31"/>
      <c r="D22" s="33"/>
      <c r="E22" s="100">
        <f t="shared" si="9"/>
        <v>0</v>
      </c>
      <c r="F22" s="63"/>
      <c r="G22" s="54"/>
      <c r="H22" s="158"/>
      <c r="I22" s="186">
        <f t="shared" si="1"/>
        <v>0</v>
      </c>
      <c r="J22" s="36"/>
      <c r="K22" s="47"/>
      <c r="L22" s="47"/>
      <c r="M22" s="17"/>
      <c r="N22" s="20"/>
      <c r="O22" s="26"/>
      <c r="P22" s="188">
        <f t="shared" si="2"/>
        <v>-145</v>
      </c>
      <c r="Q22" s="17"/>
      <c r="R22" s="134">
        <f t="shared" si="3"/>
        <v>0</v>
      </c>
      <c r="S22" s="31"/>
      <c r="T22" s="109"/>
      <c r="U22" s="104">
        <f t="shared" si="4"/>
        <v>0</v>
      </c>
      <c r="V22" s="6"/>
      <c r="W22" s="2"/>
      <c r="X22" s="2"/>
      <c r="Y22" s="7"/>
      <c r="Z22" s="190">
        <f t="shared" si="5"/>
        <v>0</v>
      </c>
      <c r="AA22" s="191">
        <f t="shared" si="6"/>
        <v>0</v>
      </c>
      <c r="AB22" s="24"/>
      <c r="AC22" s="103">
        <f t="shared" si="7"/>
        <v>0</v>
      </c>
      <c r="AD22" s="114">
        <f t="shared" si="0"/>
        <v>20</v>
      </c>
      <c r="AE22" s="112">
        <f t="shared" si="8"/>
        <v>0</v>
      </c>
    </row>
    <row r="23" spans="1:31" ht="13.5" thickBot="1">
      <c r="A23" s="31"/>
      <c r="B23" s="31"/>
      <c r="C23" s="31"/>
      <c r="D23" s="33"/>
      <c r="E23" s="100">
        <f t="shared" si="9"/>
        <v>0</v>
      </c>
      <c r="F23" s="63"/>
      <c r="G23" s="54"/>
      <c r="H23" s="158"/>
      <c r="I23" s="186">
        <f t="shared" si="1"/>
        <v>0</v>
      </c>
      <c r="J23" s="36"/>
      <c r="K23" s="47"/>
      <c r="L23" s="47"/>
      <c r="M23" s="17"/>
      <c r="N23" s="20"/>
      <c r="O23" s="26"/>
      <c r="P23" s="188">
        <f t="shared" si="2"/>
        <v>-145</v>
      </c>
      <c r="Q23" s="17"/>
      <c r="R23" s="134">
        <f t="shared" si="3"/>
        <v>0</v>
      </c>
      <c r="S23" s="31"/>
      <c r="T23" s="109"/>
      <c r="U23" s="104">
        <f t="shared" si="4"/>
        <v>0</v>
      </c>
      <c r="V23" s="6"/>
      <c r="W23" s="2"/>
      <c r="X23" s="2"/>
      <c r="Y23" s="7"/>
      <c r="Z23" s="190">
        <f t="shared" si="5"/>
        <v>0</v>
      </c>
      <c r="AA23" s="191">
        <f t="shared" si="6"/>
        <v>0</v>
      </c>
      <c r="AB23" s="24"/>
      <c r="AC23" s="103">
        <f t="shared" si="7"/>
        <v>0</v>
      </c>
      <c r="AD23" s="114">
        <f t="shared" si="0"/>
        <v>20</v>
      </c>
      <c r="AE23" s="112">
        <f t="shared" si="8"/>
        <v>0</v>
      </c>
    </row>
    <row r="24" spans="1:31" ht="13.5" thickBot="1">
      <c r="A24" s="32"/>
      <c r="B24" s="32"/>
      <c r="C24" s="32"/>
      <c r="D24" s="34"/>
      <c r="E24" s="101">
        <f t="shared" si="9"/>
        <v>0</v>
      </c>
      <c r="F24" s="64"/>
      <c r="G24" s="55"/>
      <c r="H24" s="159"/>
      <c r="I24" s="186">
        <f t="shared" si="1"/>
        <v>0</v>
      </c>
      <c r="J24" s="37"/>
      <c r="K24" s="48"/>
      <c r="L24" s="48"/>
      <c r="M24" s="18"/>
      <c r="N24" s="21"/>
      <c r="O24" s="27"/>
      <c r="P24" s="189">
        <f t="shared" si="2"/>
        <v>-145</v>
      </c>
      <c r="Q24" s="18"/>
      <c r="R24" s="135">
        <f t="shared" si="3"/>
        <v>0</v>
      </c>
      <c r="S24" s="32"/>
      <c r="T24" s="110"/>
      <c r="U24" s="106">
        <f t="shared" si="4"/>
        <v>0</v>
      </c>
      <c r="V24" s="8"/>
      <c r="W24" s="9"/>
      <c r="X24" s="9"/>
      <c r="Y24" s="10"/>
      <c r="Z24" s="190">
        <f t="shared" si="5"/>
        <v>0</v>
      </c>
      <c r="AA24" s="191">
        <f t="shared" si="6"/>
        <v>0</v>
      </c>
      <c r="AB24" s="25"/>
      <c r="AC24" s="115">
        <f t="shared" si="7"/>
        <v>0</v>
      </c>
      <c r="AD24" s="116">
        <f t="shared" si="0"/>
        <v>20</v>
      </c>
      <c r="AE24" s="112">
        <f t="shared" si="8"/>
        <v>0</v>
      </c>
    </row>
    <row r="25" spans="1:31" ht="13.5" thickBot="1">
      <c r="C25" s="179">
        <f>SUM(C4:C24)</f>
        <v>0</v>
      </c>
      <c r="D25" s="180">
        <f>SUM(D4:D24)</f>
        <v>7</v>
      </c>
      <c r="G25" s="75" t="s">
        <v>50</v>
      </c>
      <c r="H25" s="76"/>
      <c r="I25" s="77">
        <f>COUNTIF(I4:I24,"LIVRABLE")</f>
        <v>2</v>
      </c>
    </row>
    <row r="26" spans="1:31">
      <c r="C26" s="225" t="s">
        <v>89</v>
      </c>
      <c r="D26" s="226"/>
      <c r="E26" s="181">
        <f>SUM(E4:E24)</f>
        <v>490</v>
      </c>
      <c r="G26" s="176"/>
      <c r="H26" s="176"/>
      <c r="I26" s="178"/>
    </row>
    <row r="27" spans="1:31">
      <c r="C27" s="227" t="s">
        <v>90</v>
      </c>
      <c r="D27" s="228"/>
      <c r="E27" s="182">
        <f>IF(D35&lt;2,0,IF(D35=2,(E26*0.4),IF(D35=3,(E26*0.5),IF(D35=4,(E26*0.6),IF(D35=5,(E26*0.7),IF(D35=6,(E26*0.8),IF(D35=7,(E26*0.9))))))))</f>
        <v>245</v>
      </c>
      <c r="G27" s="176"/>
      <c r="H27" s="176"/>
      <c r="I27" s="178"/>
    </row>
    <row r="28" spans="1:31">
      <c r="C28" s="227" t="s">
        <v>91</v>
      </c>
      <c r="D28" s="228"/>
      <c r="E28" s="182">
        <f>IF(D36&lt;2,0,IF(D36=2,(E26*0.4),IF(D36=3,(E26*0.5),IF(D36=4,(E26*0.6),IF(D36=5,(E26*0.7),IF(D36=6,(E26*0.8),IF(D36=7,(E26*0.9))))))))</f>
        <v>294</v>
      </c>
      <c r="G28" s="176"/>
      <c r="H28" s="176"/>
      <c r="I28" s="178"/>
    </row>
    <row r="29" spans="1:31" ht="13.5" thickBot="1">
      <c r="B29" s="72"/>
      <c r="C29" s="229" t="s">
        <v>92</v>
      </c>
      <c r="D29" s="230"/>
      <c r="E29" s="185">
        <f>E26+E27+E28</f>
        <v>1029</v>
      </c>
      <c r="F29" s="73"/>
      <c r="G29" s="74"/>
      <c r="H29" s="74"/>
      <c r="I29" s="177"/>
    </row>
    <row r="30" spans="1:31" ht="13.5" thickBot="1">
      <c r="D30" s="183" t="s">
        <v>65</v>
      </c>
      <c r="E30" s="184" t="s">
        <v>66</v>
      </c>
      <c r="F30" s="155" t="s">
        <v>67</v>
      </c>
      <c r="G30" s="58" t="s">
        <v>15</v>
      </c>
      <c r="H30" s="59" t="s">
        <v>16</v>
      </c>
      <c r="I30" s="60"/>
      <c r="J30" s="61" t="s">
        <v>30</v>
      </c>
    </row>
    <row r="31" spans="1:31" ht="13.5" thickBot="1">
      <c r="A31" s="3" t="s">
        <v>13</v>
      </c>
      <c r="B31" s="12"/>
      <c r="C31" s="23"/>
      <c r="D31" s="152">
        <v>30</v>
      </c>
      <c r="E31" s="152">
        <v>40</v>
      </c>
      <c r="F31" s="152">
        <v>60</v>
      </c>
      <c r="G31" s="38">
        <v>20</v>
      </c>
      <c r="H31" s="15">
        <v>30</v>
      </c>
      <c r="I31" s="44"/>
      <c r="J31" s="35">
        <v>60</v>
      </c>
    </row>
    <row r="32" spans="1:31">
      <c r="A32" s="6" t="s">
        <v>14</v>
      </c>
      <c r="B32" s="13"/>
      <c r="C32" s="69">
        <f>IF(D25&gt;=2,70,50)</f>
        <v>70</v>
      </c>
      <c r="D32" s="151">
        <v>50</v>
      </c>
      <c r="E32" s="153"/>
      <c r="F32" s="154"/>
      <c r="G32" s="26"/>
      <c r="H32" s="51"/>
      <c r="I32" s="56"/>
      <c r="J32" s="36"/>
    </row>
    <row r="33" spans="1:28" ht="13.5" thickBot="1">
      <c r="A33" s="8" t="s">
        <v>28</v>
      </c>
      <c r="B33" s="14"/>
      <c r="C33" s="14"/>
      <c r="D33" s="18">
        <v>145</v>
      </c>
      <c r="E33" s="21"/>
      <c r="F33" s="66"/>
      <c r="G33" s="42"/>
      <c r="H33" s="41"/>
      <c r="I33" s="45"/>
      <c r="J33" s="37"/>
    </row>
    <row r="34" spans="1:28" ht="13.5" thickBot="1">
      <c r="A34" s="39" t="s">
        <v>29</v>
      </c>
      <c r="B34" s="39"/>
      <c r="C34" s="39"/>
      <c r="E34" s="119">
        <v>41670</v>
      </c>
      <c r="F34" s="67"/>
    </row>
    <row r="35" spans="1:28" ht="14.25" customHeight="1" thickBot="1">
      <c r="A35" s="219" t="s">
        <v>34</v>
      </c>
      <c r="B35" s="220"/>
      <c r="C35" s="220"/>
      <c r="D35" s="70">
        <f>SUM(Z4:Z24)</f>
        <v>3</v>
      </c>
      <c r="G35" s="221" t="s">
        <v>51</v>
      </c>
      <c r="H35" s="218"/>
      <c r="I35" s="218"/>
      <c r="J35" s="222"/>
      <c r="K35" s="223">
        <f>(SUMIF(I4:I24,"LIVRABLE",T4:T24))</f>
        <v>5000</v>
      </c>
      <c r="L35" s="224"/>
      <c r="M35" s="222"/>
    </row>
    <row r="36" spans="1:28" ht="15.75" customHeight="1" thickBot="1">
      <c r="A36" s="244" t="s">
        <v>33</v>
      </c>
      <c r="B36" s="245"/>
      <c r="C36" s="245"/>
      <c r="D36" s="71">
        <f>SUM(AA4:AA24)</f>
        <v>4</v>
      </c>
      <c r="G36" s="236" t="s">
        <v>52</v>
      </c>
      <c r="H36" s="218"/>
      <c r="I36" s="218"/>
      <c r="J36" s="222"/>
      <c r="K36" s="223">
        <f>K35/I25</f>
        <v>2500</v>
      </c>
      <c r="L36" s="224"/>
      <c r="M36" s="222"/>
    </row>
    <row r="37" spans="1:28" ht="15.75" customHeight="1" thickBot="1">
      <c r="A37" s="79"/>
      <c r="B37" s="80"/>
      <c r="C37" s="80"/>
      <c r="D37" s="81"/>
      <c r="G37" s="246" t="s">
        <v>49</v>
      </c>
      <c r="H37" s="243"/>
      <c r="I37" s="243"/>
      <c r="J37" s="247"/>
      <c r="K37" s="223"/>
      <c r="L37" s="224"/>
      <c r="M37" s="222"/>
    </row>
    <row r="38" spans="1:28" ht="13.5" thickBot="1"/>
    <row r="39" spans="1:28" ht="18" customHeight="1" thickBot="1">
      <c r="A39" s="242" t="s">
        <v>48</v>
      </c>
      <c r="B39" s="243"/>
      <c r="C39" s="243"/>
      <c r="D39" s="218"/>
      <c r="E39" s="218"/>
      <c r="F39" s="218"/>
      <c r="G39" s="222"/>
      <c r="H39" s="82">
        <v>35</v>
      </c>
      <c r="J39" s="16" t="s">
        <v>88</v>
      </c>
    </row>
    <row r="40" spans="1:28" ht="13.5" thickBot="1">
      <c r="A40" s="240" t="s">
        <v>37</v>
      </c>
      <c r="B40" s="241"/>
      <c r="C40" s="57">
        <v>20</v>
      </c>
      <c r="D40" t="s">
        <v>39</v>
      </c>
    </row>
    <row r="41" spans="1:28" ht="13.5" thickBot="1">
      <c r="A41" s="240" t="s">
        <v>38</v>
      </c>
      <c r="B41" s="241"/>
      <c r="C41" s="57">
        <v>30</v>
      </c>
      <c r="D41" t="s">
        <v>39</v>
      </c>
    </row>
    <row r="42" spans="1:28" ht="13.5" thickBot="1"/>
    <row r="43" spans="1:28" ht="21" thickBot="1">
      <c r="A43" s="117" t="s">
        <v>54</v>
      </c>
      <c r="B43" s="118"/>
      <c r="C43" s="118"/>
      <c r="D43" s="118"/>
      <c r="E43" s="118"/>
      <c r="F43" s="118"/>
      <c r="G43" s="118"/>
      <c r="H43" s="118"/>
      <c r="I43" s="118"/>
      <c r="J43" s="118"/>
      <c r="K43" s="118"/>
      <c r="L43" s="118"/>
      <c r="M43" s="118"/>
      <c r="N43" s="118"/>
      <c r="O43" s="118"/>
      <c r="P43" s="118"/>
      <c r="Q43" s="118"/>
      <c r="R43" s="118"/>
      <c r="S43" s="118"/>
      <c r="T43" s="118"/>
      <c r="U43" s="118"/>
      <c r="V43" s="118"/>
      <c r="W43" s="118"/>
      <c r="X43" s="118"/>
      <c r="Y43" s="118"/>
      <c r="Z43" s="118"/>
      <c r="AA43" s="149"/>
      <c r="AB43" s="150"/>
    </row>
    <row r="44" spans="1:28" ht="15.75" thickBot="1">
      <c r="A44" s="68"/>
      <c r="B44" s="11"/>
      <c r="C44" s="11"/>
      <c r="D44" s="11"/>
      <c r="E44" s="11"/>
      <c r="F44" s="11"/>
      <c r="G44" s="11"/>
      <c r="H44" s="11"/>
      <c r="I44" s="11"/>
      <c r="J44" s="11"/>
      <c r="K44" s="11"/>
      <c r="L44" s="11"/>
      <c r="M44" s="11"/>
      <c r="N44" s="11"/>
      <c r="O44" s="214" t="s">
        <v>1</v>
      </c>
      <c r="P44" s="215"/>
      <c r="Q44" s="215"/>
      <c r="R44" s="216"/>
      <c r="S44" s="138"/>
      <c r="T44" s="138"/>
      <c r="U44" s="138"/>
      <c r="Z44" s="148"/>
      <c r="AA44" s="148"/>
      <c r="AB44" s="145"/>
    </row>
    <row r="45" spans="1:28" ht="26.25" thickBot="1">
      <c r="A45" s="83" t="s">
        <v>0</v>
      </c>
      <c r="B45" s="84" t="s">
        <v>31</v>
      </c>
      <c r="C45" s="84" t="s">
        <v>54</v>
      </c>
      <c r="D45" s="120" t="s">
        <v>57</v>
      </c>
      <c r="E45" s="87" t="s">
        <v>44</v>
      </c>
      <c r="F45" s="88" t="s">
        <v>8</v>
      </c>
      <c r="G45" s="88" t="s">
        <v>7</v>
      </c>
      <c r="H45" s="89" t="s">
        <v>68</v>
      </c>
      <c r="I45" s="86" t="s">
        <v>27</v>
      </c>
      <c r="J45" s="86" t="s">
        <v>11</v>
      </c>
      <c r="K45" s="86" t="s">
        <v>10</v>
      </c>
      <c r="L45" s="93" t="s">
        <v>9</v>
      </c>
      <c r="M45" s="139" t="s">
        <v>12</v>
      </c>
      <c r="N45" s="162" t="s">
        <v>2</v>
      </c>
      <c r="O45" s="95" t="s">
        <v>3</v>
      </c>
      <c r="P45" s="95" t="s">
        <v>4</v>
      </c>
      <c r="Q45" s="163" t="s">
        <v>5</v>
      </c>
      <c r="R45" s="167" t="s">
        <v>47</v>
      </c>
      <c r="S45" s="160" t="s">
        <v>21</v>
      </c>
      <c r="T45" s="146" t="s">
        <v>80</v>
      </c>
      <c r="U45" s="146"/>
      <c r="V45" s="39"/>
      <c r="W45" s="39"/>
      <c r="X45" s="39"/>
      <c r="Y45" s="39"/>
      <c r="Z45" s="147"/>
      <c r="AA45" s="147"/>
      <c r="AB45" s="39"/>
    </row>
    <row r="46" spans="1:28" ht="13.5" thickBot="1">
      <c r="A46" s="30" t="s">
        <v>55</v>
      </c>
      <c r="B46" s="30" t="s">
        <v>56</v>
      </c>
      <c r="C46" s="121">
        <v>1</v>
      </c>
      <c r="D46" s="123">
        <f>IF(C46=1,$B$69,0)</f>
        <v>50</v>
      </c>
      <c r="E46" s="173"/>
      <c r="F46" s="124">
        <v>41662</v>
      </c>
      <c r="G46" s="53">
        <v>41664</v>
      </c>
      <c r="H46" s="127">
        <v>1</v>
      </c>
      <c r="I46" s="78" t="str">
        <f>IF(F46=0,0,IF(F46&lt;$E$34,"LIVRABLE","PAS LIVRABLE"))</f>
        <v>LIVRABLE</v>
      </c>
      <c r="J46" s="35">
        <v>20700</v>
      </c>
      <c r="K46" s="46"/>
      <c r="L46" s="46" t="s">
        <v>24</v>
      </c>
      <c r="M46" s="19">
        <v>5000</v>
      </c>
      <c r="N46" s="170">
        <v>1</v>
      </c>
      <c r="O46" s="171"/>
      <c r="P46" s="172"/>
      <c r="Q46" s="164"/>
      <c r="R46" s="168"/>
      <c r="S46" s="161">
        <f>IF(AND(C46=1,H46=1,3000&lt;=M46&lt;=4999),$B$70+$B$71,IF(AND(C46=1,H46=1,M46&gt;=5000),$B$70+$B$72,IF(AND(C46=1,H46=1,M46=0),$B$70,0)))</f>
        <v>60</v>
      </c>
      <c r="T46" s="146">
        <f>S46+D46</f>
        <v>110</v>
      </c>
      <c r="U46" s="146"/>
      <c r="V46" s="39"/>
      <c r="W46" s="39" t="s">
        <v>86</v>
      </c>
      <c r="X46" s="39">
        <v>8800</v>
      </c>
      <c r="Y46" s="39">
        <v>11700</v>
      </c>
      <c r="Z46" s="39"/>
      <c r="AA46" s="39"/>
      <c r="AB46" s="39"/>
    </row>
    <row r="47" spans="1:28" ht="13.5" thickBot="1">
      <c r="A47" s="31" t="s">
        <v>72</v>
      </c>
      <c r="B47" s="31" t="s">
        <v>71</v>
      </c>
      <c r="C47" s="122">
        <v>1</v>
      </c>
      <c r="D47" s="123">
        <f t="shared" ref="D47:D66" si="10">IF(C47=1,$B$69,0)</f>
        <v>50</v>
      </c>
      <c r="E47" s="174">
        <v>120</v>
      </c>
      <c r="F47" s="125">
        <v>41674</v>
      </c>
      <c r="G47" s="54">
        <v>41666</v>
      </c>
      <c r="H47" s="128">
        <v>1</v>
      </c>
      <c r="I47" s="78" t="str">
        <f t="shared" ref="I47:I66" si="11">IF(F47=0,0,IF(F47&lt;$E$34,"LIVRABLE","PAS LIVRABLE"))</f>
        <v>PAS LIVRABLE</v>
      </c>
      <c r="J47" s="49">
        <v>13800</v>
      </c>
      <c r="K47" s="47"/>
      <c r="L47" s="47"/>
      <c r="M47" s="20"/>
      <c r="N47" s="140"/>
      <c r="O47" s="136"/>
      <c r="P47" s="136"/>
      <c r="Q47" s="165"/>
      <c r="R47" s="168"/>
      <c r="S47" s="161">
        <f t="shared" ref="S47:S66" si="12">IF(AND(C47=1,H47=1,3000&lt;=M47&lt;=4999),$B$70+$B$71,IF(AND(C47=1,H47=1,M47&gt;=5000),$B$70+$B$72,IF(AND(C47=1,H47=1,M47=0),$B$70,0)))</f>
        <v>10</v>
      </c>
      <c r="T47" s="146">
        <f t="shared" ref="T47:T66" si="13">S47+D47</f>
        <v>60</v>
      </c>
      <c r="U47" s="146"/>
      <c r="V47" s="39"/>
      <c r="W47" s="39" t="s">
        <v>85</v>
      </c>
      <c r="X47" s="39">
        <v>1250</v>
      </c>
      <c r="Y47" s="39">
        <v>1700</v>
      </c>
      <c r="Z47" s="39"/>
      <c r="AA47" s="39"/>
      <c r="AB47" s="39"/>
    </row>
    <row r="48" spans="1:28" ht="13.5" thickBot="1">
      <c r="A48" s="31" t="s">
        <v>73</v>
      </c>
      <c r="B48" s="31" t="s">
        <v>74</v>
      </c>
      <c r="C48" s="122">
        <v>1</v>
      </c>
      <c r="D48" s="123">
        <f t="shared" si="10"/>
        <v>50</v>
      </c>
      <c r="E48" s="174">
        <v>90</v>
      </c>
      <c r="F48" s="125">
        <v>41680</v>
      </c>
      <c r="G48" s="54">
        <v>41666</v>
      </c>
      <c r="H48" s="129">
        <v>1</v>
      </c>
      <c r="I48" s="78" t="str">
        <f t="shared" si="11"/>
        <v>PAS LIVRABLE</v>
      </c>
      <c r="J48" s="36">
        <v>7900</v>
      </c>
      <c r="K48" s="47"/>
      <c r="L48" s="47"/>
      <c r="M48" s="20"/>
      <c r="N48" s="140"/>
      <c r="O48" s="136"/>
      <c r="P48" s="136"/>
      <c r="Q48" s="165"/>
      <c r="R48" s="168"/>
      <c r="S48" s="161">
        <f t="shared" si="12"/>
        <v>10</v>
      </c>
      <c r="T48" s="146">
        <f t="shared" si="13"/>
        <v>60</v>
      </c>
      <c r="U48" s="146"/>
      <c r="V48" s="39"/>
      <c r="W48" s="39"/>
      <c r="X48" s="39"/>
      <c r="Y48" s="39"/>
      <c r="Z48" s="39"/>
      <c r="AA48" s="39"/>
      <c r="AB48" s="39"/>
    </row>
    <row r="49" spans="1:28" ht="13.5" thickBot="1">
      <c r="A49" s="31" t="s">
        <v>76</v>
      </c>
      <c r="B49" s="31" t="s">
        <v>75</v>
      </c>
      <c r="C49" s="122">
        <v>1</v>
      </c>
      <c r="D49" s="123">
        <f t="shared" si="10"/>
        <v>50</v>
      </c>
      <c r="E49" s="174"/>
      <c r="F49" s="125">
        <v>41685</v>
      </c>
      <c r="G49" s="54">
        <v>41664</v>
      </c>
      <c r="H49" s="129"/>
      <c r="I49" s="78" t="str">
        <f t="shared" si="11"/>
        <v>PAS LIVRABLE</v>
      </c>
      <c r="J49" s="36">
        <v>11000</v>
      </c>
      <c r="K49" s="47"/>
      <c r="L49" s="47"/>
      <c r="M49" s="20"/>
      <c r="N49" s="140"/>
      <c r="O49" s="136"/>
      <c r="P49" s="136"/>
      <c r="Q49" s="165"/>
      <c r="R49" s="168"/>
      <c r="S49" s="161">
        <f t="shared" si="12"/>
        <v>0</v>
      </c>
      <c r="T49" s="146">
        <f t="shared" si="13"/>
        <v>50</v>
      </c>
      <c r="U49" s="146"/>
      <c r="V49" s="39"/>
      <c r="W49" s="39"/>
      <c r="X49" s="39"/>
      <c r="Y49" s="39"/>
      <c r="Z49" s="39"/>
      <c r="AA49" s="39"/>
      <c r="AB49" s="39"/>
    </row>
    <row r="50" spans="1:28" ht="13.5" thickBot="1">
      <c r="A50" s="31" t="s">
        <v>78</v>
      </c>
      <c r="B50" s="31" t="s">
        <v>79</v>
      </c>
      <c r="C50" s="122">
        <v>1</v>
      </c>
      <c r="D50" s="123">
        <f t="shared" si="10"/>
        <v>50</v>
      </c>
      <c r="E50" s="174"/>
      <c r="F50" s="125">
        <v>41669</v>
      </c>
      <c r="G50" s="54">
        <v>41690</v>
      </c>
      <c r="H50" s="129"/>
      <c r="I50" s="78" t="str">
        <f t="shared" si="11"/>
        <v>LIVRABLE</v>
      </c>
      <c r="J50" s="36"/>
      <c r="K50" s="47"/>
      <c r="L50" s="47"/>
      <c r="M50" s="20"/>
      <c r="N50" s="140"/>
      <c r="O50" s="136"/>
      <c r="P50" s="136"/>
      <c r="Q50" s="165"/>
      <c r="R50" s="168"/>
      <c r="S50" s="161">
        <f t="shared" si="12"/>
        <v>0</v>
      </c>
      <c r="T50" s="146">
        <f t="shared" si="13"/>
        <v>50</v>
      </c>
      <c r="U50" s="146"/>
      <c r="V50" s="39"/>
      <c r="W50" s="39" t="s">
        <v>87</v>
      </c>
      <c r="X50" s="39">
        <v>8000</v>
      </c>
      <c r="Y50" s="39"/>
      <c r="Z50" s="39"/>
      <c r="AA50" s="39"/>
      <c r="AB50" s="39"/>
    </row>
    <row r="51" spans="1:28" ht="13.5" thickBot="1">
      <c r="A51" s="31"/>
      <c r="B51" s="31"/>
      <c r="C51" s="122"/>
      <c r="D51" s="123">
        <f t="shared" si="10"/>
        <v>0</v>
      </c>
      <c r="E51" s="174"/>
      <c r="F51" s="125"/>
      <c r="G51" s="54"/>
      <c r="H51" s="129"/>
      <c r="I51" s="78">
        <f t="shared" si="11"/>
        <v>0</v>
      </c>
      <c r="J51" s="36"/>
      <c r="K51" s="47"/>
      <c r="L51" s="47"/>
      <c r="M51" s="20"/>
      <c r="N51" s="140"/>
      <c r="O51" s="136"/>
      <c r="P51" s="136"/>
      <c r="Q51" s="165"/>
      <c r="R51" s="168"/>
      <c r="S51" s="161">
        <f t="shared" si="12"/>
        <v>0</v>
      </c>
      <c r="T51" s="146">
        <f t="shared" si="13"/>
        <v>0</v>
      </c>
      <c r="U51" s="146"/>
      <c r="V51" s="39"/>
      <c r="W51" s="39"/>
      <c r="X51" s="39"/>
      <c r="Y51" s="39"/>
      <c r="Z51" s="39"/>
      <c r="AA51" s="39"/>
      <c r="AB51" s="39"/>
    </row>
    <row r="52" spans="1:28" ht="13.5" thickBot="1">
      <c r="A52" s="31"/>
      <c r="B52" s="31"/>
      <c r="C52" s="122"/>
      <c r="D52" s="123">
        <f t="shared" si="10"/>
        <v>0</v>
      </c>
      <c r="E52" s="174"/>
      <c r="F52" s="125"/>
      <c r="G52" s="54"/>
      <c r="H52" s="129"/>
      <c r="I52" s="78">
        <f t="shared" si="11"/>
        <v>0</v>
      </c>
      <c r="J52" s="36"/>
      <c r="K52" s="47"/>
      <c r="L52" s="47"/>
      <c r="M52" s="20"/>
      <c r="N52" s="140"/>
      <c r="O52" s="136"/>
      <c r="P52" s="136"/>
      <c r="Q52" s="165"/>
      <c r="R52" s="168"/>
      <c r="S52" s="161">
        <f t="shared" si="12"/>
        <v>0</v>
      </c>
      <c r="T52" s="146">
        <f t="shared" si="13"/>
        <v>0</v>
      </c>
      <c r="U52" s="146"/>
      <c r="V52" s="39"/>
      <c r="W52" s="39"/>
      <c r="X52" s="39"/>
      <c r="Y52" s="39"/>
      <c r="Z52" s="39"/>
      <c r="AA52" s="39"/>
      <c r="AB52" s="39"/>
    </row>
    <row r="53" spans="1:28" ht="13.5" thickBot="1">
      <c r="A53" s="31"/>
      <c r="B53" s="31"/>
      <c r="C53" s="122"/>
      <c r="D53" s="123">
        <f t="shared" si="10"/>
        <v>0</v>
      </c>
      <c r="E53" s="174"/>
      <c r="F53" s="125"/>
      <c r="G53" s="54"/>
      <c r="H53" s="129"/>
      <c r="I53" s="78">
        <f t="shared" si="11"/>
        <v>0</v>
      </c>
      <c r="J53" s="36"/>
      <c r="K53" s="47"/>
      <c r="L53" s="47"/>
      <c r="M53" s="20"/>
      <c r="N53" s="140"/>
      <c r="O53" s="136"/>
      <c r="P53" s="136"/>
      <c r="Q53" s="165"/>
      <c r="R53" s="168"/>
      <c r="S53" s="161">
        <f t="shared" si="12"/>
        <v>0</v>
      </c>
      <c r="T53" s="146">
        <f t="shared" si="13"/>
        <v>0</v>
      </c>
      <c r="U53" s="146"/>
      <c r="V53" s="39"/>
      <c r="W53" s="39"/>
      <c r="X53" s="39"/>
      <c r="Y53" s="39"/>
      <c r="Z53" s="39"/>
      <c r="AA53" s="39"/>
      <c r="AB53" s="39"/>
    </row>
    <row r="54" spans="1:28" ht="13.5" thickBot="1">
      <c r="A54" s="31"/>
      <c r="B54" s="31"/>
      <c r="C54" s="122"/>
      <c r="D54" s="123">
        <f t="shared" si="10"/>
        <v>0</v>
      </c>
      <c r="E54" s="174"/>
      <c r="F54" s="125"/>
      <c r="G54" s="54"/>
      <c r="H54" s="129"/>
      <c r="I54" s="78">
        <f t="shared" si="11"/>
        <v>0</v>
      </c>
      <c r="J54" s="36"/>
      <c r="K54" s="47"/>
      <c r="L54" s="47"/>
      <c r="M54" s="20"/>
      <c r="N54" s="140"/>
      <c r="O54" s="136"/>
      <c r="P54" s="136"/>
      <c r="Q54" s="165"/>
      <c r="R54" s="168"/>
      <c r="S54" s="161">
        <f t="shared" si="12"/>
        <v>0</v>
      </c>
      <c r="T54" s="146">
        <f t="shared" si="13"/>
        <v>0</v>
      </c>
      <c r="U54" s="146"/>
      <c r="V54" s="39"/>
      <c r="W54" s="39"/>
      <c r="X54" s="39"/>
      <c r="Y54" s="39"/>
      <c r="Z54" s="39"/>
      <c r="AA54" s="39"/>
      <c r="AB54" s="39"/>
    </row>
    <row r="55" spans="1:28" ht="13.5" thickBot="1">
      <c r="A55" s="31"/>
      <c r="B55" s="31"/>
      <c r="C55" s="122"/>
      <c r="D55" s="123">
        <f t="shared" si="10"/>
        <v>0</v>
      </c>
      <c r="E55" s="174"/>
      <c r="F55" s="125"/>
      <c r="G55" s="54"/>
      <c r="H55" s="129"/>
      <c r="I55" s="78">
        <f t="shared" si="11"/>
        <v>0</v>
      </c>
      <c r="J55" s="36"/>
      <c r="K55" s="47"/>
      <c r="L55" s="47"/>
      <c r="M55" s="20"/>
      <c r="N55" s="140"/>
      <c r="O55" s="136"/>
      <c r="P55" s="136"/>
      <c r="Q55" s="165"/>
      <c r="R55" s="168"/>
      <c r="S55" s="161">
        <f t="shared" si="12"/>
        <v>0</v>
      </c>
      <c r="T55" s="146">
        <f t="shared" si="13"/>
        <v>0</v>
      </c>
      <c r="U55" s="146"/>
      <c r="V55" s="39"/>
      <c r="W55" s="39"/>
      <c r="X55" s="39"/>
      <c r="Y55" s="39"/>
      <c r="Z55" s="39"/>
      <c r="AA55" s="39"/>
      <c r="AB55" s="39"/>
    </row>
    <row r="56" spans="1:28" ht="13.5" thickBot="1">
      <c r="A56" s="31"/>
      <c r="B56" s="31"/>
      <c r="C56" s="122"/>
      <c r="D56" s="123">
        <f t="shared" si="10"/>
        <v>0</v>
      </c>
      <c r="E56" s="174"/>
      <c r="F56" s="125"/>
      <c r="G56" s="54"/>
      <c r="H56" s="129"/>
      <c r="I56" s="78">
        <f t="shared" si="11"/>
        <v>0</v>
      </c>
      <c r="J56" s="36"/>
      <c r="K56" s="47"/>
      <c r="L56" s="47"/>
      <c r="M56" s="20"/>
      <c r="N56" s="140"/>
      <c r="O56" s="136"/>
      <c r="P56" s="136"/>
      <c r="Q56" s="165"/>
      <c r="R56" s="168"/>
      <c r="S56" s="161">
        <f t="shared" si="12"/>
        <v>0</v>
      </c>
      <c r="T56" s="146">
        <f t="shared" si="13"/>
        <v>0</v>
      </c>
      <c r="U56" s="146"/>
      <c r="V56" s="39"/>
      <c r="W56" s="39"/>
      <c r="X56" s="39"/>
      <c r="Y56" s="39"/>
      <c r="Z56" s="39"/>
      <c r="AA56" s="39"/>
      <c r="AB56" s="39"/>
    </row>
    <row r="57" spans="1:28" ht="13.5" thickBot="1">
      <c r="A57" s="31"/>
      <c r="B57" s="31"/>
      <c r="C57" s="122"/>
      <c r="D57" s="123">
        <f t="shared" si="10"/>
        <v>0</v>
      </c>
      <c r="E57" s="174"/>
      <c r="F57" s="125"/>
      <c r="G57" s="54"/>
      <c r="H57" s="129"/>
      <c r="I57" s="78">
        <f t="shared" si="11"/>
        <v>0</v>
      </c>
      <c r="J57" s="36"/>
      <c r="K57" s="47"/>
      <c r="L57" s="47"/>
      <c r="M57" s="20"/>
      <c r="N57" s="140"/>
      <c r="O57" s="136"/>
      <c r="P57" s="136"/>
      <c r="Q57" s="165"/>
      <c r="R57" s="168"/>
      <c r="S57" s="161">
        <f t="shared" si="12"/>
        <v>0</v>
      </c>
      <c r="T57" s="146">
        <f t="shared" si="13"/>
        <v>0</v>
      </c>
      <c r="U57" s="146"/>
      <c r="V57" s="39"/>
      <c r="W57" s="39"/>
      <c r="X57" s="39"/>
      <c r="Y57" s="39"/>
      <c r="Z57" s="39"/>
      <c r="AA57" s="39"/>
      <c r="AB57" s="39"/>
    </row>
    <row r="58" spans="1:28" ht="13.5" thickBot="1">
      <c r="A58" s="31"/>
      <c r="B58" s="31"/>
      <c r="C58" s="122"/>
      <c r="D58" s="123">
        <f t="shared" si="10"/>
        <v>0</v>
      </c>
      <c r="E58" s="174"/>
      <c r="F58" s="125"/>
      <c r="G58" s="54"/>
      <c r="H58" s="129"/>
      <c r="I58" s="78">
        <f t="shared" si="11"/>
        <v>0</v>
      </c>
      <c r="J58" s="36"/>
      <c r="K58" s="47"/>
      <c r="L58" s="47"/>
      <c r="M58" s="20"/>
      <c r="N58" s="140"/>
      <c r="O58" s="136"/>
      <c r="P58" s="136"/>
      <c r="Q58" s="165"/>
      <c r="R58" s="168"/>
      <c r="S58" s="161">
        <f t="shared" si="12"/>
        <v>0</v>
      </c>
      <c r="T58" s="146">
        <f t="shared" si="13"/>
        <v>0</v>
      </c>
      <c r="U58" s="146"/>
      <c r="V58" s="39"/>
      <c r="W58" s="39"/>
      <c r="X58" s="39"/>
      <c r="Y58" s="39"/>
      <c r="Z58" s="39"/>
      <c r="AA58" s="39"/>
      <c r="AB58" s="39"/>
    </row>
    <row r="59" spans="1:28" ht="13.5" thickBot="1">
      <c r="A59" s="31"/>
      <c r="B59" s="31"/>
      <c r="C59" s="122"/>
      <c r="D59" s="123">
        <f t="shared" si="10"/>
        <v>0</v>
      </c>
      <c r="E59" s="174"/>
      <c r="F59" s="125"/>
      <c r="G59" s="54"/>
      <c r="H59" s="129"/>
      <c r="I59" s="78">
        <f t="shared" si="11"/>
        <v>0</v>
      </c>
      <c r="J59" s="36"/>
      <c r="K59" s="47"/>
      <c r="L59" s="47"/>
      <c r="M59" s="20"/>
      <c r="N59" s="140"/>
      <c r="O59" s="136"/>
      <c r="P59" s="136"/>
      <c r="Q59" s="165"/>
      <c r="R59" s="168"/>
      <c r="S59" s="161">
        <f t="shared" si="12"/>
        <v>0</v>
      </c>
      <c r="T59" s="146">
        <f t="shared" si="13"/>
        <v>0</v>
      </c>
      <c r="U59" s="146"/>
      <c r="V59" s="39"/>
      <c r="W59" s="39"/>
      <c r="X59" s="39"/>
      <c r="Y59" s="39"/>
      <c r="Z59" s="39"/>
      <c r="AA59" s="39"/>
      <c r="AB59" s="39"/>
    </row>
    <row r="60" spans="1:28" ht="13.5" thickBot="1">
      <c r="A60" s="31"/>
      <c r="B60" s="31"/>
      <c r="C60" s="122"/>
      <c r="D60" s="123">
        <f t="shared" si="10"/>
        <v>0</v>
      </c>
      <c r="E60" s="174"/>
      <c r="F60" s="125"/>
      <c r="G60" s="54"/>
      <c r="H60" s="129"/>
      <c r="I60" s="78">
        <f t="shared" si="11"/>
        <v>0</v>
      </c>
      <c r="J60" s="36"/>
      <c r="K60" s="47"/>
      <c r="L60" s="47"/>
      <c r="M60" s="20"/>
      <c r="N60" s="140"/>
      <c r="O60" s="136"/>
      <c r="P60" s="136"/>
      <c r="Q60" s="165"/>
      <c r="R60" s="168"/>
      <c r="S60" s="161">
        <f t="shared" si="12"/>
        <v>0</v>
      </c>
      <c r="T60" s="146">
        <f t="shared" si="13"/>
        <v>0</v>
      </c>
      <c r="U60" s="146"/>
      <c r="V60" s="39"/>
      <c r="W60" s="39"/>
      <c r="X60" s="39"/>
      <c r="Y60" s="39"/>
      <c r="Z60" s="39"/>
      <c r="AA60" s="39"/>
      <c r="AB60" s="39"/>
    </row>
    <row r="61" spans="1:28" ht="13.5" thickBot="1">
      <c r="A61" s="31"/>
      <c r="B61" s="31"/>
      <c r="C61" s="122"/>
      <c r="D61" s="123">
        <f t="shared" si="10"/>
        <v>0</v>
      </c>
      <c r="E61" s="174"/>
      <c r="F61" s="125"/>
      <c r="G61" s="54"/>
      <c r="H61" s="129"/>
      <c r="I61" s="78">
        <f t="shared" si="11"/>
        <v>0</v>
      </c>
      <c r="J61" s="36"/>
      <c r="K61" s="47"/>
      <c r="L61" s="47"/>
      <c r="M61" s="20"/>
      <c r="N61" s="140"/>
      <c r="O61" s="136"/>
      <c r="P61" s="136"/>
      <c r="Q61" s="165"/>
      <c r="R61" s="168"/>
      <c r="S61" s="161">
        <f t="shared" si="12"/>
        <v>0</v>
      </c>
      <c r="T61" s="146">
        <f t="shared" si="13"/>
        <v>0</v>
      </c>
      <c r="U61" s="146"/>
      <c r="V61" s="39"/>
      <c r="W61" s="39"/>
      <c r="X61" s="39"/>
      <c r="Y61" s="39"/>
      <c r="Z61" s="39"/>
      <c r="AA61" s="39"/>
      <c r="AB61" s="39"/>
    </row>
    <row r="62" spans="1:28" ht="13.5" thickBot="1">
      <c r="A62" s="31"/>
      <c r="B62" s="31"/>
      <c r="C62" s="122"/>
      <c r="D62" s="123">
        <f t="shared" si="10"/>
        <v>0</v>
      </c>
      <c r="E62" s="174"/>
      <c r="F62" s="125"/>
      <c r="G62" s="54"/>
      <c r="H62" s="129"/>
      <c r="I62" s="78">
        <f t="shared" si="11"/>
        <v>0</v>
      </c>
      <c r="J62" s="36"/>
      <c r="K62" s="47"/>
      <c r="L62" s="47"/>
      <c r="M62" s="20"/>
      <c r="N62" s="140"/>
      <c r="O62" s="136"/>
      <c r="P62" s="136"/>
      <c r="Q62" s="165"/>
      <c r="R62" s="168"/>
      <c r="S62" s="161">
        <f t="shared" si="12"/>
        <v>0</v>
      </c>
      <c r="T62" s="146">
        <f t="shared" si="13"/>
        <v>0</v>
      </c>
      <c r="U62" s="146"/>
      <c r="V62" s="39"/>
      <c r="W62" s="39"/>
      <c r="X62" s="39"/>
      <c r="Y62" s="39"/>
      <c r="Z62" s="39"/>
      <c r="AA62" s="39"/>
      <c r="AB62" s="39"/>
    </row>
    <row r="63" spans="1:28" ht="13.5" thickBot="1">
      <c r="A63" s="31"/>
      <c r="B63" s="31"/>
      <c r="C63" s="122"/>
      <c r="D63" s="123">
        <f t="shared" si="10"/>
        <v>0</v>
      </c>
      <c r="E63" s="174"/>
      <c r="F63" s="125"/>
      <c r="G63" s="54"/>
      <c r="H63" s="129"/>
      <c r="I63" s="78">
        <f t="shared" si="11"/>
        <v>0</v>
      </c>
      <c r="J63" s="36"/>
      <c r="K63" s="47"/>
      <c r="L63" s="47"/>
      <c r="M63" s="20"/>
      <c r="N63" s="140"/>
      <c r="O63" s="136"/>
      <c r="P63" s="136"/>
      <c r="Q63" s="165"/>
      <c r="R63" s="168"/>
      <c r="S63" s="161">
        <f t="shared" si="12"/>
        <v>0</v>
      </c>
      <c r="T63" s="146">
        <f t="shared" si="13"/>
        <v>0</v>
      </c>
      <c r="U63" s="146"/>
      <c r="V63" s="39"/>
      <c r="W63" s="39"/>
      <c r="X63" s="39"/>
      <c r="Y63" s="39"/>
      <c r="Z63" s="39"/>
      <c r="AA63" s="39"/>
      <c r="AB63" s="39"/>
    </row>
    <row r="64" spans="1:28" ht="13.5" thickBot="1">
      <c r="A64" s="31"/>
      <c r="B64" s="31"/>
      <c r="C64" s="122"/>
      <c r="D64" s="123">
        <f t="shared" si="10"/>
        <v>0</v>
      </c>
      <c r="E64" s="174"/>
      <c r="F64" s="125"/>
      <c r="G64" s="54"/>
      <c r="H64" s="129"/>
      <c r="I64" s="78">
        <f t="shared" si="11"/>
        <v>0</v>
      </c>
      <c r="J64" s="36"/>
      <c r="K64" s="47"/>
      <c r="L64" s="47"/>
      <c r="M64" s="20"/>
      <c r="N64" s="140"/>
      <c r="O64" s="136"/>
      <c r="P64" s="136"/>
      <c r="Q64" s="165"/>
      <c r="R64" s="168"/>
      <c r="S64" s="161">
        <f t="shared" si="12"/>
        <v>0</v>
      </c>
      <c r="T64" s="146">
        <f t="shared" si="13"/>
        <v>0</v>
      </c>
      <c r="U64" s="146"/>
      <c r="V64" s="39"/>
      <c r="W64" s="39"/>
      <c r="X64" s="39"/>
      <c r="Y64" s="39"/>
      <c r="Z64" s="39"/>
      <c r="AA64" s="39"/>
      <c r="AB64" s="39"/>
    </row>
    <row r="65" spans="1:28" ht="13.5" thickBot="1">
      <c r="A65" s="31"/>
      <c r="B65" s="31"/>
      <c r="C65" s="122"/>
      <c r="D65" s="123">
        <f t="shared" si="10"/>
        <v>0</v>
      </c>
      <c r="E65" s="174"/>
      <c r="F65" s="125"/>
      <c r="G65" s="54"/>
      <c r="H65" s="129"/>
      <c r="I65" s="78">
        <f t="shared" si="11"/>
        <v>0</v>
      </c>
      <c r="J65" s="36"/>
      <c r="K65" s="47"/>
      <c r="L65" s="47"/>
      <c r="M65" s="20"/>
      <c r="N65" s="140"/>
      <c r="O65" s="136"/>
      <c r="P65" s="136"/>
      <c r="Q65" s="165"/>
      <c r="R65" s="168"/>
      <c r="S65" s="161">
        <f t="shared" si="12"/>
        <v>0</v>
      </c>
      <c r="T65" s="146">
        <f t="shared" si="13"/>
        <v>0</v>
      </c>
      <c r="U65" s="146"/>
      <c r="V65" s="39"/>
      <c r="W65" s="39"/>
      <c r="X65" s="39"/>
      <c r="Y65" s="39"/>
      <c r="Z65" s="39"/>
      <c r="AA65" s="39"/>
      <c r="AB65" s="39"/>
    </row>
    <row r="66" spans="1:28" ht="13.5" thickBot="1">
      <c r="A66" s="32"/>
      <c r="B66" s="32"/>
      <c r="C66" s="131"/>
      <c r="D66" s="123">
        <f t="shared" si="10"/>
        <v>0</v>
      </c>
      <c r="E66" s="175"/>
      <c r="F66" s="126"/>
      <c r="G66" s="55"/>
      <c r="H66" s="130"/>
      <c r="I66" s="78">
        <f t="shared" si="11"/>
        <v>0</v>
      </c>
      <c r="J66" s="37"/>
      <c r="K66" s="48"/>
      <c r="L66" s="48"/>
      <c r="M66" s="21"/>
      <c r="N66" s="141"/>
      <c r="O66" s="137"/>
      <c r="P66" s="137"/>
      <c r="Q66" s="166"/>
      <c r="R66" s="169"/>
      <c r="S66" s="161">
        <f t="shared" si="12"/>
        <v>0</v>
      </c>
      <c r="T66" s="146">
        <f t="shared" si="13"/>
        <v>0</v>
      </c>
      <c r="U66" s="146"/>
      <c r="V66" s="39"/>
      <c r="W66" s="39"/>
      <c r="X66" s="39"/>
      <c r="Y66" s="39"/>
      <c r="Z66" s="39"/>
      <c r="AA66" s="39"/>
      <c r="AB66" s="39"/>
    </row>
    <row r="67" spans="1:28" ht="13.5" thickBot="1">
      <c r="C67" s="132">
        <f>SUM(C46:C66)</f>
        <v>5</v>
      </c>
      <c r="D67" s="39"/>
      <c r="G67" s="75" t="s">
        <v>50</v>
      </c>
      <c r="H67" s="76"/>
      <c r="I67" s="77">
        <f>COUNTIF(I46:I66,"LIVRABLE")</f>
        <v>2</v>
      </c>
    </row>
    <row r="68" spans="1:28" ht="13.5" thickBot="1"/>
    <row r="69" spans="1:28">
      <c r="A69" s="3" t="s">
        <v>58</v>
      </c>
      <c r="B69" s="142">
        <v>50</v>
      </c>
    </row>
    <row r="70" spans="1:28">
      <c r="A70" s="6" t="s">
        <v>59</v>
      </c>
      <c r="B70" s="143">
        <v>10</v>
      </c>
    </row>
    <row r="71" spans="1:28">
      <c r="A71" s="6" t="s">
        <v>60</v>
      </c>
      <c r="B71" s="143">
        <v>20</v>
      </c>
      <c r="C71" t="s">
        <v>62</v>
      </c>
    </row>
    <row r="72" spans="1:28" ht="13.5" thickBot="1">
      <c r="A72" s="8" t="s">
        <v>61</v>
      </c>
      <c r="B72" s="144">
        <v>50</v>
      </c>
      <c r="C72" t="s">
        <v>63</v>
      </c>
    </row>
  </sheetData>
  <mergeCells count="19">
    <mergeCell ref="A1:AB1"/>
    <mergeCell ref="A2:T2"/>
    <mergeCell ref="V2:Y2"/>
    <mergeCell ref="C26:D26"/>
    <mergeCell ref="G35:J35"/>
    <mergeCell ref="K35:M35"/>
    <mergeCell ref="A36:C36"/>
    <mergeCell ref="G36:J36"/>
    <mergeCell ref="K36:M36"/>
    <mergeCell ref="C27:D27"/>
    <mergeCell ref="C28:D28"/>
    <mergeCell ref="C29:D29"/>
    <mergeCell ref="A35:C35"/>
    <mergeCell ref="A41:B41"/>
    <mergeCell ref="O44:R44"/>
    <mergeCell ref="G37:J37"/>
    <mergeCell ref="K37:M37"/>
    <mergeCell ref="A39:G39"/>
    <mergeCell ref="A40:B40"/>
  </mergeCells>
  <phoneticPr fontId="2" type="noConversion"/>
  <conditionalFormatting sqref="I46:I66 I4:I24">
    <cfRule type="expression" dxfId="1" priority="1" stopIfTrue="1">
      <formula>"D4&lt;$C$30"</formula>
    </cfRule>
    <cfRule type="expression" dxfId="0" priority="2" stopIfTrue="1">
      <formula>"D4&gt;$C$30"</formula>
    </cfRule>
  </conditionalFormatting>
  <pageMargins left="0.75" right="0.75" top="1" bottom="1" header="0.4921259845" footer="0.4921259845"/>
  <headerFooter alignWithMargins="0"/>
</worksheet>
</file>

<file path=xl/worksheets/sheet4.xml><?xml version="1.0" encoding="utf-8"?>
<worksheet xmlns="http://schemas.openxmlformats.org/spreadsheetml/2006/main" xmlns:r="http://schemas.openxmlformats.org/officeDocument/2006/relationships">
  <dimension ref="A1"/>
  <sheetViews>
    <sheetView topLeftCell="A22" workbookViewId="0"/>
  </sheetViews>
  <sheetFormatPr defaultColWidth="11.42578125" defaultRowHeight="12.75"/>
  <sheetData/>
  <phoneticPr fontId="2" type="noConversion"/>
  <pageMargins left="0.75" right="0.75" top="1" bottom="1" header="0.4921259845" footer="0.4921259845"/>
  <headerFooter alignWithMargins="0"/>
</worksheet>
</file>

<file path=xl/worksheets/sheet5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defaultColWidth="11.42578125" defaultRowHeight="12.75"/>
  <sheetData/>
  <phoneticPr fontId="2" type="noConversion"/>
  <pageMargins left="0.75" right="0.75" top="1" bottom="1" header="0.4921259845" footer="0.4921259845"/>
  <headerFooter alignWithMargins="0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Worksheets</vt:lpstr>
      </vt:variant>
      <vt:variant>
        <vt:i4>5</vt:i4>
      </vt:variant>
    </vt:vector>
  </HeadingPairs>
  <TitlesOfParts>
    <vt:vector size="5" baseType="lpstr">
      <vt:lpstr>Janvier</vt:lpstr>
      <vt:lpstr>Fevrier</vt:lpstr>
      <vt:lpstr>Mars</vt:lpstr>
      <vt:lpstr>Avril</vt:lpstr>
      <vt:lpstr>Mai</vt:lpstr>
    </vt:vector>
  </TitlesOfParts>
  <Company>CITROEN</Company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CITROEN</dc:creator>
  <cp:lastModifiedBy>AMaffei</cp:lastModifiedBy>
  <dcterms:created xsi:type="dcterms:W3CDTF">2014-01-09T15:18:17Z</dcterms:created>
  <dcterms:modified xsi:type="dcterms:W3CDTF">2014-02-25T15:54:14Z</dcterms:modified>
</cp:coreProperties>
</file>