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drawings/drawing2.xml" ContentType="application/vnd.openxmlformats-officedocument.drawing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drawings/drawing3.xml" ContentType="application/vnd.openxmlformats-officedocument.drawing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drawings/drawing4.xml" ContentType="application/vnd.openxmlformats-officedocument.drawing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charts/chart15.xml" ContentType="application/vnd.openxmlformats-officedocument.drawingml.chart+xml"/>
  <Override PartName="/xl/charts/chart16.xml" ContentType="application/vnd.openxmlformats-officedocument.drawingml.chart+xml"/>
  <Override PartName="/xl/drawings/drawing5.xml" ContentType="application/vnd.openxmlformats-officedocument.drawing+xml"/>
  <Override PartName="/xl/charts/chart17.xml" ContentType="application/vnd.openxmlformats-officedocument.drawingml.chart+xml"/>
  <Override PartName="/xl/charts/chart18.xml" ContentType="application/vnd.openxmlformats-officedocument.drawingml.chart+xml"/>
  <Override PartName="/xl/charts/chart19.xml" ContentType="application/vnd.openxmlformats-officedocument.drawingml.chart+xml"/>
  <Override PartName="/xl/charts/chart20.xml" ContentType="application/vnd.openxmlformats-officedocument.drawingml.chart+xml"/>
  <Override PartName="/xl/drawings/drawing6.xml" ContentType="application/vnd.openxmlformats-officedocument.drawing+xml"/>
  <Override PartName="/xl/charts/chart21.xml" ContentType="application/vnd.openxmlformats-officedocument.drawingml.chart+xml"/>
  <Override PartName="/xl/charts/chart22.xml" ContentType="application/vnd.openxmlformats-officedocument.drawingml.chart+xml"/>
  <Override PartName="/xl/charts/chart23.xml" ContentType="application/vnd.openxmlformats-officedocument.drawingml.chart+xml"/>
  <Override PartName="/xl/charts/chart24.xml" ContentType="application/vnd.openxmlformats-officedocument.drawingml.chart+xml"/>
  <Override PartName="/xl/drawings/drawing7.xml" ContentType="application/vnd.openxmlformats-officedocument.drawing+xml"/>
  <Override PartName="/xl/charts/chart25.xml" ContentType="application/vnd.openxmlformats-officedocument.drawingml.chart+xml"/>
  <Override PartName="/xl/charts/chart26.xml" ContentType="application/vnd.openxmlformats-officedocument.drawingml.chart+xml"/>
  <Override PartName="/xl/charts/chart27.xml" ContentType="application/vnd.openxmlformats-officedocument.drawingml.chart+xml"/>
  <Override PartName="/xl/charts/chart28.xml" ContentType="application/vnd.openxmlformats-officedocument.drawingml.chart+xml"/>
  <Override PartName="/xl/drawings/drawing8.xml" ContentType="application/vnd.openxmlformats-officedocument.drawing+xml"/>
  <Override PartName="/xl/charts/chart29.xml" ContentType="application/vnd.openxmlformats-officedocument.drawingml.chart+xml"/>
  <Override PartName="/xl/charts/chart30.xml" ContentType="application/vnd.openxmlformats-officedocument.drawingml.chart+xml"/>
  <Override PartName="/xl/charts/chart31.xml" ContentType="application/vnd.openxmlformats-officedocument.drawingml.chart+xml"/>
  <Override PartName="/xl/charts/chart32.xml" ContentType="application/vnd.openxmlformats-officedocument.drawingml.chart+xml"/>
  <Override PartName="/xl/drawings/drawing9.xml" ContentType="application/vnd.openxmlformats-officedocument.drawing+xml"/>
  <Override PartName="/xl/charts/chart33.xml" ContentType="application/vnd.openxmlformats-officedocument.drawingml.chart+xml"/>
  <Override PartName="/xl/charts/chart34.xml" ContentType="application/vnd.openxmlformats-officedocument.drawingml.chart+xml"/>
  <Override PartName="/xl/charts/chart35.xml" ContentType="application/vnd.openxmlformats-officedocument.drawingml.chart+xml"/>
  <Override PartName="/xl/charts/chart36.xml" ContentType="application/vnd.openxmlformats-officedocument.drawingml.chart+xml"/>
  <Override PartName="/xl/drawings/drawing10.xml" ContentType="application/vnd.openxmlformats-officedocument.drawing+xml"/>
  <Override PartName="/xl/charts/chart37.xml" ContentType="application/vnd.openxmlformats-officedocument.drawingml.chart+xml"/>
  <Override PartName="/xl/charts/chart38.xml" ContentType="application/vnd.openxmlformats-officedocument.drawingml.chart+xml"/>
  <Override PartName="/xl/charts/chart39.xml" ContentType="application/vnd.openxmlformats-officedocument.drawingml.chart+xml"/>
  <Override PartName="/xl/charts/chart40.xml" ContentType="application/vnd.openxmlformats-officedocument.drawingml.chart+xml"/>
  <Override PartName="/xl/drawings/drawing11.xml" ContentType="application/vnd.openxmlformats-officedocument.drawing+xml"/>
  <Override PartName="/xl/charts/chart41.xml" ContentType="application/vnd.openxmlformats-officedocument.drawingml.chart+xml"/>
  <Override PartName="/xl/charts/chart42.xml" ContentType="application/vnd.openxmlformats-officedocument.drawingml.chart+xml"/>
  <Override PartName="/xl/charts/chart43.xml" ContentType="application/vnd.openxmlformats-officedocument.drawingml.chart+xml"/>
  <Override PartName="/xl/charts/chart44.xml" ContentType="application/vnd.openxmlformats-officedocument.drawingml.chart+xml"/>
  <Override PartName="/xl/drawings/drawing12.xml" ContentType="application/vnd.openxmlformats-officedocument.drawing+xml"/>
  <Override PartName="/xl/charts/chart45.xml" ContentType="application/vnd.openxmlformats-officedocument.drawingml.chart+xml"/>
  <Override PartName="/xl/charts/chart46.xml" ContentType="application/vnd.openxmlformats-officedocument.drawingml.chart+xml"/>
  <Override PartName="/xl/charts/chart47.xml" ContentType="application/vnd.openxmlformats-officedocument.drawingml.chart+xml"/>
  <Override PartName="/xl/charts/chart48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0" yWindow="180" windowWidth="13380" windowHeight="3930" firstSheet="20" activeTab="24"/>
  </bookViews>
  <sheets>
    <sheet name="Prévisions générales" sheetId="6" r:id="rId1"/>
    <sheet name="P1_Entrepôt 1" sheetId="9" r:id="rId2"/>
    <sheet name="P1_Entrepôt 2" sheetId="10" r:id="rId3"/>
    <sheet name="P1_Entrepôt 3" sheetId="11" r:id="rId4"/>
    <sheet name="P1_Entrepôt 4" sheetId="12" r:id="rId5"/>
    <sheet name="P1_Entrepôt 5" sheetId="13" r:id="rId6"/>
    <sheet name="P1_Total" sheetId="14" r:id="rId7"/>
    <sheet name="P2_Entrepôt 1" sheetId="1" r:id="rId8"/>
    <sheet name="P2_Entrepôt 2" sheetId="2" r:id="rId9"/>
    <sheet name="P2_Entrepôt 3" sheetId="3" r:id="rId10"/>
    <sheet name="P2_Entrepôt 4" sheetId="4" r:id="rId11"/>
    <sheet name="P2_Entrepôt 5" sheetId="5" r:id="rId12"/>
    <sheet name="P2_Total" sheetId="8" r:id="rId13"/>
    <sheet name="Temps Opératoires" sheetId="17" r:id="rId14"/>
    <sheet name="Appro M38" sheetId="18" r:id="rId15"/>
    <sheet name="Appro M39" sheetId="19" r:id="rId16"/>
    <sheet name="Appro M40" sheetId="20" r:id="rId17"/>
    <sheet name="Appro M41" sheetId="21" r:id="rId18"/>
    <sheet name="Besoins Bruts" sheetId="16" r:id="rId19"/>
    <sheet name="Nomenclature MRP" sheetId="22" r:id="rId20"/>
    <sheet name="Gantt" sheetId="30" r:id="rId21"/>
    <sheet name="MRP" sheetId="31" r:id="rId22"/>
    <sheet name="MRP (1)" sheetId="26" r:id="rId23"/>
    <sheet name="Nomenclature &amp; données" sheetId="15" r:id="rId24"/>
    <sheet name="Prod At 1" sheetId="25" r:id="rId25"/>
    <sheet name="Prod At 2" sheetId="27" r:id="rId26"/>
    <sheet name="Prod At 3" sheetId="28" r:id="rId27"/>
    <sheet name="Synthèse Prod" sheetId="29" r:id="rId28"/>
  </sheets>
  <externalReferences>
    <externalReference r:id="rId29"/>
    <externalReference r:id="rId30"/>
  </externalReferences>
  <definedNames>
    <definedName name="solver_adj" localSheetId="24" hidden="1">'Prod At 1'!$F$13,'Prod At 1'!$G$13,'Prod At 1'!$H$13,'Prod At 1'!$I$13,'Prod At 1'!$J$13,'Prod At 1'!$K$13,'Prod At 1'!$L$13,'Prod At 1'!$M$13,'Prod At 1'!$N$13,'Prod At 1'!$O$13</definedName>
    <definedName name="solver_adj" localSheetId="25" hidden="1">'Prod At 2'!$F$13</definedName>
    <definedName name="solver_adj" localSheetId="26" hidden="1">'Prod At 3'!$F$16</definedName>
    <definedName name="solver_cvg" localSheetId="24" hidden="1">0.0001</definedName>
    <definedName name="solver_cvg" localSheetId="25" hidden="1">0.0001</definedName>
    <definedName name="solver_cvg" localSheetId="26" hidden="1">0.0001</definedName>
    <definedName name="solver_drv" localSheetId="24" hidden="1">2</definedName>
    <definedName name="solver_drv" localSheetId="25" hidden="1">2</definedName>
    <definedName name="solver_drv" localSheetId="26" hidden="1">2</definedName>
    <definedName name="solver_eng" localSheetId="24" hidden="1">2</definedName>
    <definedName name="solver_eng" localSheetId="25" hidden="1">1</definedName>
    <definedName name="solver_eng" localSheetId="26" hidden="1">2</definedName>
    <definedName name="solver_est" localSheetId="24" hidden="1">1</definedName>
    <definedName name="solver_est" localSheetId="25" hidden="1">1</definedName>
    <definedName name="solver_est" localSheetId="26" hidden="1">1</definedName>
    <definedName name="solver_itr" localSheetId="24" hidden="1">2147483647</definedName>
    <definedName name="solver_itr" localSheetId="25" hidden="1">2147483647</definedName>
    <definedName name="solver_itr" localSheetId="26" hidden="1">2147483647</definedName>
    <definedName name="solver_lhs1" localSheetId="24" hidden="1">'Prod At 1'!$F$12</definedName>
    <definedName name="solver_lhs1" localSheetId="25" hidden="1">'Prod At 2'!$F$12</definedName>
    <definedName name="solver_lhs1" localSheetId="26" hidden="1">'Prod At 3'!$F$15</definedName>
    <definedName name="solver_lhs10" localSheetId="24" hidden="1">'Prod At 1'!$G$14</definedName>
    <definedName name="solver_lhs11" localSheetId="24" hidden="1">'Prod At 1'!$H$12</definedName>
    <definedName name="solver_lhs12" localSheetId="24" hidden="1">'Prod At 1'!$H$13</definedName>
    <definedName name="solver_lhs13" localSheetId="24" hidden="1">'Prod At 1'!$H$13</definedName>
    <definedName name="solver_lhs14" localSheetId="24" hidden="1">'Prod At 1'!$H$14</definedName>
    <definedName name="solver_lhs15" localSheetId="24" hidden="1">'Prod At 1'!$H$14</definedName>
    <definedName name="solver_lhs16" localSheetId="24" hidden="1">'Prod At 1'!$I$12</definedName>
    <definedName name="solver_lhs17" localSheetId="24" hidden="1">'Prod At 1'!$I$13</definedName>
    <definedName name="solver_lhs18" localSheetId="24" hidden="1">'Prod At 1'!$I$13</definedName>
    <definedName name="solver_lhs19" localSheetId="24" hidden="1">'Prod At 1'!$I$14</definedName>
    <definedName name="solver_lhs2" localSheetId="24" hidden="1">'Prod At 1'!$F$13</definedName>
    <definedName name="solver_lhs2" localSheetId="25" hidden="1">'Prod At 2'!$F$13</definedName>
    <definedName name="solver_lhs2" localSheetId="26" hidden="1">'Prod At 3'!$F$16</definedName>
    <definedName name="solver_lhs20" localSheetId="24" hidden="1">'Prod At 1'!$I$14</definedName>
    <definedName name="solver_lhs21" localSheetId="24" hidden="1">'Prod At 1'!$J$12</definedName>
    <definedName name="solver_lhs22" localSheetId="24" hidden="1">'Prod At 1'!$J$13</definedName>
    <definedName name="solver_lhs23" localSheetId="24" hidden="1">'Prod At 1'!$J$13</definedName>
    <definedName name="solver_lhs24" localSheetId="24" hidden="1">'Prod At 1'!$J$14</definedName>
    <definedName name="solver_lhs25" localSheetId="24" hidden="1">'Prod At 1'!$J$14</definedName>
    <definedName name="solver_lhs26" localSheetId="24" hidden="1">'Prod At 1'!$K$12</definedName>
    <definedName name="solver_lhs27" localSheetId="24" hidden="1">'Prod At 1'!$K$13</definedName>
    <definedName name="solver_lhs28" localSheetId="24" hidden="1">'Prod At 1'!$K$13</definedName>
    <definedName name="solver_lhs29" localSheetId="24" hidden="1">'Prod At 1'!$K$14</definedName>
    <definedName name="solver_lhs3" localSheetId="24" hidden="1">'Prod At 1'!$F$13</definedName>
    <definedName name="solver_lhs3" localSheetId="25" hidden="1">'Prod At 2'!$F$13</definedName>
    <definedName name="solver_lhs3" localSheetId="26" hidden="1">'Prod At 3'!$F$16</definedName>
    <definedName name="solver_lhs30" localSheetId="24" hidden="1">'Prod At 1'!$K$14</definedName>
    <definedName name="solver_lhs31" localSheetId="24" hidden="1">'Prod At 1'!$L$12</definedName>
    <definedName name="solver_lhs32" localSheetId="24" hidden="1">'Prod At 1'!$L$13</definedName>
    <definedName name="solver_lhs33" localSheetId="24" hidden="1">'Prod At 1'!$L$13</definedName>
    <definedName name="solver_lhs34" localSheetId="24" hidden="1">'Prod At 1'!$L$14</definedName>
    <definedName name="solver_lhs35" localSheetId="24" hidden="1">'Prod At 1'!$L$14</definedName>
    <definedName name="solver_lhs36" localSheetId="24" hidden="1">'Prod At 1'!$M$13</definedName>
    <definedName name="solver_lhs37" localSheetId="24" hidden="1">'Prod At 1'!$M$13</definedName>
    <definedName name="solver_lhs38" localSheetId="24" hidden="1">'Prod At 1'!$M$14</definedName>
    <definedName name="solver_lhs39" localSheetId="24" hidden="1">'Prod At 1'!$M$14</definedName>
    <definedName name="solver_lhs4" localSheetId="24" hidden="1">'Prod At 1'!$F$14</definedName>
    <definedName name="solver_lhs4" localSheetId="25" hidden="1">'Prod At 2'!$F$14</definedName>
    <definedName name="solver_lhs4" localSheetId="26" hidden="1">'Prod At 3'!$F$17</definedName>
    <definedName name="solver_lhs40" localSheetId="24" hidden="1">'Prod At 1'!$M$15</definedName>
    <definedName name="solver_lhs41" localSheetId="24" hidden="1">'Prod At 1'!$N$12</definedName>
    <definedName name="solver_lhs42" localSheetId="24" hidden="1">'Prod At 1'!$N$13</definedName>
    <definedName name="solver_lhs43" localSheetId="24" hidden="1">'Prod At 1'!$N$13</definedName>
    <definedName name="solver_lhs44" localSheetId="24" hidden="1">'Prod At 1'!$N$14</definedName>
    <definedName name="solver_lhs45" localSheetId="24" hidden="1">'Prod At 1'!$N$14</definedName>
    <definedName name="solver_lhs46" localSheetId="24" hidden="1">'Prod At 1'!$O$12</definedName>
    <definedName name="solver_lhs47" localSheetId="24" hidden="1">'Prod At 1'!$O$13</definedName>
    <definedName name="solver_lhs48" localSheetId="24" hidden="1">'Prod At 1'!$O$13</definedName>
    <definedName name="solver_lhs49" localSheetId="24" hidden="1">'Prod At 1'!$O$14</definedName>
    <definedName name="solver_lhs5" localSheetId="24" hidden="1">'Prod At 1'!$F$14</definedName>
    <definedName name="solver_lhs5" localSheetId="25" hidden="1">'Prod At 2'!$F$14</definedName>
    <definedName name="solver_lhs5" localSheetId="26" hidden="1">'Prod At 3'!$F$17</definedName>
    <definedName name="solver_lhs50" localSheetId="24" hidden="1">'Prod At 1'!$O$14</definedName>
    <definedName name="solver_lhs6" localSheetId="24" hidden="1">'Prod At 1'!$G$12</definedName>
    <definedName name="solver_lhs7" localSheetId="24" hidden="1">'Prod At 1'!$G$13</definedName>
    <definedName name="solver_lhs8" localSheetId="24" hidden="1">'Prod At 1'!$G$13</definedName>
    <definedName name="solver_lhs9" localSheetId="24" hidden="1">'Prod At 1'!$G$14</definedName>
    <definedName name="solver_mip" localSheetId="24" hidden="1">2147483647</definedName>
    <definedName name="solver_mip" localSheetId="25" hidden="1">2147483647</definedName>
    <definedName name="solver_mip" localSheetId="26" hidden="1">2147483647</definedName>
    <definedName name="solver_mni" localSheetId="24" hidden="1">30</definedName>
    <definedName name="solver_mni" localSheetId="25" hidden="1">30</definedName>
    <definedName name="solver_mni" localSheetId="26" hidden="1">30</definedName>
    <definedName name="solver_mrt" localSheetId="24" hidden="1">0.075</definedName>
    <definedName name="solver_mrt" localSheetId="25" hidden="1">0.075</definedName>
    <definedName name="solver_mrt" localSheetId="26" hidden="1">0.075</definedName>
    <definedName name="solver_msl" localSheetId="24" hidden="1">2</definedName>
    <definedName name="solver_msl" localSheetId="25" hidden="1">2</definedName>
    <definedName name="solver_msl" localSheetId="26" hidden="1">2</definedName>
    <definedName name="solver_neg" localSheetId="24" hidden="1">1</definedName>
    <definedName name="solver_neg" localSheetId="25" hidden="1">1</definedName>
    <definedName name="solver_neg" localSheetId="26" hidden="1">1</definedName>
    <definedName name="solver_nod" localSheetId="24" hidden="1">2147483647</definedName>
    <definedName name="solver_nod" localSheetId="25" hidden="1">2147483647</definedName>
    <definedName name="solver_nod" localSheetId="26" hidden="1">2147483647</definedName>
    <definedName name="solver_num" localSheetId="24" hidden="1">50</definedName>
    <definedName name="solver_num" localSheetId="25" hidden="1">5</definedName>
    <definedName name="solver_num" localSheetId="26" hidden="1">5</definedName>
    <definedName name="solver_nwt" localSheetId="24" hidden="1">1</definedName>
    <definedName name="solver_nwt" localSheetId="25" hidden="1">1</definedName>
    <definedName name="solver_nwt" localSheetId="26" hidden="1">1</definedName>
    <definedName name="solver_opt" localSheetId="24" hidden="1">'Prod At 1'!$R$21</definedName>
    <definedName name="solver_opt" localSheetId="25" hidden="1">'Prod At 2'!$F$20</definedName>
    <definedName name="solver_opt" localSheetId="26" hidden="1">'Prod At 3'!$F$23</definedName>
    <definedName name="solver_pre" localSheetId="24" hidden="1">0.000001</definedName>
    <definedName name="solver_pre" localSheetId="25" hidden="1">0.000001</definedName>
    <definedName name="solver_pre" localSheetId="26" hidden="1">0.000001</definedName>
    <definedName name="solver_rbv" localSheetId="24" hidden="1">2</definedName>
    <definedName name="solver_rbv" localSheetId="25" hidden="1">2</definedName>
    <definedName name="solver_rbv" localSheetId="26" hidden="1">2</definedName>
    <definedName name="solver_rel1" localSheetId="24" hidden="1">1</definedName>
    <definedName name="solver_rel1" localSheetId="25" hidden="1">1</definedName>
    <definedName name="solver_rel1" localSheetId="26" hidden="1">1</definedName>
    <definedName name="solver_rel10" localSheetId="24" hidden="1">3</definedName>
    <definedName name="solver_rel11" localSheetId="24" hidden="1">1</definedName>
    <definedName name="solver_rel12" localSheetId="24" hidden="1">1</definedName>
    <definedName name="solver_rel13" localSheetId="24" hidden="1">4</definedName>
    <definedName name="solver_rel14" localSheetId="24" hidden="1">1</definedName>
    <definedName name="solver_rel15" localSheetId="24" hidden="1">3</definedName>
    <definedName name="solver_rel16" localSheetId="24" hidden="1">1</definedName>
    <definedName name="solver_rel17" localSheetId="24" hidden="1">1</definedName>
    <definedName name="solver_rel18" localSheetId="24" hidden="1">4</definedName>
    <definedName name="solver_rel19" localSheetId="24" hidden="1">1</definedName>
    <definedName name="solver_rel2" localSheetId="24" hidden="1">1</definedName>
    <definedName name="solver_rel2" localSheetId="25" hidden="1">1</definedName>
    <definedName name="solver_rel2" localSheetId="26" hidden="1">1</definedName>
    <definedName name="solver_rel20" localSheetId="24" hidden="1">3</definedName>
    <definedName name="solver_rel21" localSheetId="24" hidden="1">1</definedName>
    <definedName name="solver_rel22" localSheetId="24" hidden="1">1</definedName>
    <definedName name="solver_rel23" localSheetId="24" hidden="1">4</definedName>
    <definedName name="solver_rel24" localSheetId="24" hidden="1">1</definedName>
    <definedName name="solver_rel25" localSheetId="24" hidden="1">3</definedName>
    <definedName name="solver_rel26" localSheetId="24" hidden="1">1</definedName>
    <definedName name="solver_rel27" localSheetId="24" hidden="1">1</definedName>
    <definedName name="solver_rel28" localSheetId="24" hidden="1">4</definedName>
    <definedName name="solver_rel29" localSheetId="24" hidden="1">1</definedName>
    <definedName name="solver_rel3" localSheetId="24" hidden="1">4</definedName>
    <definedName name="solver_rel3" localSheetId="25" hidden="1">4</definedName>
    <definedName name="solver_rel3" localSheetId="26" hidden="1">4</definedName>
    <definedName name="solver_rel30" localSheetId="24" hidden="1">3</definedName>
    <definedName name="solver_rel31" localSheetId="24" hidden="1">1</definedName>
    <definedName name="solver_rel32" localSheetId="24" hidden="1">1</definedName>
    <definedName name="solver_rel33" localSheetId="24" hidden="1">4</definedName>
    <definedName name="solver_rel34" localSheetId="24" hidden="1">1</definedName>
    <definedName name="solver_rel35" localSheetId="24" hidden="1">3</definedName>
    <definedName name="solver_rel36" localSheetId="24" hidden="1">1</definedName>
    <definedName name="solver_rel37" localSheetId="24" hidden="1">4</definedName>
    <definedName name="solver_rel38" localSheetId="24" hidden="1">1</definedName>
    <definedName name="solver_rel39" localSheetId="24" hidden="1">3</definedName>
    <definedName name="solver_rel4" localSheetId="24" hidden="1">1</definedName>
    <definedName name="solver_rel4" localSheetId="25" hidden="1">1</definedName>
    <definedName name="solver_rel4" localSheetId="26" hidden="1">1</definedName>
    <definedName name="solver_rel40" localSheetId="24" hidden="1">1</definedName>
    <definedName name="solver_rel41" localSheetId="24" hidden="1">1</definedName>
    <definedName name="solver_rel42" localSheetId="24" hidden="1">1</definedName>
    <definedName name="solver_rel43" localSheetId="24" hidden="1">4</definedName>
    <definedName name="solver_rel44" localSheetId="24" hidden="1">1</definedName>
    <definedName name="solver_rel45" localSheetId="24" hidden="1">3</definedName>
    <definedName name="solver_rel46" localSheetId="24" hidden="1">1</definedName>
    <definedName name="solver_rel47" localSheetId="24" hidden="1">1</definedName>
    <definedName name="solver_rel48" localSheetId="24" hidden="1">4</definedName>
    <definedName name="solver_rel49" localSheetId="24" hidden="1">1</definedName>
    <definedName name="solver_rel5" localSheetId="24" hidden="1">3</definedName>
    <definedName name="solver_rel5" localSheetId="25" hidden="1">3</definedName>
    <definedName name="solver_rel5" localSheetId="26" hidden="1">3</definedName>
    <definedName name="solver_rel50" localSheetId="24" hidden="1">3</definedName>
    <definedName name="solver_rel6" localSheetId="24" hidden="1">1</definedName>
    <definedName name="solver_rel7" localSheetId="24" hidden="1">1</definedName>
    <definedName name="solver_rel8" localSheetId="24" hidden="1">4</definedName>
    <definedName name="solver_rel9" localSheetId="24" hidden="1">1</definedName>
    <definedName name="solver_rhs1" localSheetId="24" hidden="1">'Prod At 1'!$F$16</definedName>
    <definedName name="solver_rhs1" localSheetId="25" hidden="1">'Prod At 2'!$F$16</definedName>
    <definedName name="solver_rhs1" localSheetId="26" hidden="1">'Prod At 3'!$F$19</definedName>
    <definedName name="solver_rhs10" localSheetId="24" hidden="1">0.5</definedName>
    <definedName name="solver_rhs11" localSheetId="24" hidden="1">'Prod At 1'!$H$16</definedName>
    <definedName name="solver_rhs12" localSheetId="24" hidden="1">'Prod At 1'!$S$9</definedName>
    <definedName name="solver_rhs13" localSheetId="24" hidden="1">entier</definedName>
    <definedName name="solver_rhs14" localSheetId="24" hidden="1">1.5</definedName>
    <definedName name="solver_rhs15" localSheetId="24" hidden="1">0.5</definedName>
    <definedName name="solver_rhs16" localSheetId="24" hidden="1">'Prod At 1'!$I$16</definedName>
    <definedName name="solver_rhs17" localSheetId="24" hidden="1">'Prod At 1'!$S$9</definedName>
    <definedName name="solver_rhs18" localSheetId="24" hidden="1">entier</definedName>
    <definedName name="solver_rhs19" localSheetId="24" hidden="1">1.5</definedName>
    <definedName name="solver_rhs2" localSheetId="24" hidden="1">'Prod At 1'!$S$9</definedName>
    <definedName name="solver_rhs2" localSheetId="25" hidden="1">'Prod At 2'!$S$9</definedName>
    <definedName name="solver_rhs2" localSheetId="26" hidden="1">'Prod At 3'!$S$9</definedName>
    <definedName name="solver_rhs20" localSheetId="24" hidden="1">0.5</definedName>
    <definedName name="solver_rhs21" localSheetId="24" hidden="1">'Prod At 1'!$J$16</definedName>
    <definedName name="solver_rhs22" localSheetId="24" hidden="1">'Prod At 1'!$S$9</definedName>
    <definedName name="solver_rhs23" localSheetId="24" hidden="1">entier</definedName>
    <definedName name="solver_rhs24" localSheetId="24" hidden="1">1.5</definedName>
    <definedName name="solver_rhs25" localSheetId="24" hidden="1">0.5</definedName>
    <definedName name="solver_rhs26" localSheetId="24" hidden="1">'Prod At 1'!$K$16</definedName>
    <definedName name="solver_rhs27" localSheetId="24" hidden="1">'Prod At 1'!$S$9</definedName>
    <definedName name="solver_rhs28" localSheetId="24" hidden="1">entier</definedName>
    <definedName name="solver_rhs29" localSheetId="24" hidden="1">1.5</definedName>
    <definedName name="solver_rhs3" localSheetId="24" hidden="1">entier</definedName>
    <definedName name="solver_rhs3" localSheetId="25" hidden="1">entier</definedName>
    <definedName name="solver_rhs3" localSheetId="26" hidden="1">entier</definedName>
    <definedName name="solver_rhs30" localSheetId="24" hidden="1">0.5</definedName>
    <definedName name="solver_rhs31" localSheetId="24" hidden="1">'Prod At 1'!$L$16</definedName>
    <definedName name="solver_rhs32" localSheetId="24" hidden="1">'Prod At 1'!$S$9</definedName>
    <definedName name="solver_rhs33" localSheetId="24" hidden="1">entier</definedName>
    <definedName name="solver_rhs34" localSheetId="24" hidden="1">1.5</definedName>
    <definedName name="solver_rhs35" localSheetId="24" hidden="1">0.5</definedName>
    <definedName name="solver_rhs36" localSheetId="24" hidden="1">'Prod At 1'!$S$9</definedName>
    <definedName name="solver_rhs37" localSheetId="24" hidden="1">entier</definedName>
    <definedName name="solver_rhs38" localSheetId="24" hidden="1">1.5</definedName>
    <definedName name="solver_rhs39" localSheetId="24" hidden="1">0.5</definedName>
    <definedName name="solver_rhs4" localSheetId="24" hidden="1">1.5</definedName>
    <definedName name="solver_rhs4" localSheetId="25" hidden="1">1.5</definedName>
    <definedName name="solver_rhs4" localSheetId="26" hidden="1">1.5</definedName>
    <definedName name="solver_rhs40" localSheetId="24" hidden="1">'Prod At 1'!$M$16</definedName>
    <definedName name="solver_rhs41" localSheetId="24" hidden="1">'Prod At 1'!$N$16</definedName>
    <definedName name="solver_rhs42" localSheetId="24" hidden="1">'Prod At 1'!$S$9</definedName>
    <definedName name="solver_rhs43" localSheetId="24" hidden="1">entier</definedName>
    <definedName name="solver_rhs44" localSheetId="24" hidden="1">1.5</definedName>
    <definedName name="solver_rhs45" localSheetId="24" hidden="1">0.5</definedName>
    <definedName name="solver_rhs46" localSheetId="24" hidden="1">'Prod At 1'!$O$16</definedName>
    <definedName name="solver_rhs47" localSheetId="24" hidden="1">'Prod At 1'!$S$9</definedName>
    <definedName name="solver_rhs48" localSheetId="24" hidden="1">entier</definedName>
    <definedName name="solver_rhs49" localSheetId="24" hidden="1">1.5</definedName>
    <definedName name="solver_rhs5" localSheetId="24" hidden="1">0.5</definedName>
    <definedName name="solver_rhs5" localSheetId="25" hidden="1">0.5</definedName>
    <definedName name="solver_rhs5" localSheetId="26" hidden="1">0.5</definedName>
    <definedName name="solver_rhs50" localSheetId="24" hidden="1">0.5</definedName>
    <definedName name="solver_rhs6" localSheetId="24" hidden="1">'Prod At 1'!$G$16</definedName>
    <definedName name="solver_rhs7" localSheetId="24" hidden="1">'Prod At 1'!$S$9</definedName>
    <definedName name="solver_rhs8" localSheetId="24" hidden="1">entier</definedName>
    <definedName name="solver_rhs9" localSheetId="24" hidden="1">1.5</definedName>
    <definedName name="solver_rlx" localSheetId="24" hidden="1">2</definedName>
    <definedName name="solver_rlx" localSheetId="25" hidden="1">2</definedName>
    <definedName name="solver_rlx" localSheetId="26" hidden="1">2</definedName>
    <definedName name="solver_rsd" localSheetId="24" hidden="1">0</definedName>
    <definedName name="solver_rsd" localSheetId="25" hidden="1">0</definedName>
    <definedName name="solver_rsd" localSheetId="26" hidden="1">0</definedName>
    <definedName name="solver_scl" localSheetId="24" hidden="1">2</definedName>
    <definedName name="solver_scl" localSheetId="25" hidden="1">2</definedName>
    <definedName name="solver_scl" localSheetId="26" hidden="1">2</definedName>
    <definedName name="solver_sho" localSheetId="24" hidden="1">2</definedName>
    <definedName name="solver_sho" localSheetId="25" hidden="1">2</definedName>
    <definedName name="solver_sho" localSheetId="26" hidden="1">2</definedName>
    <definedName name="solver_ssz" localSheetId="24" hidden="1">100</definedName>
    <definedName name="solver_ssz" localSheetId="25" hidden="1">100</definedName>
    <definedName name="solver_ssz" localSheetId="26" hidden="1">100</definedName>
    <definedName name="solver_tim" localSheetId="24" hidden="1">2147483647</definedName>
    <definedName name="solver_tim" localSheetId="25" hidden="1">2147483647</definedName>
    <definedName name="solver_tim" localSheetId="26" hidden="1">2147483647</definedName>
    <definedName name="solver_tol" localSheetId="24" hidden="1">0.01</definedName>
    <definedName name="solver_tol" localSheetId="25" hidden="1">0.01</definedName>
    <definedName name="solver_tol" localSheetId="26" hidden="1">0.01</definedName>
    <definedName name="solver_typ" localSheetId="24" hidden="1">2</definedName>
    <definedName name="solver_typ" localSheetId="25" hidden="1">2</definedName>
    <definedName name="solver_typ" localSheetId="26" hidden="1">2</definedName>
    <definedName name="solver_val" localSheetId="24" hidden="1">0</definedName>
    <definedName name="solver_val" localSheetId="25" hidden="1">0</definedName>
    <definedName name="solver_val" localSheetId="26" hidden="1">0</definedName>
    <definedName name="solver_ver" localSheetId="24" hidden="1">3</definedName>
    <definedName name="solver_ver" localSheetId="25" hidden="1">3</definedName>
    <definedName name="solver_ver" localSheetId="26" hidden="1">3</definedName>
  </definedNames>
  <calcPr calcId="145621"/>
</workbook>
</file>

<file path=xl/calcChain.xml><?xml version="1.0" encoding="utf-8"?>
<calcChain xmlns="http://schemas.openxmlformats.org/spreadsheetml/2006/main">
  <c r="G14" i="25" l="1"/>
  <c r="E19" i="28" l="1"/>
  <c r="F19" i="28"/>
  <c r="G19" i="28"/>
  <c r="H19" i="28"/>
  <c r="I19" i="28"/>
  <c r="J19" i="28"/>
  <c r="K19" i="28"/>
  <c r="L19" i="28"/>
  <c r="M19" i="28"/>
  <c r="N19" i="28"/>
  <c r="O19" i="28"/>
  <c r="D19" i="28"/>
  <c r="E16" i="27"/>
  <c r="F16" i="27"/>
  <c r="G16" i="27"/>
  <c r="H16" i="27"/>
  <c r="I16" i="27"/>
  <c r="J16" i="27"/>
  <c r="K16" i="27"/>
  <c r="L16" i="27"/>
  <c r="M16" i="27"/>
  <c r="N16" i="27"/>
  <c r="O16" i="27"/>
  <c r="D16" i="27"/>
  <c r="E16" i="25"/>
  <c r="F16" i="25"/>
  <c r="G16" i="25"/>
  <c r="H16" i="25"/>
  <c r="I16" i="25"/>
  <c r="J16" i="25"/>
  <c r="K16" i="25"/>
  <c r="L16" i="25"/>
  <c r="M16" i="25"/>
  <c r="N16" i="25"/>
  <c r="O16" i="25"/>
  <c r="D16" i="25"/>
  <c r="P53" i="31" l="1"/>
  <c r="O53" i="31"/>
  <c r="N53" i="31"/>
  <c r="M53" i="31"/>
  <c r="L53" i="31"/>
  <c r="D51" i="31"/>
  <c r="P48" i="31"/>
  <c r="O48" i="31"/>
  <c r="N48" i="31"/>
  <c r="M48" i="31"/>
  <c r="L48" i="31"/>
  <c r="K48" i="31"/>
  <c r="D46" i="31"/>
  <c r="P43" i="31"/>
  <c r="O43" i="31"/>
  <c r="D41" i="31"/>
  <c r="P38" i="31"/>
  <c r="O38" i="31"/>
  <c r="D36" i="31"/>
  <c r="P35" i="31"/>
  <c r="D32" i="31"/>
  <c r="P31" i="31"/>
  <c r="B30" i="31"/>
  <c r="P27" i="31"/>
  <c r="B26" i="31"/>
  <c r="E24" i="31"/>
  <c r="P23" i="31"/>
  <c r="B22" i="31"/>
  <c r="P19" i="31"/>
  <c r="B18" i="31"/>
  <c r="E16" i="31"/>
  <c r="P15" i="31"/>
  <c r="B14" i="31"/>
  <c r="E12" i="31"/>
  <c r="P11" i="31"/>
  <c r="AC21" i="31" s="1"/>
  <c r="O11" i="31"/>
  <c r="AB21" i="31" s="1"/>
  <c r="N11" i="31"/>
  <c r="AA21" i="31" s="1"/>
  <c r="M11" i="31"/>
  <c r="Z21" i="31" s="1"/>
  <c r="L11" i="31"/>
  <c r="Y21" i="31" s="1"/>
  <c r="K11" i="31"/>
  <c r="X21" i="31" s="1"/>
  <c r="J11" i="31"/>
  <c r="W21" i="31" s="1"/>
  <c r="I11" i="31"/>
  <c r="V21" i="31" s="1"/>
  <c r="H11" i="31"/>
  <c r="U21" i="31" s="1"/>
  <c r="G11" i="31"/>
  <c r="T21" i="31" s="1"/>
  <c r="F11" i="31"/>
  <c r="S21" i="31" s="1"/>
  <c r="E11" i="31"/>
  <c r="E13" i="31" s="1"/>
  <c r="F12" i="31" s="1"/>
  <c r="Z10" i="31"/>
  <c r="Y10" i="31"/>
  <c r="X10" i="31"/>
  <c r="W10" i="31"/>
  <c r="V10" i="31"/>
  <c r="B10" i="31"/>
  <c r="E8" i="31"/>
  <c r="P7" i="31"/>
  <c r="AC20" i="31" s="1"/>
  <c r="O7" i="31"/>
  <c r="N7" i="31"/>
  <c r="AA20" i="31" s="1"/>
  <c r="M7" i="31"/>
  <c r="Z20" i="31" s="1"/>
  <c r="L7" i="31"/>
  <c r="Y20" i="31" s="1"/>
  <c r="K7" i="31"/>
  <c r="X20" i="31" s="1"/>
  <c r="J7" i="31"/>
  <c r="W20" i="31" s="1"/>
  <c r="I7" i="31"/>
  <c r="V20" i="31" s="1"/>
  <c r="H7" i="31"/>
  <c r="U20" i="31" s="1"/>
  <c r="G7" i="31"/>
  <c r="F7" i="31"/>
  <c r="S20" i="31" s="1"/>
  <c r="E7" i="31"/>
  <c r="E9" i="31" s="1"/>
  <c r="B6" i="31"/>
  <c r="B5" i="31"/>
  <c r="L33" i="30"/>
  <c r="K33" i="30"/>
  <c r="J33" i="30"/>
  <c r="I33" i="30"/>
  <c r="H33" i="30"/>
  <c r="M25" i="30"/>
  <c r="L25" i="30"/>
  <c r="K25" i="30"/>
  <c r="J25" i="30"/>
  <c r="I25" i="30"/>
  <c r="H25" i="30"/>
  <c r="G25" i="30"/>
  <c r="F25" i="30"/>
  <c r="E25" i="30"/>
  <c r="D25" i="30"/>
  <c r="C25" i="30"/>
  <c r="B25" i="30"/>
  <c r="M24" i="30"/>
  <c r="L24" i="30"/>
  <c r="K24" i="30"/>
  <c r="J24" i="30"/>
  <c r="I24" i="30"/>
  <c r="H24" i="30"/>
  <c r="G24" i="30"/>
  <c r="F24" i="30"/>
  <c r="E24" i="30"/>
  <c r="D24" i="30"/>
  <c r="C24" i="30"/>
  <c r="B24" i="30"/>
  <c r="M23" i="30"/>
  <c r="L23" i="30"/>
  <c r="K23" i="30"/>
  <c r="J23" i="30"/>
  <c r="I23" i="30"/>
  <c r="H23" i="30"/>
  <c r="G23" i="30"/>
  <c r="F23" i="30"/>
  <c r="E23" i="30"/>
  <c r="D23" i="30"/>
  <c r="C23" i="30"/>
  <c r="B23" i="30"/>
  <c r="S22" i="30"/>
  <c r="R22" i="30"/>
  <c r="Q22" i="30"/>
  <c r="M22" i="30"/>
  <c r="L22" i="30"/>
  <c r="K22" i="30"/>
  <c r="J22" i="30"/>
  <c r="I22" i="30"/>
  <c r="H22" i="30"/>
  <c r="G22" i="30"/>
  <c r="F22" i="30"/>
  <c r="E22" i="30"/>
  <c r="D22" i="30"/>
  <c r="C22" i="30"/>
  <c r="B22" i="30"/>
  <c r="S21" i="30"/>
  <c r="M21" i="30"/>
  <c r="L21" i="30"/>
  <c r="K21" i="30"/>
  <c r="J21" i="30"/>
  <c r="I21" i="30"/>
  <c r="H21" i="30"/>
  <c r="G21" i="30"/>
  <c r="F21" i="30"/>
  <c r="E21" i="30"/>
  <c r="D21" i="30"/>
  <c r="C21" i="30"/>
  <c r="B21" i="30"/>
  <c r="M20" i="30"/>
  <c r="L20" i="30"/>
  <c r="K20" i="30"/>
  <c r="J20" i="30"/>
  <c r="I20" i="30"/>
  <c r="H20" i="30"/>
  <c r="G20" i="30"/>
  <c r="F20" i="30"/>
  <c r="E20" i="30"/>
  <c r="D20" i="30"/>
  <c r="C20" i="30"/>
  <c r="B20" i="30"/>
  <c r="M19" i="30"/>
  <c r="L19" i="30"/>
  <c r="K19" i="30"/>
  <c r="J19" i="30"/>
  <c r="I19" i="30"/>
  <c r="H19" i="30"/>
  <c r="G19" i="30"/>
  <c r="F19" i="30"/>
  <c r="E19" i="30"/>
  <c r="D19" i="30"/>
  <c r="C19" i="30"/>
  <c r="B19" i="30"/>
  <c r="S18" i="30"/>
  <c r="R18" i="30"/>
  <c r="R21" i="30" s="1"/>
  <c r="Q18" i="30"/>
  <c r="Q21" i="30" s="1"/>
  <c r="M18" i="30"/>
  <c r="L18" i="30"/>
  <c r="K18" i="30"/>
  <c r="J18" i="30"/>
  <c r="I18" i="30"/>
  <c r="H18" i="30"/>
  <c r="G18" i="30"/>
  <c r="F18" i="30"/>
  <c r="D6" i="30" s="1"/>
  <c r="E18" i="30"/>
  <c r="D18" i="30"/>
  <c r="C18" i="30"/>
  <c r="B18" i="30"/>
  <c r="M17" i="30"/>
  <c r="L17" i="30"/>
  <c r="K17" i="30"/>
  <c r="J17" i="30"/>
  <c r="I17" i="30"/>
  <c r="H17" i="30"/>
  <c r="G17" i="30"/>
  <c r="F17" i="30"/>
  <c r="E17" i="30"/>
  <c r="D17" i="30"/>
  <c r="C17" i="30"/>
  <c r="B17" i="30"/>
  <c r="M16" i="30"/>
  <c r="L16" i="30"/>
  <c r="K16" i="30"/>
  <c r="J16" i="30"/>
  <c r="I16" i="30"/>
  <c r="H16" i="30"/>
  <c r="G16" i="30"/>
  <c r="F16" i="30"/>
  <c r="D4" i="30" s="1"/>
  <c r="E16" i="30"/>
  <c r="D16" i="30"/>
  <c r="C16" i="30"/>
  <c r="B16" i="30"/>
  <c r="M15" i="30"/>
  <c r="L15" i="30"/>
  <c r="K15" i="30"/>
  <c r="J15" i="30"/>
  <c r="I15" i="30"/>
  <c r="H15" i="30"/>
  <c r="G15" i="30"/>
  <c r="F15" i="30"/>
  <c r="F4" i="30" s="1"/>
  <c r="E15" i="30"/>
  <c r="D15" i="30"/>
  <c r="C15" i="30"/>
  <c r="B15" i="30"/>
  <c r="M14" i="30"/>
  <c r="L14" i="30"/>
  <c r="K14" i="30"/>
  <c r="J14" i="30"/>
  <c r="I14" i="30"/>
  <c r="H14" i="30"/>
  <c r="G14" i="30"/>
  <c r="F14" i="30"/>
  <c r="E14" i="30"/>
  <c r="D14" i="30"/>
  <c r="C14" i="30"/>
  <c r="B14" i="30"/>
  <c r="H8" i="30"/>
  <c r="G8" i="30"/>
  <c r="F8" i="30"/>
  <c r="E8" i="30"/>
  <c r="D8" i="30"/>
  <c r="C8" i="30"/>
  <c r="I7" i="30"/>
  <c r="F6" i="30"/>
  <c r="E6" i="30"/>
  <c r="C6" i="30"/>
  <c r="E4" i="30"/>
  <c r="C4" i="30"/>
  <c r="F8" i="31" l="1"/>
  <c r="F9" i="31" s="1"/>
  <c r="F4" i="25" s="1"/>
  <c r="F5" i="25" s="1"/>
  <c r="I5" i="30"/>
  <c r="E7" i="25"/>
  <c r="E4" i="25"/>
  <c r="E15" i="31"/>
  <c r="E17" i="31" s="1"/>
  <c r="E4" i="27" s="1"/>
  <c r="T20" i="31"/>
  <c r="AB20" i="31"/>
  <c r="F13" i="31"/>
  <c r="F7" i="25" s="1"/>
  <c r="I3" i="30"/>
  <c r="G8" i="31" l="1"/>
  <c r="G9" i="31" s="1"/>
  <c r="G4" i="25" s="1"/>
  <c r="G5" i="25" s="1"/>
  <c r="E23" i="31"/>
  <c r="E25" i="31" s="1"/>
  <c r="E10" i="28" s="1"/>
  <c r="G12" i="31"/>
  <c r="G13" i="31" s="1"/>
  <c r="G7" i="25" s="1"/>
  <c r="E19" i="31"/>
  <c r="D31" i="31"/>
  <c r="D33" i="31" s="1"/>
  <c r="F16" i="31"/>
  <c r="F24" i="31" l="1"/>
  <c r="D35" i="31"/>
  <c r="D37" i="31" s="1"/>
  <c r="E36" i="31" s="1"/>
  <c r="F15" i="31"/>
  <c r="F17" i="31" s="1"/>
  <c r="F4" i="27" s="1"/>
  <c r="H8" i="31"/>
  <c r="H9" i="31" s="1"/>
  <c r="H4" i="25" s="1"/>
  <c r="H5" i="25" s="1"/>
  <c r="F19" i="31"/>
  <c r="H12" i="31"/>
  <c r="H13" i="31" s="1"/>
  <c r="H7" i="25" s="1"/>
  <c r="F23" i="31"/>
  <c r="F25" i="31" s="1"/>
  <c r="F10" i="28" s="1"/>
  <c r="E32" i="31"/>
  <c r="D50" i="31"/>
  <c r="D52" i="31" s="1"/>
  <c r="E51" i="31" s="1"/>
  <c r="I8" i="31"/>
  <c r="I9" i="31" s="1"/>
  <c r="I4" i="25" s="1"/>
  <c r="I5" i="25" s="1"/>
  <c r="S23" i="31"/>
  <c r="E20" i="31" s="1"/>
  <c r="E21" i="31" s="1"/>
  <c r="E7" i="27" s="1"/>
  <c r="G15" i="31" l="1"/>
  <c r="G23" i="31"/>
  <c r="D27" i="31"/>
  <c r="G19" i="31"/>
  <c r="I12" i="31"/>
  <c r="I13" i="31" s="1"/>
  <c r="I7" i="25" s="1"/>
  <c r="T23" i="31"/>
  <c r="F20" i="31" s="1"/>
  <c r="F21" i="31" s="1"/>
  <c r="F7" i="27" s="1"/>
  <c r="H15" i="31"/>
  <c r="J8" i="31"/>
  <c r="J9" i="31" s="1"/>
  <c r="J4" i="25" s="1"/>
  <c r="J5" i="25" s="1"/>
  <c r="E31" i="31"/>
  <c r="E33" i="31" s="1"/>
  <c r="E4" i="28" s="1"/>
  <c r="G16" i="31"/>
  <c r="G24" i="31"/>
  <c r="G25" i="31" s="1"/>
  <c r="G10" i="28" s="1"/>
  <c r="E35" i="31"/>
  <c r="E37" i="31" s="1"/>
  <c r="F36" i="31" s="1"/>
  <c r="G17" i="31" l="1"/>
  <c r="G4" i="27" s="1"/>
  <c r="H24" i="31"/>
  <c r="F35" i="31"/>
  <c r="F37" i="31" s="1"/>
  <c r="E27" i="31"/>
  <c r="H16" i="31"/>
  <c r="H17" i="31" s="1"/>
  <c r="H4" i="27" s="1"/>
  <c r="H19" i="31"/>
  <c r="J12" i="31"/>
  <c r="J13" i="31" s="1"/>
  <c r="J7" i="25" s="1"/>
  <c r="H23" i="31"/>
  <c r="U23" i="31"/>
  <c r="G20" i="31" s="1"/>
  <c r="G21" i="31" s="1"/>
  <c r="G7" i="27" s="1"/>
  <c r="S22" i="31"/>
  <c r="D28" i="31" s="1"/>
  <c r="D29" i="31" s="1"/>
  <c r="E50" i="31"/>
  <c r="E52" i="31" s="1"/>
  <c r="F51" i="31" s="1"/>
  <c r="F32" i="31"/>
  <c r="I15" i="31"/>
  <c r="K8" i="31"/>
  <c r="K9" i="31" s="1"/>
  <c r="K4" i="25" s="1"/>
  <c r="K5" i="25" s="1"/>
  <c r="F31" i="31" l="1"/>
  <c r="F33" i="31" s="1"/>
  <c r="F4" i="28" s="1"/>
  <c r="I23" i="31"/>
  <c r="F27" i="31"/>
  <c r="H20" i="31"/>
  <c r="H21" i="31" s="1"/>
  <c r="H7" i="27" s="1"/>
  <c r="D45" i="31"/>
  <c r="D47" i="31" s="1"/>
  <c r="E46" i="31" s="1"/>
  <c r="D40" i="31"/>
  <c r="D42" i="31" s="1"/>
  <c r="E41" i="31" s="1"/>
  <c r="V23" i="31"/>
  <c r="G36" i="31"/>
  <c r="D38" i="31"/>
  <c r="T33" i="31" s="1"/>
  <c r="L8" i="31"/>
  <c r="L9" i="31" s="1"/>
  <c r="L4" i="25" s="1"/>
  <c r="L5" i="25" s="1"/>
  <c r="J15" i="31"/>
  <c r="I16" i="31"/>
  <c r="I17" i="31" s="1"/>
  <c r="I4" i="27" s="1"/>
  <c r="G31" i="31"/>
  <c r="H25" i="31"/>
  <c r="H10" i="28" s="1"/>
  <c r="T22" i="31"/>
  <c r="E28" i="31" s="1"/>
  <c r="E29" i="31" s="1"/>
  <c r="E7" i="28" s="1"/>
  <c r="K12" i="31"/>
  <c r="K13" i="31" s="1"/>
  <c r="K7" i="25" s="1"/>
  <c r="I19" i="31"/>
  <c r="J23" i="31" l="1"/>
  <c r="G27" i="31"/>
  <c r="E45" i="31"/>
  <c r="E47" i="31" s="1"/>
  <c r="F46" i="31" s="1"/>
  <c r="E40" i="31"/>
  <c r="E42" i="31" s="1"/>
  <c r="F41" i="31" s="1"/>
  <c r="H31" i="31"/>
  <c r="J16" i="31"/>
  <c r="J17" i="31" s="1"/>
  <c r="J4" i="27" s="1"/>
  <c r="G35" i="31"/>
  <c r="G37" i="31" s="1"/>
  <c r="I24" i="31"/>
  <c r="I25" i="31" s="1"/>
  <c r="I10" i="28" s="1"/>
  <c r="U22" i="31"/>
  <c r="F28" i="31" s="1"/>
  <c r="F29" i="31" s="1"/>
  <c r="F7" i="28" s="1"/>
  <c r="W23" i="31"/>
  <c r="I20" i="31" s="1"/>
  <c r="I21" i="31" s="1"/>
  <c r="I7" i="27" s="1"/>
  <c r="L12" i="31"/>
  <c r="L13" i="31" s="1"/>
  <c r="L7" i="25" s="1"/>
  <c r="J19" i="31"/>
  <c r="G32" i="31"/>
  <c r="G33" i="31" s="1"/>
  <c r="G4" i="28" s="1"/>
  <c r="F50" i="31"/>
  <c r="F52" i="31" s="1"/>
  <c r="G51" i="31" s="1"/>
  <c r="K23" i="31"/>
  <c r="K15" i="31"/>
  <c r="M8" i="31"/>
  <c r="M9" i="31" s="1"/>
  <c r="M4" i="25" s="1"/>
  <c r="M5" i="25" s="1"/>
  <c r="G50" i="31" l="1"/>
  <c r="G52" i="31" s="1"/>
  <c r="H32" i="31"/>
  <c r="H27" i="31"/>
  <c r="F45" i="31"/>
  <c r="F47" i="31" s="1"/>
  <c r="G46" i="31" s="1"/>
  <c r="F40" i="31"/>
  <c r="F42" i="31" s="1"/>
  <c r="G41" i="31" s="1"/>
  <c r="I31" i="31"/>
  <c r="K16" i="31"/>
  <c r="K17" i="31" s="1"/>
  <c r="K4" i="27" s="1"/>
  <c r="E38" i="31"/>
  <c r="H36" i="31"/>
  <c r="L15" i="31"/>
  <c r="N8" i="31"/>
  <c r="N9" i="31" s="1"/>
  <c r="N4" i="25" s="1"/>
  <c r="N5" i="25" s="1"/>
  <c r="V22" i="31"/>
  <c r="G28" i="31" s="1"/>
  <c r="G29" i="31" s="1"/>
  <c r="G7" i="28" s="1"/>
  <c r="X23" i="31"/>
  <c r="J20" i="31" s="1"/>
  <c r="J21" i="31" s="1"/>
  <c r="J7" i="27" s="1"/>
  <c r="H33" i="31"/>
  <c r="H4" i="28" s="1"/>
  <c r="K19" i="31"/>
  <c r="M12" i="31"/>
  <c r="M13" i="31" s="1"/>
  <c r="M7" i="25" s="1"/>
  <c r="H35" i="31"/>
  <c r="H37" i="31" s="1"/>
  <c r="J24" i="31"/>
  <c r="J25" i="31" s="1"/>
  <c r="J10" i="28" s="1"/>
  <c r="I27" i="31" l="1"/>
  <c r="G45" i="31"/>
  <c r="G47" i="31" s="1"/>
  <c r="H46" i="31" s="1"/>
  <c r="G40" i="31"/>
  <c r="G42" i="31" s="1"/>
  <c r="F38" i="31"/>
  <c r="I36" i="31"/>
  <c r="H50" i="31"/>
  <c r="I32" i="31"/>
  <c r="I33" i="31" s="1"/>
  <c r="I4" i="28" s="1"/>
  <c r="L19" i="31"/>
  <c r="N12" i="31"/>
  <c r="N13" i="31" s="1"/>
  <c r="N7" i="25" s="1"/>
  <c r="H51" i="31"/>
  <c r="D53" i="31"/>
  <c r="U30" i="31" s="1"/>
  <c r="Y23" i="31"/>
  <c r="K20" i="31" s="1"/>
  <c r="K21" i="31" s="1"/>
  <c r="K7" i="27" s="1"/>
  <c r="M15" i="31"/>
  <c r="O8" i="31"/>
  <c r="O9" i="31" s="1"/>
  <c r="O4" i="25" s="1"/>
  <c r="O5" i="25" s="1"/>
  <c r="K24" i="31"/>
  <c r="K25" i="31" s="1"/>
  <c r="K10" i="28" s="1"/>
  <c r="I35" i="31"/>
  <c r="J31" i="31"/>
  <c r="L16" i="31"/>
  <c r="L17" i="31" s="1"/>
  <c r="L4" i="27" s="1"/>
  <c r="L23" i="31"/>
  <c r="W22" i="31"/>
  <c r="H28" i="31" s="1"/>
  <c r="H29" i="31" s="1"/>
  <c r="H7" i="28" s="1"/>
  <c r="H52" i="31" l="1"/>
  <c r="I51" i="31" s="1"/>
  <c r="H45" i="31"/>
  <c r="H47" i="31" s="1"/>
  <c r="H40" i="31"/>
  <c r="J27" i="31"/>
  <c r="M16" i="31"/>
  <c r="M17" i="31" s="1"/>
  <c r="M4" i="27" s="1"/>
  <c r="K31" i="31"/>
  <c r="L24" i="31"/>
  <c r="L25" i="31" s="1"/>
  <c r="L10" i="28" s="1"/>
  <c r="J35" i="31"/>
  <c r="I50" i="31"/>
  <c r="J32" i="31"/>
  <c r="E43" i="31"/>
  <c r="H41" i="31"/>
  <c r="X22" i="31"/>
  <c r="I28" i="31" s="1"/>
  <c r="I29" i="31" s="1"/>
  <c r="I7" i="28" s="1"/>
  <c r="P8" i="31"/>
  <c r="P9" i="31" s="1"/>
  <c r="N15" i="31"/>
  <c r="M19" i="31"/>
  <c r="O12" i="31"/>
  <c r="O13" i="31" s="1"/>
  <c r="O7" i="25" s="1"/>
  <c r="J33" i="31"/>
  <c r="J4" i="28" s="1"/>
  <c r="M23" i="31"/>
  <c r="Z23" i="31"/>
  <c r="L20" i="31" s="1"/>
  <c r="L21" i="31" s="1"/>
  <c r="L7" i="27" s="1"/>
  <c r="I37" i="31"/>
  <c r="E53" i="31" l="1"/>
  <c r="I52" i="31"/>
  <c r="K27" i="31"/>
  <c r="K35" i="31"/>
  <c r="M24" i="31"/>
  <c r="M25" i="31" s="1"/>
  <c r="M10" i="28" s="1"/>
  <c r="L31" i="31"/>
  <c r="N16" i="31"/>
  <c r="G38" i="31"/>
  <c r="J36" i="31"/>
  <c r="N19" i="31"/>
  <c r="P12" i="31"/>
  <c r="P13" i="31" s="1"/>
  <c r="O19" i="31" s="1"/>
  <c r="N23" i="31"/>
  <c r="D48" i="31"/>
  <c r="V31" i="31" s="1"/>
  <c r="I46" i="31"/>
  <c r="K32" i="31"/>
  <c r="K33" i="31" s="1"/>
  <c r="K4" i="28" s="1"/>
  <c r="J50" i="31"/>
  <c r="AA23" i="31"/>
  <c r="M20" i="31" s="1"/>
  <c r="M21" i="31" s="1"/>
  <c r="M7" i="27" s="1"/>
  <c r="I45" i="31"/>
  <c r="I47" i="31" s="1"/>
  <c r="I40" i="31"/>
  <c r="N17" i="31"/>
  <c r="N4" i="27" s="1"/>
  <c r="F53" i="31"/>
  <c r="J51" i="31"/>
  <c r="Y22" i="31"/>
  <c r="J28" i="31" s="1"/>
  <c r="J29" i="31" s="1"/>
  <c r="J7" i="28" s="1"/>
  <c r="O15" i="31"/>
  <c r="J37" i="31"/>
  <c r="H42" i="31"/>
  <c r="J45" i="31" l="1"/>
  <c r="J40" i="31"/>
  <c r="L32" i="31"/>
  <c r="K50" i="31"/>
  <c r="L27" i="31"/>
  <c r="L35" i="31"/>
  <c r="N24" i="31"/>
  <c r="N25" i="31" s="1"/>
  <c r="N10" i="28" s="1"/>
  <c r="F43" i="31"/>
  <c r="I41" i="31"/>
  <c r="M31" i="31"/>
  <c r="O16" i="31"/>
  <c r="O17" i="31" s="1"/>
  <c r="O4" i="27" s="1"/>
  <c r="E48" i="31"/>
  <c r="J46" i="31"/>
  <c r="AC23" i="31"/>
  <c r="Z22" i="31"/>
  <c r="K28" i="31" s="1"/>
  <c r="K29" i="31" s="1"/>
  <c r="K7" i="28" s="1"/>
  <c r="K36" i="31"/>
  <c r="K37" i="31" s="1"/>
  <c r="H38" i="31"/>
  <c r="AB23" i="31"/>
  <c r="N20" i="31" s="1"/>
  <c r="N21" i="31" s="1"/>
  <c r="N7" i="27" s="1"/>
  <c r="I42" i="31"/>
  <c r="L33" i="31"/>
  <c r="L4" i="28" s="1"/>
  <c r="O23" i="31"/>
  <c r="J52" i="31"/>
  <c r="M27" i="31" l="1"/>
  <c r="O20" i="31"/>
  <c r="O21" i="31" s="1"/>
  <c r="O7" i="27" s="1"/>
  <c r="L50" i="31"/>
  <c r="M32" i="31"/>
  <c r="M33" i="31" s="1"/>
  <c r="M4" i="28" s="1"/>
  <c r="K45" i="31"/>
  <c r="K40" i="31"/>
  <c r="M35" i="31"/>
  <c r="O24" i="31"/>
  <c r="O25" i="31" s="1"/>
  <c r="O10" i="28" s="1"/>
  <c r="G43" i="31"/>
  <c r="J41" i="31"/>
  <c r="J42" i="31" s="1"/>
  <c r="G53" i="31"/>
  <c r="K51" i="31"/>
  <c r="K52" i="31" s="1"/>
  <c r="N31" i="31"/>
  <c r="P16" i="31"/>
  <c r="P17" i="31" s="1"/>
  <c r="I38" i="31"/>
  <c r="L36" i="31"/>
  <c r="L37" i="31" s="1"/>
  <c r="AA22" i="31"/>
  <c r="L28" i="31" s="1"/>
  <c r="L29" i="31" s="1"/>
  <c r="L7" i="28" s="1"/>
  <c r="J47" i="31"/>
  <c r="L51" i="31" l="1"/>
  <c r="L52" i="31" s="1"/>
  <c r="H53" i="31"/>
  <c r="P24" i="31"/>
  <c r="P25" i="31" s="1"/>
  <c r="O35" i="31" s="1"/>
  <c r="N35" i="31"/>
  <c r="L45" i="31"/>
  <c r="L40" i="31"/>
  <c r="M36" i="31"/>
  <c r="M37" i="31" s="1"/>
  <c r="J38" i="31"/>
  <c r="K41" i="31"/>
  <c r="K42" i="31" s="1"/>
  <c r="H43" i="31"/>
  <c r="M50" i="31"/>
  <c r="N32" i="31"/>
  <c r="N33" i="31" s="1"/>
  <c r="N4" i="28" s="1"/>
  <c r="AB22" i="31"/>
  <c r="M28" i="31" s="1"/>
  <c r="M29" i="31" s="1"/>
  <c r="M7" i="28" s="1"/>
  <c r="F48" i="31"/>
  <c r="K46" i="31"/>
  <c r="K47" i="31" s="1"/>
  <c r="O31" i="31"/>
  <c r="N27" i="31"/>
  <c r="P20" i="31"/>
  <c r="P21" i="31" s="1"/>
  <c r="O27" i="31" s="1"/>
  <c r="O32" i="31" l="1"/>
  <c r="O33" i="31" s="1"/>
  <c r="O4" i="28" s="1"/>
  <c r="N50" i="31"/>
  <c r="M45" i="31"/>
  <c r="M40" i="31"/>
  <c r="I53" i="31"/>
  <c r="M51" i="31"/>
  <c r="L46" i="31"/>
  <c r="L47" i="31" s="1"/>
  <c r="G48" i="31"/>
  <c r="AC22" i="31"/>
  <c r="N28" i="31" s="1"/>
  <c r="N29" i="31" s="1"/>
  <c r="N7" i="28" s="1"/>
  <c r="I43" i="31"/>
  <c r="L41" i="31"/>
  <c r="K38" i="31"/>
  <c r="N36" i="31"/>
  <c r="N37" i="31" s="1"/>
  <c r="M52" i="31"/>
  <c r="L42" i="31"/>
  <c r="P32" i="31" l="1"/>
  <c r="P33" i="31" s="1"/>
  <c r="P50" i="31" s="1"/>
  <c r="O50" i="31"/>
  <c r="H48" i="31"/>
  <c r="M46" i="31"/>
  <c r="M47" i="31" s="1"/>
  <c r="N45" i="31"/>
  <c r="O28" i="31"/>
  <c r="O29" i="31" s="1"/>
  <c r="O7" i="28" s="1"/>
  <c r="N40" i="31"/>
  <c r="O36" i="31"/>
  <c r="O37" i="31" s="1"/>
  <c r="L38" i="31"/>
  <c r="J53" i="31"/>
  <c r="N51" i="31"/>
  <c r="N52" i="31" s="1"/>
  <c r="J43" i="31"/>
  <c r="M41" i="31"/>
  <c r="M42" i="31" s="1"/>
  <c r="I48" i="31" l="1"/>
  <c r="N46" i="31"/>
  <c r="N47" i="31"/>
  <c r="K53" i="31"/>
  <c r="O51" i="31"/>
  <c r="K43" i="31"/>
  <c r="N41" i="31"/>
  <c r="N42" i="31" s="1"/>
  <c r="M38" i="31"/>
  <c r="P36" i="31"/>
  <c r="P37" i="31" s="1"/>
  <c r="N38" i="31" s="1"/>
  <c r="P28" i="31"/>
  <c r="P29" i="31" s="1"/>
  <c r="O45" i="31"/>
  <c r="O40" i="31"/>
  <c r="O52" i="31"/>
  <c r="P51" i="31" s="1"/>
  <c r="P52" i="31" s="1"/>
  <c r="O41" i="31" l="1"/>
  <c r="O42" i="31" s="1"/>
  <c r="L43" i="31"/>
  <c r="P40" i="31"/>
  <c r="P45" i="31"/>
  <c r="J48" i="31"/>
  <c r="O46" i="31"/>
  <c r="O47" i="31" s="1"/>
  <c r="P46" i="31" s="1"/>
  <c r="M43" i="31" l="1"/>
  <c r="P41" i="31"/>
  <c r="P42" i="31" s="1"/>
  <c r="N43" i="31" s="1"/>
  <c r="P47" i="31"/>
  <c r="H14" i="29" l="1"/>
  <c r="I14" i="29"/>
  <c r="L14" i="29"/>
  <c r="M14" i="29"/>
  <c r="F13" i="29"/>
  <c r="G13" i="29"/>
  <c r="J13" i="29"/>
  <c r="K13" i="29"/>
  <c r="D12" i="29"/>
  <c r="E12" i="29"/>
  <c r="F12" i="29"/>
  <c r="G12" i="29"/>
  <c r="H12" i="29"/>
  <c r="I12" i="29"/>
  <c r="J12" i="29"/>
  <c r="K12" i="29"/>
  <c r="L12" i="29"/>
  <c r="M12" i="29"/>
  <c r="F9" i="29"/>
  <c r="H9" i="29"/>
  <c r="I9" i="29"/>
  <c r="J9" i="29"/>
  <c r="L9" i="29"/>
  <c r="M9" i="29"/>
  <c r="F8" i="29"/>
  <c r="G8" i="29"/>
  <c r="H8" i="29"/>
  <c r="J8" i="29"/>
  <c r="K8" i="29"/>
  <c r="L8" i="29"/>
  <c r="D7" i="29"/>
  <c r="E7" i="29"/>
  <c r="F7" i="29"/>
  <c r="G7" i="29"/>
  <c r="H7" i="29"/>
  <c r="I7" i="29"/>
  <c r="J7" i="29"/>
  <c r="K7" i="29"/>
  <c r="L7" i="29"/>
  <c r="M7" i="29"/>
  <c r="D2" i="29"/>
  <c r="E2" i="29"/>
  <c r="F2" i="29"/>
  <c r="G2" i="29"/>
  <c r="H2" i="29"/>
  <c r="I2" i="29"/>
  <c r="J2" i="29"/>
  <c r="K2" i="29"/>
  <c r="L2" i="29"/>
  <c r="M2" i="29"/>
  <c r="C12" i="29"/>
  <c r="C7" i="29"/>
  <c r="C2" i="29"/>
  <c r="F14" i="25"/>
  <c r="H14" i="25"/>
  <c r="I14" i="25"/>
  <c r="J14" i="25"/>
  <c r="K14" i="25"/>
  <c r="L14" i="25"/>
  <c r="M14" i="25"/>
  <c r="N14" i="25"/>
  <c r="O14" i="25"/>
  <c r="F18" i="25"/>
  <c r="D4" i="29" s="1"/>
  <c r="G18" i="25"/>
  <c r="E4" i="29" s="1"/>
  <c r="H18" i="25"/>
  <c r="F4" i="29" s="1"/>
  <c r="I18" i="25"/>
  <c r="G4" i="29" s="1"/>
  <c r="J18" i="25"/>
  <c r="H4" i="29" s="1"/>
  <c r="K18" i="25"/>
  <c r="I4" i="29" s="1"/>
  <c r="L18" i="25"/>
  <c r="J4" i="29" s="1"/>
  <c r="M18" i="25"/>
  <c r="K4" i="29" s="1"/>
  <c r="N18" i="25"/>
  <c r="L4" i="29" s="1"/>
  <c r="O18" i="25"/>
  <c r="M4" i="29" s="1"/>
  <c r="F17" i="25"/>
  <c r="D3" i="29" s="1"/>
  <c r="G17" i="25"/>
  <c r="E3" i="29" s="1"/>
  <c r="H17" i="25"/>
  <c r="F3" i="29" s="1"/>
  <c r="I17" i="25"/>
  <c r="G3" i="29" s="1"/>
  <c r="J17" i="25"/>
  <c r="H3" i="29" s="1"/>
  <c r="K17" i="25"/>
  <c r="I3" i="29" s="1"/>
  <c r="L17" i="25"/>
  <c r="J3" i="29" s="1"/>
  <c r="M17" i="25"/>
  <c r="K3" i="29" s="1"/>
  <c r="N17" i="25"/>
  <c r="L3" i="29" s="1"/>
  <c r="O17" i="25"/>
  <c r="M3" i="29" s="1"/>
  <c r="F18" i="27"/>
  <c r="D9" i="29" s="1"/>
  <c r="G18" i="27"/>
  <c r="E9" i="29" s="1"/>
  <c r="H18" i="27"/>
  <c r="I18" i="27"/>
  <c r="G9" i="29" s="1"/>
  <c r="J18" i="27"/>
  <c r="K18" i="27"/>
  <c r="L18" i="27"/>
  <c r="M18" i="27"/>
  <c r="K9" i="29" s="1"/>
  <c r="N18" i="27"/>
  <c r="O18" i="27"/>
  <c r="F17" i="27"/>
  <c r="D8" i="29" s="1"/>
  <c r="G17" i="27"/>
  <c r="E8" i="29" s="1"/>
  <c r="H17" i="27"/>
  <c r="I17" i="27"/>
  <c r="J17" i="27"/>
  <c r="K17" i="27"/>
  <c r="I8" i="29" s="1"/>
  <c r="L17" i="27"/>
  <c r="M17" i="27"/>
  <c r="N17" i="27"/>
  <c r="O17" i="27"/>
  <c r="M8" i="29" s="1"/>
  <c r="F21" i="28"/>
  <c r="D14" i="29" s="1"/>
  <c r="G21" i="28"/>
  <c r="E14" i="29" s="1"/>
  <c r="H21" i="28"/>
  <c r="F14" i="29" s="1"/>
  <c r="I21" i="28"/>
  <c r="G14" i="29" s="1"/>
  <c r="J21" i="28"/>
  <c r="K21" i="28"/>
  <c r="L21" i="28"/>
  <c r="J14" i="29" s="1"/>
  <c r="M21" i="28"/>
  <c r="K14" i="29" s="1"/>
  <c r="N21" i="28"/>
  <c r="O21" i="28"/>
  <c r="F20" i="28"/>
  <c r="D13" i="29" s="1"/>
  <c r="G20" i="28"/>
  <c r="E13" i="29" s="1"/>
  <c r="H20" i="28"/>
  <c r="I20" i="28"/>
  <c r="J20" i="28"/>
  <c r="H13" i="29" s="1"/>
  <c r="K20" i="28"/>
  <c r="I13" i="29" s="1"/>
  <c r="L20" i="28"/>
  <c r="M20" i="28"/>
  <c r="N20" i="28"/>
  <c r="L13" i="29" s="1"/>
  <c r="O20" i="28"/>
  <c r="M13" i="29" s="1"/>
  <c r="E21" i="28"/>
  <c r="C14" i="29" s="1"/>
  <c r="E20" i="28"/>
  <c r="C13" i="29" s="1"/>
  <c r="E18" i="27"/>
  <c r="C9" i="29" s="1"/>
  <c r="E17" i="27"/>
  <c r="C8" i="29" s="1"/>
  <c r="E18" i="25"/>
  <c r="C4" i="29" s="1"/>
  <c r="E17" i="25"/>
  <c r="C3" i="29" s="1"/>
  <c r="F14" i="28"/>
  <c r="G14" i="28"/>
  <c r="H14" i="28"/>
  <c r="I14" i="28"/>
  <c r="J14" i="28"/>
  <c r="K14" i="28"/>
  <c r="L14" i="28"/>
  <c r="M14" i="28"/>
  <c r="N14" i="28"/>
  <c r="O14" i="28"/>
  <c r="E14" i="28"/>
  <c r="O17" i="28"/>
  <c r="N17" i="28"/>
  <c r="M17" i="28"/>
  <c r="L17" i="28"/>
  <c r="K17" i="28"/>
  <c r="J17" i="28"/>
  <c r="I17" i="28"/>
  <c r="H17" i="28"/>
  <c r="G17" i="28"/>
  <c r="F17" i="28"/>
  <c r="E17" i="28"/>
  <c r="S4" i="28"/>
  <c r="O14" i="27"/>
  <c r="N14" i="27"/>
  <c r="M14" i="27"/>
  <c r="L14" i="27"/>
  <c r="K14" i="27"/>
  <c r="J14" i="27"/>
  <c r="I14" i="27"/>
  <c r="H14" i="27"/>
  <c r="G14" i="27"/>
  <c r="F14" i="27"/>
  <c r="E14" i="27"/>
  <c r="S4" i="27"/>
  <c r="E14" i="25"/>
  <c r="S4" i="25"/>
  <c r="F11" i="25"/>
  <c r="G11" i="25"/>
  <c r="H11" i="25"/>
  <c r="I11" i="25"/>
  <c r="J11" i="25"/>
  <c r="K11" i="25"/>
  <c r="L11" i="25"/>
  <c r="M11" i="25"/>
  <c r="N11" i="25"/>
  <c r="O11" i="25"/>
  <c r="E11" i="25"/>
  <c r="N53" i="26"/>
  <c r="M53" i="26"/>
  <c r="L53" i="26"/>
  <c r="D51" i="26"/>
  <c r="N48" i="26"/>
  <c r="M48" i="26"/>
  <c r="L48" i="26"/>
  <c r="K48" i="26"/>
  <c r="D46" i="26"/>
  <c r="N43" i="26"/>
  <c r="M43" i="26"/>
  <c r="D41" i="26"/>
  <c r="D36" i="26"/>
  <c r="D32" i="26"/>
  <c r="B30" i="26"/>
  <c r="D28" i="26"/>
  <c r="X27" i="26"/>
  <c r="B26" i="26"/>
  <c r="D24" i="26"/>
  <c r="B22" i="26"/>
  <c r="D20" i="26"/>
  <c r="X18" i="26"/>
  <c r="B18" i="26"/>
  <c r="D16" i="26"/>
  <c r="B14" i="26"/>
  <c r="D12" i="26"/>
  <c r="N11" i="26"/>
  <c r="M11" i="26"/>
  <c r="L11" i="26"/>
  <c r="K11" i="26"/>
  <c r="J11" i="26"/>
  <c r="I11" i="26"/>
  <c r="H11" i="26"/>
  <c r="G11" i="26"/>
  <c r="F11" i="26"/>
  <c r="E11" i="26"/>
  <c r="D11" i="26"/>
  <c r="W10" i="26"/>
  <c r="V10" i="26"/>
  <c r="U10" i="26"/>
  <c r="T10" i="26"/>
  <c r="S10" i="26"/>
  <c r="B10" i="26"/>
  <c r="D8" i="26"/>
  <c r="N7" i="26"/>
  <c r="M7" i="26"/>
  <c r="L7" i="26"/>
  <c r="K7" i="26"/>
  <c r="J7" i="26"/>
  <c r="I7" i="26"/>
  <c r="H7" i="26"/>
  <c r="G7" i="26"/>
  <c r="F7" i="26"/>
  <c r="E7" i="26"/>
  <c r="D7" i="26"/>
  <c r="B6" i="26"/>
  <c r="B5" i="26"/>
  <c r="D13" i="26" l="1"/>
  <c r="E8" i="25" s="1"/>
  <c r="K19" i="29"/>
  <c r="K20" i="29" s="1"/>
  <c r="G19" i="29"/>
  <c r="M21" i="29"/>
  <c r="M22" i="29" s="1"/>
  <c r="I21" i="29"/>
  <c r="I22" i="29" s="1"/>
  <c r="E21" i="29"/>
  <c r="E22" i="29" s="1"/>
  <c r="L19" i="29"/>
  <c r="L20" i="29" s="1"/>
  <c r="D19" i="29"/>
  <c r="D20" i="29" s="1"/>
  <c r="J19" i="29"/>
  <c r="J20" i="29" s="1"/>
  <c r="C21" i="29"/>
  <c r="C22" i="29" s="1"/>
  <c r="F19" i="29"/>
  <c r="F20" i="29" s="1"/>
  <c r="L21" i="29"/>
  <c r="L22" i="29" s="1"/>
  <c r="H21" i="29"/>
  <c r="H22" i="29" s="1"/>
  <c r="D21" i="29"/>
  <c r="D22" i="29" s="1"/>
  <c r="H19" i="29"/>
  <c r="H20" i="29" s="1"/>
  <c r="M19" i="29"/>
  <c r="M20" i="29" s="1"/>
  <c r="I19" i="29"/>
  <c r="I20" i="29" s="1"/>
  <c r="E19" i="29"/>
  <c r="E23" i="29" s="1"/>
  <c r="K21" i="29"/>
  <c r="K22" i="29" s="1"/>
  <c r="G21" i="29"/>
  <c r="G22" i="29" s="1"/>
  <c r="J21" i="29"/>
  <c r="J22" i="29" s="1"/>
  <c r="F21" i="29"/>
  <c r="F22" i="29" s="1"/>
  <c r="G20" i="29"/>
  <c r="C19" i="29"/>
  <c r="C20" i="29" s="1"/>
  <c r="S6" i="28"/>
  <c r="S7" i="28" s="1"/>
  <c r="S6" i="27"/>
  <c r="S7" i="27" s="1"/>
  <c r="S6" i="25"/>
  <c r="S7" i="25" s="1"/>
  <c r="D9" i="26"/>
  <c r="E5" i="25" s="1"/>
  <c r="E10" i="25" s="1"/>
  <c r="E12" i="25" s="1"/>
  <c r="E15" i="25" s="1"/>
  <c r="D19" i="26"/>
  <c r="D21" i="26" s="1"/>
  <c r="E8" i="27" s="1"/>
  <c r="E12" i="26"/>
  <c r="E13" i="26" s="1"/>
  <c r="F8" i="25" s="1"/>
  <c r="G20" i="25" l="1"/>
  <c r="E5" i="29" s="1"/>
  <c r="K20" i="25"/>
  <c r="I5" i="29" s="1"/>
  <c r="O20" i="25"/>
  <c r="M5" i="29" s="1"/>
  <c r="L20" i="25"/>
  <c r="J5" i="29" s="1"/>
  <c r="I20" i="25"/>
  <c r="G5" i="29" s="1"/>
  <c r="M20" i="25"/>
  <c r="K5" i="29" s="1"/>
  <c r="F20" i="25"/>
  <c r="J20" i="25"/>
  <c r="H5" i="29" s="1"/>
  <c r="N20" i="25"/>
  <c r="L5" i="29" s="1"/>
  <c r="H20" i="25"/>
  <c r="F5" i="29" s="1"/>
  <c r="E20" i="25"/>
  <c r="C5" i="29"/>
  <c r="K23" i="29"/>
  <c r="K25" i="29" s="1"/>
  <c r="E20" i="29"/>
  <c r="I23" i="29"/>
  <c r="I25" i="29" s="1"/>
  <c r="G23" i="29"/>
  <c r="G24" i="29" s="1"/>
  <c r="G26" i="29" s="1"/>
  <c r="M23" i="29"/>
  <c r="M24" i="29" s="1"/>
  <c r="M26" i="29" s="1"/>
  <c r="D23" i="29"/>
  <c r="D24" i="29" s="1"/>
  <c r="D26" i="29" s="1"/>
  <c r="J23" i="29"/>
  <c r="C23" i="29"/>
  <c r="H23" i="29"/>
  <c r="H25" i="29" s="1"/>
  <c r="L23" i="29"/>
  <c r="L24" i="29" s="1"/>
  <c r="L26" i="29" s="1"/>
  <c r="F23" i="29"/>
  <c r="F25" i="29" s="1"/>
  <c r="I24" i="29"/>
  <c r="I26" i="29" s="1"/>
  <c r="E25" i="29"/>
  <c r="E24" i="29"/>
  <c r="E26" i="29" s="1"/>
  <c r="E19" i="26"/>
  <c r="F12" i="26"/>
  <c r="F13" i="26" s="1"/>
  <c r="G8" i="25" s="1"/>
  <c r="D27" i="26"/>
  <c r="D29" i="26" s="1"/>
  <c r="E8" i="28" s="1"/>
  <c r="E20" i="26"/>
  <c r="D15" i="26"/>
  <c r="D17" i="26" s="1"/>
  <c r="E5" i="27" s="1"/>
  <c r="E10" i="27" s="1"/>
  <c r="E12" i="27" s="1"/>
  <c r="E15" i="27" s="1"/>
  <c r="E20" i="27" s="1"/>
  <c r="D23" i="26"/>
  <c r="D25" i="26" s="1"/>
  <c r="E11" i="28" s="1"/>
  <c r="E8" i="26"/>
  <c r="E9" i="26" s="1"/>
  <c r="F10" i="25" s="1"/>
  <c r="F12" i="25" s="1"/>
  <c r="F15" i="25" s="1"/>
  <c r="R21" i="25" l="1"/>
  <c r="D5" i="29"/>
  <c r="C10" i="29"/>
  <c r="C25" i="29"/>
  <c r="C24" i="29"/>
  <c r="C26" i="29" s="1"/>
  <c r="G25" i="29"/>
  <c r="H24" i="29"/>
  <c r="H26" i="29" s="1"/>
  <c r="M25" i="29"/>
  <c r="K24" i="29"/>
  <c r="K26" i="29" s="1"/>
  <c r="D25" i="29"/>
  <c r="F24" i="29"/>
  <c r="F26" i="29" s="1"/>
  <c r="L25" i="29"/>
  <c r="J25" i="29"/>
  <c r="J24" i="29"/>
  <c r="J26" i="29" s="1"/>
  <c r="E23" i="26"/>
  <c r="E15" i="26"/>
  <c r="F8" i="26"/>
  <c r="F9" i="26" s="1"/>
  <c r="G10" i="25" s="1"/>
  <c r="G12" i="25" s="1"/>
  <c r="G15" i="25" s="1"/>
  <c r="E28" i="26"/>
  <c r="D45" i="26"/>
  <c r="D47" i="26" s="1"/>
  <c r="E46" i="26" s="1"/>
  <c r="D35" i="26"/>
  <c r="D37" i="26" s="1"/>
  <c r="E36" i="26" s="1"/>
  <c r="E24" i="26"/>
  <c r="G12" i="26"/>
  <c r="G13" i="26" s="1"/>
  <c r="H8" i="25" s="1"/>
  <c r="F19" i="26"/>
  <c r="D31" i="26"/>
  <c r="D33" i="26" s="1"/>
  <c r="E5" i="28" s="1"/>
  <c r="E13" i="28" s="1"/>
  <c r="E15" i="28" s="1"/>
  <c r="E18" i="28" s="1"/>
  <c r="E23" i="28" s="1"/>
  <c r="E16" i="26"/>
  <c r="E21" i="26"/>
  <c r="F8" i="27" s="1"/>
  <c r="C15" i="29" l="1"/>
  <c r="C17" i="29" s="1"/>
  <c r="C28" i="29" s="1"/>
  <c r="D40" i="26"/>
  <c r="D42" i="26" s="1"/>
  <c r="E41" i="26" s="1"/>
  <c r="G19" i="26"/>
  <c r="H12" i="26"/>
  <c r="H13" i="26" s="1"/>
  <c r="I8" i="25" s="1"/>
  <c r="F23" i="26"/>
  <c r="F15" i="26"/>
  <c r="G8" i="26"/>
  <c r="G9" i="26" s="1"/>
  <c r="H10" i="25" s="1"/>
  <c r="H12" i="25" s="1"/>
  <c r="H15" i="25" s="1"/>
  <c r="E32" i="26"/>
  <c r="D50" i="26"/>
  <c r="D52" i="26" s="1"/>
  <c r="E51" i="26" s="1"/>
  <c r="E17" i="26"/>
  <c r="F5" i="27" s="1"/>
  <c r="F10" i="27" s="1"/>
  <c r="F12" i="27" s="1"/>
  <c r="F15" i="27" s="1"/>
  <c r="F20" i="27" s="1"/>
  <c r="D10" i="29" s="1"/>
  <c r="E27" i="26"/>
  <c r="E29" i="26" s="1"/>
  <c r="F8" i="28" s="1"/>
  <c r="F20" i="26"/>
  <c r="F21" i="26" s="1"/>
  <c r="G8" i="27" s="1"/>
  <c r="E25" i="26"/>
  <c r="F11" i="28" s="1"/>
  <c r="G20" i="26" l="1"/>
  <c r="G21" i="26" s="1"/>
  <c r="H8" i="27" s="1"/>
  <c r="F27" i="26"/>
  <c r="H19" i="26"/>
  <c r="I12" i="26"/>
  <c r="I13" i="26" s="1"/>
  <c r="J8" i="25" s="1"/>
  <c r="F24" i="26"/>
  <c r="F25" i="26" s="1"/>
  <c r="G11" i="28" s="1"/>
  <c r="E35" i="26"/>
  <c r="E37" i="26" s="1"/>
  <c r="F36" i="26" s="1"/>
  <c r="E31" i="26"/>
  <c r="E33" i="26" s="1"/>
  <c r="F5" i="28" s="1"/>
  <c r="F13" i="28" s="1"/>
  <c r="F15" i="28" s="1"/>
  <c r="F18" i="28" s="1"/>
  <c r="F16" i="26"/>
  <c r="F17" i="26" s="1"/>
  <c r="G5" i="27" s="1"/>
  <c r="G10" i="27" s="1"/>
  <c r="G12" i="27" s="1"/>
  <c r="G15" i="27" s="1"/>
  <c r="G20" i="27" s="1"/>
  <c r="E10" i="29" s="1"/>
  <c r="E45" i="26"/>
  <c r="E47" i="26" s="1"/>
  <c r="F46" i="26" s="1"/>
  <c r="F28" i="26"/>
  <c r="G15" i="26"/>
  <c r="G23" i="26"/>
  <c r="H8" i="26"/>
  <c r="H9" i="26" s="1"/>
  <c r="I10" i="25" s="1"/>
  <c r="I12" i="25" s="1"/>
  <c r="I15" i="25" s="1"/>
  <c r="D15" i="29" l="1"/>
  <c r="D17" i="29" s="1"/>
  <c r="D28" i="29" s="1"/>
  <c r="F23" i="28"/>
  <c r="E40" i="26"/>
  <c r="E42" i="26" s="1"/>
  <c r="F41" i="26" s="1"/>
  <c r="F29" i="26"/>
  <c r="G8" i="28" s="1"/>
  <c r="G24" i="26"/>
  <c r="G25" i="26" s="1"/>
  <c r="H11" i="28" s="1"/>
  <c r="F35" i="26"/>
  <c r="F37" i="26" s="1"/>
  <c r="G16" i="26"/>
  <c r="G17" i="26" s="1"/>
  <c r="H5" i="27" s="1"/>
  <c r="H10" i="27" s="1"/>
  <c r="H12" i="27" s="1"/>
  <c r="H15" i="27" s="1"/>
  <c r="H20" i="27" s="1"/>
  <c r="F10" i="29" s="1"/>
  <c r="F31" i="26"/>
  <c r="H23" i="26"/>
  <c r="H15" i="26"/>
  <c r="I8" i="26"/>
  <c r="I9" i="26" s="1"/>
  <c r="J10" i="25" s="1"/>
  <c r="J12" i="25" s="1"/>
  <c r="J15" i="25" s="1"/>
  <c r="J12" i="26"/>
  <c r="J13" i="26" s="1"/>
  <c r="K8" i="25" s="1"/>
  <c r="I19" i="26"/>
  <c r="F32" i="26"/>
  <c r="E50" i="26"/>
  <c r="E52" i="26" s="1"/>
  <c r="F51" i="26" s="1"/>
  <c r="G27" i="26"/>
  <c r="H20" i="26"/>
  <c r="H21" i="26" s="1"/>
  <c r="I8" i="27" s="1"/>
  <c r="F33" i="26" l="1"/>
  <c r="G28" i="26"/>
  <c r="G29" i="26" s="1"/>
  <c r="F45" i="26"/>
  <c r="F47" i="26" s="1"/>
  <c r="G46" i="26" s="1"/>
  <c r="H16" i="26"/>
  <c r="H17" i="26" s="1"/>
  <c r="I5" i="27" s="1"/>
  <c r="I10" i="27" s="1"/>
  <c r="I12" i="27" s="1"/>
  <c r="I15" i="27" s="1"/>
  <c r="I20" i="27" s="1"/>
  <c r="G10" i="29" s="1"/>
  <c r="G31" i="26"/>
  <c r="K12" i="26"/>
  <c r="K13" i="26" s="1"/>
  <c r="L8" i="25" s="1"/>
  <c r="J19" i="26"/>
  <c r="I23" i="26"/>
  <c r="I15" i="26"/>
  <c r="J8" i="26"/>
  <c r="J9" i="26" s="1"/>
  <c r="K10" i="25" s="1"/>
  <c r="K12" i="25" s="1"/>
  <c r="K15" i="25" s="1"/>
  <c r="G35" i="26"/>
  <c r="H24" i="26"/>
  <c r="H25" i="26" s="1"/>
  <c r="I11" i="28" s="1"/>
  <c r="F50" i="26"/>
  <c r="F52" i="26" s="1"/>
  <c r="G51" i="26" s="1"/>
  <c r="G36" i="26"/>
  <c r="D38" i="26"/>
  <c r="H27" i="26"/>
  <c r="I20" i="26"/>
  <c r="I21" i="26" s="1"/>
  <c r="J8" i="27" s="1"/>
  <c r="H8" i="28" l="1"/>
  <c r="G45" i="26"/>
  <c r="G47" i="26" s="1"/>
  <c r="H46" i="26" s="1"/>
  <c r="H28" i="26"/>
  <c r="H29" i="26" s="1"/>
  <c r="F40" i="26"/>
  <c r="F42" i="26" s="1"/>
  <c r="G41" i="26" s="1"/>
  <c r="G5" i="28"/>
  <c r="G13" i="28" s="1"/>
  <c r="G15" i="28" s="1"/>
  <c r="G18" i="28" s="1"/>
  <c r="G23" i="28" s="1"/>
  <c r="E15" i="29" s="1"/>
  <c r="E17" i="29" s="1"/>
  <c r="E28" i="29" s="1"/>
  <c r="G32" i="26"/>
  <c r="G33" i="26" s="1"/>
  <c r="H5" i="28" s="1"/>
  <c r="H35" i="26"/>
  <c r="I24" i="26"/>
  <c r="I25" i="26" s="1"/>
  <c r="J11" i="28" s="1"/>
  <c r="I27" i="26"/>
  <c r="J20" i="26"/>
  <c r="J21" i="26" s="1"/>
  <c r="K8" i="27" s="1"/>
  <c r="J23" i="26"/>
  <c r="J15" i="26"/>
  <c r="K8" i="26"/>
  <c r="K9" i="26" s="1"/>
  <c r="L10" i="25" s="1"/>
  <c r="L12" i="25" s="1"/>
  <c r="L15" i="25" s="1"/>
  <c r="K19" i="26"/>
  <c r="L12" i="26"/>
  <c r="L13" i="26" s="1"/>
  <c r="M8" i="25" s="1"/>
  <c r="G37" i="26"/>
  <c r="H31" i="26"/>
  <c r="I16" i="26"/>
  <c r="I17" i="26" s="1"/>
  <c r="J5" i="27" s="1"/>
  <c r="J10" i="27" s="1"/>
  <c r="J12" i="27" s="1"/>
  <c r="J15" i="27" s="1"/>
  <c r="J20" i="27" s="1"/>
  <c r="H10" i="29" s="1"/>
  <c r="H13" i="28" l="1"/>
  <c r="H15" i="28" s="1"/>
  <c r="H18" i="28" s="1"/>
  <c r="H23" i="28" s="1"/>
  <c r="F15" i="29" s="1"/>
  <c r="F17" i="29" s="1"/>
  <c r="F28" i="29" s="1"/>
  <c r="I8" i="28"/>
  <c r="H45" i="26"/>
  <c r="H47" i="26" s="1"/>
  <c r="I46" i="26" s="1"/>
  <c r="I28" i="26"/>
  <c r="I29" i="26" s="1"/>
  <c r="J27" i="26"/>
  <c r="K20" i="26"/>
  <c r="K21" i="26" s="1"/>
  <c r="L8" i="27" s="1"/>
  <c r="G50" i="26"/>
  <c r="G52" i="26" s="1"/>
  <c r="H32" i="26"/>
  <c r="H33" i="26" s="1"/>
  <c r="I5" i="28" s="1"/>
  <c r="G40" i="26"/>
  <c r="G42" i="26" s="1"/>
  <c r="J24" i="26"/>
  <c r="J25" i="26" s="1"/>
  <c r="K11" i="28" s="1"/>
  <c r="I35" i="26"/>
  <c r="I31" i="26"/>
  <c r="J16" i="26"/>
  <c r="J17" i="26" s="1"/>
  <c r="K5" i="27" s="1"/>
  <c r="K10" i="27" s="1"/>
  <c r="K12" i="27" s="1"/>
  <c r="K15" i="27" s="1"/>
  <c r="K20" i="27" s="1"/>
  <c r="I10" i="29" s="1"/>
  <c r="K15" i="26"/>
  <c r="K23" i="26"/>
  <c r="L8" i="26"/>
  <c r="L9" i="26" s="1"/>
  <c r="M10" i="25" s="1"/>
  <c r="M12" i="25" s="1"/>
  <c r="M15" i="25" s="1"/>
  <c r="H36" i="26"/>
  <c r="H37" i="26" s="1"/>
  <c r="E38" i="26"/>
  <c r="D48" i="26"/>
  <c r="L19" i="26"/>
  <c r="M12" i="26"/>
  <c r="M13" i="26" s="1"/>
  <c r="N8" i="25" s="1"/>
  <c r="J8" i="28" l="1"/>
  <c r="J28" i="26"/>
  <c r="I13" i="28"/>
  <c r="I15" i="28" s="1"/>
  <c r="I18" i="28" s="1"/>
  <c r="I23" i="28" s="1"/>
  <c r="G15" i="29" s="1"/>
  <c r="G17" i="29" s="1"/>
  <c r="G28" i="29" s="1"/>
  <c r="I45" i="26"/>
  <c r="I47" i="26" s="1"/>
  <c r="E48" i="26" s="1"/>
  <c r="K24" i="26"/>
  <c r="K25" i="26" s="1"/>
  <c r="L11" i="28" s="1"/>
  <c r="J35" i="26"/>
  <c r="M19" i="26"/>
  <c r="N12" i="26"/>
  <c r="N13" i="26" s="1"/>
  <c r="K16" i="26"/>
  <c r="K17" i="26" s="1"/>
  <c r="L5" i="27" s="1"/>
  <c r="L10" i="27" s="1"/>
  <c r="L12" i="27" s="1"/>
  <c r="L15" i="27" s="1"/>
  <c r="L20" i="27" s="1"/>
  <c r="J10" i="29" s="1"/>
  <c r="J31" i="26"/>
  <c r="H51" i="26"/>
  <c r="D53" i="26"/>
  <c r="L15" i="26"/>
  <c r="L23" i="26"/>
  <c r="M8" i="26"/>
  <c r="M9" i="26" s="1"/>
  <c r="N10" i="25" s="1"/>
  <c r="N12" i="25" s="1"/>
  <c r="N15" i="25" s="1"/>
  <c r="K27" i="26"/>
  <c r="L20" i="26"/>
  <c r="L21" i="26" s="1"/>
  <c r="M8" i="27" s="1"/>
  <c r="I32" i="26"/>
  <c r="I33" i="26" s="1"/>
  <c r="J5" i="28" s="1"/>
  <c r="H50" i="26"/>
  <c r="H52" i="26" s="1"/>
  <c r="H40" i="26"/>
  <c r="I36" i="26"/>
  <c r="I37" i="26" s="1"/>
  <c r="F38" i="26"/>
  <c r="E43" i="26"/>
  <c r="H41" i="26"/>
  <c r="J29" i="26"/>
  <c r="K8" i="28" s="1"/>
  <c r="J13" i="28" l="1"/>
  <c r="J15" i="28" s="1"/>
  <c r="J18" i="28" s="1"/>
  <c r="J23" i="28" s="1"/>
  <c r="H15" i="29" s="1"/>
  <c r="H17" i="29" s="1"/>
  <c r="H28" i="29" s="1"/>
  <c r="J46" i="26"/>
  <c r="H42" i="26"/>
  <c r="N19" i="26"/>
  <c r="O8" i="25"/>
  <c r="G38" i="26"/>
  <c r="J36" i="26"/>
  <c r="J37" i="26" s="1"/>
  <c r="J32" i="26"/>
  <c r="J33" i="26" s="1"/>
  <c r="K5" i="28" s="1"/>
  <c r="K13" i="28" s="1"/>
  <c r="K15" i="28" s="1"/>
  <c r="K18" i="28" s="1"/>
  <c r="K23" i="28" s="1"/>
  <c r="I15" i="29" s="1"/>
  <c r="I17" i="29" s="1"/>
  <c r="I28" i="29" s="1"/>
  <c r="I50" i="26"/>
  <c r="I40" i="26"/>
  <c r="F43" i="26"/>
  <c r="I41" i="26"/>
  <c r="L27" i="26"/>
  <c r="M20" i="26"/>
  <c r="M21" i="26" s="1"/>
  <c r="N8" i="27" s="1"/>
  <c r="L16" i="26"/>
  <c r="L17" i="26" s="1"/>
  <c r="M5" i="27" s="1"/>
  <c r="M10" i="27" s="1"/>
  <c r="M12" i="27" s="1"/>
  <c r="M15" i="27" s="1"/>
  <c r="M20" i="27" s="1"/>
  <c r="K10" i="29" s="1"/>
  <c r="K31" i="26"/>
  <c r="K35" i="26"/>
  <c r="L24" i="26"/>
  <c r="L25" i="26" s="1"/>
  <c r="M11" i="28" s="1"/>
  <c r="E53" i="26"/>
  <c r="I51" i="26"/>
  <c r="M23" i="26"/>
  <c r="N8" i="26"/>
  <c r="N9" i="26" s="1"/>
  <c r="M15" i="26"/>
  <c r="J45" i="26"/>
  <c r="J47" i="26" s="1"/>
  <c r="K28" i="26"/>
  <c r="K29" i="26" s="1"/>
  <c r="L8" i="28" s="1"/>
  <c r="I52" i="26" l="1"/>
  <c r="F53" i="26" s="1"/>
  <c r="O10" i="25"/>
  <c r="O12" i="25" s="1"/>
  <c r="O15" i="25" s="1"/>
  <c r="J50" i="26"/>
  <c r="K32" i="26"/>
  <c r="K33" i="26" s="1"/>
  <c r="L5" i="28" s="1"/>
  <c r="L13" i="28" s="1"/>
  <c r="L15" i="28" s="1"/>
  <c r="L18" i="28" s="1"/>
  <c r="L23" i="28" s="1"/>
  <c r="J15" i="29" s="1"/>
  <c r="J17" i="29" s="1"/>
  <c r="J28" i="29" s="1"/>
  <c r="J40" i="26"/>
  <c r="K36" i="26"/>
  <c r="K37" i="26" s="1"/>
  <c r="H38" i="26"/>
  <c r="L31" i="26"/>
  <c r="M16" i="26"/>
  <c r="M17" i="26" s="1"/>
  <c r="N5" i="27" s="1"/>
  <c r="N10" i="27" s="1"/>
  <c r="N12" i="27" s="1"/>
  <c r="N15" i="27" s="1"/>
  <c r="N20" i="27" s="1"/>
  <c r="L10" i="29" s="1"/>
  <c r="L35" i="26"/>
  <c r="M24" i="26"/>
  <c r="M25" i="26" s="1"/>
  <c r="N11" i="28" s="1"/>
  <c r="N23" i="26"/>
  <c r="N15" i="26"/>
  <c r="K45" i="26"/>
  <c r="L28" i="26"/>
  <c r="L29" i="26" s="1"/>
  <c r="M8" i="28" s="1"/>
  <c r="M27" i="26"/>
  <c r="N20" i="26"/>
  <c r="N21" i="26" s="1"/>
  <c r="F48" i="26"/>
  <c r="K46" i="26"/>
  <c r="I42" i="26"/>
  <c r="J51" i="26" l="1"/>
  <c r="J52" i="26" s="1"/>
  <c r="N27" i="26"/>
  <c r="O8" i="27"/>
  <c r="K50" i="26"/>
  <c r="L32" i="26"/>
  <c r="K40" i="26"/>
  <c r="M31" i="26"/>
  <c r="N16" i="26"/>
  <c r="N17" i="26" s="1"/>
  <c r="O5" i="27" s="1"/>
  <c r="L36" i="26"/>
  <c r="L37" i="26" s="1"/>
  <c r="I38" i="26"/>
  <c r="J41" i="26"/>
  <c r="J42" i="26" s="1"/>
  <c r="G43" i="26"/>
  <c r="N24" i="26"/>
  <c r="N25" i="26" s="1"/>
  <c r="M35" i="26"/>
  <c r="M28" i="26"/>
  <c r="M29" i="26" s="1"/>
  <c r="N8" i="28" s="1"/>
  <c r="L45" i="26"/>
  <c r="L33" i="26"/>
  <c r="M5" i="28" s="1"/>
  <c r="M13" i="28" s="1"/>
  <c r="M15" i="28" s="1"/>
  <c r="M18" i="28" s="1"/>
  <c r="M23" i="28" s="1"/>
  <c r="K15" i="29" s="1"/>
  <c r="K17" i="29" s="1"/>
  <c r="K28" i="29" s="1"/>
  <c r="K47" i="26"/>
  <c r="N35" i="26" l="1"/>
  <c r="O11" i="28"/>
  <c r="O10" i="27"/>
  <c r="O12" i="27" s="1"/>
  <c r="O15" i="27" s="1"/>
  <c r="O20" i="27" s="1"/>
  <c r="M10" i="29" s="1"/>
  <c r="M36" i="26"/>
  <c r="M37" i="26" s="1"/>
  <c r="J38" i="26"/>
  <c r="N31" i="26"/>
  <c r="M45" i="26"/>
  <c r="N28" i="26"/>
  <c r="N29" i="26" s="1"/>
  <c r="K51" i="26"/>
  <c r="G53" i="26"/>
  <c r="M32" i="26"/>
  <c r="M33" i="26" s="1"/>
  <c r="N5" i="28" s="1"/>
  <c r="N13" i="28" s="1"/>
  <c r="N15" i="28" s="1"/>
  <c r="N18" i="28" s="1"/>
  <c r="N23" i="28" s="1"/>
  <c r="L15" i="29" s="1"/>
  <c r="L17" i="29" s="1"/>
  <c r="L28" i="29" s="1"/>
  <c r="L50" i="26"/>
  <c r="L40" i="26"/>
  <c r="K41" i="26"/>
  <c r="K42" i="26" s="1"/>
  <c r="H43" i="26"/>
  <c r="L46" i="26"/>
  <c r="L47" i="26" s="1"/>
  <c r="G48" i="26"/>
  <c r="K52" i="26"/>
  <c r="N45" i="26" l="1"/>
  <c r="O8" i="28"/>
  <c r="K38" i="26"/>
  <c r="N36" i="26"/>
  <c r="N37" i="26" s="1"/>
  <c r="L38" i="26" s="1"/>
  <c r="I43" i="26"/>
  <c r="L41" i="26"/>
  <c r="L42" i="26" s="1"/>
  <c r="N32" i="26"/>
  <c r="N33" i="26" s="1"/>
  <c r="O5" i="28" s="1"/>
  <c r="O13" i="28" s="1"/>
  <c r="O15" i="28" s="1"/>
  <c r="O18" i="28" s="1"/>
  <c r="O23" i="28" s="1"/>
  <c r="M15" i="29" s="1"/>
  <c r="M17" i="29" s="1"/>
  <c r="M28" i="29" s="1"/>
  <c r="M50" i="26"/>
  <c r="M46" i="26"/>
  <c r="M47" i="26" s="1"/>
  <c r="H48" i="26"/>
  <c r="L51" i="26"/>
  <c r="L52" i="26" s="1"/>
  <c r="H53" i="26"/>
  <c r="M40" i="26"/>
  <c r="J43" i="26" l="1"/>
  <c r="M41" i="26"/>
  <c r="M42" i="26" s="1"/>
  <c r="I48" i="26"/>
  <c r="N46" i="26"/>
  <c r="N47" i="26" s="1"/>
  <c r="J48" i="26" s="1"/>
  <c r="I53" i="26"/>
  <c r="M51" i="26"/>
  <c r="M52" i="26" s="1"/>
  <c r="N50" i="26"/>
  <c r="N40" i="26"/>
  <c r="J53" i="26" l="1"/>
  <c r="N51" i="26"/>
  <c r="N52" i="26"/>
  <c r="K53" i="26" s="1"/>
  <c r="N41" i="26"/>
  <c r="N42" i="26" s="1"/>
  <c r="L43" i="26" s="1"/>
  <c r="K43" i="26"/>
  <c r="J26" i="22" l="1"/>
  <c r="I26" i="22"/>
  <c r="H26" i="22"/>
  <c r="G26" i="22"/>
  <c r="F26" i="22"/>
  <c r="T18" i="22"/>
  <c r="N18" i="22" s="1"/>
  <c r="O18" i="22"/>
  <c r="M18" i="22"/>
  <c r="L18" i="22"/>
  <c r="K18" i="22"/>
  <c r="I18" i="22"/>
  <c r="H18" i="22"/>
  <c r="G18" i="22"/>
  <c r="E18" i="22"/>
  <c r="D18" i="22"/>
  <c r="T17" i="22"/>
  <c r="L17" i="22" s="1"/>
  <c r="N17" i="22"/>
  <c r="H17" i="22"/>
  <c r="F17" i="22"/>
  <c r="T16" i="22"/>
  <c r="O16" i="22"/>
  <c r="M16" i="22"/>
  <c r="G16" i="22"/>
  <c r="E16" i="22"/>
  <c r="T15" i="22"/>
  <c r="L15" i="22"/>
  <c r="J15" i="22"/>
  <c r="H15" i="22"/>
  <c r="D15" i="22"/>
  <c r="T14" i="22"/>
  <c r="L14" i="22"/>
  <c r="K14" i="22"/>
  <c r="H14" i="22"/>
  <c r="G14" i="22"/>
  <c r="E14" i="22"/>
  <c r="D14" i="22"/>
  <c r="T13" i="22"/>
  <c r="L13" i="22"/>
  <c r="H13" i="22"/>
  <c r="D13" i="22"/>
  <c r="T12" i="22"/>
  <c r="O12" i="22"/>
  <c r="K12" i="22"/>
  <c r="G12" i="22"/>
  <c r="T11" i="22"/>
  <c r="H11" i="22"/>
  <c r="T10" i="22"/>
  <c r="H10" i="22" s="1"/>
  <c r="O10" i="22"/>
  <c r="L10" i="22"/>
  <c r="K10" i="22"/>
  <c r="I10" i="22"/>
  <c r="G10" i="22"/>
  <c r="D10" i="22"/>
  <c r="T9" i="22"/>
  <c r="N9" i="22"/>
  <c r="M9" i="22"/>
  <c r="L9" i="22"/>
  <c r="J9" i="22"/>
  <c r="I9" i="22"/>
  <c r="H9" i="22"/>
  <c r="F9" i="22"/>
  <c r="E9" i="22"/>
  <c r="D9" i="22"/>
  <c r="T8" i="22"/>
  <c r="O8" i="22"/>
  <c r="K8" i="22"/>
  <c r="J8" i="22"/>
  <c r="G8" i="22"/>
  <c r="E8" i="22"/>
  <c r="O3" i="22"/>
  <c r="N3" i="22"/>
  <c r="M3" i="22"/>
  <c r="M10" i="22" s="1"/>
  <c r="L3" i="22"/>
  <c r="L16" i="22" s="1"/>
  <c r="K3" i="22"/>
  <c r="J3" i="22"/>
  <c r="I3" i="22"/>
  <c r="I14" i="22" s="1"/>
  <c r="H3" i="22"/>
  <c r="H16" i="22" s="1"/>
  <c r="G3" i="22"/>
  <c r="F3" i="22"/>
  <c r="E3" i="22"/>
  <c r="D3" i="22"/>
  <c r="D16" i="22" s="1"/>
  <c r="M11" i="22" l="1"/>
  <c r="I11" i="22"/>
  <c r="E11" i="22"/>
  <c r="O11" i="22"/>
  <c r="K11" i="22"/>
  <c r="G11" i="22"/>
  <c r="F14" i="22"/>
  <c r="F10" i="22"/>
  <c r="F16" i="22"/>
  <c r="F12" i="22"/>
  <c r="J14" i="22"/>
  <c r="J10" i="22"/>
  <c r="J16" i="22"/>
  <c r="J12" i="22"/>
  <c r="N14" i="22"/>
  <c r="N10" i="22"/>
  <c r="N16" i="22"/>
  <c r="N12" i="22"/>
  <c r="M8" i="22"/>
  <c r="D11" i="22"/>
  <c r="L11" i="22"/>
  <c r="O13" i="22"/>
  <c r="K13" i="22"/>
  <c r="G13" i="22"/>
  <c r="M13" i="22"/>
  <c r="I13" i="22"/>
  <c r="E13" i="22"/>
  <c r="M14" i="22"/>
  <c r="F15" i="22"/>
  <c r="N15" i="22"/>
  <c r="I16" i="22"/>
  <c r="J17" i="22"/>
  <c r="G17" i="22"/>
  <c r="G15" i="22"/>
  <c r="K17" i="22"/>
  <c r="K15" i="22"/>
  <c r="O17" i="22"/>
  <c r="O15" i="22"/>
  <c r="I8" i="22"/>
  <c r="N8" i="22"/>
  <c r="O9" i="22"/>
  <c r="K9" i="22"/>
  <c r="G9" i="22"/>
  <c r="F11" i="22"/>
  <c r="N11" i="22"/>
  <c r="I12" i="22"/>
  <c r="J13" i="22"/>
  <c r="O14" i="22"/>
  <c r="K16" i="22"/>
  <c r="D17" i="22"/>
  <c r="E15" i="22"/>
  <c r="E17" i="22"/>
  <c r="I15" i="22"/>
  <c r="I17" i="22"/>
  <c r="M15" i="22"/>
  <c r="M17" i="22"/>
  <c r="F8" i="22"/>
  <c r="E10" i="22"/>
  <c r="J11" i="22"/>
  <c r="E12" i="22"/>
  <c r="M12" i="22"/>
  <c r="F13" i="22"/>
  <c r="N13" i="22"/>
  <c r="D8" i="22"/>
  <c r="H8" i="22"/>
  <c r="L8" i="22"/>
  <c r="D12" i="22"/>
  <c r="H12" i="22"/>
  <c r="L12" i="22"/>
  <c r="F18" i="22"/>
  <c r="J18" i="22"/>
  <c r="I7" i="19" l="1"/>
  <c r="J7" i="19" s="1"/>
  <c r="K7" i="19" s="1"/>
  <c r="L7" i="19" s="1"/>
  <c r="M7" i="19" s="1"/>
  <c r="N7" i="19" s="1"/>
  <c r="O7" i="19" s="1"/>
  <c r="H7" i="19"/>
  <c r="F7" i="19"/>
  <c r="G7" i="19"/>
  <c r="E7" i="19"/>
  <c r="D7" i="21"/>
  <c r="D7" i="20"/>
  <c r="D7" i="19"/>
  <c r="E6" i="21"/>
  <c r="F6" i="21"/>
  <c r="G6" i="21"/>
  <c r="H6" i="21"/>
  <c r="I6" i="21"/>
  <c r="J6" i="21"/>
  <c r="K6" i="21"/>
  <c r="L6" i="21"/>
  <c r="M6" i="21"/>
  <c r="N6" i="21"/>
  <c r="O6" i="21"/>
  <c r="D6" i="21"/>
  <c r="E6" i="20"/>
  <c r="F6" i="20"/>
  <c r="G6" i="20"/>
  <c r="H6" i="20"/>
  <c r="I6" i="20"/>
  <c r="J6" i="20"/>
  <c r="K6" i="20"/>
  <c r="L6" i="20"/>
  <c r="M6" i="20"/>
  <c r="N6" i="20"/>
  <c r="O6" i="20"/>
  <c r="D6" i="20"/>
  <c r="E6" i="19"/>
  <c r="F6" i="19"/>
  <c r="G6" i="19"/>
  <c r="H6" i="19"/>
  <c r="I6" i="19"/>
  <c r="J6" i="19"/>
  <c r="K6" i="19"/>
  <c r="L6" i="19"/>
  <c r="M6" i="19"/>
  <c r="N6" i="19"/>
  <c r="O6" i="19"/>
  <c r="D6" i="19"/>
  <c r="E6" i="18"/>
  <c r="F6" i="18"/>
  <c r="G6" i="18"/>
  <c r="H6" i="18"/>
  <c r="I6" i="18"/>
  <c r="J6" i="18"/>
  <c r="K6" i="18"/>
  <c r="L6" i="18"/>
  <c r="M6" i="18"/>
  <c r="N6" i="18"/>
  <c r="O6" i="18"/>
  <c r="D6" i="18"/>
  <c r="D8" i="18" s="1"/>
  <c r="G20" i="16"/>
  <c r="G11" i="17" s="1"/>
  <c r="O20" i="16"/>
  <c r="O11" i="17" s="1"/>
  <c r="K19" i="16"/>
  <c r="K10" i="17" s="1"/>
  <c r="L19" i="16"/>
  <c r="L10" i="17" s="1"/>
  <c r="G26" i="16"/>
  <c r="H26" i="16"/>
  <c r="I26" i="16"/>
  <c r="O26" i="16"/>
  <c r="D26" i="16"/>
  <c r="E27" i="16"/>
  <c r="K27" i="16"/>
  <c r="L27" i="16"/>
  <c r="M27" i="16"/>
  <c r="G25" i="16"/>
  <c r="H25" i="16"/>
  <c r="O25" i="16"/>
  <c r="D25" i="16"/>
  <c r="K24" i="16"/>
  <c r="G23" i="16"/>
  <c r="G14" i="17" s="1"/>
  <c r="H23" i="16"/>
  <c r="H14" i="17" s="1"/>
  <c r="O23" i="16"/>
  <c r="O14" i="17" s="1"/>
  <c r="D23" i="16"/>
  <c r="D14" i="17" s="1"/>
  <c r="G22" i="16"/>
  <c r="G13" i="17" s="1"/>
  <c r="H22" i="16"/>
  <c r="H13" i="17" s="1"/>
  <c r="I22" i="16"/>
  <c r="I13" i="17" s="1"/>
  <c r="O22" i="16"/>
  <c r="O13" i="17" s="1"/>
  <c r="E6" i="16"/>
  <c r="E22" i="16" s="1"/>
  <c r="E13" i="17" s="1"/>
  <c r="F6" i="16"/>
  <c r="F23" i="16" s="1"/>
  <c r="F14" i="17" s="1"/>
  <c r="G6" i="16"/>
  <c r="G18" i="16" s="1"/>
  <c r="G9" i="17" s="1"/>
  <c r="H6" i="16"/>
  <c r="H18" i="16" s="1"/>
  <c r="H9" i="17" s="1"/>
  <c r="I6" i="16"/>
  <c r="I18" i="16" s="1"/>
  <c r="I9" i="17" s="1"/>
  <c r="J6" i="16"/>
  <c r="J18" i="16" s="1"/>
  <c r="J9" i="17" s="1"/>
  <c r="K6" i="16"/>
  <c r="K18" i="16" s="1"/>
  <c r="K9" i="17" s="1"/>
  <c r="L6" i="16"/>
  <c r="L18" i="16" s="1"/>
  <c r="L9" i="17" s="1"/>
  <c r="M6" i="16"/>
  <c r="M26" i="16" s="1"/>
  <c r="N6" i="16"/>
  <c r="N18" i="16" s="1"/>
  <c r="N9" i="17" s="1"/>
  <c r="O6" i="16"/>
  <c r="O18" i="16" s="1"/>
  <c r="O9" i="17" s="1"/>
  <c r="D6" i="16"/>
  <c r="D18" i="16" s="1"/>
  <c r="D9" i="17" s="1"/>
  <c r="E5" i="16"/>
  <c r="E21" i="16" s="1"/>
  <c r="E12" i="17" s="1"/>
  <c r="F5" i="16"/>
  <c r="F24" i="16" s="1"/>
  <c r="G5" i="16"/>
  <c r="G19" i="16" s="1"/>
  <c r="G10" i="17" s="1"/>
  <c r="H5" i="16"/>
  <c r="H27" i="16" s="1"/>
  <c r="I5" i="16"/>
  <c r="I17" i="16" s="1"/>
  <c r="I8" i="17" s="1"/>
  <c r="J5" i="16"/>
  <c r="J20" i="16" s="1"/>
  <c r="J11" i="17" s="1"/>
  <c r="K5" i="16"/>
  <c r="K25" i="16" s="1"/>
  <c r="L5" i="16"/>
  <c r="L26" i="16" s="1"/>
  <c r="M5" i="16"/>
  <c r="M21" i="16" s="1"/>
  <c r="M12" i="17" s="1"/>
  <c r="N5" i="16"/>
  <c r="N24" i="16" s="1"/>
  <c r="O5" i="16"/>
  <c r="O19" i="16" s="1"/>
  <c r="O10" i="17" s="1"/>
  <c r="D5" i="16"/>
  <c r="D27" i="16" s="1"/>
  <c r="F6" i="15"/>
  <c r="F7" i="15"/>
  <c r="F8" i="15"/>
  <c r="F9" i="15"/>
  <c r="F10" i="15"/>
  <c r="F11" i="15"/>
  <c r="F12" i="15"/>
  <c r="F13" i="15"/>
  <c r="F14" i="15"/>
  <c r="F15" i="15"/>
  <c r="F5" i="15"/>
  <c r="E8" i="18" l="1"/>
  <c r="F8" i="18" s="1"/>
  <c r="D7" i="18"/>
  <c r="E7" i="18" s="1"/>
  <c r="F7" i="18" s="1"/>
  <c r="G7" i="18" s="1"/>
  <c r="H7" i="18" s="1"/>
  <c r="J17" i="16"/>
  <c r="J8" i="17" s="1"/>
  <c r="M18" i="16"/>
  <c r="M9" i="17" s="1"/>
  <c r="N20" i="16"/>
  <c r="N11" i="17" s="1"/>
  <c r="I24" i="16"/>
  <c r="F25" i="16"/>
  <c r="J19" i="16"/>
  <c r="J10" i="17" s="1"/>
  <c r="H21" i="16"/>
  <c r="H12" i="17" s="1"/>
  <c r="L17" i="16"/>
  <c r="L8" i="17" s="1"/>
  <c r="K22" i="16"/>
  <c r="K13" i="17" s="1"/>
  <c r="D21" i="16"/>
  <c r="D12" i="17" s="1"/>
  <c r="J23" i="16"/>
  <c r="J14" i="17" s="1"/>
  <c r="M24" i="16"/>
  <c r="E24" i="16"/>
  <c r="J25" i="16"/>
  <c r="O27" i="16"/>
  <c r="G27" i="16"/>
  <c r="K26" i="16"/>
  <c r="N19" i="16"/>
  <c r="N10" i="17" s="1"/>
  <c r="F19" i="16"/>
  <c r="F10" i="17" s="1"/>
  <c r="I20" i="16"/>
  <c r="I11" i="17" s="1"/>
  <c r="L21" i="16"/>
  <c r="L12" i="17" s="1"/>
  <c r="K17" i="16"/>
  <c r="K8" i="17" s="1"/>
  <c r="J22" i="16"/>
  <c r="J13" i="17" s="1"/>
  <c r="D22" i="16"/>
  <c r="D13" i="17" s="1"/>
  <c r="I23" i="16"/>
  <c r="I14" i="17" s="1"/>
  <c r="L24" i="16"/>
  <c r="D24" i="16"/>
  <c r="I25" i="16"/>
  <c r="N27" i="16"/>
  <c r="F27" i="16"/>
  <c r="J26" i="16"/>
  <c r="M19" i="16"/>
  <c r="M10" i="17" s="1"/>
  <c r="E19" i="16"/>
  <c r="E10" i="17" s="1"/>
  <c r="H20" i="16"/>
  <c r="H11" i="17" s="1"/>
  <c r="K21" i="16"/>
  <c r="K12" i="17" s="1"/>
  <c r="F18" i="16"/>
  <c r="F9" i="17" s="1"/>
  <c r="J21" i="16"/>
  <c r="J12" i="17" s="1"/>
  <c r="H17" i="16"/>
  <c r="H8" i="17" s="1"/>
  <c r="N23" i="16"/>
  <c r="N14" i="17" s="1"/>
  <c r="O17" i="16"/>
  <c r="O8" i="17" s="1"/>
  <c r="G17" i="16"/>
  <c r="G8" i="17" s="1"/>
  <c r="N22" i="16"/>
  <c r="N13" i="17" s="1"/>
  <c r="F22" i="16"/>
  <c r="F13" i="17" s="1"/>
  <c r="M23" i="16"/>
  <c r="M14" i="17" s="1"/>
  <c r="E23" i="16"/>
  <c r="E14" i="17" s="1"/>
  <c r="H24" i="16"/>
  <c r="M25" i="16"/>
  <c r="E25" i="16"/>
  <c r="J27" i="16"/>
  <c r="N26" i="16"/>
  <c r="F26" i="16"/>
  <c r="I19" i="16"/>
  <c r="I10" i="17" s="1"/>
  <c r="L20" i="16"/>
  <c r="L11" i="17" s="1"/>
  <c r="O21" i="16"/>
  <c r="O12" i="17" s="1"/>
  <c r="G21" i="16"/>
  <c r="G12" i="17" s="1"/>
  <c r="I21" i="16"/>
  <c r="I12" i="17" s="1"/>
  <c r="N25" i="16"/>
  <c r="M20" i="16"/>
  <c r="M11" i="17" s="1"/>
  <c r="N17" i="16"/>
  <c r="N8" i="17" s="1"/>
  <c r="M22" i="16"/>
  <c r="M13" i="17" s="1"/>
  <c r="L23" i="16"/>
  <c r="L14" i="17" s="1"/>
  <c r="O24" i="16"/>
  <c r="G24" i="16"/>
  <c r="L25" i="16"/>
  <c r="D19" i="16"/>
  <c r="D10" i="17" s="1"/>
  <c r="I27" i="16"/>
  <c r="E26" i="16"/>
  <c r="H19" i="16"/>
  <c r="H10" i="17" s="1"/>
  <c r="K20" i="16"/>
  <c r="K11" i="17" s="1"/>
  <c r="N21" i="16"/>
  <c r="N12" i="17" s="1"/>
  <c r="F21" i="16"/>
  <c r="F12" i="17" s="1"/>
  <c r="E18" i="16"/>
  <c r="E9" i="17" s="1"/>
  <c r="J24" i="16"/>
  <c r="F20" i="16"/>
  <c r="F11" i="17" s="1"/>
  <c r="D17" i="16"/>
  <c r="D8" i="17" s="1"/>
  <c r="E20" i="16"/>
  <c r="E11" i="17" s="1"/>
  <c r="F17" i="16"/>
  <c r="F8" i="17" s="1"/>
  <c r="M17" i="16"/>
  <c r="M8" i="17" s="1"/>
  <c r="E17" i="16"/>
  <c r="E8" i="17" s="1"/>
  <c r="L22" i="16"/>
  <c r="L13" i="17" s="1"/>
  <c r="D20" i="16"/>
  <c r="D11" i="17" s="1"/>
  <c r="K23" i="16"/>
  <c r="K14" i="17" s="1"/>
  <c r="I10" i="9"/>
  <c r="J10" i="9"/>
  <c r="K10" i="9"/>
  <c r="L10" i="9"/>
  <c r="M10" i="9"/>
  <c r="N10" i="9"/>
  <c r="O10" i="9"/>
  <c r="P10" i="9"/>
  <c r="Q10" i="9"/>
  <c r="R10" i="9"/>
  <c r="S10" i="9"/>
  <c r="T10" i="9"/>
  <c r="W10" i="9"/>
  <c r="I9" i="9"/>
  <c r="J9" i="9"/>
  <c r="K9" i="9"/>
  <c r="L9" i="9"/>
  <c r="M9" i="9"/>
  <c r="N9" i="9"/>
  <c r="O9" i="9"/>
  <c r="P9" i="9"/>
  <c r="Q9" i="9"/>
  <c r="R9" i="9"/>
  <c r="S9" i="9"/>
  <c r="T9" i="9"/>
  <c r="U9" i="9"/>
  <c r="U10" i="9" s="1"/>
  <c r="W9" i="9"/>
  <c r="AE9" i="9"/>
  <c r="H8" i="9"/>
  <c r="H9" i="9" s="1"/>
  <c r="H10" i="9" s="1"/>
  <c r="V8" i="9"/>
  <c r="W8" i="9" s="1"/>
  <c r="X8" i="9" s="1"/>
  <c r="Y8" i="9" s="1"/>
  <c r="Z8" i="9" s="1"/>
  <c r="AA8" i="9" s="1"/>
  <c r="AB8" i="9" s="1"/>
  <c r="AC8" i="9" s="1"/>
  <c r="AD8" i="9" s="1"/>
  <c r="AE8" i="9" s="1"/>
  <c r="AF8" i="9" s="1"/>
  <c r="AG8" i="9" s="1"/>
  <c r="AH8" i="9" s="1"/>
  <c r="AI8" i="9" s="1"/>
  <c r="AJ8" i="9" s="1"/>
  <c r="AK8" i="9" s="1"/>
  <c r="AL8" i="9" s="1"/>
  <c r="AL9" i="9" s="1"/>
  <c r="U8" i="9"/>
  <c r="J8" i="9"/>
  <c r="K8" i="9"/>
  <c r="L8" i="9"/>
  <c r="M8" i="9"/>
  <c r="N8" i="9"/>
  <c r="O8" i="9"/>
  <c r="P8" i="9"/>
  <c r="Q8" i="9"/>
  <c r="R8" i="9"/>
  <c r="S8" i="9"/>
  <c r="T8" i="9"/>
  <c r="I8" i="9"/>
  <c r="J7" i="9"/>
  <c r="K7" i="9"/>
  <c r="L7" i="9"/>
  <c r="M7" i="9"/>
  <c r="N7" i="9"/>
  <c r="O7" i="9"/>
  <c r="P7" i="9"/>
  <c r="Q7" i="9"/>
  <c r="R7" i="9"/>
  <c r="S7" i="9"/>
  <c r="T7" i="9"/>
  <c r="I7" i="9"/>
  <c r="J6" i="9"/>
  <c r="K6" i="9"/>
  <c r="L6" i="9"/>
  <c r="M6" i="9"/>
  <c r="N6" i="9"/>
  <c r="O6" i="9"/>
  <c r="P6" i="9"/>
  <c r="Q6" i="9"/>
  <c r="R6" i="9"/>
  <c r="S6" i="9"/>
  <c r="T6" i="9"/>
  <c r="I6" i="9"/>
  <c r="I10" i="10"/>
  <c r="J10" i="10"/>
  <c r="K10" i="10"/>
  <c r="L10" i="10"/>
  <c r="M10" i="10"/>
  <c r="N10" i="10"/>
  <c r="O10" i="10"/>
  <c r="P10" i="10"/>
  <c r="Q10" i="10"/>
  <c r="R10" i="10"/>
  <c r="S10" i="10"/>
  <c r="T10" i="10"/>
  <c r="I9" i="10"/>
  <c r="J9" i="10"/>
  <c r="K9" i="10"/>
  <c r="L9" i="10"/>
  <c r="M9" i="10"/>
  <c r="N9" i="10"/>
  <c r="O9" i="10"/>
  <c r="P9" i="10"/>
  <c r="Q9" i="10"/>
  <c r="R9" i="10"/>
  <c r="S9" i="10"/>
  <c r="T9" i="10"/>
  <c r="U8" i="10"/>
  <c r="U9" i="10" s="1"/>
  <c r="U10" i="10" s="1"/>
  <c r="H8" i="10"/>
  <c r="G8" i="10" s="1"/>
  <c r="J8" i="10"/>
  <c r="K8" i="10"/>
  <c r="L8" i="10"/>
  <c r="M8" i="10"/>
  <c r="N8" i="10"/>
  <c r="O8" i="10"/>
  <c r="P8" i="10"/>
  <c r="Q8" i="10"/>
  <c r="R8" i="10"/>
  <c r="S8" i="10"/>
  <c r="T8" i="10"/>
  <c r="I8" i="10"/>
  <c r="J7" i="10"/>
  <c r="K7" i="10"/>
  <c r="L7" i="10"/>
  <c r="M7" i="10"/>
  <c r="N7" i="10"/>
  <c r="O7" i="10"/>
  <c r="P7" i="10"/>
  <c r="Q7" i="10"/>
  <c r="R7" i="10"/>
  <c r="S7" i="10"/>
  <c r="T7" i="10"/>
  <c r="I7" i="10"/>
  <c r="J6" i="10"/>
  <c r="K6" i="10"/>
  <c r="L6" i="10"/>
  <c r="M6" i="10"/>
  <c r="N6" i="10"/>
  <c r="O6" i="10"/>
  <c r="P6" i="10"/>
  <c r="Q6" i="10"/>
  <c r="R6" i="10"/>
  <c r="S6" i="10"/>
  <c r="T6" i="10"/>
  <c r="I6" i="10"/>
  <c r="I10" i="11"/>
  <c r="J10" i="11"/>
  <c r="K10" i="11"/>
  <c r="L10" i="11"/>
  <c r="M10" i="11"/>
  <c r="N10" i="11"/>
  <c r="O10" i="11"/>
  <c r="P10" i="11"/>
  <c r="Q10" i="11"/>
  <c r="R10" i="11"/>
  <c r="S10" i="11"/>
  <c r="T10" i="11"/>
  <c r="I9" i="11"/>
  <c r="J9" i="11"/>
  <c r="K9" i="11"/>
  <c r="L9" i="11"/>
  <c r="M9" i="11"/>
  <c r="N9" i="11"/>
  <c r="O9" i="11"/>
  <c r="P9" i="11"/>
  <c r="Q9" i="11"/>
  <c r="R9" i="11"/>
  <c r="S9" i="11"/>
  <c r="T9" i="11"/>
  <c r="U9" i="11"/>
  <c r="U10" i="11" s="1"/>
  <c r="H8" i="11"/>
  <c r="H9" i="11" s="1"/>
  <c r="H10" i="11" s="1"/>
  <c r="U8" i="11"/>
  <c r="V8" i="11" s="1"/>
  <c r="J8" i="11"/>
  <c r="K8" i="11"/>
  <c r="L8" i="11"/>
  <c r="M8" i="11"/>
  <c r="N8" i="11"/>
  <c r="O8" i="11"/>
  <c r="P8" i="11"/>
  <c r="Q8" i="11"/>
  <c r="R8" i="11"/>
  <c r="S8" i="11"/>
  <c r="T8" i="11"/>
  <c r="I8" i="11"/>
  <c r="J7" i="11"/>
  <c r="K7" i="11"/>
  <c r="L7" i="11"/>
  <c r="M7" i="11"/>
  <c r="N7" i="11"/>
  <c r="O7" i="11"/>
  <c r="P7" i="11"/>
  <c r="Q7" i="11"/>
  <c r="R7" i="11"/>
  <c r="S7" i="11"/>
  <c r="T7" i="11"/>
  <c r="I7" i="11"/>
  <c r="J6" i="11"/>
  <c r="K6" i="11"/>
  <c r="L6" i="11"/>
  <c r="M6" i="11"/>
  <c r="N6" i="11"/>
  <c r="O6" i="11"/>
  <c r="P6" i="11"/>
  <c r="Q6" i="11"/>
  <c r="R6" i="11"/>
  <c r="S6" i="11"/>
  <c r="T6" i="11"/>
  <c r="I6" i="11"/>
  <c r="I10" i="12"/>
  <c r="J10" i="12"/>
  <c r="K10" i="12"/>
  <c r="L10" i="12"/>
  <c r="M10" i="12"/>
  <c r="N10" i="12"/>
  <c r="O10" i="12"/>
  <c r="P10" i="12"/>
  <c r="Q10" i="12"/>
  <c r="R10" i="12"/>
  <c r="S10" i="12"/>
  <c r="T10" i="12"/>
  <c r="I9" i="12"/>
  <c r="J9" i="12"/>
  <c r="K9" i="12"/>
  <c r="L9" i="12"/>
  <c r="M9" i="12"/>
  <c r="N9" i="12"/>
  <c r="O9" i="12"/>
  <c r="P9" i="12"/>
  <c r="Q9" i="12"/>
  <c r="R9" i="12"/>
  <c r="S9" i="12"/>
  <c r="T9" i="12"/>
  <c r="U9" i="12"/>
  <c r="U10" i="12" s="1"/>
  <c r="U8" i="12"/>
  <c r="V8" i="12" s="1"/>
  <c r="H8" i="12"/>
  <c r="H9" i="12" s="1"/>
  <c r="H10" i="12" s="1"/>
  <c r="J8" i="12"/>
  <c r="K8" i="12"/>
  <c r="L8" i="12"/>
  <c r="M8" i="12"/>
  <c r="N8" i="12"/>
  <c r="O8" i="12"/>
  <c r="P8" i="12"/>
  <c r="Q8" i="12"/>
  <c r="R8" i="12"/>
  <c r="S8" i="12"/>
  <c r="T8" i="12"/>
  <c r="I8" i="12"/>
  <c r="J7" i="12"/>
  <c r="K7" i="12"/>
  <c r="L7" i="12"/>
  <c r="M7" i="12"/>
  <c r="N7" i="12"/>
  <c r="O7" i="12"/>
  <c r="P7" i="12"/>
  <c r="Q7" i="12"/>
  <c r="R7" i="12"/>
  <c r="S7" i="12"/>
  <c r="T7" i="12"/>
  <c r="I7" i="12"/>
  <c r="J6" i="12"/>
  <c r="K6" i="12"/>
  <c r="L6" i="12"/>
  <c r="M6" i="12"/>
  <c r="N6" i="12"/>
  <c r="O6" i="12"/>
  <c r="P6" i="12"/>
  <c r="Q6" i="12"/>
  <c r="R6" i="12"/>
  <c r="S6" i="12"/>
  <c r="T6" i="12"/>
  <c r="I6" i="12"/>
  <c r="I10" i="8"/>
  <c r="J10" i="8"/>
  <c r="K10" i="8"/>
  <c r="L10" i="8"/>
  <c r="M10" i="8"/>
  <c r="N10" i="8"/>
  <c r="O10" i="8"/>
  <c r="P10" i="8"/>
  <c r="Q10" i="8"/>
  <c r="R10" i="8"/>
  <c r="S10" i="8"/>
  <c r="T10" i="8"/>
  <c r="H9" i="8"/>
  <c r="H10" i="8" s="1"/>
  <c r="I9" i="8"/>
  <c r="J9" i="8"/>
  <c r="K9" i="8"/>
  <c r="L9" i="8"/>
  <c r="M9" i="8"/>
  <c r="N9" i="8"/>
  <c r="O9" i="8"/>
  <c r="P9" i="8"/>
  <c r="Q9" i="8"/>
  <c r="R9" i="8"/>
  <c r="S9" i="8"/>
  <c r="T9" i="8"/>
  <c r="Y9" i="8"/>
  <c r="Y10" i="8" s="1"/>
  <c r="AG9" i="8"/>
  <c r="V8" i="8"/>
  <c r="W8" i="8" s="1"/>
  <c r="X8" i="8" s="1"/>
  <c r="Y8" i="8" s="1"/>
  <c r="Z8" i="8" s="1"/>
  <c r="AA8" i="8" s="1"/>
  <c r="AB8" i="8" s="1"/>
  <c r="AC8" i="8" s="1"/>
  <c r="AD8" i="8" s="1"/>
  <c r="AE8" i="8" s="1"/>
  <c r="AF8" i="8" s="1"/>
  <c r="AG8" i="8" s="1"/>
  <c r="AH8" i="8" s="1"/>
  <c r="AI8" i="8" s="1"/>
  <c r="AJ8" i="8" s="1"/>
  <c r="AK8" i="8" s="1"/>
  <c r="AL8" i="8" s="1"/>
  <c r="AL9" i="8" s="1"/>
  <c r="G8" i="8"/>
  <c r="F8" i="8" s="1"/>
  <c r="E8" i="8" s="1"/>
  <c r="D8" i="8" s="1"/>
  <c r="C8" i="8" s="1"/>
  <c r="C9" i="8" s="1"/>
  <c r="C10" i="8" s="1"/>
  <c r="H8" i="8"/>
  <c r="U8" i="8"/>
  <c r="U9" i="8" s="1"/>
  <c r="U10" i="8" s="1"/>
  <c r="I10" i="5"/>
  <c r="J10" i="5"/>
  <c r="K10" i="5"/>
  <c r="L10" i="5"/>
  <c r="M10" i="5"/>
  <c r="N10" i="5"/>
  <c r="O10" i="5"/>
  <c r="P10" i="5"/>
  <c r="Q10" i="5"/>
  <c r="R10" i="5"/>
  <c r="S10" i="5"/>
  <c r="T10" i="5"/>
  <c r="H9" i="5"/>
  <c r="H10" i="5" s="1"/>
  <c r="I9" i="5"/>
  <c r="J9" i="5"/>
  <c r="K9" i="5"/>
  <c r="L9" i="5"/>
  <c r="M9" i="5"/>
  <c r="N9" i="5"/>
  <c r="O9" i="5"/>
  <c r="P9" i="5"/>
  <c r="Q9" i="5"/>
  <c r="R9" i="5"/>
  <c r="S9" i="5"/>
  <c r="T9" i="5"/>
  <c r="U9" i="5"/>
  <c r="U10" i="5" s="1"/>
  <c r="V9" i="5"/>
  <c r="V10" i="5" s="1"/>
  <c r="Y9" i="5"/>
  <c r="Y10" i="5" s="1"/>
  <c r="AD9" i="5"/>
  <c r="AG9" i="5"/>
  <c r="AL9" i="5"/>
  <c r="V8" i="5"/>
  <c r="W8" i="5" s="1"/>
  <c r="X8" i="5" s="1"/>
  <c r="Y8" i="5" s="1"/>
  <c r="Z8" i="5" s="1"/>
  <c r="AA8" i="5" s="1"/>
  <c r="AB8" i="5" s="1"/>
  <c r="AC8" i="5" s="1"/>
  <c r="AD8" i="5" s="1"/>
  <c r="AE8" i="5" s="1"/>
  <c r="AF8" i="5" s="1"/>
  <c r="AG8" i="5" s="1"/>
  <c r="AH8" i="5" s="1"/>
  <c r="AI8" i="5" s="1"/>
  <c r="AJ8" i="5" s="1"/>
  <c r="AK8" i="5" s="1"/>
  <c r="AL8" i="5" s="1"/>
  <c r="G8" i="5"/>
  <c r="F8" i="5" s="1"/>
  <c r="E8" i="5" s="1"/>
  <c r="D8" i="5" s="1"/>
  <c r="C8" i="5" s="1"/>
  <c r="C9" i="5" s="1"/>
  <c r="C10" i="5" s="1"/>
  <c r="H8" i="5"/>
  <c r="U8" i="5"/>
  <c r="I10" i="14"/>
  <c r="J10" i="14"/>
  <c r="K10" i="14"/>
  <c r="L10" i="14"/>
  <c r="M10" i="14"/>
  <c r="N10" i="14"/>
  <c r="O10" i="14"/>
  <c r="P10" i="14"/>
  <c r="Q10" i="14"/>
  <c r="R10" i="14"/>
  <c r="S10" i="14"/>
  <c r="T10" i="14"/>
  <c r="H9" i="14"/>
  <c r="H10" i="14" s="1"/>
  <c r="I9" i="14"/>
  <c r="J9" i="14"/>
  <c r="K9" i="14"/>
  <c r="L9" i="14"/>
  <c r="M9" i="14"/>
  <c r="N9" i="14"/>
  <c r="O9" i="14"/>
  <c r="P9" i="14"/>
  <c r="Q9" i="14"/>
  <c r="R9" i="14"/>
  <c r="S9" i="14"/>
  <c r="T9" i="14"/>
  <c r="U8" i="14"/>
  <c r="V8" i="14" s="1"/>
  <c r="H8" i="14"/>
  <c r="G8" i="14" s="1"/>
  <c r="I10" i="13"/>
  <c r="J10" i="13"/>
  <c r="K10" i="13"/>
  <c r="L10" i="13"/>
  <c r="M10" i="13"/>
  <c r="N10" i="13"/>
  <c r="O10" i="13"/>
  <c r="P10" i="13"/>
  <c r="Q10" i="13"/>
  <c r="R10" i="13"/>
  <c r="S10" i="13"/>
  <c r="T10" i="13"/>
  <c r="H9" i="13"/>
  <c r="H10" i="13" s="1"/>
  <c r="I9" i="13"/>
  <c r="J9" i="13"/>
  <c r="K9" i="13"/>
  <c r="L9" i="13"/>
  <c r="M9" i="13"/>
  <c r="N9" i="13"/>
  <c r="O9" i="13"/>
  <c r="P9" i="13"/>
  <c r="Q9" i="13"/>
  <c r="R9" i="13"/>
  <c r="S9" i="13"/>
  <c r="T9" i="13"/>
  <c r="U9" i="13"/>
  <c r="U10" i="13" s="1"/>
  <c r="V8" i="13"/>
  <c r="W8" i="13" s="1"/>
  <c r="X8" i="13" s="1"/>
  <c r="Y8" i="13" s="1"/>
  <c r="Z8" i="13" s="1"/>
  <c r="AA8" i="13" s="1"/>
  <c r="AB8" i="13" s="1"/>
  <c r="AC8" i="13" s="1"/>
  <c r="AD8" i="13" s="1"/>
  <c r="AE8" i="13" s="1"/>
  <c r="AF8" i="13" s="1"/>
  <c r="AG8" i="13" s="1"/>
  <c r="AH8" i="13" s="1"/>
  <c r="AI8" i="13" s="1"/>
  <c r="AJ8" i="13" s="1"/>
  <c r="AK8" i="13" s="1"/>
  <c r="AL8" i="13" s="1"/>
  <c r="AL9" i="13" s="1"/>
  <c r="H8" i="13"/>
  <c r="G8" i="13" s="1"/>
  <c r="U8" i="13"/>
  <c r="J8" i="13"/>
  <c r="K8" i="13"/>
  <c r="L8" i="13"/>
  <c r="M8" i="13"/>
  <c r="N8" i="13"/>
  <c r="O8" i="13"/>
  <c r="P8" i="13"/>
  <c r="Q8" i="13"/>
  <c r="R8" i="13"/>
  <c r="S8" i="13"/>
  <c r="T8" i="13"/>
  <c r="I8" i="13"/>
  <c r="J7" i="13"/>
  <c r="K7" i="13"/>
  <c r="L7" i="13"/>
  <c r="M7" i="13"/>
  <c r="N7" i="13"/>
  <c r="O7" i="13"/>
  <c r="P7" i="13"/>
  <c r="Q7" i="13"/>
  <c r="R7" i="13"/>
  <c r="S7" i="13"/>
  <c r="T7" i="13"/>
  <c r="I7" i="13"/>
  <c r="J6" i="13"/>
  <c r="K6" i="13"/>
  <c r="L6" i="13"/>
  <c r="M6" i="13"/>
  <c r="N6" i="13"/>
  <c r="O6" i="13"/>
  <c r="P6" i="13"/>
  <c r="Q6" i="13"/>
  <c r="R6" i="13"/>
  <c r="S6" i="13"/>
  <c r="T6" i="13"/>
  <c r="I6" i="13"/>
  <c r="J8" i="14"/>
  <c r="K8" i="14"/>
  <c r="L8" i="14"/>
  <c r="M8" i="14"/>
  <c r="N8" i="14"/>
  <c r="O8" i="14"/>
  <c r="P8" i="14"/>
  <c r="Q8" i="14"/>
  <c r="R8" i="14"/>
  <c r="S8" i="14"/>
  <c r="T8" i="14"/>
  <c r="I8" i="14"/>
  <c r="J7" i="14"/>
  <c r="K7" i="14"/>
  <c r="L7" i="14"/>
  <c r="M7" i="14"/>
  <c r="N7" i="14"/>
  <c r="O7" i="14"/>
  <c r="P7" i="14"/>
  <c r="Q7" i="14"/>
  <c r="R7" i="14"/>
  <c r="S7" i="14"/>
  <c r="T7" i="14"/>
  <c r="I7" i="14"/>
  <c r="J6" i="14"/>
  <c r="K6" i="14"/>
  <c r="L6" i="14"/>
  <c r="M6" i="14"/>
  <c r="N6" i="14"/>
  <c r="O6" i="14"/>
  <c r="P6" i="14"/>
  <c r="Q6" i="14"/>
  <c r="R6" i="14"/>
  <c r="S6" i="14"/>
  <c r="T6" i="14"/>
  <c r="I6" i="14"/>
  <c r="J8" i="8"/>
  <c r="K8" i="8"/>
  <c r="L8" i="8"/>
  <c r="M8" i="8"/>
  <c r="N8" i="8"/>
  <c r="O8" i="8"/>
  <c r="P8" i="8"/>
  <c r="Q8" i="8"/>
  <c r="R8" i="8"/>
  <c r="S8" i="8"/>
  <c r="T8" i="8"/>
  <c r="I8" i="8"/>
  <c r="J7" i="8"/>
  <c r="K7" i="8"/>
  <c r="L7" i="8"/>
  <c r="M7" i="8"/>
  <c r="N7" i="8"/>
  <c r="O7" i="8"/>
  <c r="P7" i="8"/>
  <c r="Q7" i="8"/>
  <c r="R7" i="8"/>
  <c r="S7" i="8"/>
  <c r="T7" i="8"/>
  <c r="I7" i="8"/>
  <c r="J6" i="8"/>
  <c r="K6" i="8"/>
  <c r="L6" i="8"/>
  <c r="M6" i="8"/>
  <c r="N6" i="8"/>
  <c r="O6" i="8"/>
  <c r="P6" i="8"/>
  <c r="Q6" i="8"/>
  <c r="R6" i="8"/>
  <c r="S6" i="8"/>
  <c r="T6" i="8"/>
  <c r="I6" i="8"/>
  <c r="J8" i="5"/>
  <c r="K8" i="5"/>
  <c r="L8" i="5"/>
  <c r="M8" i="5"/>
  <c r="N8" i="5"/>
  <c r="O8" i="5"/>
  <c r="P8" i="5"/>
  <c r="Q8" i="5"/>
  <c r="R8" i="5"/>
  <c r="S8" i="5"/>
  <c r="T8" i="5"/>
  <c r="I8" i="5"/>
  <c r="J7" i="5"/>
  <c r="K7" i="5"/>
  <c r="L7" i="5"/>
  <c r="M7" i="5"/>
  <c r="N7" i="5"/>
  <c r="O7" i="5"/>
  <c r="P7" i="5"/>
  <c r="Q7" i="5"/>
  <c r="R7" i="5"/>
  <c r="S7" i="5"/>
  <c r="T7" i="5"/>
  <c r="I7" i="5"/>
  <c r="J6" i="5"/>
  <c r="K6" i="5"/>
  <c r="L6" i="5"/>
  <c r="M6" i="5"/>
  <c r="N6" i="5"/>
  <c r="O6" i="5"/>
  <c r="P6" i="5"/>
  <c r="Q6" i="5"/>
  <c r="R6" i="5"/>
  <c r="S6" i="5"/>
  <c r="T6" i="5"/>
  <c r="I6" i="5"/>
  <c r="I6" i="4"/>
  <c r="I7" i="4" s="1"/>
  <c r="J10" i="4"/>
  <c r="K10" i="4"/>
  <c r="L10" i="4"/>
  <c r="M10" i="4"/>
  <c r="N10" i="4"/>
  <c r="O10" i="4"/>
  <c r="P10" i="4"/>
  <c r="Q10" i="4"/>
  <c r="R10" i="4"/>
  <c r="S10" i="4"/>
  <c r="T10" i="4"/>
  <c r="U10" i="4"/>
  <c r="V10" i="4"/>
  <c r="W10" i="4"/>
  <c r="X10" i="4"/>
  <c r="Y10" i="4"/>
  <c r="Z10" i="4"/>
  <c r="J9" i="4"/>
  <c r="K9" i="4"/>
  <c r="L9" i="4"/>
  <c r="M9" i="4"/>
  <c r="N9" i="4"/>
  <c r="O9" i="4"/>
  <c r="P9" i="4"/>
  <c r="Q9" i="4"/>
  <c r="R9" i="4"/>
  <c r="S9" i="4"/>
  <c r="T9" i="4"/>
  <c r="U9" i="4"/>
  <c r="V9" i="4"/>
  <c r="W9" i="4"/>
  <c r="X9" i="4"/>
  <c r="Y9" i="4"/>
  <c r="Z9" i="4"/>
  <c r="AA9" i="4"/>
  <c r="AB9" i="4"/>
  <c r="AC9" i="4"/>
  <c r="AD9" i="4"/>
  <c r="AE9" i="4"/>
  <c r="AF9" i="4"/>
  <c r="AG9" i="4"/>
  <c r="AH9" i="4"/>
  <c r="AI9" i="4"/>
  <c r="AJ9" i="4"/>
  <c r="AK9" i="4"/>
  <c r="AL9" i="4"/>
  <c r="V8" i="4"/>
  <c r="W8" i="4" s="1"/>
  <c r="X8" i="4" s="1"/>
  <c r="Y8" i="4" s="1"/>
  <c r="Z8" i="4" s="1"/>
  <c r="AA8" i="4" s="1"/>
  <c r="AB8" i="4" s="1"/>
  <c r="AC8" i="4" s="1"/>
  <c r="AD8" i="4" s="1"/>
  <c r="AE8" i="4" s="1"/>
  <c r="AF8" i="4" s="1"/>
  <c r="AG8" i="4" s="1"/>
  <c r="AH8" i="4" s="1"/>
  <c r="AI8" i="4" s="1"/>
  <c r="AJ8" i="4" s="1"/>
  <c r="AK8" i="4" s="1"/>
  <c r="AL8" i="4" s="1"/>
  <c r="U8" i="4"/>
  <c r="D5" i="14"/>
  <c r="E5" i="14"/>
  <c r="F5" i="14"/>
  <c r="G5" i="14"/>
  <c r="H5" i="14"/>
  <c r="I5" i="14"/>
  <c r="J5" i="14"/>
  <c r="K5" i="14"/>
  <c r="L5" i="14"/>
  <c r="M5" i="14"/>
  <c r="N5" i="14"/>
  <c r="O5" i="14"/>
  <c r="P5" i="14"/>
  <c r="Q5" i="14"/>
  <c r="R5" i="14"/>
  <c r="S5" i="14"/>
  <c r="T5" i="14"/>
  <c r="U5" i="14"/>
  <c r="V5" i="14"/>
  <c r="W5" i="14"/>
  <c r="X5" i="14"/>
  <c r="Y5" i="14"/>
  <c r="Z5" i="14"/>
  <c r="C5" i="14"/>
  <c r="J8" i="4"/>
  <c r="K8" i="4"/>
  <c r="L8" i="4"/>
  <c r="M8" i="4"/>
  <c r="N8" i="4"/>
  <c r="O8" i="4"/>
  <c r="P8" i="4"/>
  <c r="Q8" i="4"/>
  <c r="R8" i="4"/>
  <c r="S8" i="4"/>
  <c r="T8" i="4"/>
  <c r="O7" i="4"/>
  <c r="P7" i="4"/>
  <c r="Q7" i="4"/>
  <c r="R7" i="4"/>
  <c r="S7" i="4"/>
  <c r="T7" i="4"/>
  <c r="J7" i="4"/>
  <c r="K7" i="4"/>
  <c r="L7" i="4"/>
  <c r="M7" i="4"/>
  <c r="N7" i="4"/>
  <c r="J6" i="4"/>
  <c r="K6" i="4"/>
  <c r="L6" i="4"/>
  <c r="M6" i="4"/>
  <c r="N6" i="4"/>
  <c r="O6" i="4"/>
  <c r="P6" i="4"/>
  <c r="Q6" i="4"/>
  <c r="R6" i="4"/>
  <c r="S6" i="4"/>
  <c r="T6" i="4"/>
  <c r="I5" i="8"/>
  <c r="J5" i="8"/>
  <c r="K5" i="8"/>
  <c r="L5" i="8"/>
  <c r="M5" i="8"/>
  <c r="N5" i="8"/>
  <c r="O5" i="8"/>
  <c r="P5" i="8"/>
  <c r="Q5" i="8"/>
  <c r="R5" i="8"/>
  <c r="S5" i="8"/>
  <c r="T5" i="8"/>
  <c r="U5" i="8"/>
  <c r="V5" i="8"/>
  <c r="W5" i="8"/>
  <c r="X5" i="8"/>
  <c r="Y5" i="8"/>
  <c r="Z5" i="8"/>
  <c r="H5" i="8"/>
  <c r="G5" i="8"/>
  <c r="F5" i="8"/>
  <c r="E5" i="8"/>
  <c r="D5" i="8"/>
  <c r="C5" i="8"/>
  <c r="D10" i="3"/>
  <c r="E10" i="3"/>
  <c r="F10" i="3"/>
  <c r="G10" i="3"/>
  <c r="H10" i="3"/>
  <c r="I10" i="3"/>
  <c r="J10" i="3"/>
  <c r="K10" i="3"/>
  <c r="L10" i="3"/>
  <c r="M10" i="3"/>
  <c r="N10" i="3"/>
  <c r="O10" i="3"/>
  <c r="P10" i="3"/>
  <c r="Q10" i="3"/>
  <c r="R10" i="3"/>
  <c r="S10" i="3"/>
  <c r="T10" i="3"/>
  <c r="U10" i="3"/>
  <c r="V10" i="3"/>
  <c r="W10" i="3"/>
  <c r="X10" i="3"/>
  <c r="Y10" i="3"/>
  <c r="Z10" i="3"/>
  <c r="C10" i="3"/>
  <c r="AL9" i="3"/>
  <c r="D9" i="3"/>
  <c r="E9" i="3"/>
  <c r="F9" i="3"/>
  <c r="G9" i="3"/>
  <c r="H9" i="3"/>
  <c r="I9" i="3"/>
  <c r="J9" i="3"/>
  <c r="K9" i="3"/>
  <c r="L9" i="3"/>
  <c r="M9" i="3"/>
  <c r="N9" i="3"/>
  <c r="O9" i="3"/>
  <c r="P9" i="3"/>
  <c r="Q9" i="3"/>
  <c r="R9" i="3"/>
  <c r="S9" i="3"/>
  <c r="T9" i="3"/>
  <c r="U9" i="3"/>
  <c r="V9" i="3"/>
  <c r="W9" i="3"/>
  <c r="X9" i="3"/>
  <c r="Y9" i="3"/>
  <c r="Z9" i="3"/>
  <c r="AA9" i="3"/>
  <c r="AB9" i="3"/>
  <c r="AC9" i="3"/>
  <c r="AD9" i="3"/>
  <c r="AE9" i="3"/>
  <c r="AF9" i="3"/>
  <c r="AG9" i="3"/>
  <c r="AH9" i="3"/>
  <c r="AI9" i="3"/>
  <c r="AJ9" i="3"/>
  <c r="AK9" i="3"/>
  <c r="C9" i="3"/>
  <c r="V8" i="3"/>
  <c r="W8" i="3" s="1"/>
  <c r="X8" i="3" s="1"/>
  <c r="Y8" i="3" s="1"/>
  <c r="Z8" i="3" s="1"/>
  <c r="AA8" i="3" s="1"/>
  <c r="AB8" i="3" s="1"/>
  <c r="AC8" i="3" s="1"/>
  <c r="AD8" i="3" s="1"/>
  <c r="AE8" i="3" s="1"/>
  <c r="AF8" i="3" s="1"/>
  <c r="AG8" i="3" s="1"/>
  <c r="AH8" i="3" s="1"/>
  <c r="AI8" i="3" s="1"/>
  <c r="AJ8" i="3" s="1"/>
  <c r="AK8" i="3" s="1"/>
  <c r="AL8" i="3" s="1"/>
  <c r="C8" i="3"/>
  <c r="G8" i="3"/>
  <c r="F8" i="3" s="1"/>
  <c r="E8" i="3" s="1"/>
  <c r="D8" i="3" s="1"/>
  <c r="H8" i="3"/>
  <c r="U8" i="3"/>
  <c r="J8" i="3"/>
  <c r="K8" i="3"/>
  <c r="L8" i="3"/>
  <c r="M8" i="3"/>
  <c r="N8" i="3"/>
  <c r="O8" i="3"/>
  <c r="P8" i="3"/>
  <c r="Q8" i="3"/>
  <c r="R8" i="3"/>
  <c r="S8" i="3"/>
  <c r="T8" i="3"/>
  <c r="I8" i="3"/>
  <c r="J7" i="3"/>
  <c r="K7" i="3"/>
  <c r="L7" i="3"/>
  <c r="M7" i="3"/>
  <c r="N7" i="3"/>
  <c r="O7" i="3"/>
  <c r="P7" i="3"/>
  <c r="Q7" i="3"/>
  <c r="R7" i="3"/>
  <c r="S7" i="3"/>
  <c r="T7" i="3"/>
  <c r="I7" i="3"/>
  <c r="J6" i="3"/>
  <c r="K6" i="3"/>
  <c r="L6" i="3"/>
  <c r="M6" i="3"/>
  <c r="N6" i="3"/>
  <c r="O6" i="3"/>
  <c r="P6" i="3"/>
  <c r="Q6" i="3"/>
  <c r="R6" i="3"/>
  <c r="S6" i="3"/>
  <c r="T6" i="3"/>
  <c r="I6" i="3"/>
  <c r="D10" i="2"/>
  <c r="E10" i="2"/>
  <c r="F10" i="2"/>
  <c r="G10" i="2"/>
  <c r="H10" i="2"/>
  <c r="I10" i="2"/>
  <c r="J10" i="2"/>
  <c r="K10" i="2"/>
  <c r="L10" i="2"/>
  <c r="M10" i="2"/>
  <c r="N10" i="2"/>
  <c r="O10" i="2"/>
  <c r="P10" i="2"/>
  <c r="Q10" i="2"/>
  <c r="R10" i="2"/>
  <c r="S10" i="2"/>
  <c r="T10" i="2"/>
  <c r="U10" i="2"/>
  <c r="V10" i="2"/>
  <c r="W10" i="2"/>
  <c r="X10" i="2"/>
  <c r="Y10" i="2"/>
  <c r="Z10" i="2"/>
  <c r="C10" i="2"/>
  <c r="D9" i="2"/>
  <c r="E9" i="2"/>
  <c r="F9" i="2"/>
  <c r="G9" i="2"/>
  <c r="H9" i="2"/>
  <c r="I9" i="2"/>
  <c r="J9" i="2"/>
  <c r="K9" i="2"/>
  <c r="L9" i="2"/>
  <c r="M9" i="2"/>
  <c r="N9" i="2"/>
  <c r="O9" i="2"/>
  <c r="P9" i="2"/>
  <c r="Q9" i="2"/>
  <c r="R9" i="2"/>
  <c r="S9" i="2"/>
  <c r="T9" i="2"/>
  <c r="U9" i="2"/>
  <c r="V9" i="2"/>
  <c r="W9" i="2"/>
  <c r="X9" i="2"/>
  <c r="Y9" i="2"/>
  <c r="Z9" i="2"/>
  <c r="AA9" i="2"/>
  <c r="AB9" i="2"/>
  <c r="AC9" i="2"/>
  <c r="AD9" i="2"/>
  <c r="AE9" i="2"/>
  <c r="AF9" i="2"/>
  <c r="AG9" i="2"/>
  <c r="AH9" i="2"/>
  <c r="AI9" i="2"/>
  <c r="AJ9" i="2"/>
  <c r="AK9" i="2"/>
  <c r="AL9" i="2"/>
  <c r="C9" i="2"/>
  <c r="V8" i="2"/>
  <c r="W8" i="2" s="1"/>
  <c r="X8" i="2" s="1"/>
  <c r="Y8" i="2" s="1"/>
  <c r="Z8" i="2" s="1"/>
  <c r="AA8" i="2" s="1"/>
  <c r="AB8" i="2" s="1"/>
  <c r="AC8" i="2" s="1"/>
  <c r="AD8" i="2" s="1"/>
  <c r="AE8" i="2" s="1"/>
  <c r="AF8" i="2" s="1"/>
  <c r="AG8" i="2" s="1"/>
  <c r="AH8" i="2" s="1"/>
  <c r="AI8" i="2" s="1"/>
  <c r="AJ8" i="2" s="1"/>
  <c r="AK8" i="2" s="1"/>
  <c r="AL8" i="2" s="1"/>
  <c r="U8" i="2"/>
  <c r="G8" i="2"/>
  <c r="F8" i="2" s="1"/>
  <c r="E8" i="2" s="1"/>
  <c r="D8" i="2" s="1"/>
  <c r="C8" i="2" s="1"/>
  <c r="H8" i="2"/>
  <c r="J8" i="2"/>
  <c r="K8" i="2"/>
  <c r="L8" i="2"/>
  <c r="M8" i="2"/>
  <c r="N8" i="2"/>
  <c r="O8" i="2"/>
  <c r="P8" i="2"/>
  <c r="Q8" i="2"/>
  <c r="R8" i="2"/>
  <c r="S8" i="2"/>
  <c r="T8" i="2"/>
  <c r="I8" i="2"/>
  <c r="AN13" i="2"/>
  <c r="J7" i="2"/>
  <c r="K7" i="2"/>
  <c r="L7" i="2"/>
  <c r="M7" i="2"/>
  <c r="N7" i="2"/>
  <c r="O7" i="2"/>
  <c r="P7" i="2"/>
  <c r="Q7" i="2"/>
  <c r="R7" i="2"/>
  <c r="S7" i="2"/>
  <c r="T7" i="2"/>
  <c r="I7" i="2"/>
  <c r="J6" i="2"/>
  <c r="P6" i="2" s="1"/>
  <c r="K6" i="2"/>
  <c r="L6" i="2"/>
  <c r="M6" i="2"/>
  <c r="S6" i="2" s="1"/>
  <c r="N6" i="2"/>
  <c r="O6" i="2"/>
  <c r="Q6" i="2"/>
  <c r="R6" i="2"/>
  <c r="T6" i="2"/>
  <c r="I6" i="2"/>
  <c r="D10" i="1"/>
  <c r="E10" i="1"/>
  <c r="F10" i="1"/>
  <c r="G10" i="1"/>
  <c r="H10" i="1"/>
  <c r="I10" i="1"/>
  <c r="J10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C10" i="1"/>
  <c r="D9" i="1"/>
  <c r="E9" i="1"/>
  <c r="F9" i="1"/>
  <c r="G9" i="1"/>
  <c r="H9" i="1"/>
  <c r="I9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AG9" i="1"/>
  <c r="AH9" i="1"/>
  <c r="AI9" i="1"/>
  <c r="AJ9" i="1"/>
  <c r="AK9" i="1"/>
  <c r="AL9" i="1"/>
  <c r="C9" i="1"/>
  <c r="V8" i="1"/>
  <c r="W8" i="1"/>
  <c r="X8" i="1"/>
  <c r="Y8" i="1"/>
  <c r="Z8" i="1" s="1"/>
  <c r="AA8" i="1" s="1"/>
  <c r="AB8" i="1" s="1"/>
  <c r="AC8" i="1" s="1"/>
  <c r="AD8" i="1" s="1"/>
  <c r="AE8" i="1" s="1"/>
  <c r="AF8" i="1" s="1"/>
  <c r="AG8" i="1" s="1"/>
  <c r="AH8" i="1" s="1"/>
  <c r="AI8" i="1" s="1"/>
  <c r="AJ8" i="1" s="1"/>
  <c r="AK8" i="1" s="1"/>
  <c r="AL8" i="1" s="1"/>
  <c r="U8" i="1"/>
  <c r="G8" i="1"/>
  <c r="F8" i="1" s="1"/>
  <c r="E8" i="1" s="1"/>
  <c r="D8" i="1" s="1"/>
  <c r="C8" i="1" s="1"/>
  <c r="H8" i="1"/>
  <c r="E4" i="18" l="1"/>
  <c r="G5" i="18" s="1"/>
  <c r="G8" i="18" s="1"/>
  <c r="I7" i="18"/>
  <c r="AE9" i="8"/>
  <c r="AJ9" i="8"/>
  <c r="AB9" i="8"/>
  <c r="D9" i="8"/>
  <c r="D10" i="8" s="1"/>
  <c r="AI9" i="8"/>
  <c r="AA9" i="8"/>
  <c r="AH9" i="8"/>
  <c r="Z9" i="8"/>
  <c r="Z10" i="8" s="1"/>
  <c r="AF9" i="8"/>
  <c r="G9" i="8"/>
  <c r="G10" i="8" s="1"/>
  <c r="AD9" i="8"/>
  <c r="V9" i="8"/>
  <c r="V10" i="8" s="1"/>
  <c r="F9" i="8"/>
  <c r="F10" i="8" s="1"/>
  <c r="X9" i="8"/>
  <c r="X10" i="8" s="1"/>
  <c r="W9" i="8"/>
  <c r="W10" i="8" s="1"/>
  <c r="AK9" i="8"/>
  <c r="AC9" i="8"/>
  <c r="E9" i="8"/>
  <c r="E10" i="8" s="1"/>
  <c r="AC9" i="5"/>
  <c r="E9" i="5"/>
  <c r="E10" i="5" s="1"/>
  <c r="AJ9" i="5"/>
  <c r="AB9" i="5"/>
  <c r="D9" i="5"/>
  <c r="D10" i="5" s="1"/>
  <c r="AI9" i="5"/>
  <c r="AA9" i="5"/>
  <c r="F9" i="5"/>
  <c r="F10" i="5" s="1"/>
  <c r="AK9" i="5"/>
  <c r="AH9" i="5"/>
  <c r="Z9" i="5"/>
  <c r="Z10" i="5" s="1"/>
  <c r="AF9" i="5"/>
  <c r="X9" i="5"/>
  <c r="X10" i="5" s="1"/>
  <c r="AE9" i="5"/>
  <c r="W9" i="5"/>
  <c r="W10" i="5" s="1"/>
  <c r="G9" i="5"/>
  <c r="G10" i="5" s="1"/>
  <c r="F8" i="14"/>
  <c r="G9" i="14"/>
  <c r="G10" i="14" s="1"/>
  <c r="W8" i="14"/>
  <c r="V9" i="14"/>
  <c r="V10" i="14" s="1"/>
  <c r="U9" i="14"/>
  <c r="U10" i="14" s="1"/>
  <c r="F8" i="13"/>
  <c r="G9" i="13"/>
  <c r="G10" i="13" s="1"/>
  <c r="AF9" i="13"/>
  <c r="AC9" i="13"/>
  <c r="AJ9" i="13"/>
  <c r="AB9" i="13"/>
  <c r="AI9" i="13"/>
  <c r="AA9" i="13"/>
  <c r="W9" i="13"/>
  <c r="W10" i="13" s="1"/>
  <c r="AD9" i="13"/>
  <c r="AH9" i="13"/>
  <c r="Z9" i="13"/>
  <c r="Z10" i="13" s="1"/>
  <c r="X9" i="13"/>
  <c r="X10" i="13" s="1"/>
  <c r="AE9" i="13"/>
  <c r="V9" i="13"/>
  <c r="V10" i="13" s="1"/>
  <c r="AK9" i="13"/>
  <c r="AG9" i="13"/>
  <c r="Y9" i="13"/>
  <c r="Y10" i="13" s="1"/>
  <c r="W8" i="12"/>
  <c r="V9" i="12"/>
  <c r="V10" i="12" s="1"/>
  <c r="G8" i="12"/>
  <c r="W8" i="11"/>
  <c r="V9" i="11"/>
  <c r="V10" i="11" s="1"/>
  <c r="G8" i="11"/>
  <c r="G9" i="10"/>
  <c r="G10" i="10" s="1"/>
  <c r="F8" i="10"/>
  <c r="V8" i="10"/>
  <c r="H9" i="10"/>
  <c r="H10" i="10" s="1"/>
  <c r="AD9" i="9"/>
  <c r="AI9" i="9"/>
  <c r="AA9" i="9"/>
  <c r="AH9" i="9"/>
  <c r="Z9" i="9"/>
  <c r="Z10" i="9" s="1"/>
  <c r="AG9" i="9"/>
  <c r="Y9" i="9"/>
  <c r="Y10" i="9" s="1"/>
  <c r="G8" i="9"/>
  <c r="AF9" i="9"/>
  <c r="X9" i="9"/>
  <c r="X10" i="9" s="1"/>
  <c r="V9" i="9"/>
  <c r="V10" i="9" s="1"/>
  <c r="AK9" i="9"/>
  <c r="AC9" i="9"/>
  <c r="AJ9" i="9"/>
  <c r="AB9" i="9"/>
  <c r="I8" i="4"/>
  <c r="H8" i="4" s="1"/>
  <c r="H9" i="4"/>
  <c r="H10" i="4" s="1"/>
  <c r="G8" i="4"/>
  <c r="I9" i="4"/>
  <c r="I10" i="4" s="1"/>
  <c r="J8" i="1"/>
  <c r="K8" i="1"/>
  <c r="L8" i="1"/>
  <c r="M8" i="1"/>
  <c r="N8" i="1"/>
  <c r="O8" i="1"/>
  <c r="P8" i="1"/>
  <c r="Q8" i="1"/>
  <c r="R8" i="1"/>
  <c r="S8" i="1"/>
  <c r="T8" i="1"/>
  <c r="I8" i="1"/>
  <c r="J7" i="1"/>
  <c r="K7" i="1"/>
  <c r="L7" i="1"/>
  <c r="M7" i="1"/>
  <c r="N7" i="1"/>
  <c r="O7" i="1"/>
  <c r="P7" i="1"/>
  <c r="Q7" i="1"/>
  <c r="R7" i="1"/>
  <c r="S7" i="1"/>
  <c r="T7" i="1"/>
  <c r="I7" i="1"/>
  <c r="I6" i="1"/>
  <c r="T6" i="1"/>
  <c r="J6" i="1"/>
  <c r="K6" i="1"/>
  <c r="L6" i="1"/>
  <c r="M6" i="1"/>
  <c r="N6" i="1"/>
  <c r="O6" i="1"/>
  <c r="P6" i="1"/>
  <c r="Q6" i="1"/>
  <c r="R6" i="1"/>
  <c r="S6" i="1"/>
  <c r="J7" i="18" l="1"/>
  <c r="F4" i="18"/>
  <c r="H5" i="18" s="1"/>
  <c r="H8" i="18" s="1"/>
  <c r="X8" i="14"/>
  <c r="W9" i="14"/>
  <c r="W10" i="14" s="1"/>
  <c r="E8" i="14"/>
  <c r="F9" i="14"/>
  <c r="F10" i="14" s="1"/>
  <c r="E8" i="13"/>
  <c r="F9" i="13"/>
  <c r="F10" i="13" s="1"/>
  <c r="G9" i="12"/>
  <c r="G10" i="12" s="1"/>
  <c r="F8" i="12"/>
  <c r="X8" i="12"/>
  <c r="W9" i="12"/>
  <c r="W10" i="12" s="1"/>
  <c r="G9" i="11"/>
  <c r="G10" i="11" s="1"/>
  <c r="F8" i="11"/>
  <c r="X8" i="11"/>
  <c r="W9" i="11"/>
  <c r="W10" i="11" s="1"/>
  <c r="W8" i="10"/>
  <c r="V9" i="10"/>
  <c r="V10" i="10" s="1"/>
  <c r="E8" i="10"/>
  <c r="F9" i="10"/>
  <c r="F10" i="10" s="1"/>
  <c r="F8" i="9"/>
  <c r="G9" i="9"/>
  <c r="G10" i="9" s="1"/>
  <c r="G9" i="4"/>
  <c r="G10" i="4" s="1"/>
  <c r="F8" i="4"/>
  <c r="K7" i="18" l="1"/>
  <c r="G4" i="18"/>
  <c r="I5" i="18" s="1"/>
  <c r="I8" i="18" s="1"/>
  <c r="D8" i="14"/>
  <c r="E9" i="14"/>
  <c r="E10" i="14" s="1"/>
  <c r="Y8" i="14"/>
  <c r="X9" i="14"/>
  <c r="X10" i="14" s="1"/>
  <c r="D8" i="13"/>
  <c r="E9" i="13"/>
  <c r="E10" i="13" s="1"/>
  <c r="E8" i="12"/>
  <c r="F9" i="12"/>
  <c r="F10" i="12" s="1"/>
  <c r="Y8" i="12"/>
  <c r="X9" i="12"/>
  <c r="X10" i="12" s="1"/>
  <c r="Y8" i="11"/>
  <c r="X9" i="11"/>
  <c r="X10" i="11" s="1"/>
  <c r="E8" i="11"/>
  <c r="F9" i="11"/>
  <c r="F10" i="11" s="1"/>
  <c r="D8" i="10"/>
  <c r="E9" i="10"/>
  <c r="E10" i="10" s="1"/>
  <c r="X8" i="10"/>
  <c r="W9" i="10"/>
  <c r="W10" i="10" s="1"/>
  <c r="E8" i="9"/>
  <c r="F9" i="9"/>
  <c r="F10" i="9" s="1"/>
  <c r="F9" i="4"/>
  <c r="F10" i="4" s="1"/>
  <c r="E8" i="4"/>
  <c r="L7" i="18" l="1"/>
  <c r="H4" i="18"/>
  <c r="J5" i="18" s="1"/>
  <c r="J8" i="18" s="1"/>
  <c r="Z8" i="14"/>
  <c r="Y9" i="14"/>
  <c r="Y10" i="14" s="1"/>
  <c r="C8" i="14"/>
  <c r="C9" i="14" s="1"/>
  <c r="C10" i="14" s="1"/>
  <c r="D9" i="14"/>
  <c r="D10" i="14" s="1"/>
  <c r="C8" i="13"/>
  <c r="C9" i="13" s="1"/>
  <c r="C10" i="13" s="1"/>
  <c r="D9" i="13"/>
  <c r="D10" i="13" s="1"/>
  <c r="D8" i="12"/>
  <c r="E9" i="12"/>
  <c r="E10" i="12" s="1"/>
  <c r="Z8" i="12"/>
  <c r="Y9" i="12"/>
  <c r="Y10" i="12" s="1"/>
  <c r="D8" i="11"/>
  <c r="E9" i="11"/>
  <c r="E10" i="11" s="1"/>
  <c r="Z8" i="11"/>
  <c r="Y9" i="11"/>
  <c r="Y10" i="11" s="1"/>
  <c r="Y8" i="10"/>
  <c r="X9" i="10"/>
  <c r="X10" i="10" s="1"/>
  <c r="C8" i="10"/>
  <c r="C9" i="10" s="1"/>
  <c r="C10" i="10" s="1"/>
  <c r="D9" i="10"/>
  <c r="D10" i="10" s="1"/>
  <c r="D8" i="9"/>
  <c r="E9" i="9"/>
  <c r="E10" i="9" s="1"/>
  <c r="D8" i="4"/>
  <c r="E9" i="4"/>
  <c r="E10" i="4" s="1"/>
  <c r="M7" i="18" l="1"/>
  <c r="I4" i="18"/>
  <c r="K5" i="18" s="1"/>
  <c r="K8" i="18" s="1"/>
  <c r="AA8" i="14"/>
  <c r="Z9" i="14"/>
  <c r="Z10" i="14" s="1"/>
  <c r="C8" i="12"/>
  <c r="C9" i="12" s="1"/>
  <c r="C10" i="12" s="1"/>
  <c r="D9" i="12"/>
  <c r="D10" i="12" s="1"/>
  <c r="AA8" i="12"/>
  <c r="Z9" i="12"/>
  <c r="Z10" i="12" s="1"/>
  <c r="AA8" i="11"/>
  <c r="Z9" i="11"/>
  <c r="Z10" i="11" s="1"/>
  <c r="C8" i="11"/>
  <c r="C9" i="11" s="1"/>
  <c r="C10" i="11" s="1"/>
  <c r="D9" i="11"/>
  <c r="D10" i="11" s="1"/>
  <c r="Z8" i="10"/>
  <c r="Y9" i="10"/>
  <c r="Y10" i="10" s="1"/>
  <c r="C8" i="9"/>
  <c r="C9" i="9" s="1"/>
  <c r="C10" i="9" s="1"/>
  <c r="D9" i="9"/>
  <c r="D10" i="9" s="1"/>
  <c r="C8" i="4"/>
  <c r="C9" i="4" s="1"/>
  <c r="C10" i="4" s="1"/>
  <c r="D9" i="4"/>
  <c r="D10" i="4" s="1"/>
  <c r="N7" i="18" l="1"/>
  <c r="J4" i="18"/>
  <c r="L5" i="18" s="1"/>
  <c r="L8" i="18" s="1"/>
  <c r="AB8" i="14"/>
  <c r="AA9" i="14"/>
  <c r="AB8" i="12"/>
  <c r="AA9" i="12"/>
  <c r="AB8" i="11"/>
  <c r="AA9" i="11"/>
  <c r="AA8" i="10"/>
  <c r="Z9" i="10"/>
  <c r="Z10" i="10" s="1"/>
  <c r="O7" i="18" l="1"/>
  <c r="K4" i="18"/>
  <c r="M5" i="18" s="1"/>
  <c r="M8" i="18" s="1"/>
  <c r="AC8" i="14"/>
  <c r="AB9" i="14"/>
  <c r="AC8" i="12"/>
  <c r="AB9" i="12"/>
  <c r="AC8" i="11"/>
  <c r="AB9" i="11"/>
  <c r="AB8" i="10"/>
  <c r="AA9" i="10"/>
  <c r="L4" i="18" l="1"/>
  <c r="N5" i="18" s="1"/>
  <c r="N8" i="18" s="1"/>
  <c r="O8" i="18" s="1"/>
  <c r="AD8" i="14"/>
  <c r="AC9" i="14"/>
  <c r="AD8" i="12"/>
  <c r="AC9" i="12"/>
  <c r="AD8" i="11"/>
  <c r="AC9" i="11"/>
  <c r="AC8" i="10"/>
  <c r="AB9" i="10"/>
  <c r="AE8" i="14" l="1"/>
  <c r="AD9" i="14"/>
  <c r="AE8" i="12"/>
  <c r="AD9" i="12"/>
  <c r="AE8" i="11"/>
  <c r="AD9" i="11"/>
  <c r="AD8" i="10"/>
  <c r="AC9" i="10"/>
  <c r="AF8" i="14" l="1"/>
  <c r="AE9" i="14"/>
  <c r="AF8" i="12"/>
  <c r="AE9" i="12"/>
  <c r="AF8" i="11"/>
  <c r="AE9" i="11"/>
  <c r="AE8" i="10"/>
  <c r="AD9" i="10"/>
  <c r="AG8" i="14" l="1"/>
  <c r="AF9" i="14"/>
  <c r="AG8" i="12"/>
  <c r="AF9" i="12"/>
  <c r="AG8" i="11"/>
  <c r="AF9" i="11"/>
  <c r="AF8" i="10"/>
  <c r="AE9" i="10"/>
  <c r="AH8" i="14" l="1"/>
  <c r="AG9" i="14"/>
  <c r="AH8" i="12"/>
  <c r="AG9" i="12"/>
  <c r="AH8" i="11"/>
  <c r="AG9" i="11"/>
  <c r="AG8" i="10"/>
  <c r="AF9" i="10"/>
  <c r="AI8" i="14" l="1"/>
  <c r="AH9" i="14"/>
  <c r="AI8" i="12"/>
  <c r="AH9" i="12"/>
  <c r="AI8" i="11"/>
  <c r="AH9" i="11"/>
  <c r="AH8" i="10"/>
  <c r="AG9" i="10"/>
  <c r="AJ8" i="14" l="1"/>
  <c r="AI9" i="14"/>
  <c r="AJ8" i="12"/>
  <c r="AI9" i="12"/>
  <c r="AJ8" i="11"/>
  <c r="AI9" i="11"/>
  <c r="AI8" i="10"/>
  <c r="AH9" i="10"/>
  <c r="AK8" i="14" l="1"/>
  <c r="AJ9" i="14"/>
  <c r="AK8" i="12"/>
  <c r="AJ9" i="12"/>
  <c r="AK8" i="11"/>
  <c r="AJ9" i="11"/>
  <c r="AJ8" i="10"/>
  <c r="AI9" i="10"/>
  <c r="AL8" i="14" l="1"/>
  <c r="AL9" i="14" s="1"/>
  <c r="AK9" i="14"/>
  <c r="AL8" i="12"/>
  <c r="AL9" i="12" s="1"/>
  <c r="AK9" i="12"/>
  <c r="AL8" i="11"/>
  <c r="AL9" i="11" s="1"/>
  <c r="AK9" i="11"/>
  <c r="AK8" i="10"/>
  <c r="AJ9" i="10"/>
  <c r="AL8" i="10" l="1"/>
  <c r="AL9" i="10" s="1"/>
  <c r="AK9" i="10"/>
</calcChain>
</file>

<file path=xl/sharedStrings.xml><?xml version="1.0" encoding="utf-8"?>
<sst xmlns="http://schemas.openxmlformats.org/spreadsheetml/2006/main" count="3262" uniqueCount="252">
  <si>
    <t>T</t>
  </si>
  <si>
    <t>T-24</t>
  </si>
  <si>
    <t>T-23</t>
  </si>
  <si>
    <t>T-22</t>
  </si>
  <si>
    <t>T-21</t>
  </si>
  <si>
    <t>T-20</t>
  </si>
  <si>
    <t>T-19</t>
  </si>
  <si>
    <t>T-18</t>
  </si>
  <si>
    <t>T-17</t>
  </si>
  <si>
    <t>T-16</t>
  </si>
  <si>
    <t>T-15</t>
  </si>
  <si>
    <t>T-14</t>
  </si>
  <si>
    <t>T-13</t>
  </si>
  <si>
    <t>SKU</t>
  </si>
  <si>
    <t>T-12</t>
  </si>
  <si>
    <t>T-11</t>
  </si>
  <si>
    <t>T-10</t>
  </si>
  <si>
    <t>T-9</t>
  </si>
  <si>
    <t>T-8</t>
  </si>
  <si>
    <t>T-7</t>
  </si>
  <si>
    <t>T-6</t>
  </si>
  <si>
    <t>T-5</t>
  </si>
  <si>
    <t>T-4</t>
  </si>
  <si>
    <t>T-3</t>
  </si>
  <si>
    <t>T-2</t>
  </si>
  <si>
    <t>T-1</t>
  </si>
  <si>
    <t>A-2M1</t>
  </si>
  <si>
    <t>A-2M2</t>
  </si>
  <si>
    <t>A-2M3</t>
  </si>
  <si>
    <t>A-2M4</t>
  </si>
  <si>
    <t>A-2M5</t>
  </si>
  <si>
    <t>A-2M6</t>
  </si>
  <si>
    <t>A-2M7</t>
  </si>
  <si>
    <t>A-2M8</t>
  </si>
  <si>
    <t>A-2M9</t>
  </si>
  <si>
    <t>A-2M10</t>
  </si>
  <si>
    <t>A-2M11</t>
  </si>
  <si>
    <t>A-2M12</t>
  </si>
  <si>
    <t>A-1M1</t>
  </si>
  <si>
    <t>A-1M2</t>
  </si>
  <si>
    <t>A-1M3</t>
  </si>
  <si>
    <t>A-1M4</t>
  </si>
  <si>
    <t>A-1M5</t>
  </si>
  <si>
    <t>A-1M6</t>
  </si>
  <si>
    <t>A-1M7</t>
  </si>
  <si>
    <t>A-1M8</t>
  </si>
  <si>
    <t>A-1M9</t>
  </si>
  <si>
    <t>A-1M10</t>
  </si>
  <si>
    <t>A-1M11</t>
  </si>
  <si>
    <t>A-1M12</t>
  </si>
  <si>
    <t>A0M1</t>
  </si>
  <si>
    <t>A0M2</t>
  </si>
  <si>
    <t>A0M3</t>
  </si>
  <si>
    <t>A0M4</t>
  </si>
  <si>
    <t>A0M5</t>
  </si>
  <si>
    <t>A0M6</t>
  </si>
  <si>
    <t>A0M7</t>
  </si>
  <si>
    <t>A0M8</t>
  </si>
  <si>
    <t>A0M9</t>
  </si>
  <si>
    <t>A0M10</t>
  </si>
  <si>
    <t>A0M11</t>
  </si>
  <si>
    <t>A0M12</t>
  </si>
  <si>
    <t>M1</t>
  </si>
  <si>
    <t>M2</t>
  </si>
  <si>
    <t>M3</t>
  </si>
  <si>
    <t>M4</t>
  </si>
  <si>
    <t>M5</t>
  </si>
  <si>
    <t>M6</t>
  </si>
  <si>
    <t>M7</t>
  </si>
  <si>
    <t>M8</t>
  </si>
  <si>
    <t>M9</t>
  </si>
  <si>
    <t>M10</t>
  </si>
  <si>
    <t>M11</t>
  </si>
  <si>
    <t>M12</t>
  </si>
  <si>
    <t>T+1</t>
  </si>
  <si>
    <t>T+2</t>
  </si>
  <si>
    <t>T+3</t>
  </si>
  <si>
    <t>T+4</t>
  </si>
  <si>
    <t>T+5</t>
  </si>
  <si>
    <t>T+6</t>
  </si>
  <si>
    <t>T+7</t>
  </si>
  <si>
    <t>T+8</t>
  </si>
  <si>
    <t>T+9</t>
  </si>
  <si>
    <t>T+10</t>
  </si>
  <si>
    <t>T+11</t>
  </si>
  <si>
    <t>T+12</t>
  </si>
  <si>
    <t>Moy. mobile</t>
  </si>
  <si>
    <t>CS</t>
  </si>
  <si>
    <t>Demande Dés.</t>
  </si>
  <si>
    <t>Demande saison.</t>
  </si>
  <si>
    <t>Ecart</t>
  </si>
  <si>
    <t>Coef.direct</t>
  </si>
  <si>
    <t>P1E1</t>
  </si>
  <si>
    <t>P1E2</t>
  </si>
  <si>
    <t>P1E3</t>
  </si>
  <si>
    <t>P1E4</t>
  </si>
  <si>
    <t>P1E5</t>
  </si>
  <si>
    <t>P1Total</t>
  </si>
  <si>
    <t>P2E1</t>
  </si>
  <si>
    <t>P2E2</t>
  </si>
  <si>
    <t>P2E3</t>
  </si>
  <si>
    <t>P2E4</t>
  </si>
  <si>
    <t>P2E5</t>
  </si>
  <si>
    <t>P2Total</t>
  </si>
  <si>
    <t>Prévisions</t>
  </si>
  <si>
    <t>Produits finis</t>
  </si>
  <si>
    <t>P1</t>
  </si>
  <si>
    <t>P2</t>
  </si>
  <si>
    <t>SE16</t>
  </si>
  <si>
    <t>SE17</t>
  </si>
  <si>
    <t>P23</t>
  </si>
  <si>
    <t>P24</t>
  </si>
  <si>
    <t>P25</t>
  </si>
  <si>
    <t>M38</t>
  </si>
  <si>
    <t>M39</t>
  </si>
  <si>
    <t>M40</t>
  </si>
  <si>
    <t>M41</t>
  </si>
  <si>
    <t>Sous-Ensemble</t>
  </si>
  <si>
    <t>Pièces</t>
  </si>
  <si>
    <t>Matières premières</t>
  </si>
  <si>
    <t>Qté pour produire P1</t>
  </si>
  <si>
    <t>Qté pour produire P2</t>
  </si>
  <si>
    <t>Nomenclature</t>
  </si>
  <si>
    <t>Qté totale</t>
  </si>
  <si>
    <t>Composant</t>
  </si>
  <si>
    <t>Catégorie</t>
  </si>
  <si>
    <t>Réglage (en h)</t>
  </si>
  <si>
    <t>Tps éxécution (en mn/unité)</t>
  </si>
  <si>
    <t>Stock initial</t>
  </si>
  <si>
    <t>-</t>
  </si>
  <si>
    <t>CRI init.</t>
  </si>
  <si>
    <t>Taux stockage</t>
  </si>
  <si>
    <t>Données</t>
  </si>
  <si>
    <t>Données relatives à chaque composant</t>
  </si>
  <si>
    <t>Composants</t>
  </si>
  <si>
    <t>Produit</t>
  </si>
  <si>
    <t>Récapitulatif des prévisions totales en produits finis 1 et 2 sur l'année à venir</t>
  </si>
  <si>
    <t xml:space="preserve">Nomenclature </t>
  </si>
  <si>
    <t>Niveau 3</t>
  </si>
  <si>
    <t>Niveau 2</t>
  </si>
  <si>
    <t>Niveau 1</t>
  </si>
  <si>
    <t>Niveau 0</t>
  </si>
  <si>
    <t>Temps opératoire (min) pour produire la quantité souhaitée de chaque composant par mois</t>
  </si>
  <si>
    <t>Coût d'achat initial</t>
  </si>
  <si>
    <t>Quantité maximum</t>
  </si>
  <si>
    <t>Délais de livraison (périodes)</t>
  </si>
  <si>
    <t>Commande M38</t>
  </si>
  <si>
    <t>Réception M38</t>
  </si>
  <si>
    <t>Utilisation de M38 pdt la période</t>
  </si>
  <si>
    <t>Stock fin de période M38 sans commande</t>
  </si>
  <si>
    <t>Stock fin de période M38 avec commande</t>
  </si>
  <si>
    <t>Besoin brut par période pour chaque composant</t>
  </si>
  <si>
    <t>Commande M39</t>
  </si>
  <si>
    <t>Réception M39</t>
  </si>
  <si>
    <t>Utilisation de M39 pdt la période</t>
  </si>
  <si>
    <t>Stock fin de période M39 sans commande</t>
  </si>
  <si>
    <t>Stock fin de période M39 avec commande</t>
  </si>
  <si>
    <t>Commande M40</t>
  </si>
  <si>
    <t>Réception M40</t>
  </si>
  <si>
    <t>Utilisation de M40 pdt la période</t>
  </si>
  <si>
    <t>Stock fin de période M40 sans commande</t>
  </si>
  <si>
    <t>Stock fin de période M40 avec commande</t>
  </si>
  <si>
    <t>Commande M41</t>
  </si>
  <si>
    <t>Réception M41</t>
  </si>
  <si>
    <t>Utilisation de M41 pdt la période</t>
  </si>
  <si>
    <t>Stock fin de période M41 sans commande</t>
  </si>
  <si>
    <t>Stock fin de période M41 avec commande</t>
  </si>
  <si>
    <t>Total</t>
  </si>
  <si>
    <t>Atelier 1</t>
  </si>
  <si>
    <t>Atelier 2</t>
  </si>
  <si>
    <t>Atelier 3</t>
  </si>
  <si>
    <t>Nb Employés</t>
  </si>
  <si>
    <t>Effectif Max</t>
  </si>
  <si>
    <t>Nb Heures normales</t>
  </si>
  <si>
    <t>Taux HS</t>
  </si>
  <si>
    <t>Coût Horaire</t>
  </si>
  <si>
    <t>Coût SUP</t>
  </si>
  <si>
    <t>Cap Max</t>
  </si>
  <si>
    <t>Total mn Production</t>
  </si>
  <si>
    <t>Besoins Brut</t>
  </si>
  <si>
    <t>Stock Init.</t>
  </si>
  <si>
    <t>Besoins Net</t>
  </si>
  <si>
    <t>Par la méthode de la loi normale</t>
  </si>
  <si>
    <t>E1</t>
  </si>
  <si>
    <t>E2</t>
  </si>
  <si>
    <t>E3</t>
  </si>
  <si>
    <t>E4</t>
  </si>
  <si>
    <t>E5</t>
  </si>
  <si>
    <t>Z</t>
  </si>
  <si>
    <t>Vente moyenne mensuelle</t>
  </si>
  <si>
    <t>Ecart-type vente</t>
  </si>
  <si>
    <t>Délai moyen</t>
  </si>
  <si>
    <t>Ecart-type délai</t>
  </si>
  <si>
    <t>Stock de sécurité</t>
  </si>
  <si>
    <t>Commandes MP</t>
  </si>
  <si>
    <t>Période 1</t>
  </si>
  <si>
    <t>Période 2</t>
  </si>
  <si>
    <t>Période 3</t>
  </si>
  <si>
    <t>Appro.</t>
  </si>
  <si>
    <t>Besoins nets</t>
  </si>
  <si>
    <t>Charge</t>
  </si>
  <si>
    <t>Bilan Atelier</t>
  </si>
  <si>
    <t>Réglage</t>
  </si>
  <si>
    <t>Charge totale</t>
  </si>
  <si>
    <t>Charge prod</t>
  </si>
  <si>
    <t>Nb employés act</t>
  </si>
  <si>
    <t>Capa hors HS</t>
  </si>
  <si>
    <t>Capa HS</t>
  </si>
  <si>
    <t>Capa totale</t>
  </si>
  <si>
    <t>Variations max</t>
  </si>
  <si>
    <t>Effectif max</t>
  </si>
  <si>
    <t>Employés</t>
  </si>
  <si>
    <t>Rotation</t>
  </si>
  <si>
    <t>Nb HS</t>
  </si>
  <si>
    <t>Coût</t>
  </si>
  <si>
    <t>Coût horaire</t>
  </si>
  <si>
    <t>Coût HS</t>
  </si>
  <si>
    <t>Coût E/L</t>
  </si>
  <si>
    <t>Coût transfert</t>
  </si>
  <si>
    <t>Nb heure norm.</t>
  </si>
  <si>
    <t>Capacité Max</t>
  </si>
  <si>
    <t>12h</t>
  </si>
  <si>
    <t>20h</t>
  </si>
  <si>
    <t>Emb</t>
  </si>
  <si>
    <t>Lic</t>
  </si>
  <si>
    <t>Nombre</t>
  </si>
  <si>
    <t>Embauches</t>
  </si>
  <si>
    <t>Licenciements</t>
  </si>
  <si>
    <t>At. 1</t>
  </si>
  <si>
    <t>At. 2</t>
  </si>
  <si>
    <t>At. 3</t>
  </si>
  <si>
    <t>Total Emb</t>
  </si>
  <si>
    <t>Total Lic</t>
  </si>
  <si>
    <t>Coût Emb</t>
  </si>
  <si>
    <t>Coût Lic</t>
  </si>
  <si>
    <t>Coût E/L final</t>
  </si>
  <si>
    <t>Total Transfert</t>
  </si>
  <si>
    <t>Total E(+)/L(-)</t>
  </si>
  <si>
    <t>Coût total BRUT</t>
  </si>
  <si>
    <t>Coût At.1</t>
  </si>
  <si>
    <t>Coût At.2</t>
  </si>
  <si>
    <t>Coût At.3</t>
  </si>
  <si>
    <t>Coût total NET</t>
  </si>
  <si>
    <t>Coût Brut</t>
  </si>
  <si>
    <t>Somme Tps Prod</t>
  </si>
  <si>
    <t xml:space="preserve">Stocks sécu </t>
  </si>
  <si>
    <t>Sous-traitance</t>
  </si>
  <si>
    <t>Surplus prod. T+1</t>
  </si>
  <si>
    <t>Taux stock sécurité P1 et P2</t>
  </si>
  <si>
    <t>Taux stock sécurité SE17 et P24</t>
  </si>
  <si>
    <t>Tx Présence</t>
  </si>
  <si>
    <t>Coût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</si>
</sst>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%"/>
    <numFmt numFmtId="165" formatCode="#,##0.00\ &quot;€&quot;"/>
    <numFmt numFmtId="166" formatCode="0.0"/>
  </numFmts>
  <fonts count="1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theme="4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i/>
      <u/>
      <sz val="20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26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8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C00000"/>
        <bgColor indexed="64"/>
      </patternFill>
    </fill>
  </fills>
  <borders count="6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7">
    <xf numFmtId="0" fontId="0" fillId="0" borderId="0"/>
    <xf numFmtId="0" fontId="1" fillId="0" borderId="0"/>
    <xf numFmtId="0" fontId="2" fillId="0" borderId="0"/>
    <xf numFmtId="0" fontId="8" fillId="7" borderId="0" applyNumberFormat="0" applyBorder="0" applyAlignment="0" applyProtection="0"/>
    <xf numFmtId="0" fontId="2" fillId="0" borderId="0"/>
    <xf numFmtId="0" fontId="1" fillId="0" borderId="0"/>
    <xf numFmtId="0" fontId="1" fillId="0" borderId="0"/>
  </cellStyleXfs>
  <cellXfs count="306">
    <xf numFmtId="0" fontId="0" fillId="0" borderId="0" xfId="0"/>
    <xf numFmtId="0" fontId="0" fillId="0" borderId="0" xfId="0"/>
    <xf numFmtId="0" fontId="0" fillId="0" borderId="0" xfId="0"/>
    <xf numFmtId="0" fontId="1" fillId="2" borderId="1" xfId="1" applyFill="1" applyBorder="1" applyAlignment="1">
      <alignment horizontal="center"/>
    </xf>
    <xf numFmtId="0" fontId="1" fillId="2" borderId="5" xfId="1" applyFill="1" applyBorder="1" applyAlignment="1">
      <alignment horizontal="center"/>
    </xf>
    <xf numFmtId="0" fontId="0" fillId="0" borderId="0" xfId="0" applyBorder="1"/>
    <xf numFmtId="1" fontId="1" fillId="0" borderId="4" xfId="1" applyNumberFormat="1" applyBorder="1" applyAlignment="1">
      <alignment horizontal="center"/>
    </xf>
    <xf numFmtId="0" fontId="0" fillId="0" borderId="4" xfId="0" applyBorder="1"/>
    <xf numFmtId="0" fontId="0" fillId="0" borderId="13" xfId="0" applyBorder="1"/>
    <xf numFmtId="0" fontId="0" fillId="0" borderId="7" xfId="0" applyBorder="1"/>
    <xf numFmtId="0" fontId="0" fillId="0" borderId="9" xfId="0" applyBorder="1"/>
    <xf numFmtId="0" fontId="0" fillId="0" borderId="10" xfId="0" applyBorder="1"/>
    <xf numFmtId="1" fontId="1" fillId="0" borderId="6" xfId="1" applyNumberFormat="1" applyBorder="1" applyAlignment="1">
      <alignment horizontal="center"/>
    </xf>
    <xf numFmtId="0" fontId="0" fillId="0" borderId="6" xfId="0" applyBorder="1"/>
    <xf numFmtId="0" fontId="0" fillId="0" borderId="8" xfId="0" applyBorder="1"/>
    <xf numFmtId="2" fontId="0" fillId="0" borderId="0" xfId="0" applyNumberFormat="1"/>
    <xf numFmtId="0" fontId="0" fillId="3" borderId="3" xfId="0" applyFont="1" applyFill="1" applyBorder="1" applyAlignment="1">
      <alignment horizontal="center"/>
    </xf>
    <xf numFmtId="0" fontId="1" fillId="4" borderId="5" xfId="1" applyFill="1" applyBorder="1" applyAlignment="1">
      <alignment horizontal="center"/>
    </xf>
    <xf numFmtId="0" fontId="1" fillId="4" borderId="1" xfId="1" applyFill="1" applyBorder="1" applyAlignment="1">
      <alignment horizontal="center"/>
    </xf>
    <xf numFmtId="0" fontId="1" fillId="4" borderId="2" xfId="1" applyFill="1" applyBorder="1" applyAlignment="1">
      <alignment horizontal="center"/>
    </xf>
    <xf numFmtId="0" fontId="1" fillId="5" borderId="11" xfId="1" applyFill="1" applyBorder="1" applyAlignment="1">
      <alignment horizontal="center"/>
    </xf>
    <xf numFmtId="0" fontId="2" fillId="5" borderId="12" xfId="1" applyFont="1" applyFill="1" applyBorder="1" applyAlignment="1">
      <alignment horizontal="center"/>
    </xf>
    <xf numFmtId="0" fontId="0" fillId="5" borderId="12" xfId="0" applyFill="1" applyBorder="1" applyAlignment="1">
      <alignment horizontal="center"/>
    </xf>
    <xf numFmtId="0" fontId="0" fillId="5" borderId="14" xfId="0" applyFill="1" applyBorder="1" applyAlignment="1">
      <alignment horizontal="center"/>
    </xf>
    <xf numFmtId="1" fontId="2" fillId="0" borderId="4" xfId="2" applyNumberFormat="1" applyBorder="1" applyAlignment="1">
      <alignment horizontal="center"/>
    </xf>
    <xf numFmtId="1" fontId="2" fillId="0" borderId="6" xfId="2" applyNumberFormat="1" applyBorder="1" applyAlignment="1">
      <alignment horizontal="center"/>
    </xf>
    <xf numFmtId="164" fontId="0" fillId="0" borderId="8" xfId="0" applyNumberFormat="1" applyBorder="1"/>
    <xf numFmtId="164" fontId="0" fillId="0" borderId="9" xfId="0" applyNumberFormat="1" applyBorder="1"/>
    <xf numFmtId="0" fontId="1" fillId="2" borderId="15" xfId="1" applyFill="1" applyBorder="1" applyAlignment="1">
      <alignment horizontal="center"/>
    </xf>
    <xf numFmtId="1" fontId="1" fillId="0" borderId="16" xfId="1" applyNumberFormat="1" applyBorder="1" applyAlignment="1">
      <alignment horizontal="center"/>
    </xf>
    <xf numFmtId="0" fontId="0" fillId="0" borderId="16" xfId="0" applyBorder="1"/>
    <xf numFmtId="164" fontId="0" fillId="0" borderId="17" xfId="0" applyNumberFormat="1" applyBorder="1"/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6" xfId="0" applyBorder="1" applyAlignment="1">
      <alignment horizontal="center"/>
    </xf>
    <xf numFmtId="0" fontId="3" fillId="0" borderId="1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164" fontId="0" fillId="0" borderId="9" xfId="0" applyNumberFormat="1" applyBorder="1" applyAlignment="1">
      <alignment horizontal="center"/>
    </xf>
    <xf numFmtId="164" fontId="0" fillId="0" borderId="17" xfId="0" applyNumberFormat="1" applyBorder="1" applyAlignment="1">
      <alignment horizontal="center"/>
    </xf>
    <xf numFmtId="164" fontId="0" fillId="0" borderId="8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Alignment="1">
      <alignment horizontal="center"/>
    </xf>
    <xf numFmtId="2" fontId="0" fillId="0" borderId="4" xfId="0" applyNumberFormat="1" applyBorder="1" applyAlignment="1">
      <alignment horizontal="center"/>
    </xf>
    <xf numFmtId="2" fontId="0" fillId="0" borderId="7" xfId="0" applyNumberFormat="1" applyBorder="1" applyAlignment="1">
      <alignment horizontal="center"/>
    </xf>
    <xf numFmtId="2" fontId="0" fillId="0" borderId="6" xfId="0" applyNumberFormat="1" applyBorder="1" applyAlignment="1">
      <alignment horizontal="center"/>
    </xf>
    <xf numFmtId="1" fontId="2" fillId="0" borderId="16" xfId="2" applyNumberFormat="1" applyBorder="1" applyAlignment="1">
      <alignment horizontal="center"/>
    </xf>
    <xf numFmtId="2" fontId="0" fillId="0" borderId="16" xfId="0" applyNumberFormat="1" applyBorder="1" applyAlignment="1">
      <alignment horizontal="center"/>
    </xf>
    <xf numFmtId="0" fontId="0" fillId="3" borderId="26" xfId="0" applyFont="1" applyFill="1" applyBorder="1" applyAlignment="1">
      <alignment horizontal="center"/>
    </xf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4" xfId="0" applyBorder="1"/>
    <xf numFmtId="0" fontId="0" fillId="0" borderId="25" xfId="0" applyBorder="1"/>
    <xf numFmtId="0" fontId="0" fillId="0" borderId="27" xfId="0" applyBorder="1"/>
    <xf numFmtId="0" fontId="0" fillId="0" borderId="1" xfId="0" applyBorder="1"/>
    <xf numFmtId="0" fontId="0" fillId="0" borderId="2" xfId="0" applyBorder="1"/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0" fillId="0" borderId="43" xfId="0" applyBorder="1"/>
    <xf numFmtId="0" fontId="0" fillId="0" borderId="44" xfId="0" applyBorder="1"/>
    <xf numFmtId="0" fontId="0" fillId="4" borderId="38" xfId="0" applyFill="1" applyBorder="1" applyAlignment="1">
      <alignment horizontal="center"/>
    </xf>
    <xf numFmtId="0" fontId="0" fillId="4" borderId="39" xfId="0" applyFill="1" applyBorder="1" applyAlignment="1">
      <alignment horizontal="center"/>
    </xf>
    <xf numFmtId="0" fontId="0" fillId="4" borderId="40" xfId="0" applyFill="1" applyBorder="1" applyAlignment="1">
      <alignment horizontal="center"/>
    </xf>
    <xf numFmtId="0" fontId="0" fillId="4" borderId="4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0" borderId="33" xfId="0" applyBorder="1" applyAlignment="1">
      <alignment horizontal="center"/>
    </xf>
    <xf numFmtId="0" fontId="2" fillId="4" borderId="1" xfId="4" applyFill="1" applyBorder="1" applyAlignment="1">
      <alignment horizontal="center"/>
    </xf>
    <xf numFmtId="0" fontId="2" fillId="4" borderId="2" xfId="4" applyFill="1" applyBorder="1" applyAlignment="1">
      <alignment horizontal="center"/>
    </xf>
    <xf numFmtId="0" fontId="2" fillId="4" borderId="32" xfId="4" applyFill="1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6" xfId="0" applyBorder="1"/>
    <xf numFmtId="0" fontId="0" fillId="0" borderId="37" xfId="0" applyBorder="1"/>
    <xf numFmtId="0" fontId="0" fillId="0" borderId="4" xfId="0" applyBorder="1"/>
    <xf numFmtId="0" fontId="0" fillId="0" borderId="5" xfId="0" applyBorder="1"/>
    <xf numFmtId="0" fontId="0" fillId="0" borderId="9" xfId="0" applyBorder="1"/>
    <xf numFmtId="0" fontId="0" fillId="0" borderId="10" xfId="0" applyBorder="1"/>
    <xf numFmtId="0" fontId="0" fillId="0" borderId="7" xfId="0" applyBorder="1"/>
    <xf numFmtId="0" fontId="2" fillId="4" borderId="45" xfId="4" applyFill="1" applyBorder="1" applyAlignment="1">
      <alignment horizontal="center"/>
    </xf>
    <xf numFmtId="0" fontId="2" fillId="4" borderId="46" xfId="4" applyFill="1" applyBorder="1" applyAlignment="1">
      <alignment horizontal="center"/>
    </xf>
    <xf numFmtId="0" fontId="2" fillId="4" borderId="47" xfId="4" applyFill="1" applyBorder="1" applyAlignment="1">
      <alignment horizontal="center"/>
    </xf>
    <xf numFmtId="0" fontId="0" fillId="0" borderId="3" xfId="0" applyBorder="1"/>
    <xf numFmtId="0" fontId="0" fillId="4" borderId="3" xfId="0" applyFill="1" applyBorder="1"/>
    <xf numFmtId="0" fontId="0" fillId="0" borderId="48" xfId="0" applyFill="1" applyBorder="1"/>
    <xf numFmtId="0" fontId="0" fillId="0" borderId="49" xfId="0" applyFill="1" applyBorder="1"/>
    <xf numFmtId="0" fontId="0" fillId="0" borderId="50" xfId="0" applyFill="1" applyBorder="1"/>
    <xf numFmtId="0" fontId="0" fillId="4" borderId="35" xfId="0" applyFill="1" applyBorder="1"/>
    <xf numFmtId="0" fontId="0" fillId="8" borderId="48" xfId="0" applyFill="1" applyBorder="1"/>
    <xf numFmtId="0" fontId="0" fillId="0" borderId="4" xfId="0" applyBorder="1"/>
    <xf numFmtId="0" fontId="0" fillId="0" borderId="9" xfId="0" applyBorder="1"/>
    <xf numFmtId="0" fontId="0" fillId="0" borderId="4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3" xfId="0" applyBorder="1"/>
    <xf numFmtId="0" fontId="2" fillId="4" borderId="31" xfId="4" applyFill="1" applyBorder="1" applyAlignment="1">
      <alignment horizontal="center"/>
    </xf>
    <xf numFmtId="0" fontId="2" fillId="4" borderId="28" xfId="4" applyFill="1" applyBorder="1" applyAlignment="1">
      <alignment horizontal="center"/>
    </xf>
    <xf numFmtId="0" fontId="2" fillId="4" borderId="29" xfId="4" applyFill="1" applyBorder="1" applyAlignment="1">
      <alignment horizontal="center"/>
    </xf>
    <xf numFmtId="0" fontId="0" fillId="0" borderId="35" xfId="0" applyFill="1" applyBorder="1"/>
    <xf numFmtId="0" fontId="0" fillId="0" borderId="36" xfId="0" applyFill="1" applyBorder="1"/>
    <xf numFmtId="0" fontId="0" fillId="8" borderId="36" xfId="0" applyFill="1" applyBorder="1"/>
    <xf numFmtId="0" fontId="0" fillId="0" borderId="37" xfId="0" applyFill="1" applyBorder="1"/>
    <xf numFmtId="165" fontId="0" fillId="0" borderId="4" xfId="0" applyNumberFormat="1" applyBorder="1" applyAlignment="1">
      <alignment horizontal="center"/>
    </xf>
    <xf numFmtId="165" fontId="0" fillId="0" borderId="7" xfId="0" applyNumberFormat="1" applyBorder="1" applyAlignment="1">
      <alignment horizontal="center"/>
    </xf>
    <xf numFmtId="164" fontId="0" fillId="0" borderId="4" xfId="0" applyNumberFormat="1" applyBorder="1" applyAlignment="1">
      <alignment horizontal="center"/>
    </xf>
    <xf numFmtId="0" fontId="0" fillId="4" borderId="32" xfId="0" applyFill="1" applyBorder="1" applyAlignment="1">
      <alignment horizontal="center"/>
    </xf>
    <xf numFmtId="165" fontId="0" fillId="0" borderId="34" xfId="0" applyNumberFormat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34" xfId="0" applyFill="1" applyBorder="1" applyAlignment="1">
      <alignment horizontal="center"/>
    </xf>
    <xf numFmtId="0" fontId="0" fillId="4" borderId="35" xfId="0" applyFill="1" applyBorder="1" applyAlignment="1">
      <alignment horizontal="center"/>
    </xf>
    <xf numFmtId="0" fontId="0" fillId="4" borderId="36" xfId="0" applyFill="1" applyBorder="1" applyAlignment="1">
      <alignment horizontal="center"/>
    </xf>
    <xf numFmtId="0" fontId="0" fillId="4" borderId="37" xfId="0" applyFill="1" applyBorder="1" applyAlignment="1">
      <alignment horizontal="center"/>
    </xf>
    <xf numFmtId="164" fontId="0" fillId="0" borderId="7" xfId="0" applyNumberFormat="1" applyBorder="1" applyAlignment="1">
      <alignment horizontal="center"/>
    </xf>
    <xf numFmtId="164" fontId="0" fillId="0" borderId="34" xfId="0" applyNumberFormat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0" borderId="33" xfId="0" applyFill="1" applyBorder="1" applyAlignment="1">
      <alignment horizontal="center"/>
    </xf>
    <xf numFmtId="0" fontId="0" fillId="0" borderId="4" xfId="0" applyBorder="1"/>
    <xf numFmtId="0" fontId="6" fillId="5" borderId="4" xfId="3" applyFont="1" applyFill="1" applyBorder="1"/>
    <xf numFmtId="0" fontId="0" fillId="5" borderId="4" xfId="3" applyFont="1" applyFill="1" applyBorder="1"/>
    <xf numFmtId="0" fontId="9" fillId="0" borderId="4" xfId="0" applyFont="1" applyBorder="1"/>
    <xf numFmtId="0" fontId="0" fillId="0" borderId="35" xfId="0" applyBorder="1"/>
    <xf numFmtId="0" fontId="1" fillId="4" borderId="32" xfId="1" applyFill="1" applyBorder="1" applyAlignment="1">
      <alignment horizontal="center"/>
    </xf>
    <xf numFmtId="0" fontId="0" fillId="9" borderId="4" xfId="0" applyFill="1" applyBorder="1"/>
    <xf numFmtId="0" fontId="0" fillId="10" borderId="4" xfId="0" applyFill="1" applyBorder="1"/>
    <xf numFmtId="0" fontId="0" fillId="11" borderId="6" xfId="0" applyFill="1" applyBorder="1"/>
    <xf numFmtId="0" fontId="0" fillId="0" borderId="4" xfId="0" applyFill="1" applyBorder="1"/>
    <xf numFmtId="0" fontId="0" fillId="12" borderId="6" xfId="0" applyFill="1" applyBorder="1"/>
    <xf numFmtId="0" fontId="0" fillId="13" borderId="6" xfId="0" applyFill="1" applyBorder="1"/>
    <xf numFmtId="0" fontId="0" fillId="14" borderId="16" xfId="0" applyFill="1" applyBorder="1"/>
    <xf numFmtId="0" fontId="0" fillId="14" borderId="6" xfId="0" applyFill="1" applyBorder="1"/>
    <xf numFmtId="0" fontId="0" fillId="14" borderId="8" xfId="0" applyFill="1" applyBorder="1"/>
    <xf numFmtId="0" fontId="0" fillId="9" borderId="5" xfId="0" applyFill="1" applyBorder="1" applyAlignment="1">
      <alignment horizontal="center"/>
    </xf>
    <xf numFmtId="0" fontId="0" fillId="15" borderId="1" xfId="0" applyFill="1" applyBorder="1" applyAlignment="1">
      <alignment horizontal="center"/>
    </xf>
    <xf numFmtId="0" fontId="0" fillId="15" borderId="2" xfId="0" applyFill="1" applyBorder="1" applyAlignment="1">
      <alignment horizontal="center"/>
    </xf>
    <xf numFmtId="0" fontId="0" fillId="15" borderId="6" xfId="0" applyFill="1" applyBorder="1" applyAlignment="1">
      <alignment horizontal="center"/>
    </xf>
    <xf numFmtId="0" fontId="0" fillId="15" borderId="8" xfId="0" applyFill="1" applyBorder="1" applyAlignment="1">
      <alignment horizontal="center"/>
    </xf>
    <xf numFmtId="0" fontId="0" fillId="0" borderId="5" xfId="0" applyFill="1" applyBorder="1"/>
    <xf numFmtId="0" fontId="0" fillId="16" borderId="1" xfId="0" applyFill="1" applyBorder="1"/>
    <xf numFmtId="0" fontId="0" fillId="17" borderId="1" xfId="0" applyFill="1" applyBorder="1" applyAlignment="1">
      <alignment horizontal="center"/>
    </xf>
    <xf numFmtId="0" fontId="0" fillId="17" borderId="2" xfId="0" applyFill="1" applyBorder="1" applyAlignment="1">
      <alignment horizontal="center"/>
    </xf>
    <xf numFmtId="0" fontId="0" fillId="18" borderId="6" xfId="0" applyFill="1" applyBorder="1"/>
    <xf numFmtId="0" fontId="0" fillId="17" borderId="6" xfId="0" applyFill="1" applyBorder="1" applyAlignment="1">
      <alignment horizontal="center"/>
    </xf>
    <xf numFmtId="0" fontId="0" fillId="17" borderId="8" xfId="0" applyFill="1" applyBorder="1" applyAlignment="1">
      <alignment horizontal="center"/>
    </xf>
    <xf numFmtId="0" fontId="10" fillId="0" borderId="9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0" fillId="18" borderId="8" xfId="0" applyFill="1" applyBorder="1"/>
    <xf numFmtId="166" fontId="0" fillId="0" borderId="4" xfId="0" applyNumberFormat="1" applyBorder="1"/>
    <xf numFmtId="0" fontId="0" fillId="0" borderId="9" xfId="0" applyFill="1" applyBorder="1"/>
    <xf numFmtId="1" fontId="0" fillId="0" borderId="4" xfId="0" applyNumberFormat="1" applyBorder="1"/>
    <xf numFmtId="1" fontId="0" fillId="0" borderId="7" xfId="0" applyNumberFormat="1" applyBorder="1"/>
    <xf numFmtId="1" fontId="0" fillId="0" borderId="9" xfId="0" applyNumberFormat="1" applyBorder="1"/>
    <xf numFmtId="0" fontId="0" fillId="0" borderId="0" xfId="0" applyAlignment="1">
      <alignment horizontal="center" vertical="center"/>
    </xf>
    <xf numFmtId="0" fontId="0" fillId="19" borderId="6" xfId="0" applyFill="1" applyBorder="1"/>
    <xf numFmtId="10" fontId="0" fillId="19" borderId="7" xfId="0" applyNumberFormat="1" applyFill="1" applyBorder="1"/>
    <xf numFmtId="0" fontId="0" fillId="19" borderId="8" xfId="0" applyFill="1" applyBorder="1"/>
    <xf numFmtId="0" fontId="0" fillId="19" borderId="10" xfId="0" applyFill="1" applyBorder="1"/>
    <xf numFmtId="0" fontId="0" fillId="19" borderId="51" xfId="0" applyFill="1" applyBorder="1"/>
    <xf numFmtId="0" fontId="0" fillId="0" borderId="0" xfId="0" applyAlignment="1">
      <alignment horizontal="right"/>
    </xf>
    <xf numFmtId="0" fontId="0" fillId="19" borderId="52" xfId="0" applyFill="1" applyBorder="1"/>
    <xf numFmtId="0" fontId="0" fillId="19" borderId="53" xfId="0" applyFill="1" applyBorder="1"/>
    <xf numFmtId="0" fontId="7" fillId="0" borderId="6" xfId="0" applyFont="1" applyBorder="1" applyAlignment="1">
      <alignment horizontal="right"/>
    </xf>
    <xf numFmtId="0" fontId="11" fillId="0" borderId="6" xfId="0" applyFont="1" applyBorder="1" applyAlignment="1">
      <alignment horizontal="right"/>
    </xf>
    <xf numFmtId="0" fontId="11" fillId="0" borderId="8" xfId="0" applyFont="1" applyBorder="1" applyAlignment="1">
      <alignment horizontal="right"/>
    </xf>
    <xf numFmtId="0" fontId="0" fillId="21" borderId="4" xfId="0" applyFill="1" applyBorder="1"/>
    <xf numFmtId="0" fontId="0" fillId="21" borderId="54" xfId="0" applyFill="1" applyBorder="1" applyAlignment="1">
      <alignment horizontal="center" vertical="center"/>
    </xf>
    <xf numFmtId="0" fontId="0" fillId="21" borderId="28" xfId="0" applyFill="1" applyBorder="1"/>
    <xf numFmtId="0" fontId="0" fillId="21" borderId="29" xfId="0" applyFill="1" applyBorder="1"/>
    <xf numFmtId="0" fontId="0" fillId="21" borderId="7" xfId="0" applyFill="1" applyBorder="1"/>
    <xf numFmtId="0" fontId="0" fillId="22" borderId="5" xfId="0" applyFill="1" applyBorder="1"/>
    <xf numFmtId="0" fontId="0" fillId="22" borderId="6" xfId="0" applyFill="1" applyBorder="1"/>
    <xf numFmtId="0" fontId="0" fillId="22" borderId="4" xfId="0" applyFill="1" applyBorder="1"/>
    <xf numFmtId="0" fontId="0" fillId="22" borderId="7" xfId="0" applyFill="1" applyBorder="1"/>
    <xf numFmtId="0" fontId="7" fillId="22" borderId="8" xfId="0" applyFont="1" applyFill="1" applyBorder="1"/>
    <xf numFmtId="0" fontId="7" fillId="22" borderId="9" xfId="0" applyFont="1" applyFill="1" applyBorder="1"/>
    <xf numFmtId="0" fontId="7" fillId="22" borderId="10" xfId="0" applyFont="1" applyFill="1" applyBorder="1"/>
    <xf numFmtId="0" fontId="0" fillId="20" borderId="5" xfId="0" applyFill="1" applyBorder="1"/>
    <xf numFmtId="0" fontId="0" fillId="20" borderId="1" xfId="0" applyFill="1" applyBorder="1"/>
    <xf numFmtId="0" fontId="0" fillId="20" borderId="2" xfId="0" applyFill="1" applyBorder="1"/>
    <xf numFmtId="0" fontId="0" fillId="20" borderId="6" xfId="0" applyFill="1" applyBorder="1"/>
    <xf numFmtId="0" fontId="0" fillId="20" borderId="4" xfId="0" applyFill="1" applyBorder="1"/>
    <xf numFmtId="0" fontId="0" fillId="20" borderId="7" xfId="0" applyFill="1" applyBorder="1"/>
    <xf numFmtId="0" fontId="7" fillId="20" borderId="8" xfId="0" applyFont="1" applyFill="1" applyBorder="1"/>
    <xf numFmtId="0" fontId="7" fillId="20" borderId="9" xfId="0" applyFont="1" applyFill="1" applyBorder="1"/>
    <xf numFmtId="0" fontId="7" fillId="20" borderId="10" xfId="0" applyFont="1" applyFill="1" applyBorder="1"/>
    <xf numFmtId="0" fontId="0" fillId="3" borderId="4" xfId="0" applyFill="1" applyBorder="1"/>
    <xf numFmtId="0" fontId="0" fillId="3" borderId="7" xfId="0" applyFill="1" applyBorder="1"/>
    <xf numFmtId="0" fontId="0" fillId="23" borderId="5" xfId="0" applyFill="1" applyBorder="1"/>
    <xf numFmtId="0" fontId="0" fillId="23" borderId="1" xfId="0" applyFill="1" applyBorder="1"/>
    <xf numFmtId="0" fontId="0" fillId="23" borderId="2" xfId="0" applyFill="1" applyBorder="1"/>
    <xf numFmtId="0" fontId="0" fillId="23" borderId="6" xfId="0" applyFill="1" applyBorder="1"/>
    <xf numFmtId="0" fontId="0" fillId="23" borderId="4" xfId="0" applyFill="1" applyBorder="1"/>
    <xf numFmtId="0" fontId="0" fillId="23" borderId="7" xfId="0" applyFill="1" applyBorder="1"/>
    <xf numFmtId="0" fontId="7" fillId="23" borderId="8" xfId="0" applyFont="1" applyFill="1" applyBorder="1"/>
    <xf numFmtId="0" fontId="7" fillId="23" borderId="9" xfId="0" applyFont="1" applyFill="1" applyBorder="1"/>
    <xf numFmtId="0" fontId="7" fillId="23" borderId="10" xfId="0" applyFont="1" applyFill="1" applyBorder="1"/>
    <xf numFmtId="0" fontId="0" fillId="22" borderId="27" xfId="0" applyFill="1" applyBorder="1"/>
    <xf numFmtId="0" fontId="0" fillId="22" borderId="44" xfId="0" applyFill="1" applyBorder="1"/>
    <xf numFmtId="0" fontId="7" fillId="0" borderId="54" xfId="0" applyFont="1" applyBorder="1" applyAlignment="1">
      <alignment horizontal="center"/>
    </xf>
    <xf numFmtId="0" fontId="7" fillId="0" borderId="28" xfId="0" applyFont="1" applyBorder="1" applyAlignment="1">
      <alignment horizontal="center"/>
    </xf>
    <xf numFmtId="0" fontId="7" fillId="0" borderId="29" xfId="0" applyFont="1" applyBorder="1" applyAlignment="1">
      <alignment horizontal="center"/>
    </xf>
    <xf numFmtId="0" fontId="0" fillId="24" borderId="54" xfId="0" applyFill="1" applyBorder="1"/>
    <xf numFmtId="0" fontId="0" fillId="24" borderId="28" xfId="0" applyFill="1" applyBorder="1"/>
    <xf numFmtId="0" fontId="0" fillId="0" borderId="18" xfId="0" applyBorder="1"/>
    <xf numFmtId="0" fontId="0" fillId="0" borderId="54" xfId="0" applyBorder="1"/>
    <xf numFmtId="0" fontId="0" fillId="0" borderId="28" xfId="0" applyBorder="1"/>
    <xf numFmtId="0" fontId="0" fillId="0" borderId="29" xfId="0" applyBorder="1"/>
    <xf numFmtId="0" fontId="0" fillId="17" borderId="18" xfId="0" applyFill="1" applyBorder="1"/>
    <xf numFmtId="0" fontId="0" fillId="17" borderId="0" xfId="0" applyFill="1" applyBorder="1"/>
    <xf numFmtId="0" fontId="0" fillId="17" borderId="22" xfId="0" applyFill="1" applyBorder="1"/>
    <xf numFmtId="0" fontId="7" fillId="0" borderId="18" xfId="0" applyFont="1" applyBorder="1" applyAlignment="1">
      <alignment horizontal="center" vertical="center"/>
    </xf>
    <xf numFmtId="0" fontId="0" fillId="9" borderId="18" xfId="0" applyFill="1" applyBorder="1"/>
    <xf numFmtId="0" fontId="0" fillId="9" borderId="0" xfId="0" applyFill="1" applyBorder="1"/>
    <xf numFmtId="0" fontId="0" fillId="9" borderId="22" xfId="0" applyFill="1" applyBorder="1"/>
    <xf numFmtId="1" fontId="0" fillId="3" borderId="4" xfId="0" applyNumberFormat="1" applyFill="1" applyBorder="1"/>
    <xf numFmtId="0" fontId="0" fillId="24" borderId="4" xfId="0" applyFill="1" applyBorder="1"/>
    <xf numFmtId="1" fontId="0" fillId="24" borderId="4" xfId="0" applyNumberFormat="1" applyFill="1" applyBorder="1"/>
    <xf numFmtId="0" fontId="0" fillId="24" borderId="9" xfId="0" applyFill="1" applyBorder="1"/>
    <xf numFmtId="0" fontId="0" fillId="24" borderId="10" xfId="0" applyFill="1" applyBorder="1"/>
    <xf numFmtId="1" fontId="0" fillId="21" borderId="4" xfId="0" applyNumberFormat="1" applyFill="1" applyBorder="1"/>
    <xf numFmtId="0" fontId="0" fillId="0" borderId="0" xfId="0" applyFill="1" applyBorder="1"/>
    <xf numFmtId="0" fontId="0" fillId="25" borderId="4" xfId="0" applyFill="1" applyBorder="1"/>
    <xf numFmtId="0" fontId="0" fillId="11" borderId="4" xfId="0" applyFill="1" applyBorder="1"/>
    <xf numFmtId="0" fontId="0" fillId="12" borderId="4" xfId="0" applyFill="1" applyBorder="1"/>
    <xf numFmtId="0" fontId="0" fillId="12" borderId="7" xfId="0" applyFill="1" applyBorder="1"/>
    <xf numFmtId="1" fontId="0" fillId="11" borderId="4" xfId="0" applyNumberFormat="1" applyFill="1" applyBorder="1"/>
    <xf numFmtId="1" fontId="0" fillId="12" borderId="4" xfId="0" applyNumberFormat="1" applyFill="1" applyBorder="1"/>
    <xf numFmtId="1" fontId="0" fillId="25" borderId="4" xfId="0" applyNumberFormat="1" applyFill="1" applyBorder="1"/>
    <xf numFmtId="1" fontId="0" fillId="12" borderId="7" xfId="0" applyNumberFormat="1" applyFill="1" applyBorder="1"/>
    <xf numFmtId="1" fontId="0" fillId="0" borderId="0" xfId="0" applyNumberFormat="1" applyBorder="1"/>
    <xf numFmtId="0" fontId="0" fillId="0" borderId="6" xfId="0" applyFill="1" applyBorder="1"/>
    <xf numFmtId="0" fontId="0" fillId="0" borderId="8" xfId="0" applyFill="1" applyBorder="1"/>
    <xf numFmtId="1" fontId="0" fillId="11" borderId="4" xfId="0" applyNumberFormat="1" applyFont="1" applyFill="1" applyBorder="1"/>
    <xf numFmtId="1" fontId="0" fillId="11" borderId="9" xfId="0" applyNumberFormat="1" applyFont="1" applyFill="1" applyBorder="1"/>
    <xf numFmtId="1" fontId="0" fillId="12" borderId="9" xfId="0" applyNumberFormat="1" applyFill="1" applyBorder="1"/>
    <xf numFmtId="1" fontId="0" fillId="25" borderId="9" xfId="0" applyNumberFormat="1" applyFill="1" applyBorder="1"/>
    <xf numFmtId="1" fontId="0" fillId="11" borderId="9" xfId="0" applyNumberFormat="1" applyFill="1" applyBorder="1"/>
    <xf numFmtId="0" fontId="4" fillId="0" borderId="19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4" fillId="0" borderId="25" xfId="0" applyFont="1" applyBorder="1" applyAlignment="1">
      <alignment horizontal="center" vertical="center"/>
    </xf>
    <xf numFmtId="0" fontId="0" fillId="6" borderId="0" xfId="0" applyFill="1" applyAlignment="1">
      <alignment horizontal="center"/>
    </xf>
    <xf numFmtId="0" fontId="5" fillId="0" borderId="19" xfId="0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0" fontId="5" fillId="0" borderId="21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22" xfId="0" applyFont="1" applyBorder="1" applyAlignment="1">
      <alignment horizontal="center" vertical="center"/>
    </xf>
    <xf numFmtId="0" fontId="5" fillId="0" borderId="23" xfId="0" applyFont="1" applyBorder="1" applyAlignment="1">
      <alignment horizontal="center" vertical="center"/>
    </xf>
    <xf numFmtId="0" fontId="5" fillId="0" borderId="24" xfId="0" applyFont="1" applyBorder="1" applyAlignment="1">
      <alignment horizontal="center" vertical="center"/>
    </xf>
    <xf numFmtId="0" fontId="5" fillId="0" borderId="25" xfId="0" applyFont="1" applyBorder="1" applyAlignment="1">
      <alignment horizontal="center" vertical="center"/>
    </xf>
    <xf numFmtId="0" fontId="0" fillId="6" borderId="20" xfId="0" applyFill="1" applyBorder="1" applyAlignment="1">
      <alignment horizontal="center"/>
    </xf>
    <xf numFmtId="0" fontId="7" fillId="5" borderId="19" xfId="0" applyFont="1" applyFill="1" applyBorder="1" applyAlignment="1">
      <alignment horizontal="center" vertical="center"/>
    </xf>
    <xf numFmtId="0" fontId="7" fillId="5" borderId="20" xfId="0" applyFont="1" applyFill="1" applyBorder="1" applyAlignment="1">
      <alignment horizontal="center" vertical="center"/>
    </xf>
    <xf numFmtId="0" fontId="7" fillId="5" borderId="21" xfId="0" applyFont="1" applyFill="1" applyBorder="1" applyAlignment="1">
      <alignment horizontal="center" vertical="center"/>
    </xf>
    <xf numFmtId="0" fontId="7" fillId="5" borderId="23" xfId="0" applyFont="1" applyFill="1" applyBorder="1" applyAlignment="1">
      <alignment horizontal="center" vertical="center"/>
    </xf>
    <xf numFmtId="0" fontId="7" fillId="5" borderId="24" xfId="0" applyFont="1" applyFill="1" applyBorder="1" applyAlignment="1">
      <alignment horizontal="center" vertical="center"/>
    </xf>
    <xf numFmtId="0" fontId="7" fillId="5" borderId="25" xfId="0" applyFont="1" applyFill="1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7" fillId="5" borderId="18" xfId="0" applyFont="1" applyFill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9" borderId="55" xfId="0" applyFill="1" applyBorder="1" applyAlignment="1">
      <alignment horizontal="center"/>
    </xf>
    <xf numFmtId="0" fontId="0" fillId="9" borderId="56" xfId="0" applyFill="1" applyBorder="1" applyAlignment="1">
      <alignment horizontal="center"/>
    </xf>
    <xf numFmtId="0" fontId="0" fillId="9" borderId="57" xfId="0" applyFill="1" applyBorder="1" applyAlignment="1">
      <alignment horizontal="center"/>
    </xf>
    <xf numFmtId="0" fontId="0" fillId="9" borderId="45" xfId="0" applyFill="1" applyBorder="1" applyAlignment="1">
      <alignment horizontal="center"/>
    </xf>
    <xf numFmtId="0" fontId="0" fillId="9" borderId="58" xfId="0" applyFill="1" applyBorder="1" applyAlignment="1">
      <alignment horizontal="center"/>
    </xf>
    <xf numFmtId="0" fontId="0" fillId="9" borderId="43" xfId="0" applyFill="1" applyBorder="1" applyAlignment="1">
      <alignment horizontal="center"/>
    </xf>
    <xf numFmtId="0" fontId="0" fillId="0" borderId="59" xfId="0" applyBorder="1" applyAlignment="1">
      <alignment horizontal="center"/>
    </xf>
    <xf numFmtId="0" fontId="7" fillId="5" borderId="0" xfId="0" applyFont="1" applyFill="1" applyBorder="1" applyAlignment="1">
      <alignment horizontal="center" vertical="center"/>
    </xf>
    <xf numFmtId="0" fontId="7" fillId="5" borderId="22" xfId="0" applyFont="1" applyFill="1" applyBorder="1" applyAlignment="1">
      <alignment horizontal="center" vertical="center"/>
    </xf>
    <xf numFmtId="0" fontId="7" fillId="5" borderId="5" xfId="0" applyFont="1" applyFill="1" applyBorder="1" applyAlignment="1">
      <alignment horizontal="center" vertical="center"/>
    </xf>
    <xf numFmtId="0" fontId="7" fillId="5" borderId="1" xfId="0" applyFont="1" applyFill="1" applyBorder="1" applyAlignment="1">
      <alignment horizontal="center" vertical="center"/>
    </xf>
    <xf numFmtId="0" fontId="7" fillId="5" borderId="2" xfId="0" applyFont="1" applyFill="1" applyBorder="1" applyAlignment="1">
      <alignment horizontal="center" vertical="center"/>
    </xf>
    <xf numFmtId="0" fontId="7" fillId="5" borderId="30" xfId="0" applyFont="1" applyFill="1" applyBorder="1" applyAlignment="1">
      <alignment horizontal="center" vertical="center"/>
    </xf>
    <xf numFmtId="0" fontId="7" fillId="5" borderId="9" xfId="0" applyFont="1" applyFill="1" applyBorder="1" applyAlignment="1">
      <alignment horizontal="center" vertical="center"/>
    </xf>
    <xf numFmtId="0" fontId="7" fillId="5" borderId="10" xfId="0" applyFont="1" applyFill="1" applyBorder="1" applyAlignment="1">
      <alignment horizontal="center" vertical="center"/>
    </xf>
    <xf numFmtId="0" fontId="7" fillId="3" borderId="6" xfId="0" applyFont="1" applyFill="1" applyBorder="1" applyAlignment="1">
      <alignment horizontal="center" vertical="center"/>
    </xf>
    <xf numFmtId="0" fontId="7" fillId="24" borderId="6" xfId="0" applyFont="1" applyFill="1" applyBorder="1" applyAlignment="1">
      <alignment horizontal="center" vertical="center"/>
    </xf>
    <xf numFmtId="0" fontId="7" fillId="24" borderId="8" xfId="0" applyFont="1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21" borderId="6" xfId="0" applyFont="1" applyFill="1" applyBorder="1" applyAlignment="1">
      <alignment horizontal="center" vertical="center"/>
    </xf>
    <xf numFmtId="0" fontId="0" fillId="22" borderId="19" xfId="0" applyFill="1" applyBorder="1" applyAlignment="1">
      <alignment horizontal="center" vertical="center"/>
    </xf>
    <xf numFmtId="0" fontId="0" fillId="22" borderId="18" xfId="0" applyFill="1" applyBorder="1" applyAlignment="1">
      <alignment horizontal="center" vertical="center"/>
    </xf>
    <xf numFmtId="0" fontId="0" fillId="22" borderId="23" xfId="0" applyFill="1" applyBorder="1" applyAlignment="1">
      <alignment horizontal="center" vertical="center"/>
    </xf>
    <xf numFmtId="0" fontId="0" fillId="20" borderId="19" xfId="0" applyFill="1" applyBorder="1" applyAlignment="1">
      <alignment horizontal="center" vertical="center"/>
    </xf>
    <xf numFmtId="0" fontId="0" fillId="20" borderId="18" xfId="0" applyFill="1" applyBorder="1" applyAlignment="1">
      <alignment horizontal="center" vertical="center"/>
    </xf>
    <xf numFmtId="0" fontId="0" fillId="20" borderId="23" xfId="0" applyFill="1" applyBorder="1" applyAlignment="1">
      <alignment horizontal="center" vertical="center"/>
    </xf>
    <xf numFmtId="0" fontId="0" fillId="23" borderId="19" xfId="0" applyFill="1" applyBorder="1" applyAlignment="1">
      <alignment horizontal="center" vertical="center"/>
    </xf>
    <xf numFmtId="0" fontId="0" fillId="23" borderId="18" xfId="0" applyFill="1" applyBorder="1" applyAlignment="1">
      <alignment horizontal="center" vertical="center"/>
    </xf>
    <xf numFmtId="0" fontId="0" fillId="23" borderId="23" xfId="0" applyFill="1" applyBorder="1" applyAlignment="1">
      <alignment horizontal="center" vertical="center"/>
    </xf>
  </cellXfs>
  <cellStyles count="7">
    <cellStyle name="Accent5" xfId="3" builtinId="45"/>
    <cellStyle name="Normal" xfId="0" builtinId="0"/>
    <cellStyle name="Normal 2" xfId="1"/>
    <cellStyle name="Normal 2 2" xfId="4"/>
    <cellStyle name="Normal 2 3" xfId="5"/>
    <cellStyle name="Normal 2 4" xfId="6"/>
    <cellStyle name="Normal 3" xfId="2"/>
  </cellStyles>
  <dxfs count="9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CCFFCC"/>
      <color rgb="FF00CC00"/>
      <color rgb="FF66FF33"/>
      <color rgb="FF66FF99"/>
      <color rgb="FF99FFCC"/>
      <color rgb="FF99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externalLink" Target="externalLinks/externalLink2.xml"/><Relationship Id="rId8" Type="http://schemas.openxmlformats.org/officeDocument/2006/relationships/worksheet" Target="worksheets/sheet8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v>Demande P1E1 - Saison 1</c:v>
          </c:tx>
          <c:marker>
            <c:symbol val="none"/>
          </c:marker>
          <c:xVal>
            <c:strRef>
              <c:f>'P1_Entrepôt 1'!$C$4:$N$4</c:f>
              <c:strCache>
                <c:ptCount val="12"/>
                <c:pt idx="0">
                  <c:v>T-24</c:v>
                </c:pt>
                <c:pt idx="1">
                  <c:v>T-23</c:v>
                </c:pt>
                <c:pt idx="2">
                  <c:v>T-22</c:v>
                </c:pt>
                <c:pt idx="3">
                  <c:v>T-21</c:v>
                </c:pt>
                <c:pt idx="4">
                  <c:v>T-20</c:v>
                </c:pt>
                <c:pt idx="5">
                  <c:v>T-19</c:v>
                </c:pt>
                <c:pt idx="6">
                  <c:v>T-18</c:v>
                </c:pt>
                <c:pt idx="7">
                  <c:v>T-17</c:v>
                </c:pt>
                <c:pt idx="8">
                  <c:v>T-16</c:v>
                </c:pt>
                <c:pt idx="9">
                  <c:v>T-15</c:v>
                </c:pt>
                <c:pt idx="10">
                  <c:v>T-14</c:v>
                </c:pt>
                <c:pt idx="11">
                  <c:v>T-13</c:v>
                </c:pt>
              </c:strCache>
            </c:strRef>
          </c:xVal>
          <c:yVal>
            <c:numRef>
              <c:f>'P1_Entrepôt 1'!$C$5:$N$5</c:f>
              <c:numCache>
                <c:formatCode>0</c:formatCode>
                <c:ptCount val="12"/>
                <c:pt idx="0">
                  <c:v>168</c:v>
                </c:pt>
                <c:pt idx="1">
                  <c:v>213</c:v>
                </c:pt>
                <c:pt idx="2">
                  <c:v>300</c:v>
                </c:pt>
                <c:pt idx="3">
                  <c:v>354</c:v>
                </c:pt>
                <c:pt idx="4">
                  <c:v>443</c:v>
                </c:pt>
                <c:pt idx="5">
                  <c:v>488</c:v>
                </c:pt>
                <c:pt idx="6">
                  <c:v>484</c:v>
                </c:pt>
                <c:pt idx="7">
                  <c:v>476</c:v>
                </c:pt>
                <c:pt idx="8">
                  <c:v>500</c:v>
                </c:pt>
                <c:pt idx="9">
                  <c:v>492</c:v>
                </c:pt>
                <c:pt idx="10">
                  <c:v>413</c:v>
                </c:pt>
                <c:pt idx="11">
                  <c:v>396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4666496"/>
        <c:axId val="194667072"/>
      </c:scatterChart>
      <c:valAx>
        <c:axId val="194666496"/>
        <c:scaling>
          <c:orientation val="minMax"/>
        </c:scaling>
        <c:delete val="0"/>
        <c:axPos val="b"/>
        <c:majorTickMark val="out"/>
        <c:minorTickMark val="none"/>
        <c:tickLblPos val="nextTo"/>
        <c:crossAx val="194667072"/>
        <c:crosses val="autoZero"/>
        <c:crossBetween val="midCat"/>
      </c:valAx>
      <c:valAx>
        <c:axId val="194667072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194666496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v>Demande P1E1 - Saison 2</c:v>
          </c:tx>
          <c:marker>
            <c:symbol val="none"/>
          </c:marker>
          <c:xVal>
            <c:strRef>
              <c:f>'P1_Entrepôt 1'!$O$4:$Z$4</c:f>
              <c:strCache>
                <c:ptCount val="12"/>
                <c:pt idx="0">
                  <c:v>T-12</c:v>
                </c:pt>
                <c:pt idx="1">
                  <c:v>T-11</c:v>
                </c:pt>
                <c:pt idx="2">
                  <c:v>T-10</c:v>
                </c:pt>
                <c:pt idx="3">
                  <c:v>T-9</c:v>
                </c:pt>
                <c:pt idx="4">
                  <c:v>T-8</c:v>
                </c:pt>
                <c:pt idx="5">
                  <c:v>T-7</c:v>
                </c:pt>
                <c:pt idx="6">
                  <c:v>T-6</c:v>
                </c:pt>
                <c:pt idx="7">
                  <c:v>T-5</c:v>
                </c:pt>
                <c:pt idx="8">
                  <c:v>T-4</c:v>
                </c:pt>
                <c:pt idx="9">
                  <c:v>T-3</c:v>
                </c:pt>
                <c:pt idx="10">
                  <c:v>T-2</c:v>
                </c:pt>
                <c:pt idx="11">
                  <c:v>T-1</c:v>
                </c:pt>
              </c:strCache>
            </c:strRef>
          </c:xVal>
          <c:yVal>
            <c:numRef>
              <c:f>'P1_Entrepôt 1'!$O$5:$Z$5</c:f>
              <c:numCache>
                <c:formatCode>0</c:formatCode>
                <c:ptCount val="12"/>
                <c:pt idx="0">
                  <c:v>360</c:v>
                </c:pt>
                <c:pt idx="1">
                  <c:v>391</c:v>
                </c:pt>
                <c:pt idx="2">
                  <c:v>457</c:v>
                </c:pt>
                <c:pt idx="3">
                  <c:v>621</c:v>
                </c:pt>
                <c:pt idx="4">
                  <c:v>722</c:v>
                </c:pt>
                <c:pt idx="5">
                  <c:v>860</c:v>
                </c:pt>
                <c:pt idx="6">
                  <c:v>778</c:v>
                </c:pt>
                <c:pt idx="7">
                  <c:v>770</c:v>
                </c:pt>
                <c:pt idx="8">
                  <c:v>760</c:v>
                </c:pt>
                <c:pt idx="9">
                  <c:v>683</c:v>
                </c:pt>
                <c:pt idx="10">
                  <c:v>623</c:v>
                </c:pt>
                <c:pt idx="11">
                  <c:v>565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4668800"/>
        <c:axId val="194669376"/>
      </c:scatterChart>
      <c:valAx>
        <c:axId val="194668800"/>
        <c:scaling>
          <c:orientation val="minMax"/>
        </c:scaling>
        <c:delete val="0"/>
        <c:axPos val="b"/>
        <c:majorTickMark val="out"/>
        <c:minorTickMark val="none"/>
        <c:tickLblPos val="nextTo"/>
        <c:crossAx val="194669376"/>
        <c:crosses val="autoZero"/>
        <c:crossBetween val="midCat"/>
      </c:valAx>
      <c:valAx>
        <c:axId val="194669376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194668800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v>Demande P1E1</c:v>
          </c:tx>
          <c:marker>
            <c:symbol val="none"/>
          </c:marker>
          <c:trendline>
            <c:trendlineType val="linear"/>
            <c:dispRSqr val="1"/>
            <c:dispEq val="1"/>
            <c:trendlineLbl>
              <c:layout>
                <c:manualLayout>
                  <c:x val="0.43209492563429569"/>
                  <c:y val="-0.14108194808982211"/>
                </c:manualLayout>
              </c:layout>
              <c:numFmt formatCode="General" sourceLinked="0"/>
            </c:trendlineLbl>
          </c:trendline>
          <c:xVal>
            <c:strRef>
              <c:f>'P1_Entrepôt 1'!$C$4:$Z$4</c:f>
              <c:strCache>
                <c:ptCount val="24"/>
                <c:pt idx="0">
                  <c:v>T-24</c:v>
                </c:pt>
                <c:pt idx="1">
                  <c:v>T-23</c:v>
                </c:pt>
                <c:pt idx="2">
                  <c:v>T-22</c:v>
                </c:pt>
                <c:pt idx="3">
                  <c:v>T-21</c:v>
                </c:pt>
                <c:pt idx="4">
                  <c:v>T-20</c:v>
                </c:pt>
                <c:pt idx="5">
                  <c:v>T-19</c:v>
                </c:pt>
                <c:pt idx="6">
                  <c:v>T-18</c:v>
                </c:pt>
                <c:pt idx="7">
                  <c:v>T-17</c:v>
                </c:pt>
                <c:pt idx="8">
                  <c:v>T-16</c:v>
                </c:pt>
                <c:pt idx="9">
                  <c:v>T-15</c:v>
                </c:pt>
                <c:pt idx="10">
                  <c:v>T-14</c:v>
                </c:pt>
                <c:pt idx="11">
                  <c:v>T-13</c:v>
                </c:pt>
                <c:pt idx="12">
                  <c:v>T-12</c:v>
                </c:pt>
                <c:pt idx="13">
                  <c:v>T-11</c:v>
                </c:pt>
                <c:pt idx="14">
                  <c:v>T-10</c:v>
                </c:pt>
                <c:pt idx="15">
                  <c:v>T-9</c:v>
                </c:pt>
                <c:pt idx="16">
                  <c:v>T-8</c:v>
                </c:pt>
                <c:pt idx="17">
                  <c:v>T-7</c:v>
                </c:pt>
                <c:pt idx="18">
                  <c:v>T-6</c:v>
                </c:pt>
                <c:pt idx="19">
                  <c:v>T-5</c:v>
                </c:pt>
                <c:pt idx="20">
                  <c:v>T-4</c:v>
                </c:pt>
                <c:pt idx="21">
                  <c:v>T-3</c:v>
                </c:pt>
                <c:pt idx="22">
                  <c:v>T-2</c:v>
                </c:pt>
                <c:pt idx="23">
                  <c:v>T-1</c:v>
                </c:pt>
              </c:strCache>
            </c:strRef>
          </c:xVal>
          <c:yVal>
            <c:numRef>
              <c:f>'P1_Entrepôt 1'!$C$5:$Z$5</c:f>
              <c:numCache>
                <c:formatCode>0</c:formatCode>
                <c:ptCount val="24"/>
                <c:pt idx="0">
                  <c:v>168</c:v>
                </c:pt>
                <c:pt idx="1">
                  <c:v>213</c:v>
                </c:pt>
                <c:pt idx="2">
                  <c:v>300</c:v>
                </c:pt>
                <c:pt idx="3">
                  <c:v>354</c:v>
                </c:pt>
                <c:pt idx="4">
                  <c:v>443</c:v>
                </c:pt>
                <c:pt idx="5">
                  <c:v>488</c:v>
                </c:pt>
                <c:pt idx="6">
                  <c:v>484</c:v>
                </c:pt>
                <c:pt idx="7">
                  <c:v>476</c:v>
                </c:pt>
                <c:pt idx="8">
                  <c:v>500</c:v>
                </c:pt>
                <c:pt idx="9">
                  <c:v>492</c:v>
                </c:pt>
                <c:pt idx="10">
                  <c:v>413</c:v>
                </c:pt>
                <c:pt idx="11">
                  <c:v>396</c:v>
                </c:pt>
                <c:pt idx="12">
                  <c:v>360</c:v>
                </c:pt>
                <c:pt idx="13">
                  <c:v>391</c:v>
                </c:pt>
                <c:pt idx="14">
                  <c:v>457</c:v>
                </c:pt>
                <c:pt idx="15">
                  <c:v>621</c:v>
                </c:pt>
                <c:pt idx="16">
                  <c:v>722</c:v>
                </c:pt>
                <c:pt idx="17">
                  <c:v>860</c:v>
                </c:pt>
                <c:pt idx="18">
                  <c:v>778</c:v>
                </c:pt>
                <c:pt idx="19">
                  <c:v>770</c:v>
                </c:pt>
                <c:pt idx="20">
                  <c:v>760</c:v>
                </c:pt>
                <c:pt idx="21">
                  <c:v>683</c:v>
                </c:pt>
                <c:pt idx="22">
                  <c:v>623</c:v>
                </c:pt>
                <c:pt idx="23">
                  <c:v>565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4671680"/>
        <c:axId val="194672256"/>
      </c:scatterChart>
      <c:valAx>
        <c:axId val="194671680"/>
        <c:scaling>
          <c:orientation val="minMax"/>
        </c:scaling>
        <c:delete val="0"/>
        <c:axPos val="b"/>
        <c:majorTickMark val="out"/>
        <c:minorTickMark val="none"/>
        <c:tickLblPos val="nextTo"/>
        <c:crossAx val="194672256"/>
        <c:crosses val="autoZero"/>
        <c:crossBetween val="midCat"/>
      </c:valAx>
      <c:valAx>
        <c:axId val="194672256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194671680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v>Courbe Moyenne Mobile P1E1</c:v>
          </c:tx>
          <c:marker>
            <c:symbol val="none"/>
          </c:marker>
          <c:trendline>
            <c:trendlineType val="linear"/>
            <c:dispRSqr val="1"/>
            <c:dispEq val="1"/>
            <c:trendlineLbl>
              <c:layout>
                <c:manualLayout>
                  <c:x val="0.41117023029025135"/>
                  <c:y val="-3.2450981454003255E-2"/>
                </c:manualLayout>
              </c:layout>
              <c:numFmt formatCode="General" sourceLinked="0"/>
            </c:trendlineLbl>
          </c:trendline>
          <c:xVal>
            <c:strRef>
              <c:f>'P1_Entrepôt 1'!$I$4:$T$4</c:f>
              <c:strCache>
                <c:ptCount val="12"/>
                <c:pt idx="0">
                  <c:v>T-18</c:v>
                </c:pt>
                <c:pt idx="1">
                  <c:v>T-17</c:v>
                </c:pt>
                <c:pt idx="2">
                  <c:v>T-16</c:v>
                </c:pt>
                <c:pt idx="3">
                  <c:v>T-15</c:v>
                </c:pt>
                <c:pt idx="4">
                  <c:v>T-14</c:v>
                </c:pt>
                <c:pt idx="5">
                  <c:v>T-13</c:v>
                </c:pt>
                <c:pt idx="6">
                  <c:v>T-12</c:v>
                </c:pt>
                <c:pt idx="7">
                  <c:v>T-11</c:v>
                </c:pt>
                <c:pt idx="8">
                  <c:v>T-10</c:v>
                </c:pt>
                <c:pt idx="9">
                  <c:v>T-9</c:v>
                </c:pt>
                <c:pt idx="10">
                  <c:v>T-8</c:v>
                </c:pt>
                <c:pt idx="11">
                  <c:v>T-7</c:v>
                </c:pt>
              </c:strCache>
            </c:strRef>
          </c:xVal>
          <c:yVal>
            <c:numRef>
              <c:f>'P1_Entrepôt 1'!$I$6:$T$6</c:f>
              <c:numCache>
                <c:formatCode>0.00</c:formatCode>
                <c:ptCount val="12"/>
                <c:pt idx="0">
                  <c:v>401.91666666666663</c:v>
                </c:pt>
                <c:pt idx="1">
                  <c:v>417.33333333333331</c:v>
                </c:pt>
                <c:pt idx="2">
                  <c:v>431.29166666666663</c:v>
                </c:pt>
                <c:pt idx="3">
                  <c:v>448.95833333333331</c:v>
                </c:pt>
                <c:pt idx="4">
                  <c:v>471.70833333333331</c:v>
                </c:pt>
                <c:pt idx="5">
                  <c:v>498.83333333333331</c:v>
                </c:pt>
                <c:pt idx="6">
                  <c:v>526.58333333333326</c:v>
                </c:pt>
                <c:pt idx="7">
                  <c:v>551.08333333333326</c:v>
                </c:pt>
                <c:pt idx="8">
                  <c:v>574.16666666666663</c:v>
                </c:pt>
                <c:pt idx="9">
                  <c:v>592.95833333333326</c:v>
                </c:pt>
                <c:pt idx="10">
                  <c:v>609.66666666666663</c:v>
                </c:pt>
                <c:pt idx="11">
                  <c:v>625.45833333333326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4673408"/>
        <c:axId val="194673984"/>
      </c:scatterChart>
      <c:valAx>
        <c:axId val="194673408"/>
        <c:scaling>
          <c:orientation val="minMax"/>
        </c:scaling>
        <c:delete val="0"/>
        <c:axPos val="b"/>
        <c:majorTickMark val="out"/>
        <c:minorTickMark val="none"/>
        <c:tickLblPos val="nextTo"/>
        <c:crossAx val="194673984"/>
        <c:crosses val="autoZero"/>
        <c:crossBetween val="midCat"/>
      </c:valAx>
      <c:valAx>
        <c:axId val="194673984"/>
        <c:scaling>
          <c:orientation val="minMax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194673408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v>Demande P1E2 - Saison 1</c:v>
          </c:tx>
          <c:marker>
            <c:symbol val="none"/>
          </c:marker>
          <c:xVal>
            <c:strRef>
              <c:f>'P1_Entrepôt 2'!$C$4:$N$4</c:f>
              <c:strCache>
                <c:ptCount val="12"/>
                <c:pt idx="0">
                  <c:v>T-24</c:v>
                </c:pt>
                <c:pt idx="1">
                  <c:v>T-23</c:v>
                </c:pt>
                <c:pt idx="2">
                  <c:v>T-22</c:v>
                </c:pt>
                <c:pt idx="3">
                  <c:v>T-21</c:v>
                </c:pt>
                <c:pt idx="4">
                  <c:v>T-20</c:v>
                </c:pt>
                <c:pt idx="5">
                  <c:v>T-19</c:v>
                </c:pt>
                <c:pt idx="6">
                  <c:v>T-18</c:v>
                </c:pt>
                <c:pt idx="7">
                  <c:v>T-17</c:v>
                </c:pt>
                <c:pt idx="8">
                  <c:v>T-16</c:v>
                </c:pt>
                <c:pt idx="9">
                  <c:v>T-15</c:v>
                </c:pt>
                <c:pt idx="10">
                  <c:v>T-14</c:v>
                </c:pt>
                <c:pt idx="11">
                  <c:v>T-13</c:v>
                </c:pt>
              </c:strCache>
            </c:strRef>
          </c:xVal>
          <c:yVal>
            <c:numRef>
              <c:f>'P1_Entrepôt 2'!$C$5:$N$5</c:f>
              <c:numCache>
                <c:formatCode>0</c:formatCode>
                <c:ptCount val="12"/>
                <c:pt idx="0">
                  <c:v>190</c:v>
                </c:pt>
                <c:pt idx="1">
                  <c:v>243</c:v>
                </c:pt>
                <c:pt idx="2">
                  <c:v>346</c:v>
                </c:pt>
                <c:pt idx="3">
                  <c:v>411</c:v>
                </c:pt>
                <c:pt idx="4">
                  <c:v>518</c:v>
                </c:pt>
                <c:pt idx="5">
                  <c:v>574</c:v>
                </c:pt>
                <c:pt idx="6">
                  <c:v>572</c:v>
                </c:pt>
                <c:pt idx="7">
                  <c:v>565</c:v>
                </c:pt>
                <c:pt idx="8">
                  <c:v>596</c:v>
                </c:pt>
                <c:pt idx="9">
                  <c:v>588</c:v>
                </c:pt>
                <c:pt idx="10">
                  <c:v>496</c:v>
                </c:pt>
                <c:pt idx="11">
                  <c:v>477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4217088"/>
        <c:axId val="194217664"/>
      </c:scatterChart>
      <c:valAx>
        <c:axId val="194217088"/>
        <c:scaling>
          <c:orientation val="minMax"/>
        </c:scaling>
        <c:delete val="0"/>
        <c:axPos val="b"/>
        <c:majorTickMark val="out"/>
        <c:minorTickMark val="none"/>
        <c:tickLblPos val="nextTo"/>
        <c:crossAx val="194217664"/>
        <c:crosses val="autoZero"/>
        <c:crossBetween val="midCat"/>
      </c:valAx>
      <c:valAx>
        <c:axId val="194217664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194217088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v>Demande P1E2 - Saison 2</c:v>
          </c:tx>
          <c:marker>
            <c:symbol val="none"/>
          </c:marker>
          <c:xVal>
            <c:strRef>
              <c:f>'P1_Entrepôt 2'!$O$4:$Z$4</c:f>
              <c:strCache>
                <c:ptCount val="12"/>
                <c:pt idx="0">
                  <c:v>T-12</c:v>
                </c:pt>
                <c:pt idx="1">
                  <c:v>T-11</c:v>
                </c:pt>
                <c:pt idx="2">
                  <c:v>T-10</c:v>
                </c:pt>
                <c:pt idx="3">
                  <c:v>T-9</c:v>
                </c:pt>
                <c:pt idx="4">
                  <c:v>T-8</c:v>
                </c:pt>
                <c:pt idx="5">
                  <c:v>T-7</c:v>
                </c:pt>
                <c:pt idx="6">
                  <c:v>T-6</c:v>
                </c:pt>
                <c:pt idx="7">
                  <c:v>T-5</c:v>
                </c:pt>
                <c:pt idx="8">
                  <c:v>T-4</c:v>
                </c:pt>
                <c:pt idx="9">
                  <c:v>T-3</c:v>
                </c:pt>
                <c:pt idx="10">
                  <c:v>T-2</c:v>
                </c:pt>
                <c:pt idx="11">
                  <c:v>T-1</c:v>
                </c:pt>
              </c:strCache>
            </c:strRef>
          </c:xVal>
          <c:yVal>
            <c:numRef>
              <c:f>'P1_Entrepôt 2'!$O$5:$Z$5</c:f>
              <c:numCache>
                <c:formatCode>0</c:formatCode>
                <c:ptCount val="12"/>
                <c:pt idx="0">
                  <c:v>435</c:v>
                </c:pt>
                <c:pt idx="1">
                  <c:v>473</c:v>
                </c:pt>
                <c:pt idx="2">
                  <c:v>554</c:v>
                </c:pt>
                <c:pt idx="3">
                  <c:v>754</c:v>
                </c:pt>
                <c:pt idx="4">
                  <c:v>879</c:v>
                </c:pt>
                <c:pt idx="5">
                  <c:v>1049</c:v>
                </c:pt>
                <c:pt idx="6">
                  <c:v>951</c:v>
                </c:pt>
                <c:pt idx="7">
                  <c:v>942</c:v>
                </c:pt>
                <c:pt idx="8">
                  <c:v>931</c:v>
                </c:pt>
                <c:pt idx="9">
                  <c:v>839</c:v>
                </c:pt>
                <c:pt idx="10">
                  <c:v>765</c:v>
                </c:pt>
                <c:pt idx="11">
                  <c:v>696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4219392"/>
        <c:axId val="194219968"/>
      </c:scatterChart>
      <c:valAx>
        <c:axId val="194219392"/>
        <c:scaling>
          <c:orientation val="minMax"/>
        </c:scaling>
        <c:delete val="0"/>
        <c:axPos val="b"/>
        <c:majorTickMark val="out"/>
        <c:minorTickMark val="none"/>
        <c:tickLblPos val="nextTo"/>
        <c:crossAx val="194219968"/>
        <c:crosses val="autoZero"/>
        <c:crossBetween val="midCat"/>
      </c:valAx>
      <c:valAx>
        <c:axId val="194219968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194219392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v>Demande P1E2</c:v>
          </c:tx>
          <c:marker>
            <c:symbol val="none"/>
          </c:marker>
          <c:trendline>
            <c:trendlineType val="linear"/>
            <c:dispRSqr val="1"/>
            <c:dispEq val="1"/>
            <c:trendlineLbl>
              <c:layout>
                <c:manualLayout>
                  <c:x val="0.45153937007874018"/>
                  <c:y val="-9.5814741907261594E-2"/>
                </c:manualLayout>
              </c:layout>
              <c:numFmt formatCode="General" sourceLinked="0"/>
            </c:trendlineLbl>
          </c:trendline>
          <c:xVal>
            <c:strRef>
              <c:f>'P1_Entrepôt 2'!$C$4:$Z$4</c:f>
              <c:strCache>
                <c:ptCount val="24"/>
                <c:pt idx="0">
                  <c:v>T-24</c:v>
                </c:pt>
                <c:pt idx="1">
                  <c:v>T-23</c:v>
                </c:pt>
                <c:pt idx="2">
                  <c:v>T-22</c:v>
                </c:pt>
                <c:pt idx="3">
                  <c:v>T-21</c:v>
                </c:pt>
                <c:pt idx="4">
                  <c:v>T-20</c:v>
                </c:pt>
                <c:pt idx="5">
                  <c:v>T-19</c:v>
                </c:pt>
                <c:pt idx="6">
                  <c:v>T-18</c:v>
                </c:pt>
                <c:pt idx="7">
                  <c:v>T-17</c:v>
                </c:pt>
                <c:pt idx="8">
                  <c:v>T-16</c:v>
                </c:pt>
                <c:pt idx="9">
                  <c:v>T-15</c:v>
                </c:pt>
                <c:pt idx="10">
                  <c:v>T-14</c:v>
                </c:pt>
                <c:pt idx="11">
                  <c:v>T-13</c:v>
                </c:pt>
                <c:pt idx="12">
                  <c:v>T-12</c:v>
                </c:pt>
                <c:pt idx="13">
                  <c:v>T-11</c:v>
                </c:pt>
                <c:pt idx="14">
                  <c:v>T-10</c:v>
                </c:pt>
                <c:pt idx="15">
                  <c:v>T-9</c:v>
                </c:pt>
                <c:pt idx="16">
                  <c:v>T-8</c:v>
                </c:pt>
                <c:pt idx="17">
                  <c:v>T-7</c:v>
                </c:pt>
                <c:pt idx="18">
                  <c:v>T-6</c:v>
                </c:pt>
                <c:pt idx="19">
                  <c:v>T-5</c:v>
                </c:pt>
                <c:pt idx="20">
                  <c:v>T-4</c:v>
                </c:pt>
                <c:pt idx="21">
                  <c:v>T-3</c:v>
                </c:pt>
                <c:pt idx="22">
                  <c:v>T-2</c:v>
                </c:pt>
                <c:pt idx="23">
                  <c:v>T-1</c:v>
                </c:pt>
              </c:strCache>
            </c:strRef>
          </c:xVal>
          <c:yVal>
            <c:numRef>
              <c:f>'P1_Entrepôt 2'!$C$5:$Z$5</c:f>
              <c:numCache>
                <c:formatCode>0</c:formatCode>
                <c:ptCount val="24"/>
                <c:pt idx="0">
                  <c:v>190</c:v>
                </c:pt>
                <c:pt idx="1">
                  <c:v>243</c:v>
                </c:pt>
                <c:pt idx="2">
                  <c:v>346</c:v>
                </c:pt>
                <c:pt idx="3">
                  <c:v>411</c:v>
                </c:pt>
                <c:pt idx="4">
                  <c:v>518</c:v>
                </c:pt>
                <c:pt idx="5">
                  <c:v>574</c:v>
                </c:pt>
                <c:pt idx="6">
                  <c:v>572</c:v>
                </c:pt>
                <c:pt idx="7">
                  <c:v>565</c:v>
                </c:pt>
                <c:pt idx="8">
                  <c:v>596</c:v>
                </c:pt>
                <c:pt idx="9">
                  <c:v>588</c:v>
                </c:pt>
                <c:pt idx="10">
                  <c:v>496</c:v>
                </c:pt>
                <c:pt idx="11">
                  <c:v>477</c:v>
                </c:pt>
                <c:pt idx="12">
                  <c:v>435</c:v>
                </c:pt>
                <c:pt idx="13">
                  <c:v>473</c:v>
                </c:pt>
                <c:pt idx="14">
                  <c:v>554</c:v>
                </c:pt>
                <c:pt idx="15">
                  <c:v>754</c:v>
                </c:pt>
                <c:pt idx="16">
                  <c:v>879</c:v>
                </c:pt>
                <c:pt idx="17">
                  <c:v>1049</c:v>
                </c:pt>
                <c:pt idx="18">
                  <c:v>951</c:v>
                </c:pt>
                <c:pt idx="19">
                  <c:v>942</c:v>
                </c:pt>
                <c:pt idx="20">
                  <c:v>931</c:v>
                </c:pt>
                <c:pt idx="21">
                  <c:v>839</c:v>
                </c:pt>
                <c:pt idx="22">
                  <c:v>765</c:v>
                </c:pt>
                <c:pt idx="23">
                  <c:v>696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4222272"/>
        <c:axId val="194222848"/>
      </c:scatterChart>
      <c:valAx>
        <c:axId val="194222272"/>
        <c:scaling>
          <c:orientation val="minMax"/>
        </c:scaling>
        <c:delete val="0"/>
        <c:axPos val="b"/>
        <c:majorTickMark val="out"/>
        <c:minorTickMark val="none"/>
        <c:tickLblPos val="nextTo"/>
        <c:crossAx val="194222848"/>
        <c:crosses val="autoZero"/>
        <c:crossBetween val="midCat"/>
      </c:valAx>
      <c:valAx>
        <c:axId val="194222848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194222272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v>Courbe Moyenne Mobile P1E2</c:v>
          </c:tx>
          <c:marker>
            <c:symbol val="none"/>
          </c:marker>
          <c:trendline>
            <c:trendlineType val="linear"/>
            <c:dispRSqr val="1"/>
            <c:dispEq val="1"/>
            <c:trendlineLbl>
              <c:layout>
                <c:manualLayout>
                  <c:x val="0.3649897141235724"/>
                  <c:y val="-1.8302856175899822E-2"/>
                </c:manualLayout>
              </c:layout>
              <c:numFmt formatCode="General" sourceLinked="0"/>
            </c:trendlineLbl>
          </c:trendline>
          <c:xVal>
            <c:strRef>
              <c:f>'P1_Entrepôt 2'!$I$4:$T$4</c:f>
              <c:strCache>
                <c:ptCount val="12"/>
                <c:pt idx="0">
                  <c:v>T-18</c:v>
                </c:pt>
                <c:pt idx="1">
                  <c:v>T-17</c:v>
                </c:pt>
                <c:pt idx="2">
                  <c:v>T-16</c:v>
                </c:pt>
                <c:pt idx="3">
                  <c:v>T-15</c:v>
                </c:pt>
                <c:pt idx="4">
                  <c:v>T-14</c:v>
                </c:pt>
                <c:pt idx="5">
                  <c:v>T-13</c:v>
                </c:pt>
                <c:pt idx="6">
                  <c:v>T-12</c:v>
                </c:pt>
                <c:pt idx="7">
                  <c:v>T-11</c:v>
                </c:pt>
                <c:pt idx="8">
                  <c:v>T-10</c:v>
                </c:pt>
                <c:pt idx="9">
                  <c:v>T-9</c:v>
                </c:pt>
                <c:pt idx="10">
                  <c:v>T-8</c:v>
                </c:pt>
                <c:pt idx="11">
                  <c:v>T-7</c:v>
                </c:pt>
              </c:strCache>
            </c:strRef>
          </c:xVal>
          <c:yVal>
            <c:numRef>
              <c:f>'P1_Entrepôt 2'!$I$6:$T$6</c:f>
              <c:numCache>
                <c:formatCode>0.00</c:formatCode>
                <c:ptCount val="12"/>
                <c:pt idx="0">
                  <c:v>474.875</c:v>
                </c:pt>
                <c:pt idx="1">
                  <c:v>494.66666666666663</c:v>
                </c:pt>
                <c:pt idx="2">
                  <c:v>512.91666666666663</c:v>
                </c:pt>
                <c:pt idx="3">
                  <c:v>535.875</c:v>
                </c:pt>
                <c:pt idx="4">
                  <c:v>565.20833333333326</c:v>
                </c:pt>
                <c:pt idx="5">
                  <c:v>600.04166666666663</c:v>
                </c:pt>
                <c:pt idx="6">
                  <c:v>635.625</c:v>
                </c:pt>
                <c:pt idx="7">
                  <c:v>667.125</c:v>
                </c:pt>
                <c:pt idx="8">
                  <c:v>696.79166666666663</c:v>
                </c:pt>
                <c:pt idx="9">
                  <c:v>721.20833333333326</c:v>
                </c:pt>
                <c:pt idx="10">
                  <c:v>742.875</c:v>
                </c:pt>
                <c:pt idx="11">
                  <c:v>763.20833333333326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4945024"/>
        <c:axId val="194945600"/>
      </c:scatterChart>
      <c:valAx>
        <c:axId val="194945024"/>
        <c:scaling>
          <c:orientation val="minMax"/>
        </c:scaling>
        <c:delete val="0"/>
        <c:axPos val="b"/>
        <c:majorTickMark val="out"/>
        <c:minorTickMark val="none"/>
        <c:tickLblPos val="nextTo"/>
        <c:crossAx val="194945600"/>
        <c:crosses val="autoZero"/>
        <c:crossBetween val="midCat"/>
      </c:valAx>
      <c:valAx>
        <c:axId val="194945600"/>
        <c:scaling>
          <c:orientation val="minMax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194945024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v>Demande P1E3 - Saison 1</c:v>
          </c:tx>
          <c:marker>
            <c:symbol val="none"/>
          </c:marker>
          <c:xVal>
            <c:strRef>
              <c:f>'P1_Entrepôt 3'!$C$4:$N$4</c:f>
              <c:strCache>
                <c:ptCount val="12"/>
                <c:pt idx="0">
                  <c:v>T-24</c:v>
                </c:pt>
                <c:pt idx="1">
                  <c:v>T-23</c:v>
                </c:pt>
                <c:pt idx="2">
                  <c:v>T-22</c:v>
                </c:pt>
                <c:pt idx="3">
                  <c:v>T-21</c:v>
                </c:pt>
                <c:pt idx="4">
                  <c:v>T-20</c:v>
                </c:pt>
                <c:pt idx="5">
                  <c:v>T-19</c:v>
                </c:pt>
                <c:pt idx="6">
                  <c:v>T-18</c:v>
                </c:pt>
                <c:pt idx="7">
                  <c:v>T-17</c:v>
                </c:pt>
                <c:pt idx="8">
                  <c:v>T-16</c:v>
                </c:pt>
                <c:pt idx="9">
                  <c:v>T-15</c:v>
                </c:pt>
                <c:pt idx="10">
                  <c:v>T-14</c:v>
                </c:pt>
                <c:pt idx="11">
                  <c:v>T-13</c:v>
                </c:pt>
              </c:strCache>
            </c:strRef>
          </c:xVal>
          <c:yVal>
            <c:numRef>
              <c:f>'P1_Entrepôt 3'!$C$5:$N$5</c:f>
              <c:numCache>
                <c:formatCode>0</c:formatCode>
                <c:ptCount val="12"/>
                <c:pt idx="0">
                  <c:v>192</c:v>
                </c:pt>
                <c:pt idx="1">
                  <c:v>233</c:v>
                </c:pt>
                <c:pt idx="2">
                  <c:v>316</c:v>
                </c:pt>
                <c:pt idx="3">
                  <c:v>360</c:v>
                </c:pt>
                <c:pt idx="4">
                  <c:v>437</c:v>
                </c:pt>
                <c:pt idx="5">
                  <c:v>468</c:v>
                </c:pt>
                <c:pt idx="6">
                  <c:v>451</c:v>
                </c:pt>
                <c:pt idx="7">
                  <c:v>433</c:v>
                </c:pt>
                <c:pt idx="8">
                  <c:v>444</c:v>
                </c:pt>
                <c:pt idx="9">
                  <c:v>428</c:v>
                </c:pt>
                <c:pt idx="10">
                  <c:v>352</c:v>
                </c:pt>
                <c:pt idx="11">
                  <c:v>331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4947328"/>
        <c:axId val="194947904"/>
      </c:scatterChart>
      <c:valAx>
        <c:axId val="194947328"/>
        <c:scaling>
          <c:orientation val="minMax"/>
        </c:scaling>
        <c:delete val="0"/>
        <c:axPos val="b"/>
        <c:majorTickMark val="out"/>
        <c:minorTickMark val="none"/>
        <c:tickLblPos val="nextTo"/>
        <c:crossAx val="194947904"/>
        <c:crosses val="autoZero"/>
        <c:crossBetween val="midCat"/>
      </c:valAx>
      <c:valAx>
        <c:axId val="194947904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194947328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v>Demande P1E3 - Saison 2</c:v>
          </c:tx>
          <c:marker>
            <c:symbol val="none"/>
          </c:marker>
          <c:xVal>
            <c:strRef>
              <c:f>'P1_Entrepôt 3'!$O$4:$Z$4</c:f>
              <c:strCache>
                <c:ptCount val="12"/>
                <c:pt idx="0">
                  <c:v>T-12</c:v>
                </c:pt>
                <c:pt idx="1">
                  <c:v>T-11</c:v>
                </c:pt>
                <c:pt idx="2">
                  <c:v>T-10</c:v>
                </c:pt>
                <c:pt idx="3">
                  <c:v>T-9</c:v>
                </c:pt>
                <c:pt idx="4">
                  <c:v>T-8</c:v>
                </c:pt>
                <c:pt idx="5">
                  <c:v>T-7</c:v>
                </c:pt>
                <c:pt idx="6">
                  <c:v>T-6</c:v>
                </c:pt>
                <c:pt idx="7">
                  <c:v>T-5</c:v>
                </c:pt>
                <c:pt idx="8">
                  <c:v>T-4</c:v>
                </c:pt>
                <c:pt idx="9">
                  <c:v>T-3</c:v>
                </c:pt>
                <c:pt idx="10">
                  <c:v>T-2</c:v>
                </c:pt>
                <c:pt idx="11">
                  <c:v>T-1</c:v>
                </c:pt>
              </c:strCache>
            </c:strRef>
          </c:xVal>
          <c:yVal>
            <c:numRef>
              <c:f>'P1_Entrepôt 3'!$O$5:$Z$5</c:f>
              <c:numCache>
                <c:formatCode>0</c:formatCode>
                <c:ptCount val="12"/>
                <c:pt idx="0">
                  <c:v>296</c:v>
                </c:pt>
                <c:pt idx="1">
                  <c:v>316</c:v>
                </c:pt>
                <c:pt idx="2">
                  <c:v>364</c:v>
                </c:pt>
                <c:pt idx="3">
                  <c:v>487</c:v>
                </c:pt>
                <c:pt idx="4">
                  <c:v>559</c:v>
                </c:pt>
                <c:pt idx="5">
                  <c:v>657</c:v>
                </c:pt>
                <c:pt idx="6">
                  <c:v>588</c:v>
                </c:pt>
                <c:pt idx="7">
                  <c:v>575</c:v>
                </c:pt>
                <c:pt idx="8">
                  <c:v>561</c:v>
                </c:pt>
                <c:pt idx="9">
                  <c:v>499</c:v>
                </c:pt>
                <c:pt idx="10">
                  <c:v>450</c:v>
                </c:pt>
                <c:pt idx="11">
                  <c:v>405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4949632"/>
        <c:axId val="194950208"/>
      </c:scatterChart>
      <c:valAx>
        <c:axId val="194949632"/>
        <c:scaling>
          <c:orientation val="minMax"/>
        </c:scaling>
        <c:delete val="0"/>
        <c:axPos val="b"/>
        <c:majorTickMark val="out"/>
        <c:minorTickMark val="none"/>
        <c:tickLblPos val="nextTo"/>
        <c:crossAx val="194950208"/>
        <c:crosses val="autoZero"/>
        <c:crossBetween val="midCat"/>
      </c:valAx>
      <c:valAx>
        <c:axId val="194950208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194949632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v>Demande P1E3</c:v>
          </c:tx>
          <c:marker>
            <c:symbol val="none"/>
          </c:marker>
          <c:trendline>
            <c:trendlineType val="linear"/>
            <c:dispRSqr val="1"/>
            <c:dispEq val="1"/>
            <c:trendlineLbl>
              <c:layout>
                <c:manualLayout>
                  <c:x val="0.42082808398950133"/>
                  <c:y val="-0.13032735491396907"/>
                </c:manualLayout>
              </c:layout>
              <c:numFmt formatCode="General" sourceLinked="0"/>
            </c:trendlineLbl>
          </c:trendline>
          <c:xVal>
            <c:strRef>
              <c:f>'P1_Entrepôt 3'!$C$4:$Z$4</c:f>
              <c:strCache>
                <c:ptCount val="24"/>
                <c:pt idx="0">
                  <c:v>T-24</c:v>
                </c:pt>
                <c:pt idx="1">
                  <c:v>T-23</c:v>
                </c:pt>
                <c:pt idx="2">
                  <c:v>T-22</c:v>
                </c:pt>
                <c:pt idx="3">
                  <c:v>T-21</c:v>
                </c:pt>
                <c:pt idx="4">
                  <c:v>T-20</c:v>
                </c:pt>
                <c:pt idx="5">
                  <c:v>T-19</c:v>
                </c:pt>
                <c:pt idx="6">
                  <c:v>T-18</c:v>
                </c:pt>
                <c:pt idx="7">
                  <c:v>T-17</c:v>
                </c:pt>
                <c:pt idx="8">
                  <c:v>T-16</c:v>
                </c:pt>
                <c:pt idx="9">
                  <c:v>T-15</c:v>
                </c:pt>
                <c:pt idx="10">
                  <c:v>T-14</c:v>
                </c:pt>
                <c:pt idx="11">
                  <c:v>T-13</c:v>
                </c:pt>
                <c:pt idx="12">
                  <c:v>T-12</c:v>
                </c:pt>
                <c:pt idx="13">
                  <c:v>T-11</c:v>
                </c:pt>
                <c:pt idx="14">
                  <c:v>T-10</c:v>
                </c:pt>
                <c:pt idx="15">
                  <c:v>T-9</c:v>
                </c:pt>
                <c:pt idx="16">
                  <c:v>T-8</c:v>
                </c:pt>
                <c:pt idx="17">
                  <c:v>T-7</c:v>
                </c:pt>
                <c:pt idx="18">
                  <c:v>T-6</c:v>
                </c:pt>
                <c:pt idx="19">
                  <c:v>T-5</c:v>
                </c:pt>
                <c:pt idx="20">
                  <c:v>T-4</c:v>
                </c:pt>
                <c:pt idx="21">
                  <c:v>T-3</c:v>
                </c:pt>
                <c:pt idx="22">
                  <c:v>T-2</c:v>
                </c:pt>
                <c:pt idx="23">
                  <c:v>T-1</c:v>
                </c:pt>
              </c:strCache>
            </c:strRef>
          </c:xVal>
          <c:yVal>
            <c:numRef>
              <c:f>'P1_Entrepôt 3'!$C$5:$Z$5</c:f>
              <c:numCache>
                <c:formatCode>0</c:formatCode>
                <c:ptCount val="24"/>
                <c:pt idx="0">
                  <c:v>192</c:v>
                </c:pt>
                <c:pt idx="1">
                  <c:v>233</c:v>
                </c:pt>
                <c:pt idx="2">
                  <c:v>316</c:v>
                </c:pt>
                <c:pt idx="3">
                  <c:v>360</c:v>
                </c:pt>
                <c:pt idx="4">
                  <c:v>437</c:v>
                </c:pt>
                <c:pt idx="5">
                  <c:v>468</c:v>
                </c:pt>
                <c:pt idx="6">
                  <c:v>451</c:v>
                </c:pt>
                <c:pt idx="7">
                  <c:v>433</c:v>
                </c:pt>
                <c:pt idx="8">
                  <c:v>444</c:v>
                </c:pt>
                <c:pt idx="9">
                  <c:v>428</c:v>
                </c:pt>
                <c:pt idx="10">
                  <c:v>352</c:v>
                </c:pt>
                <c:pt idx="11">
                  <c:v>331</c:v>
                </c:pt>
                <c:pt idx="12">
                  <c:v>296</c:v>
                </c:pt>
                <c:pt idx="13">
                  <c:v>316</c:v>
                </c:pt>
                <c:pt idx="14">
                  <c:v>364</c:v>
                </c:pt>
                <c:pt idx="15">
                  <c:v>487</c:v>
                </c:pt>
                <c:pt idx="16">
                  <c:v>559</c:v>
                </c:pt>
                <c:pt idx="17">
                  <c:v>657</c:v>
                </c:pt>
                <c:pt idx="18">
                  <c:v>588</c:v>
                </c:pt>
                <c:pt idx="19">
                  <c:v>575</c:v>
                </c:pt>
                <c:pt idx="20">
                  <c:v>561</c:v>
                </c:pt>
                <c:pt idx="21">
                  <c:v>499</c:v>
                </c:pt>
                <c:pt idx="22">
                  <c:v>450</c:v>
                </c:pt>
                <c:pt idx="23">
                  <c:v>405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4952512"/>
        <c:axId val="195158016"/>
      </c:scatterChart>
      <c:valAx>
        <c:axId val="194952512"/>
        <c:scaling>
          <c:orientation val="minMax"/>
        </c:scaling>
        <c:delete val="0"/>
        <c:axPos val="b"/>
        <c:majorTickMark val="out"/>
        <c:minorTickMark val="none"/>
        <c:tickLblPos val="nextTo"/>
        <c:crossAx val="195158016"/>
        <c:crosses val="autoZero"/>
        <c:crossBetween val="midCat"/>
      </c:valAx>
      <c:valAx>
        <c:axId val="195158016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194952512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v>Courbe Moyenne Mobile P1E3</c:v>
          </c:tx>
          <c:marker>
            <c:symbol val="none"/>
          </c:marker>
          <c:trendline>
            <c:trendlineType val="linear"/>
            <c:dispRSqr val="1"/>
            <c:dispEq val="1"/>
            <c:trendlineLbl>
              <c:layout>
                <c:manualLayout>
                  <c:x val="0.42775896762904636"/>
                  <c:y val="-6.9953339165937586E-2"/>
                </c:manualLayout>
              </c:layout>
              <c:numFmt formatCode="General" sourceLinked="0"/>
            </c:trendlineLbl>
          </c:trendline>
          <c:xVal>
            <c:strRef>
              <c:f>'P1_Entrepôt 3'!$I$4:$T$4</c:f>
              <c:strCache>
                <c:ptCount val="12"/>
                <c:pt idx="0">
                  <c:v>T-18</c:v>
                </c:pt>
                <c:pt idx="1">
                  <c:v>T-17</c:v>
                </c:pt>
                <c:pt idx="2">
                  <c:v>T-16</c:v>
                </c:pt>
                <c:pt idx="3">
                  <c:v>T-15</c:v>
                </c:pt>
                <c:pt idx="4">
                  <c:v>T-14</c:v>
                </c:pt>
                <c:pt idx="5">
                  <c:v>T-13</c:v>
                </c:pt>
                <c:pt idx="6">
                  <c:v>T-12</c:v>
                </c:pt>
                <c:pt idx="7">
                  <c:v>T-11</c:v>
                </c:pt>
                <c:pt idx="8">
                  <c:v>T-10</c:v>
                </c:pt>
                <c:pt idx="9">
                  <c:v>T-9</c:v>
                </c:pt>
                <c:pt idx="10">
                  <c:v>T-8</c:v>
                </c:pt>
                <c:pt idx="11">
                  <c:v>T-7</c:v>
                </c:pt>
              </c:strCache>
            </c:strRef>
          </c:xVal>
          <c:yVal>
            <c:numRef>
              <c:f>'P1_Entrepôt 3'!$I$6:$T$6</c:f>
              <c:numCache>
                <c:formatCode>0.00</c:formatCode>
                <c:ptCount val="12"/>
                <c:pt idx="0">
                  <c:v>374.75</c:v>
                </c:pt>
                <c:pt idx="1">
                  <c:v>382.54166666666663</c:v>
                </c:pt>
                <c:pt idx="2">
                  <c:v>388</c:v>
                </c:pt>
                <c:pt idx="3">
                  <c:v>395.29166666666663</c:v>
                </c:pt>
                <c:pt idx="4">
                  <c:v>405.66666666666663</c:v>
                </c:pt>
                <c:pt idx="5">
                  <c:v>418.625</c:v>
                </c:pt>
                <c:pt idx="6">
                  <c:v>432.20833333333331</c:v>
                </c:pt>
                <c:pt idx="7">
                  <c:v>443.83333333333331</c:v>
                </c:pt>
                <c:pt idx="8">
                  <c:v>454.625</c:v>
                </c:pt>
                <c:pt idx="9">
                  <c:v>462.45833333333331</c:v>
                </c:pt>
                <c:pt idx="10">
                  <c:v>469.5</c:v>
                </c:pt>
                <c:pt idx="11">
                  <c:v>476.66666666666663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5159168"/>
        <c:axId val="195159744"/>
      </c:scatterChart>
      <c:valAx>
        <c:axId val="195159168"/>
        <c:scaling>
          <c:orientation val="minMax"/>
        </c:scaling>
        <c:delete val="0"/>
        <c:axPos val="b"/>
        <c:majorTickMark val="out"/>
        <c:minorTickMark val="none"/>
        <c:tickLblPos val="nextTo"/>
        <c:crossAx val="195159744"/>
        <c:crosses val="autoZero"/>
        <c:crossBetween val="midCat"/>
      </c:valAx>
      <c:valAx>
        <c:axId val="195159744"/>
        <c:scaling>
          <c:orientation val="minMax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195159168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v>Demande P1E4 - Saison 1</c:v>
          </c:tx>
          <c:marker>
            <c:symbol val="none"/>
          </c:marker>
          <c:xVal>
            <c:strRef>
              <c:f>'P1_Entrepôt 4'!$C$4:$N$4</c:f>
              <c:strCache>
                <c:ptCount val="12"/>
                <c:pt idx="0">
                  <c:v>T-24</c:v>
                </c:pt>
                <c:pt idx="1">
                  <c:v>T-23</c:v>
                </c:pt>
                <c:pt idx="2">
                  <c:v>T-22</c:v>
                </c:pt>
                <c:pt idx="3">
                  <c:v>T-21</c:v>
                </c:pt>
                <c:pt idx="4">
                  <c:v>T-20</c:v>
                </c:pt>
                <c:pt idx="5">
                  <c:v>T-19</c:v>
                </c:pt>
                <c:pt idx="6">
                  <c:v>T-18</c:v>
                </c:pt>
                <c:pt idx="7">
                  <c:v>T-17</c:v>
                </c:pt>
                <c:pt idx="8">
                  <c:v>T-16</c:v>
                </c:pt>
                <c:pt idx="9">
                  <c:v>T-15</c:v>
                </c:pt>
                <c:pt idx="10">
                  <c:v>T-14</c:v>
                </c:pt>
                <c:pt idx="11">
                  <c:v>T-13</c:v>
                </c:pt>
              </c:strCache>
            </c:strRef>
          </c:xVal>
          <c:yVal>
            <c:numRef>
              <c:f>'P1_Entrepôt 4'!$C$5:$N$5</c:f>
              <c:numCache>
                <c:formatCode>0</c:formatCode>
                <c:ptCount val="12"/>
                <c:pt idx="0">
                  <c:v>125</c:v>
                </c:pt>
                <c:pt idx="1">
                  <c:v>156</c:v>
                </c:pt>
                <c:pt idx="2">
                  <c:v>216</c:v>
                </c:pt>
                <c:pt idx="3">
                  <c:v>252</c:v>
                </c:pt>
                <c:pt idx="4">
                  <c:v>312</c:v>
                </c:pt>
                <c:pt idx="5">
                  <c:v>340</c:v>
                </c:pt>
                <c:pt idx="6">
                  <c:v>334</c:v>
                </c:pt>
                <c:pt idx="7">
                  <c:v>326</c:v>
                </c:pt>
                <c:pt idx="8">
                  <c:v>339</c:v>
                </c:pt>
                <c:pt idx="9">
                  <c:v>331</c:v>
                </c:pt>
                <c:pt idx="10">
                  <c:v>276</c:v>
                </c:pt>
                <c:pt idx="11">
                  <c:v>263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5161472"/>
        <c:axId val="195162048"/>
      </c:scatterChart>
      <c:valAx>
        <c:axId val="195161472"/>
        <c:scaling>
          <c:orientation val="minMax"/>
        </c:scaling>
        <c:delete val="0"/>
        <c:axPos val="b"/>
        <c:majorTickMark val="out"/>
        <c:minorTickMark val="none"/>
        <c:tickLblPos val="nextTo"/>
        <c:crossAx val="195162048"/>
        <c:crosses val="autoZero"/>
        <c:crossBetween val="midCat"/>
      </c:valAx>
      <c:valAx>
        <c:axId val="195162048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195161472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v>Demande P1E4 - Saison 2</c:v>
          </c:tx>
          <c:marker>
            <c:symbol val="none"/>
          </c:marker>
          <c:xVal>
            <c:strRef>
              <c:f>'P1_Entrepôt 4'!$O$4:$Z$4</c:f>
              <c:strCache>
                <c:ptCount val="12"/>
                <c:pt idx="0">
                  <c:v>T-12</c:v>
                </c:pt>
                <c:pt idx="1">
                  <c:v>T-11</c:v>
                </c:pt>
                <c:pt idx="2">
                  <c:v>T-10</c:v>
                </c:pt>
                <c:pt idx="3">
                  <c:v>T-9</c:v>
                </c:pt>
                <c:pt idx="4">
                  <c:v>T-8</c:v>
                </c:pt>
                <c:pt idx="5">
                  <c:v>T-7</c:v>
                </c:pt>
                <c:pt idx="6">
                  <c:v>T-6</c:v>
                </c:pt>
                <c:pt idx="7">
                  <c:v>T-5</c:v>
                </c:pt>
                <c:pt idx="8">
                  <c:v>T-4</c:v>
                </c:pt>
                <c:pt idx="9">
                  <c:v>T-3</c:v>
                </c:pt>
                <c:pt idx="10">
                  <c:v>T-2</c:v>
                </c:pt>
                <c:pt idx="11">
                  <c:v>T-1</c:v>
                </c:pt>
              </c:strCache>
            </c:strRef>
          </c:xVal>
          <c:yVal>
            <c:numRef>
              <c:f>'P1_Entrepôt 4'!$O$5:$Z$5</c:f>
              <c:numCache>
                <c:formatCode>0</c:formatCode>
                <c:ptCount val="12"/>
                <c:pt idx="0">
                  <c:v>238</c:v>
                </c:pt>
                <c:pt idx="1">
                  <c:v>257</c:v>
                </c:pt>
                <c:pt idx="2">
                  <c:v>299</c:v>
                </c:pt>
                <c:pt idx="3">
                  <c:v>404</c:v>
                </c:pt>
                <c:pt idx="4">
                  <c:v>468</c:v>
                </c:pt>
                <c:pt idx="5">
                  <c:v>556</c:v>
                </c:pt>
                <c:pt idx="6">
                  <c:v>501</c:v>
                </c:pt>
                <c:pt idx="7">
                  <c:v>494</c:v>
                </c:pt>
                <c:pt idx="8">
                  <c:v>486</c:v>
                </c:pt>
                <c:pt idx="9">
                  <c:v>435</c:v>
                </c:pt>
                <c:pt idx="10">
                  <c:v>396</c:v>
                </c:pt>
                <c:pt idx="11">
                  <c:v>358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5163776"/>
        <c:axId val="195164352"/>
      </c:scatterChart>
      <c:valAx>
        <c:axId val="195163776"/>
        <c:scaling>
          <c:orientation val="minMax"/>
        </c:scaling>
        <c:delete val="0"/>
        <c:axPos val="b"/>
        <c:majorTickMark val="out"/>
        <c:minorTickMark val="none"/>
        <c:tickLblPos val="nextTo"/>
        <c:crossAx val="195164352"/>
        <c:crosses val="autoZero"/>
        <c:crossBetween val="midCat"/>
      </c:valAx>
      <c:valAx>
        <c:axId val="195164352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195163776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v>Demande P1E4 </c:v>
          </c:tx>
          <c:marker>
            <c:symbol val="none"/>
          </c:marker>
          <c:trendline>
            <c:trendlineType val="linear"/>
            <c:dispRSqr val="1"/>
            <c:dispEq val="1"/>
            <c:trendlineLbl>
              <c:layout>
                <c:manualLayout>
                  <c:x val="0.30196650037065975"/>
                  <c:y val="-6.5292639702088526E-2"/>
                </c:manualLayout>
              </c:layout>
              <c:numFmt formatCode="General" sourceLinked="0"/>
            </c:trendlineLbl>
          </c:trendline>
          <c:xVal>
            <c:strRef>
              <c:f>'P1_Entrepôt 4'!$C$4:$Z$4</c:f>
              <c:strCache>
                <c:ptCount val="24"/>
                <c:pt idx="0">
                  <c:v>T-24</c:v>
                </c:pt>
                <c:pt idx="1">
                  <c:v>T-23</c:v>
                </c:pt>
                <c:pt idx="2">
                  <c:v>T-22</c:v>
                </c:pt>
                <c:pt idx="3">
                  <c:v>T-21</c:v>
                </c:pt>
                <c:pt idx="4">
                  <c:v>T-20</c:v>
                </c:pt>
                <c:pt idx="5">
                  <c:v>T-19</c:v>
                </c:pt>
                <c:pt idx="6">
                  <c:v>T-18</c:v>
                </c:pt>
                <c:pt idx="7">
                  <c:v>T-17</c:v>
                </c:pt>
                <c:pt idx="8">
                  <c:v>T-16</c:v>
                </c:pt>
                <c:pt idx="9">
                  <c:v>T-15</c:v>
                </c:pt>
                <c:pt idx="10">
                  <c:v>T-14</c:v>
                </c:pt>
                <c:pt idx="11">
                  <c:v>T-13</c:v>
                </c:pt>
                <c:pt idx="12">
                  <c:v>T-12</c:v>
                </c:pt>
                <c:pt idx="13">
                  <c:v>T-11</c:v>
                </c:pt>
                <c:pt idx="14">
                  <c:v>T-10</c:v>
                </c:pt>
                <c:pt idx="15">
                  <c:v>T-9</c:v>
                </c:pt>
                <c:pt idx="16">
                  <c:v>T-8</c:v>
                </c:pt>
                <c:pt idx="17">
                  <c:v>T-7</c:v>
                </c:pt>
                <c:pt idx="18">
                  <c:v>T-6</c:v>
                </c:pt>
                <c:pt idx="19">
                  <c:v>T-5</c:v>
                </c:pt>
                <c:pt idx="20">
                  <c:v>T-4</c:v>
                </c:pt>
                <c:pt idx="21">
                  <c:v>T-3</c:v>
                </c:pt>
                <c:pt idx="22">
                  <c:v>T-2</c:v>
                </c:pt>
                <c:pt idx="23">
                  <c:v>T-1</c:v>
                </c:pt>
              </c:strCache>
            </c:strRef>
          </c:xVal>
          <c:yVal>
            <c:numRef>
              <c:f>'P1_Entrepôt 4'!$C$5:$Z$5</c:f>
              <c:numCache>
                <c:formatCode>0</c:formatCode>
                <c:ptCount val="24"/>
                <c:pt idx="0">
                  <c:v>125</c:v>
                </c:pt>
                <c:pt idx="1">
                  <c:v>156</c:v>
                </c:pt>
                <c:pt idx="2">
                  <c:v>216</c:v>
                </c:pt>
                <c:pt idx="3">
                  <c:v>252</c:v>
                </c:pt>
                <c:pt idx="4">
                  <c:v>312</c:v>
                </c:pt>
                <c:pt idx="5">
                  <c:v>340</c:v>
                </c:pt>
                <c:pt idx="6">
                  <c:v>334</c:v>
                </c:pt>
                <c:pt idx="7">
                  <c:v>326</c:v>
                </c:pt>
                <c:pt idx="8">
                  <c:v>339</c:v>
                </c:pt>
                <c:pt idx="9">
                  <c:v>331</c:v>
                </c:pt>
                <c:pt idx="10">
                  <c:v>276</c:v>
                </c:pt>
                <c:pt idx="11">
                  <c:v>263</c:v>
                </c:pt>
                <c:pt idx="12">
                  <c:v>238</c:v>
                </c:pt>
                <c:pt idx="13">
                  <c:v>257</c:v>
                </c:pt>
                <c:pt idx="14">
                  <c:v>299</c:v>
                </c:pt>
                <c:pt idx="15">
                  <c:v>404</c:v>
                </c:pt>
                <c:pt idx="16">
                  <c:v>468</c:v>
                </c:pt>
                <c:pt idx="17">
                  <c:v>556</c:v>
                </c:pt>
                <c:pt idx="18">
                  <c:v>501</c:v>
                </c:pt>
                <c:pt idx="19">
                  <c:v>494</c:v>
                </c:pt>
                <c:pt idx="20">
                  <c:v>486</c:v>
                </c:pt>
                <c:pt idx="21">
                  <c:v>435</c:v>
                </c:pt>
                <c:pt idx="22">
                  <c:v>396</c:v>
                </c:pt>
                <c:pt idx="23">
                  <c:v>358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7198400"/>
        <c:axId val="197198976"/>
      </c:scatterChart>
      <c:valAx>
        <c:axId val="197198400"/>
        <c:scaling>
          <c:orientation val="minMax"/>
        </c:scaling>
        <c:delete val="0"/>
        <c:axPos val="b"/>
        <c:majorTickMark val="out"/>
        <c:minorTickMark val="none"/>
        <c:tickLblPos val="nextTo"/>
        <c:crossAx val="197198976"/>
        <c:crosses val="autoZero"/>
        <c:crossBetween val="midCat"/>
      </c:valAx>
      <c:valAx>
        <c:axId val="197198976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197198400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v>Courbe Moyenne Mobile P1E4</c:v>
          </c:tx>
          <c:marker>
            <c:symbol val="none"/>
          </c:marker>
          <c:trendline>
            <c:trendlineType val="linear"/>
            <c:dispRSqr val="1"/>
            <c:dispEq val="1"/>
            <c:trendlineLbl>
              <c:layout>
                <c:manualLayout>
                  <c:x val="0.43609230096237972"/>
                  <c:y val="-4.202573636628755E-2"/>
                </c:manualLayout>
              </c:layout>
              <c:numFmt formatCode="General" sourceLinked="0"/>
            </c:trendlineLbl>
          </c:trendline>
          <c:xVal>
            <c:strRef>
              <c:f>'P1_Entrepôt 4'!$I$4:$T$4</c:f>
              <c:strCache>
                <c:ptCount val="12"/>
                <c:pt idx="0">
                  <c:v>T-18</c:v>
                </c:pt>
                <c:pt idx="1">
                  <c:v>T-17</c:v>
                </c:pt>
                <c:pt idx="2">
                  <c:v>T-16</c:v>
                </c:pt>
                <c:pt idx="3">
                  <c:v>T-15</c:v>
                </c:pt>
                <c:pt idx="4">
                  <c:v>T-14</c:v>
                </c:pt>
                <c:pt idx="5">
                  <c:v>T-13</c:v>
                </c:pt>
                <c:pt idx="6">
                  <c:v>T-12</c:v>
                </c:pt>
                <c:pt idx="7">
                  <c:v>T-11</c:v>
                </c:pt>
                <c:pt idx="8">
                  <c:v>T-10</c:v>
                </c:pt>
                <c:pt idx="9">
                  <c:v>T-9</c:v>
                </c:pt>
                <c:pt idx="10">
                  <c:v>T-8</c:v>
                </c:pt>
                <c:pt idx="11">
                  <c:v>T-7</c:v>
                </c:pt>
              </c:strCache>
            </c:strRef>
          </c:xVal>
          <c:yVal>
            <c:numRef>
              <c:f>'P1_Entrepôt 4'!$I$6:$T$6</c:f>
              <c:numCache>
                <c:formatCode>0.00</c:formatCode>
                <c:ptCount val="12"/>
                <c:pt idx="0">
                  <c:v>277.20833333333331</c:v>
                </c:pt>
                <c:pt idx="1">
                  <c:v>286.125</c:v>
                </c:pt>
                <c:pt idx="2">
                  <c:v>293.79166666666663</c:v>
                </c:pt>
                <c:pt idx="3">
                  <c:v>303.58333333333331</c:v>
                </c:pt>
                <c:pt idx="4">
                  <c:v>316.41666666666663</c:v>
                </c:pt>
                <c:pt idx="5">
                  <c:v>331.91666666666663</c:v>
                </c:pt>
                <c:pt idx="6">
                  <c:v>347.875</c:v>
                </c:pt>
                <c:pt idx="7">
                  <c:v>361.83333333333331</c:v>
                </c:pt>
                <c:pt idx="8">
                  <c:v>374.95833333333331</c:v>
                </c:pt>
                <c:pt idx="9">
                  <c:v>385.41666666666663</c:v>
                </c:pt>
                <c:pt idx="10">
                  <c:v>394.75</c:v>
                </c:pt>
                <c:pt idx="11">
                  <c:v>403.70833333333331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7200128"/>
        <c:axId val="197200704"/>
      </c:scatterChart>
      <c:valAx>
        <c:axId val="197200128"/>
        <c:scaling>
          <c:orientation val="minMax"/>
        </c:scaling>
        <c:delete val="0"/>
        <c:axPos val="b"/>
        <c:majorTickMark val="out"/>
        <c:minorTickMark val="none"/>
        <c:tickLblPos val="nextTo"/>
        <c:crossAx val="197200704"/>
        <c:crosses val="autoZero"/>
        <c:crossBetween val="midCat"/>
      </c:valAx>
      <c:valAx>
        <c:axId val="197200704"/>
        <c:scaling>
          <c:orientation val="minMax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197200128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v>Demande P1E5 - Saison 1</c:v>
          </c:tx>
          <c:marker>
            <c:symbol val="none"/>
          </c:marker>
          <c:xVal>
            <c:strRef>
              <c:f>'P1_Entrepôt 5'!$C$4:$N$4</c:f>
              <c:strCache>
                <c:ptCount val="12"/>
                <c:pt idx="0">
                  <c:v>T-24</c:v>
                </c:pt>
                <c:pt idx="1">
                  <c:v>T-23</c:v>
                </c:pt>
                <c:pt idx="2">
                  <c:v>T-22</c:v>
                </c:pt>
                <c:pt idx="3">
                  <c:v>T-21</c:v>
                </c:pt>
                <c:pt idx="4">
                  <c:v>T-20</c:v>
                </c:pt>
                <c:pt idx="5">
                  <c:v>T-19</c:v>
                </c:pt>
                <c:pt idx="6">
                  <c:v>T-18</c:v>
                </c:pt>
                <c:pt idx="7">
                  <c:v>T-17</c:v>
                </c:pt>
                <c:pt idx="8">
                  <c:v>T-16</c:v>
                </c:pt>
                <c:pt idx="9">
                  <c:v>T-15</c:v>
                </c:pt>
                <c:pt idx="10">
                  <c:v>T-14</c:v>
                </c:pt>
                <c:pt idx="11">
                  <c:v>T-13</c:v>
                </c:pt>
              </c:strCache>
            </c:strRef>
          </c:xVal>
          <c:yVal>
            <c:numRef>
              <c:f>'P1_Entrepôt 5'!$C$5:$N$5</c:f>
              <c:numCache>
                <c:formatCode>0</c:formatCode>
                <c:ptCount val="12"/>
                <c:pt idx="0">
                  <c:v>99</c:v>
                </c:pt>
                <c:pt idx="1">
                  <c:v>131</c:v>
                </c:pt>
                <c:pt idx="2">
                  <c:v>192</c:v>
                </c:pt>
                <c:pt idx="3">
                  <c:v>233</c:v>
                </c:pt>
                <c:pt idx="4">
                  <c:v>300</c:v>
                </c:pt>
                <c:pt idx="5">
                  <c:v>338</c:v>
                </c:pt>
                <c:pt idx="6">
                  <c:v>341</c:v>
                </c:pt>
                <c:pt idx="7">
                  <c:v>341</c:v>
                </c:pt>
                <c:pt idx="8">
                  <c:v>364</c:v>
                </c:pt>
                <c:pt idx="9">
                  <c:v>363</c:v>
                </c:pt>
                <c:pt idx="10">
                  <c:v>309</c:v>
                </c:pt>
                <c:pt idx="11">
                  <c:v>300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7202432"/>
        <c:axId val="197203008"/>
      </c:scatterChart>
      <c:valAx>
        <c:axId val="197202432"/>
        <c:scaling>
          <c:orientation val="minMax"/>
        </c:scaling>
        <c:delete val="0"/>
        <c:axPos val="b"/>
        <c:majorTickMark val="out"/>
        <c:minorTickMark val="none"/>
        <c:tickLblPos val="nextTo"/>
        <c:crossAx val="197203008"/>
        <c:crosses val="autoZero"/>
        <c:crossBetween val="midCat"/>
      </c:valAx>
      <c:valAx>
        <c:axId val="197203008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197202432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v>Demande P1E5 - Saison 2</c:v>
          </c:tx>
          <c:marker>
            <c:symbol val="none"/>
          </c:marker>
          <c:xVal>
            <c:strRef>
              <c:f>'P1_Entrepôt 5'!$O$4:$Z$4</c:f>
              <c:strCache>
                <c:ptCount val="12"/>
                <c:pt idx="0">
                  <c:v>T-12</c:v>
                </c:pt>
                <c:pt idx="1">
                  <c:v>T-11</c:v>
                </c:pt>
                <c:pt idx="2">
                  <c:v>T-10</c:v>
                </c:pt>
                <c:pt idx="3">
                  <c:v>T-9</c:v>
                </c:pt>
                <c:pt idx="4">
                  <c:v>T-8</c:v>
                </c:pt>
                <c:pt idx="5">
                  <c:v>T-7</c:v>
                </c:pt>
                <c:pt idx="6">
                  <c:v>T-6</c:v>
                </c:pt>
                <c:pt idx="7">
                  <c:v>T-5</c:v>
                </c:pt>
                <c:pt idx="8">
                  <c:v>T-4</c:v>
                </c:pt>
                <c:pt idx="9">
                  <c:v>T-3</c:v>
                </c:pt>
                <c:pt idx="10">
                  <c:v>T-2</c:v>
                </c:pt>
                <c:pt idx="11">
                  <c:v>T-1</c:v>
                </c:pt>
              </c:strCache>
            </c:strRef>
          </c:xVal>
          <c:yVal>
            <c:numRef>
              <c:f>'P1_Entrepôt 5'!$O$5:$Z$5</c:f>
              <c:numCache>
                <c:formatCode>0</c:formatCode>
                <c:ptCount val="12"/>
                <c:pt idx="0">
                  <c:v>276</c:v>
                </c:pt>
                <c:pt idx="1">
                  <c:v>302</c:v>
                </c:pt>
                <c:pt idx="2">
                  <c:v>356</c:v>
                </c:pt>
                <c:pt idx="3">
                  <c:v>487</c:v>
                </c:pt>
                <c:pt idx="4">
                  <c:v>571</c:v>
                </c:pt>
                <c:pt idx="5">
                  <c:v>685</c:v>
                </c:pt>
                <c:pt idx="6">
                  <c:v>624</c:v>
                </c:pt>
                <c:pt idx="7">
                  <c:v>621</c:v>
                </c:pt>
                <c:pt idx="8">
                  <c:v>616</c:v>
                </c:pt>
                <c:pt idx="9">
                  <c:v>556</c:v>
                </c:pt>
                <c:pt idx="10">
                  <c:v>510</c:v>
                </c:pt>
                <c:pt idx="11">
                  <c:v>465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7204736"/>
        <c:axId val="197205312"/>
      </c:scatterChart>
      <c:valAx>
        <c:axId val="197204736"/>
        <c:scaling>
          <c:orientation val="minMax"/>
        </c:scaling>
        <c:delete val="0"/>
        <c:axPos val="b"/>
        <c:majorTickMark val="out"/>
        <c:minorTickMark val="none"/>
        <c:tickLblPos val="nextTo"/>
        <c:crossAx val="197205312"/>
        <c:crosses val="autoZero"/>
        <c:crossBetween val="midCat"/>
      </c:valAx>
      <c:valAx>
        <c:axId val="197205312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197204736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v>Demande P1E5</c:v>
          </c:tx>
          <c:marker>
            <c:symbol val="none"/>
          </c:marker>
          <c:trendline>
            <c:trendlineType val="linear"/>
            <c:dispRSqr val="1"/>
            <c:dispEq val="1"/>
            <c:trendlineLbl>
              <c:layout>
                <c:manualLayout>
                  <c:x val="0.42657830271216096"/>
                  <c:y val="-0.10032370953630797"/>
                </c:manualLayout>
              </c:layout>
              <c:numFmt formatCode="General" sourceLinked="0"/>
            </c:trendlineLbl>
          </c:trendline>
          <c:xVal>
            <c:strRef>
              <c:f>'P1_Entrepôt 5'!$C$4:$Z$4</c:f>
              <c:strCache>
                <c:ptCount val="24"/>
                <c:pt idx="0">
                  <c:v>T-24</c:v>
                </c:pt>
                <c:pt idx="1">
                  <c:v>T-23</c:v>
                </c:pt>
                <c:pt idx="2">
                  <c:v>T-22</c:v>
                </c:pt>
                <c:pt idx="3">
                  <c:v>T-21</c:v>
                </c:pt>
                <c:pt idx="4">
                  <c:v>T-20</c:v>
                </c:pt>
                <c:pt idx="5">
                  <c:v>T-19</c:v>
                </c:pt>
                <c:pt idx="6">
                  <c:v>T-18</c:v>
                </c:pt>
                <c:pt idx="7">
                  <c:v>T-17</c:v>
                </c:pt>
                <c:pt idx="8">
                  <c:v>T-16</c:v>
                </c:pt>
                <c:pt idx="9">
                  <c:v>T-15</c:v>
                </c:pt>
                <c:pt idx="10">
                  <c:v>T-14</c:v>
                </c:pt>
                <c:pt idx="11">
                  <c:v>T-13</c:v>
                </c:pt>
                <c:pt idx="12">
                  <c:v>T-12</c:v>
                </c:pt>
                <c:pt idx="13">
                  <c:v>T-11</c:v>
                </c:pt>
                <c:pt idx="14">
                  <c:v>T-10</c:v>
                </c:pt>
                <c:pt idx="15">
                  <c:v>T-9</c:v>
                </c:pt>
                <c:pt idx="16">
                  <c:v>T-8</c:v>
                </c:pt>
                <c:pt idx="17">
                  <c:v>T-7</c:v>
                </c:pt>
                <c:pt idx="18">
                  <c:v>T-6</c:v>
                </c:pt>
                <c:pt idx="19">
                  <c:v>T-5</c:v>
                </c:pt>
                <c:pt idx="20">
                  <c:v>T-4</c:v>
                </c:pt>
                <c:pt idx="21">
                  <c:v>T-3</c:v>
                </c:pt>
                <c:pt idx="22">
                  <c:v>T-2</c:v>
                </c:pt>
                <c:pt idx="23">
                  <c:v>T-1</c:v>
                </c:pt>
              </c:strCache>
            </c:strRef>
          </c:xVal>
          <c:yVal>
            <c:numRef>
              <c:f>'P1_Entrepôt 5'!$C$5:$Z$5</c:f>
              <c:numCache>
                <c:formatCode>0</c:formatCode>
                <c:ptCount val="24"/>
                <c:pt idx="0">
                  <c:v>99</c:v>
                </c:pt>
                <c:pt idx="1">
                  <c:v>131</c:v>
                </c:pt>
                <c:pt idx="2">
                  <c:v>192</c:v>
                </c:pt>
                <c:pt idx="3">
                  <c:v>233</c:v>
                </c:pt>
                <c:pt idx="4">
                  <c:v>300</c:v>
                </c:pt>
                <c:pt idx="5">
                  <c:v>338</c:v>
                </c:pt>
                <c:pt idx="6">
                  <c:v>341</c:v>
                </c:pt>
                <c:pt idx="7">
                  <c:v>341</c:v>
                </c:pt>
                <c:pt idx="8">
                  <c:v>364</c:v>
                </c:pt>
                <c:pt idx="9">
                  <c:v>363</c:v>
                </c:pt>
                <c:pt idx="10">
                  <c:v>309</c:v>
                </c:pt>
                <c:pt idx="11">
                  <c:v>300</c:v>
                </c:pt>
                <c:pt idx="12">
                  <c:v>276</c:v>
                </c:pt>
                <c:pt idx="13">
                  <c:v>302</c:v>
                </c:pt>
                <c:pt idx="14">
                  <c:v>356</c:v>
                </c:pt>
                <c:pt idx="15">
                  <c:v>487</c:v>
                </c:pt>
                <c:pt idx="16">
                  <c:v>571</c:v>
                </c:pt>
                <c:pt idx="17">
                  <c:v>685</c:v>
                </c:pt>
                <c:pt idx="18">
                  <c:v>624</c:v>
                </c:pt>
                <c:pt idx="19">
                  <c:v>621</c:v>
                </c:pt>
                <c:pt idx="20">
                  <c:v>616</c:v>
                </c:pt>
                <c:pt idx="21">
                  <c:v>556</c:v>
                </c:pt>
                <c:pt idx="22">
                  <c:v>510</c:v>
                </c:pt>
                <c:pt idx="23">
                  <c:v>465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7256896"/>
        <c:axId val="197257472"/>
      </c:scatterChart>
      <c:valAx>
        <c:axId val="197256896"/>
        <c:scaling>
          <c:orientation val="minMax"/>
        </c:scaling>
        <c:delete val="0"/>
        <c:axPos val="b"/>
        <c:majorTickMark val="out"/>
        <c:minorTickMark val="none"/>
        <c:tickLblPos val="nextTo"/>
        <c:crossAx val="197257472"/>
        <c:crosses val="autoZero"/>
        <c:crossBetween val="midCat"/>
      </c:valAx>
      <c:valAx>
        <c:axId val="197257472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197256896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v>Courbe Moyenne Mobile P1E</c:v>
          </c:tx>
          <c:marker>
            <c:symbol val="none"/>
          </c:marker>
          <c:trendline>
            <c:trendlineType val="linear"/>
            <c:dispRSqr val="1"/>
            <c:dispEq val="1"/>
            <c:trendlineLbl>
              <c:layout>
                <c:manualLayout>
                  <c:x val="0.44882567804024498"/>
                  <c:y val="-1.8424103237095361E-2"/>
                </c:manualLayout>
              </c:layout>
              <c:numFmt formatCode="General" sourceLinked="0"/>
            </c:trendlineLbl>
          </c:trendline>
          <c:xVal>
            <c:strRef>
              <c:f>'P1_Entrepôt 5'!$I$4:$T$4</c:f>
              <c:strCache>
                <c:ptCount val="12"/>
                <c:pt idx="0">
                  <c:v>T-18</c:v>
                </c:pt>
                <c:pt idx="1">
                  <c:v>T-17</c:v>
                </c:pt>
                <c:pt idx="2">
                  <c:v>T-16</c:v>
                </c:pt>
                <c:pt idx="3">
                  <c:v>T-15</c:v>
                </c:pt>
                <c:pt idx="4">
                  <c:v>T-14</c:v>
                </c:pt>
                <c:pt idx="5">
                  <c:v>T-13</c:v>
                </c:pt>
                <c:pt idx="6">
                  <c:v>T-12</c:v>
                </c:pt>
                <c:pt idx="7">
                  <c:v>T-11</c:v>
                </c:pt>
                <c:pt idx="8">
                  <c:v>T-10</c:v>
                </c:pt>
                <c:pt idx="9">
                  <c:v>T-9</c:v>
                </c:pt>
                <c:pt idx="10">
                  <c:v>T-8</c:v>
                </c:pt>
                <c:pt idx="11">
                  <c:v>T-7</c:v>
                </c:pt>
              </c:strCache>
            </c:strRef>
          </c:xVal>
          <c:yVal>
            <c:numRef>
              <c:f>'P1_Entrepôt 5'!$I$6:$T$6</c:f>
              <c:numCache>
                <c:formatCode>0.00</c:formatCode>
                <c:ptCount val="12"/>
                <c:pt idx="0">
                  <c:v>283.29166666666663</c:v>
                </c:pt>
                <c:pt idx="1">
                  <c:v>297.79166666666663</c:v>
                </c:pt>
                <c:pt idx="2">
                  <c:v>311.75</c:v>
                </c:pt>
                <c:pt idx="3">
                  <c:v>329.16666666666663</c:v>
                </c:pt>
                <c:pt idx="4">
                  <c:v>351.04166666666663</c:v>
                </c:pt>
                <c:pt idx="5">
                  <c:v>376.79166666666663</c:v>
                </c:pt>
                <c:pt idx="6">
                  <c:v>403.04166666666663</c:v>
                </c:pt>
                <c:pt idx="7">
                  <c:v>426.5</c:v>
                </c:pt>
                <c:pt idx="8">
                  <c:v>448.66666666666663</c:v>
                </c:pt>
                <c:pt idx="9">
                  <c:v>467.20833333333331</c:v>
                </c:pt>
                <c:pt idx="10">
                  <c:v>483.625</c:v>
                </c:pt>
                <c:pt idx="11">
                  <c:v>498.875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7258624"/>
        <c:axId val="197259200"/>
      </c:scatterChart>
      <c:valAx>
        <c:axId val="197258624"/>
        <c:scaling>
          <c:orientation val="minMax"/>
        </c:scaling>
        <c:delete val="0"/>
        <c:axPos val="b"/>
        <c:majorTickMark val="out"/>
        <c:minorTickMark val="none"/>
        <c:tickLblPos val="nextTo"/>
        <c:crossAx val="197259200"/>
        <c:crosses val="autoZero"/>
        <c:crossBetween val="midCat"/>
      </c:valAx>
      <c:valAx>
        <c:axId val="197259200"/>
        <c:scaling>
          <c:orientation val="minMax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197258624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v>Demande P1Totale - Saison 1</c:v>
          </c:tx>
          <c:marker>
            <c:symbol val="none"/>
          </c:marker>
          <c:xVal>
            <c:strRef>
              <c:f>P1_Total!$C$4:$N$4</c:f>
              <c:strCache>
                <c:ptCount val="12"/>
                <c:pt idx="0">
                  <c:v>T-24</c:v>
                </c:pt>
                <c:pt idx="1">
                  <c:v>T-23</c:v>
                </c:pt>
                <c:pt idx="2">
                  <c:v>T-22</c:v>
                </c:pt>
                <c:pt idx="3">
                  <c:v>T-21</c:v>
                </c:pt>
                <c:pt idx="4">
                  <c:v>T-20</c:v>
                </c:pt>
                <c:pt idx="5">
                  <c:v>T-19</c:v>
                </c:pt>
                <c:pt idx="6">
                  <c:v>T-18</c:v>
                </c:pt>
                <c:pt idx="7">
                  <c:v>T-17</c:v>
                </c:pt>
                <c:pt idx="8">
                  <c:v>T-16</c:v>
                </c:pt>
                <c:pt idx="9">
                  <c:v>T-15</c:v>
                </c:pt>
                <c:pt idx="10">
                  <c:v>T-14</c:v>
                </c:pt>
                <c:pt idx="11">
                  <c:v>T-13</c:v>
                </c:pt>
              </c:strCache>
            </c:strRef>
          </c:xVal>
          <c:yVal>
            <c:numRef>
              <c:f>P1_Total!$C$5:$N$5</c:f>
              <c:numCache>
                <c:formatCode>0</c:formatCode>
                <c:ptCount val="12"/>
                <c:pt idx="0">
                  <c:v>774</c:v>
                </c:pt>
                <c:pt idx="1">
                  <c:v>976</c:v>
                </c:pt>
                <c:pt idx="2">
                  <c:v>1370</c:v>
                </c:pt>
                <c:pt idx="3">
                  <c:v>1610</c:v>
                </c:pt>
                <c:pt idx="4">
                  <c:v>2010</c:v>
                </c:pt>
                <c:pt idx="5">
                  <c:v>2208</c:v>
                </c:pt>
                <c:pt idx="6">
                  <c:v>2182</c:v>
                </c:pt>
                <c:pt idx="7">
                  <c:v>2141</c:v>
                </c:pt>
                <c:pt idx="8">
                  <c:v>2243</c:v>
                </c:pt>
                <c:pt idx="9">
                  <c:v>2202</c:v>
                </c:pt>
                <c:pt idx="10">
                  <c:v>1846</c:v>
                </c:pt>
                <c:pt idx="11">
                  <c:v>1767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7260928"/>
        <c:axId val="197261504"/>
      </c:scatterChart>
      <c:valAx>
        <c:axId val="197260928"/>
        <c:scaling>
          <c:orientation val="minMax"/>
        </c:scaling>
        <c:delete val="0"/>
        <c:axPos val="b"/>
        <c:majorTickMark val="out"/>
        <c:minorTickMark val="none"/>
        <c:tickLblPos val="nextTo"/>
        <c:crossAx val="197261504"/>
        <c:crosses val="autoZero"/>
        <c:crossBetween val="midCat"/>
      </c:valAx>
      <c:valAx>
        <c:axId val="197261504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197260928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v>Demande P1Totale - Saison 2</c:v>
          </c:tx>
          <c:marker>
            <c:symbol val="none"/>
          </c:marker>
          <c:xVal>
            <c:strRef>
              <c:f>P1_Total!$O$4:$Z$4</c:f>
              <c:strCache>
                <c:ptCount val="12"/>
                <c:pt idx="0">
                  <c:v>T-12</c:v>
                </c:pt>
                <c:pt idx="1">
                  <c:v>T-11</c:v>
                </c:pt>
                <c:pt idx="2">
                  <c:v>T-10</c:v>
                </c:pt>
                <c:pt idx="3">
                  <c:v>T-9</c:v>
                </c:pt>
                <c:pt idx="4">
                  <c:v>T-8</c:v>
                </c:pt>
                <c:pt idx="5">
                  <c:v>T-7</c:v>
                </c:pt>
                <c:pt idx="6">
                  <c:v>T-6</c:v>
                </c:pt>
                <c:pt idx="7">
                  <c:v>T-5</c:v>
                </c:pt>
                <c:pt idx="8">
                  <c:v>T-4</c:v>
                </c:pt>
                <c:pt idx="9">
                  <c:v>T-3</c:v>
                </c:pt>
                <c:pt idx="10">
                  <c:v>T-2</c:v>
                </c:pt>
                <c:pt idx="11">
                  <c:v>T-1</c:v>
                </c:pt>
              </c:strCache>
            </c:strRef>
          </c:xVal>
          <c:yVal>
            <c:numRef>
              <c:f>P1_Total!$O$5:$Z$5</c:f>
              <c:numCache>
                <c:formatCode>0</c:formatCode>
                <c:ptCount val="12"/>
                <c:pt idx="0">
                  <c:v>1605</c:v>
                </c:pt>
                <c:pt idx="1">
                  <c:v>1739</c:v>
                </c:pt>
                <c:pt idx="2">
                  <c:v>2030</c:v>
                </c:pt>
                <c:pt idx="3">
                  <c:v>2753</c:v>
                </c:pt>
                <c:pt idx="4">
                  <c:v>3199</c:v>
                </c:pt>
                <c:pt idx="5">
                  <c:v>3807</c:v>
                </c:pt>
                <c:pt idx="6">
                  <c:v>3442</c:v>
                </c:pt>
                <c:pt idx="7">
                  <c:v>3402</c:v>
                </c:pt>
                <c:pt idx="8">
                  <c:v>3354</c:v>
                </c:pt>
                <c:pt idx="9">
                  <c:v>3012</c:v>
                </c:pt>
                <c:pt idx="10">
                  <c:v>2744</c:v>
                </c:pt>
                <c:pt idx="11">
                  <c:v>2489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7468160"/>
        <c:axId val="197468736"/>
      </c:scatterChart>
      <c:valAx>
        <c:axId val="197468160"/>
        <c:scaling>
          <c:orientation val="minMax"/>
        </c:scaling>
        <c:delete val="0"/>
        <c:axPos val="b"/>
        <c:majorTickMark val="out"/>
        <c:minorTickMark val="none"/>
        <c:tickLblPos val="nextTo"/>
        <c:crossAx val="197468736"/>
        <c:crosses val="autoZero"/>
        <c:crossBetween val="midCat"/>
      </c:valAx>
      <c:valAx>
        <c:axId val="197468736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197468160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v>Demande P1Totale</c:v>
          </c:tx>
          <c:marker>
            <c:symbol val="none"/>
          </c:marker>
          <c:trendline>
            <c:trendlineType val="linear"/>
            <c:dispRSqr val="1"/>
            <c:dispEq val="1"/>
            <c:trendlineLbl>
              <c:layout>
                <c:manualLayout>
                  <c:x val="0.41910039370078739"/>
                  <c:y val="-4.2336322543015455E-2"/>
                </c:manualLayout>
              </c:layout>
              <c:numFmt formatCode="General" sourceLinked="0"/>
            </c:trendlineLbl>
          </c:trendline>
          <c:xVal>
            <c:strRef>
              <c:f>P1_Total!$C$4:$Z$4</c:f>
              <c:strCache>
                <c:ptCount val="24"/>
                <c:pt idx="0">
                  <c:v>T-24</c:v>
                </c:pt>
                <c:pt idx="1">
                  <c:v>T-23</c:v>
                </c:pt>
                <c:pt idx="2">
                  <c:v>T-22</c:v>
                </c:pt>
                <c:pt idx="3">
                  <c:v>T-21</c:v>
                </c:pt>
                <c:pt idx="4">
                  <c:v>T-20</c:v>
                </c:pt>
                <c:pt idx="5">
                  <c:v>T-19</c:v>
                </c:pt>
                <c:pt idx="6">
                  <c:v>T-18</c:v>
                </c:pt>
                <c:pt idx="7">
                  <c:v>T-17</c:v>
                </c:pt>
                <c:pt idx="8">
                  <c:v>T-16</c:v>
                </c:pt>
                <c:pt idx="9">
                  <c:v>T-15</c:v>
                </c:pt>
                <c:pt idx="10">
                  <c:v>T-14</c:v>
                </c:pt>
                <c:pt idx="11">
                  <c:v>T-13</c:v>
                </c:pt>
                <c:pt idx="12">
                  <c:v>T-12</c:v>
                </c:pt>
                <c:pt idx="13">
                  <c:v>T-11</c:v>
                </c:pt>
                <c:pt idx="14">
                  <c:v>T-10</c:v>
                </c:pt>
                <c:pt idx="15">
                  <c:v>T-9</c:v>
                </c:pt>
                <c:pt idx="16">
                  <c:v>T-8</c:v>
                </c:pt>
                <c:pt idx="17">
                  <c:v>T-7</c:v>
                </c:pt>
                <c:pt idx="18">
                  <c:v>T-6</c:v>
                </c:pt>
                <c:pt idx="19">
                  <c:v>T-5</c:v>
                </c:pt>
                <c:pt idx="20">
                  <c:v>T-4</c:v>
                </c:pt>
                <c:pt idx="21">
                  <c:v>T-3</c:v>
                </c:pt>
                <c:pt idx="22">
                  <c:v>T-2</c:v>
                </c:pt>
                <c:pt idx="23">
                  <c:v>T-1</c:v>
                </c:pt>
              </c:strCache>
            </c:strRef>
          </c:xVal>
          <c:yVal>
            <c:numRef>
              <c:f>P1_Total!$C$5:$Z$5</c:f>
              <c:numCache>
                <c:formatCode>0</c:formatCode>
                <c:ptCount val="24"/>
                <c:pt idx="0">
                  <c:v>774</c:v>
                </c:pt>
                <c:pt idx="1">
                  <c:v>976</c:v>
                </c:pt>
                <c:pt idx="2">
                  <c:v>1370</c:v>
                </c:pt>
                <c:pt idx="3">
                  <c:v>1610</c:v>
                </c:pt>
                <c:pt idx="4">
                  <c:v>2010</c:v>
                </c:pt>
                <c:pt idx="5">
                  <c:v>2208</c:v>
                </c:pt>
                <c:pt idx="6">
                  <c:v>2182</c:v>
                </c:pt>
                <c:pt idx="7">
                  <c:v>2141</c:v>
                </c:pt>
                <c:pt idx="8">
                  <c:v>2243</c:v>
                </c:pt>
                <c:pt idx="9">
                  <c:v>2202</c:v>
                </c:pt>
                <c:pt idx="10">
                  <c:v>1846</c:v>
                </c:pt>
                <c:pt idx="11">
                  <c:v>1767</c:v>
                </c:pt>
                <c:pt idx="12">
                  <c:v>1605</c:v>
                </c:pt>
                <c:pt idx="13">
                  <c:v>1739</c:v>
                </c:pt>
                <c:pt idx="14">
                  <c:v>2030</c:v>
                </c:pt>
                <c:pt idx="15">
                  <c:v>2753</c:v>
                </c:pt>
                <c:pt idx="16">
                  <c:v>3199</c:v>
                </c:pt>
                <c:pt idx="17">
                  <c:v>3807</c:v>
                </c:pt>
                <c:pt idx="18">
                  <c:v>3442</c:v>
                </c:pt>
                <c:pt idx="19">
                  <c:v>3402</c:v>
                </c:pt>
                <c:pt idx="20">
                  <c:v>3354</c:v>
                </c:pt>
                <c:pt idx="21">
                  <c:v>3012</c:v>
                </c:pt>
                <c:pt idx="22">
                  <c:v>2744</c:v>
                </c:pt>
                <c:pt idx="23">
                  <c:v>2489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7471040"/>
        <c:axId val="197471616"/>
      </c:scatterChart>
      <c:valAx>
        <c:axId val="197471040"/>
        <c:scaling>
          <c:orientation val="minMax"/>
        </c:scaling>
        <c:delete val="0"/>
        <c:axPos val="b"/>
        <c:majorTickMark val="out"/>
        <c:minorTickMark val="none"/>
        <c:tickLblPos val="nextTo"/>
        <c:crossAx val="197471616"/>
        <c:crosses val="autoZero"/>
        <c:crossBetween val="midCat"/>
      </c:valAx>
      <c:valAx>
        <c:axId val="197471616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197471040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v>Courbe Moyenne Mobile P1Total</c:v>
          </c:tx>
          <c:marker>
            <c:symbol val="none"/>
          </c:marker>
          <c:trendline>
            <c:trendlineType val="linear"/>
            <c:dispRSqr val="1"/>
            <c:dispEq val="1"/>
            <c:trendlineLbl>
              <c:layout>
                <c:manualLayout>
                  <c:x val="0.40392825896762907"/>
                  <c:y val="-4.202573636628755E-2"/>
                </c:manualLayout>
              </c:layout>
              <c:numFmt formatCode="General" sourceLinked="0"/>
            </c:trendlineLbl>
          </c:trendline>
          <c:xVal>
            <c:strRef>
              <c:f>P1_Total!$I$4:$T$4</c:f>
              <c:strCache>
                <c:ptCount val="12"/>
                <c:pt idx="0">
                  <c:v>T-18</c:v>
                </c:pt>
                <c:pt idx="1">
                  <c:v>T-17</c:v>
                </c:pt>
                <c:pt idx="2">
                  <c:v>T-16</c:v>
                </c:pt>
                <c:pt idx="3">
                  <c:v>T-15</c:v>
                </c:pt>
                <c:pt idx="4">
                  <c:v>T-14</c:v>
                </c:pt>
                <c:pt idx="5">
                  <c:v>T-13</c:v>
                </c:pt>
                <c:pt idx="6">
                  <c:v>T-12</c:v>
                </c:pt>
                <c:pt idx="7">
                  <c:v>T-11</c:v>
                </c:pt>
                <c:pt idx="8">
                  <c:v>T-10</c:v>
                </c:pt>
                <c:pt idx="9">
                  <c:v>T-9</c:v>
                </c:pt>
                <c:pt idx="10">
                  <c:v>T-8</c:v>
                </c:pt>
                <c:pt idx="11">
                  <c:v>T-7</c:v>
                </c:pt>
              </c:strCache>
            </c:strRef>
          </c:xVal>
          <c:yVal>
            <c:numRef>
              <c:f>P1_Total!$I$6:$T$6</c:f>
              <c:numCache>
                <c:formatCode>0.00</c:formatCode>
                <c:ptCount val="12"/>
                <c:pt idx="0">
                  <c:v>1812.0416666666665</c:v>
                </c:pt>
                <c:pt idx="1">
                  <c:v>1878.4583333333333</c:v>
                </c:pt>
                <c:pt idx="2">
                  <c:v>1937.75</c:v>
                </c:pt>
                <c:pt idx="3">
                  <c:v>2012.875</c:v>
                </c:pt>
                <c:pt idx="4">
                  <c:v>2110.0416666666665</c:v>
                </c:pt>
                <c:pt idx="5">
                  <c:v>2226.208333333333</c:v>
                </c:pt>
                <c:pt idx="6">
                  <c:v>2345.333333333333</c:v>
                </c:pt>
                <c:pt idx="7">
                  <c:v>2450.375</c:v>
                </c:pt>
                <c:pt idx="8">
                  <c:v>2549.208333333333</c:v>
                </c:pt>
                <c:pt idx="9">
                  <c:v>2629.25</c:v>
                </c:pt>
                <c:pt idx="10">
                  <c:v>2700.4166666666665</c:v>
                </c:pt>
                <c:pt idx="11">
                  <c:v>2767.9166666666665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7472768"/>
        <c:axId val="197473344"/>
      </c:scatterChart>
      <c:valAx>
        <c:axId val="197472768"/>
        <c:scaling>
          <c:orientation val="minMax"/>
        </c:scaling>
        <c:delete val="0"/>
        <c:axPos val="b"/>
        <c:majorTickMark val="out"/>
        <c:minorTickMark val="none"/>
        <c:tickLblPos val="nextTo"/>
        <c:crossAx val="197473344"/>
        <c:crosses val="autoZero"/>
        <c:crossBetween val="midCat"/>
      </c:valAx>
      <c:valAx>
        <c:axId val="197473344"/>
        <c:scaling>
          <c:orientation val="minMax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197472768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v>Demande P2E1</c:v>
          </c:tx>
          <c:marker>
            <c:symbol val="none"/>
          </c:marker>
          <c:trendline>
            <c:trendlineType val="linear"/>
            <c:dispRSqr val="1"/>
            <c:dispEq val="1"/>
            <c:trendlineLbl>
              <c:layout>
                <c:manualLayout>
                  <c:x val="0.41546719160104989"/>
                  <c:y val="-0.12354622338874308"/>
                </c:manualLayout>
              </c:layout>
              <c:numFmt formatCode="General" sourceLinked="0"/>
            </c:trendlineLbl>
          </c:trendline>
          <c:xVal>
            <c:strRef>
              <c:f>'P2_Entrepôt 1'!$C$4:$Z$4</c:f>
              <c:strCache>
                <c:ptCount val="24"/>
                <c:pt idx="0">
                  <c:v>T-24</c:v>
                </c:pt>
                <c:pt idx="1">
                  <c:v>T-23</c:v>
                </c:pt>
                <c:pt idx="2">
                  <c:v>T-22</c:v>
                </c:pt>
                <c:pt idx="3">
                  <c:v>T-21</c:v>
                </c:pt>
                <c:pt idx="4">
                  <c:v>T-20</c:v>
                </c:pt>
                <c:pt idx="5">
                  <c:v>T-19</c:v>
                </c:pt>
                <c:pt idx="6">
                  <c:v>T-18</c:v>
                </c:pt>
                <c:pt idx="7">
                  <c:v>T-17</c:v>
                </c:pt>
                <c:pt idx="8">
                  <c:v>T-16</c:v>
                </c:pt>
                <c:pt idx="9">
                  <c:v>T-15</c:v>
                </c:pt>
                <c:pt idx="10">
                  <c:v>T-14</c:v>
                </c:pt>
                <c:pt idx="11">
                  <c:v>T-13</c:v>
                </c:pt>
                <c:pt idx="12">
                  <c:v>T-12</c:v>
                </c:pt>
                <c:pt idx="13">
                  <c:v>T-11</c:v>
                </c:pt>
                <c:pt idx="14">
                  <c:v>T-10</c:v>
                </c:pt>
                <c:pt idx="15">
                  <c:v>T-9</c:v>
                </c:pt>
                <c:pt idx="16">
                  <c:v>T-8</c:v>
                </c:pt>
                <c:pt idx="17">
                  <c:v>T-7</c:v>
                </c:pt>
                <c:pt idx="18">
                  <c:v>T-6</c:v>
                </c:pt>
                <c:pt idx="19">
                  <c:v>T-5</c:v>
                </c:pt>
                <c:pt idx="20">
                  <c:v>T-4</c:v>
                </c:pt>
                <c:pt idx="21">
                  <c:v>T-3</c:v>
                </c:pt>
                <c:pt idx="22">
                  <c:v>T-2</c:v>
                </c:pt>
                <c:pt idx="23">
                  <c:v>T-1</c:v>
                </c:pt>
              </c:strCache>
            </c:strRef>
          </c:xVal>
          <c:yVal>
            <c:numRef>
              <c:f>'P2_Entrepôt 1'!$C$5:$Z$5</c:f>
              <c:numCache>
                <c:formatCode>0</c:formatCode>
                <c:ptCount val="24"/>
                <c:pt idx="0">
                  <c:v>114</c:v>
                </c:pt>
                <c:pt idx="1">
                  <c:v>138</c:v>
                </c:pt>
                <c:pt idx="2">
                  <c:v>187</c:v>
                </c:pt>
                <c:pt idx="3">
                  <c:v>212</c:v>
                </c:pt>
                <c:pt idx="4">
                  <c:v>256</c:v>
                </c:pt>
                <c:pt idx="5">
                  <c:v>273</c:v>
                </c:pt>
                <c:pt idx="6">
                  <c:v>262</c:v>
                </c:pt>
                <c:pt idx="7">
                  <c:v>250</c:v>
                </c:pt>
                <c:pt idx="8">
                  <c:v>256</c:v>
                </c:pt>
                <c:pt idx="9">
                  <c:v>273</c:v>
                </c:pt>
                <c:pt idx="10">
                  <c:v>262</c:v>
                </c:pt>
                <c:pt idx="11">
                  <c:v>250</c:v>
                </c:pt>
                <c:pt idx="12">
                  <c:v>169</c:v>
                </c:pt>
                <c:pt idx="13">
                  <c:v>180</c:v>
                </c:pt>
                <c:pt idx="14">
                  <c:v>206</c:v>
                </c:pt>
                <c:pt idx="15">
                  <c:v>275</c:v>
                </c:pt>
                <c:pt idx="16">
                  <c:v>315</c:v>
                </c:pt>
                <c:pt idx="17">
                  <c:v>369</c:v>
                </c:pt>
                <c:pt idx="18">
                  <c:v>330</c:v>
                </c:pt>
                <c:pt idx="19">
                  <c:v>322</c:v>
                </c:pt>
                <c:pt idx="20">
                  <c:v>313</c:v>
                </c:pt>
                <c:pt idx="21">
                  <c:v>278</c:v>
                </c:pt>
                <c:pt idx="22">
                  <c:v>250</c:v>
                </c:pt>
                <c:pt idx="23">
                  <c:v>225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7475648"/>
        <c:axId val="197869568"/>
      </c:scatterChart>
      <c:valAx>
        <c:axId val="197475648"/>
        <c:scaling>
          <c:orientation val="minMax"/>
        </c:scaling>
        <c:delete val="0"/>
        <c:axPos val="b"/>
        <c:majorTickMark val="out"/>
        <c:minorTickMark val="none"/>
        <c:tickLblPos val="nextTo"/>
        <c:crossAx val="197869568"/>
        <c:crosses val="autoZero"/>
        <c:crossBetween val="midCat"/>
      </c:valAx>
      <c:valAx>
        <c:axId val="197869568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197475648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hart>
    <c:title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v>Demande P2E1 - Saison 1</c:v>
          </c:tx>
          <c:marker>
            <c:symbol val="none"/>
          </c:marker>
          <c:xVal>
            <c:strRef>
              <c:f>'P2_Entrepôt 1'!$C$4:$N$4</c:f>
              <c:strCache>
                <c:ptCount val="12"/>
                <c:pt idx="0">
                  <c:v>T-24</c:v>
                </c:pt>
                <c:pt idx="1">
                  <c:v>T-23</c:v>
                </c:pt>
                <c:pt idx="2">
                  <c:v>T-22</c:v>
                </c:pt>
                <c:pt idx="3">
                  <c:v>T-21</c:v>
                </c:pt>
                <c:pt idx="4">
                  <c:v>T-20</c:v>
                </c:pt>
                <c:pt idx="5">
                  <c:v>T-19</c:v>
                </c:pt>
                <c:pt idx="6">
                  <c:v>T-18</c:v>
                </c:pt>
                <c:pt idx="7">
                  <c:v>T-17</c:v>
                </c:pt>
                <c:pt idx="8">
                  <c:v>T-16</c:v>
                </c:pt>
                <c:pt idx="9">
                  <c:v>T-15</c:v>
                </c:pt>
                <c:pt idx="10">
                  <c:v>T-14</c:v>
                </c:pt>
                <c:pt idx="11">
                  <c:v>T-13</c:v>
                </c:pt>
              </c:strCache>
            </c:strRef>
          </c:xVal>
          <c:yVal>
            <c:numRef>
              <c:f>'P2_Entrepôt 1'!$C$5:$N$5</c:f>
              <c:numCache>
                <c:formatCode>0</c:formatCode>
                <c:ptCount val="12"/>
                <c:pt idx="0">
                  <c:v>114</c:v>
                </c:pt>
                <c:pt idx="1">
                  <c:v>138</c:v>
                </c:pt>
                <c:pt idx="2">
                  <c:v>187</c:v>
                </c:pt>
                <c:pt idx="3">
                  <c:v>212</c:v>
                </c:pt>
                <c:pt idx="4">
                  <c:v>256</c:v>
                </c:pt>
                <c:pt idx="5">
                  <c:v>273</c:v>
                </c:pt>
                <c:pt idx="6">
                  <c:v>262</c:v>
                </c:pt>
                <c:pt idx="7">
                  <c:v>250</c:v>
                </c:pt>
                <c:pt idx="8">
                  <c:v>256</c:v>
                </c:pt>
                <c:pt idx="9">
                  <c:v>273</c:v>
                </c:pt>
                <c:pt idx="10">
                  <c:v>262</c:v>
                </c:pt>
                <c:pt idx="11">
                  <c:v>250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7870720"/>
        <c:axId val="197871296"/>
      </c:scatterChart>
      <c:valAx>
        <c:axId val="197870720"/>
        <c:scaling>
          <c:orientation val="minMax"/>
        </c:scaling>
        <c:delete val="0"/>
        <c:axPos val="b"/>
        <c:majorTickMark val="out"/>
        <c:minorTickMark val="none"/>
        <c:tickLblPos val="nextTo"/>
        <c:crossAx val="197871296"/>
        <c:crosses val="autoZero"/>
        <c:crossBetween val="midCat"/>
      </c:valAx>
      <c:valAx>
        <c:axId val="197871296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197870720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hart>
    <c:title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v>Demande P2E1 - Saison 2</c:v>
          </c:tx>
          <c:marker>
            <c:symbol val="none"/>
          </c:marker>
          <c:xVal>
            <c:strRef>
              <c:f>'P2_Entrepôt 1'!$O$4:$Z$4</c:f>
              <c:strCache>
                <c:ptCount val="12"/>
                <c:pt idx="0">
                  <c:v>T-12</c:v>
                </c:pt>
                <c:pt idx="1">
                  <c:v>T-11</c:v>
                </c:pt>
                <c:pt idx="2">
                  <c:v>T-10</c:v>
                </c:pt>
                <c:pt idx="3">
                  <c:v>T-9</c:v>
                </c:pt>
                <c:pt idx="4">
                  <c:v>T-8</c:v>
                </c:pt>
                <c:pt idx="5">
                  <c:v>T-7</c:v>
                </c:pt>
                <c:pt idx="6">
                  <c:v>T-6</c:v>
                </c:pt>
                <c:pt idx="7">
                  <c:v>T-5</c:v>
                </c:pt>
                <c:pt idx="8">
                  <c:v>T-4</c:v>
                </c:pt>
                <c:pt idx="9">
                  <c:v>T-3</c:v>
                </c:pt>
                <c:pt idx="10">
                  <c:v>T-2</c:v>
                </c:pt>
                <c:pt idx="11">
                  <c:v>T-1</c:v>
                </c:pt>
              </c:strCache>
            </c:strRef>
          </c:xVal>
          <c:yVal>
            <c:numRef>
              <c:f>'P2_Entrepôt 1'!$O$5:$Z$5</c:f>
              <c:numCache>
                <c:formatCode>0</c:formatCode>
                <c:ptCount val="12"/>
                <c:pt idx="0">
                  <c:v>169</c:v>
                </c:pt>
                <c:pt idx="1">
                  <c:v>180</c:v>
                </c:pt>
                <c:pt idx="2">
                  <c:v>206</c:v>
                </c:pt>
                <c:pt idx="3">
                  <c:v>275</c:v>
                </c:pt>
                <c:pt idx="4">
                  <c:v>315</c:v>
                </c:pt>
                <c:pt idx="5">
                  <c:v>369</c:v>
                </c:pt>
                <c:pt idx="6">
                  <c:v>330</c:v>
                </c:pt>
                <c:pt idx="7">
                  <c:v>322</c:v>
                </c:pt>
                <c:pt idx="8">
                  <c:v>313</c:v>
                </c:pt>
                <c:pt idx="9">
                  <c:v>278</c:v>
                </c:pt>
                <c:pt idx="10">
                  <c:v>250</c:v>
                </c:pt>
                <c:pt idx="11">
                  <c:v>225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7873024"/>
        <c:axId val="197873600"/>
      </c:scatterChart>
      <c:valAx>
        <c:axId val="197873024"/>
        <c:scaling>
          <c:orientation val="minMax"/>
        </c:scaling>
        <c:delete val="0"/>
        <c:axPos val="b"/>
        <c:majorTickMark val="out"/>
        <c:minorTickMark val="none"/>
        <c:tickLblPos val="nextTo"/>
        <c:crossAx val="197873600"/>
        <c:crosses val="autoZero"/>
        <c:crossBetween val="midCat"/>
      </c:valAx>
      <c:valAx>
        <c:axId val="197873600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197873024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Courbe moyenne mobile P2E1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8.92016450699568E-2"/>
          <c:y val="0.19502461827308082"/>
          <c:w val="0.5195385124103582"/>
          <c:h val="0.67333716497116691"/>
        </c:manualLayout>
      </c:layout>
      <c:scatterChart>
        <c:scatterStyle val="smoothMarker"/>
        <c:varyColors val="0"/>
        <c:ser>
          <c:idx val="0"/>
          <c:order val="0"/>
          <c:tx>
            <c:v>Courbe moyenne mobile</c:v>
          </c:tx>
          <c:marker>
            <c:symbol val="none"/>
          </c:marker>
          <c:trendline>
            <c:trendlineType val="linear"/>
            <c:dispRSqr val="1"/>
            <c:dispEq val="1"/>
            <c:trendlineLbl>
              <c:layout>
                <c:manualLayout>
                  <c:x val="0.40473432946865895"/>
                  <c:y val="-5.8771576910550412E-2"/>
                </c:manualLayout>
              </c:layout>
              <c:numFmt formatCode="General" sourceLinked="0"/>
            </c:trendlineLbl>
          </c:trendline>
          <c:xVal>
            <c:strRef>
              <c:f>'P2_Entrepôt 1'!$I$4:$T$4</c:f>
              <c:strCache>
                <c:ptCount val="12"/>
                <c:pt idx="0">
                  <c:v>T-18</c:v>
                </c:pt>
                <c:pt idx="1">
                  <c:v>T-17</c:v>
                </c:pt>
                <c:pt idx="2">
                  <c:v>T-16</c:v>
                </c:pt>
                <c:pt idx="3">
                  <c:v>T-15</c:v>
                </c:pt>
                <c:pt idx="4">
                  <c:v>T-14</c:v>
                </c:pt>
                <c:pt idx="5">
                  <c:v>T-13</c:v>
                </c:pt>
                <c:pt idx="6">
                  <c:v>T-12</c:v>
                </c:pt>
                <c:pt idx="7">
                  <c:v>T-11</c:v>
                </c:pt>
                <c:pt idx="8">
                  <c:v>T-10</c:v>
                </c:pt>
                <c:pt idx="9">
                  <c:v>T-9</c:v>
                </c:pt>
                <c:pt idx="10">
                  <c:v>T-8</c:v>
                </c:pt>
                <c:pt idx="11">
                  <c:v>T-7</c:v>
                </c:pt>
              </c:strCache>
            </c:strRef>
          </c:xVal>
          <c:yVal>
            <c:numRef>
              <c:f>'P2_Entrepôt 1'!$I$6:$T$6</c:f>
              <c:numCache>
                <c:formatCode>General</c:formatCode>
                <c:ptCount val="12"/>
                <c:pt idx="0">
                  <c:v>230.04166666666666</c:v>
                </c:pt>
                <c:pt idx="1">
                  <c:v>234.08333333333331</c:v>
                </c:pt>
                <c:pt idx="2">
                  <c:v>236.625</c:v>
                </c:pt>
                <c:pt idx="3">
                  <c:v>240.04166666666666</c:v>
                </c:pt>
                <c:pt idx="4">
                  <c:v>245.125</c:v>
                </c:pt>
                <c:pt idx="5">
                  <c:v>251.58333333333331</c:v>
                </c:pt>
                <c:pt idx="6">
                  <c:v>258.41666666666663</c:v>
                </c:pt>
                <c:pt idx="7">
                  <c:v>264.25</c:v>
                </c:pt>
                <c:pt idx="8">
                  <c:v>269.625</c:v>
                </c:pt>
                <c:pt idx="9">
                  <c:v>272.20833333333331</c:v>
                </c:pt>
                <c:pt idx="10">
                  <c:v>271.91666666666663</c:v>
                </c:pt>
                <c:pt idx="11">
                  <c:v>270.375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7875328"/>
        <c:axId val="197875904"/>
      </c:scatterChart>
      <c:valAx>
        <c:axId val="197875328"/>
        <c:scaling>
          <c:orientation val="minMax"/>
        </c:scaling>
        <c:delete val="0"/>
        <c:axPos val="b"/>
        <c:numFmt formatCode="0" sourceLinked="1"/>
        <c:majorTickMark val="out"/>
        <c:minorTickMark val="none"/>
        <c:tickLblPos val="nextTo"/>
        <c:crossAx val="197875904"/>
        <c:crosses val="autoZero"/>
        <c:crossBetween val="midCat"/>
      </c:valAx>
      <c:valAx>
        <c:axId val="19787590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97875328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v>Demande P2E2 - Saison 1</c:v>
          </c:tx>
          <c:marker>
            <c:symbol val="none"/>
          </c:marker>
          <c:xVal>
            <c:strRef>
              <c:f>'P2_Entrepôt 2'!$C$4:$N$4</c:f>
              <c:strCache>
                <c:ptCount val="12"/>
                <c:pt idx="0">
                  <c:v>T-24</c:v>
                </c:pt>
                <c:pt idx="1">
                  <c:v>T-23</c:v>
                </c:pt>
                <c:pt idx="2">
                  <c:v>T-22</c:v>
                </c:pt>
                <c:pt idx="3">
                  <c:v>T-21</c:v>
                </c:pt>
                <c:pt idx="4">
                  <c:v>T-20</c:v>
                </c:pt>
                <c:pt idx="5">
                  <c:v>T-19</c:v>
                </c:pt>
                <c:pt idx="6">
                  <c:v>T-18</c:v>
                </c:pt>
                <c:pt idx="7">
                  <c:v>T-17</c:v>
                </c:pt>
                <c:pt idx="8">
                  <c:v>T-16</c:v>
                </c:pt>
                <c:pt idx="9">
                  <c:v>T-15</c:v>
                </c:pt>
                <c:pt idx="10">
                  <c:v>T-14</c:v>
                </c:pt>
                <c:pt idx="11">
                  <c:v>T-13</c:v>
                </c:pt>
              </c:strCache>
            </c:strRef>
          </c:xVal>
          <c:yVal>
            <c:numRef>
              <c:f>'P2_Entrepôt 2'!$C$5:$N$5</c:f>
              <c:numCache>
                <c:formatCode>0</c:formatCode>
                <c:ptCount val="12"/>
                <c:pt idx="0">
                  <c:v>37</c:v>
                </c:pt>
                <c:pt idx="1">
                  <c:v>46</c:v>
                </c:pt>
                <c:pt idx="2">
                  <c:v>65</c:v>
                </c:pt>
                <c:pt idx="3">
                  <c:v>76</c:v>
                </c:pt>
                <c:pt idx="4">
                  <c:v>95</c:v>
                </c:pt>
                <c:pt idx="5">
                  <c:v>104</c:v>
                </c:pt>
                <c:pt idx="6">
                  <c:v>102</c:v>
                </c:pt>
                <c:pt idx="7">
                  <c:v>100</c:v>
                </c:pt>
                <c:pt idx="8">
                  <c:v>104</c:v>
                </c:pt>
                <c:pt idx="9">
                  <c:v>102</c:v>
                </c:pt>
                <c:pt idx="10">
                  <c:v>86</c:v>
                </c:pt>
                <c:pt idx="11">
                  <c:v>82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8393856"/>
        <c:axId val="198394432"/>
      </c:scatterChart>
      <c:valAx>
        <c:axId val="198393856"/>
        <c:scaling>
          <c:orientation val="minMax"/>
        </c:scaling>
        <c:delete val="0"/>
        <c:axPos val="b"/>
        <c:majorTickMark val="out"/>
        <c:minorTickMark val="none"/>
        <c:tickLblPos val="nextTo"/>
        <c:crossAx val="198394432"/>
        <c:crosses val="autoZero"/>
        <c:crossBetween val="midCat"/>
      </c:valAx>
      <c:valAx>
        <c:axId val="198394432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198393856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v>Demande P2E2 - Saison 2</c:v>
          </c:tx>
          <c:marker>
            <c:symbol val="none"/>
          </c:marker>
          <c:xVal>
            <c:strRef>
              <c:f>'P2_Entrepôt 2'!$O$4:$Z$4</c:f>
              <c:strCache>
                <c:ptCount val="12"/>
                <c:pt idx="0">
                  <c:v>T-12</c:v>
                </c:pt>
                <c:pt idx="1">
                  <c:v>T-11</c:v>
                </c:pt>
                <c:pt idx="2">
                  <c:v>T-10</c:v>
                </c:pt>
                <c:pt idx="3">
                  <c:v>T-9</c:v>
                </c:pt>
                <c:pt idx="4">
                  <c:v>T-8</c:v>
                </c:pt>
                <c:pt idx="5">
                  <c:v>T-7</c:v>
                </c:pt>
                <c:pt idx="6">
                  <c:v>T-6</c:v>
                </c:pt>
                <c:pt idx="7">
                  <c:v>T-5</c:v>
                </c:pt>
                <c:pt idx="8">
                  <c:v>T-4</c:v>
                </c:pt>
                <c:pt idx="9">
                  <c:v>T-3</c:v>
                </c:pt>
                <c:pt idx="10">
                  <c:v>T-2</c:v>
                </c:pt>
                <c:pt idx="11">
                  <c:v>T-1</c:v>
                </c:pt>
              </c:strCache>
            </c:strRef>
          </c:xVal>
          <c:yVal>
            <c:numRef>
              <c:f>'P2_Entrepôt 2'!$O$5:$Z$5</c:f>
              <c:numCache>
                <c:formatCode>0</c:formatCode>
                <c:ptCount val="12"/>
                <c:pt idx="0">
                  <c:v>74</c:v>
                </c:pt>
                <c:pt idx="1">
                  <c:v>80</c:v>
                </c:pt>
                <c:pt idx="2">
                  <c:v>93</c:v>
                </c:pt>
                <c:pt idx="3">
                  <c:v>127</c:v>
                </c:pt>
                <c:pt idx="4">
                  <c:v>147</c:v>
                </c:pt>
                <c:pt idx="5">
                  <c:v>175</c:v>
                </c:pt>
                <c:pt idx="6">
                  <c:v>158</c:v>
                </c:pt>
                <c:pt idx="7">
                  <c:v>156</c:v>
                </c:pt>
                <c:pt idx="8">
                  <c:v>154</c:v>
                </c:pt>
                <c:pt idx="9">
                  <c:v>138</c:v>
                </c:pt>
                <c:pt idx="10">
                  <c:v>125</c:v>
                </c:pt>
                <c:pt idx="11">
                  <c:v>114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8396160"/>
        <c:axId val="198396736"/>
      </c:scatterChart>
      <c:valAx>
        <c:axId val="198396160"/>
        <c:scaling>
          <c:orientation val="minMax"/>
        </c:scaling>
        <c:delete val="0"/>
        <c:axPos val="b"/>
        <c:majorTickMark val="out"/>
        <c:minorTickMark val="none"/>
        <c:tickLblPos val="nextTo"/>
        <c:crossAx val="198396736"/>
        <c:crosses val="autoZero"/>
        <c:crossBetween val="midCat"/>
      </c:valAx>
      <c:valAx>
        <c:axId val="198396736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198396160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v>Demande P2E2</c:v>
          </c:tx>
          <c:marker>
            <c:symbol val="none"/>
          </c:marker>
          <c:trendline>
            <c:trendlineType val="linear"/>
            <c:dispRSqr val="1"/>
            <c:dispEq val="1"/>
            <c:trendlineLbl>
              <c:layout>
                <c:manualLayout>
                  <c:x val="0.30022307883520133"/>
                  <c:y val="-9.9505184802719332E-2"/>
                </c:manualLayout>
              </c:layout>
              <c:numFmt formatCode="General" sourceLinked="0"/>
            </c:trendlineLbl>
          </c:trendline>
          <c:xVal>
            <c:strRef>
              <c:f>'P2_Entrepôt 2'!$C$4:$Z$4</c:f>
              <c:strCache>
                <c:ptCount val="24"/>
                <c:pt idx="0">
                  <c:v>T-24</c:v>
                </c:pt>
                <c:pt idx="1">
                  <c:v>T-23</c:v>
                </c:pt>
                <c:pt idx="2">
                  <c:v>T-22</c:v>
                </c:pt>
                <c:pt idx="3">
                  <c:v>T-21</c:v>
                </c:pt>
                <c:pt idx="4">
                  <c:v>T-20</c:v>
                </c:pt>
                <c:pt idx="5">
                  <c:v>T-19</c:v>
                </c:pt>
                <c:pt idx="6">
                  <c:v>T-18</c:v>
                </c:pt>
                <c:pt idx="7">
                  <c:v>T-17</c:v>
                </c:pt>
                <c:pt idx="8">
                  <c:v>T-16</c:v>
                </c:pt>
                <c:pt idx="9">
                  <c:v>T-15</c:v>
                </c:pt>
                <c:pt idx="10">
                  <c:v>T-14</c:v>
                </c:pt>
                <c:pt idx="11">
                  <c:v>T-13</c:v>
                </c:pt>
                <c:pt idx="12">
                  <c:v>T-12</c:v>
                </c:pt>
                <c:pt idx="13">
                  <c:v>T-11</c:v>
                </c:pt>
                <c:pt idx="14">
                  <c:v>T-10</c:v>
                </c:pt>
                <c:pt idx="15">
                  <c:v>T-9</c:v>
                </c:pt>
                <c:pt idx="16">
                  <c:v>T-8</c:v>
                </c:pt>
                <c:pt idx="17">
                  <c:v>T-7</c:v>
                </c:pt>
                <c:pt idx="18">
                  <c:v>T-6</c:v>
                </c:pt>
                <c:pt idx="19">
                  <c:v>T-5</c:v>
                </c:pt>
                <c:pt idx="20">
                  <c:v>T-4</c:v>
                </c:pt>
                <c:pt idx="21">
                  <c:v>T-3</c:v>
                </c:pt>
                <c:pt idx="22">
                  <c:v>T-2</c:v>
                </c:pt>
                <c:pt idx="23">
                  <c:v>T-1</c:v>
                </c:pt>
              </c:strCache>
            </c:strRef>
          </c:xVal>
          <c:yVal>
            <c:numRef>
              <c:f>'P2_Entrepôt 2'!$C$5:$Z$5</c:f>
              <c:numCache>
                <c:formatCode>0</c:formatCode>
                <c:ptCount val="24"/>
                <c:pt idx="0">
                  <c:v>37</c:v>
                </c:pt>
                <c:pt idx="1">
                  <c:v>46</c:v>
                </c:pt>
                <c:pt idx="2">
                  <c:v>65</c:v>
                </c:pt>
                <c:pt idx="3">
                  <c:v>76</c:v>
                </c:pt>
                <c:pt idx="4">
                  <c:v>95</c:v>
                </c:pt>
                <c:pt idx="5">
                  <c:v>104</c:v>
                </c:pt>
                <c:pt idx="6">
                  <c:v>102</c:v>
                </c:pt>
                <c:pt idx="7">
                  <c:v>100</c:v>
                </c:pt>
                <c:pt idx="8">
                  <c:v>104</c:v>
                </c:pt>
                <c:pt idx="9">
                  <c:v>102</c:v>
                </c:pt>
                <c:pt idx="10">
                  <c:v>86</c:v>
                </c:pt>
                <c:pt idx="11">
                  <c:v>82</c:v>
                </c:pt>
                <c:pt idx="12">
                  <c:v>74</c:v>
                </c:pt>
                <c:pt idx="13">
                  <c:v>80</c:v>
                </c:pt>
                <c:pt idx="14">
                  <c:v>93</c:v>
                </c:pt>
                <c:pt idx="15">
                  <c:v>127</c:v>
                </c:pt>
                <c:pt idx="16">
                  <c:v>147</c:v>
                </c:pt>
                <c:pt idx="17">
                  <c:v>175</c:v>
                </c:pt>
                <c:pt idx="18">
                  <c:v>158</c:v>
                </c:pt>
                <c:pt idx="19">
                  <c:v>156</c:v>
                </c:pt>
                <c:pt idx="20">
                  <c:v>154</c:v>
                </c:pt>
                <c:pt idx="21">
                  <c:v>138</c:v>
                </c:pt>
                <c:pt idx="22">
                  <c:v>125</c:v>
                </c:pt>
                <c:pt idx="23">
                  <c:v>114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8399040"/>
        <c:axId val="198399616"/>
      </c:scatterChart>
      <c:valAx>
        <c:axId val="198399040"/>
        <c:scaling>
          <c:orientation val="minMax"/>
        </c:scaling>
        <c:delete val="0"/>
        <c:axPos val="b"/>
        <c:majorTickMark val="out"/>
        <c:minorTickMark val="none"/>
        <c:tickLblPos val="nextTo"/>
        <c:crossAx val="198399616"/>
        <c:crosses val="autoZero"/>
        <c:crossBetween val="midCat"/>
      </c:valAx>
      <c:valAx>
        <c:axId val="198399616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198399040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v>Courbe Moyenne Mobile P2E2</c:v>
          </c:tx>
          <c:marker>
            <c:symbol val="none"/>
          </c:marker>
          <c:trendline>
            <c:trendlineType val="linear"/>
            <c:dispRSqr val="1"/>
            <c:dispEq val="1"/>
            <c:trendlineLbl>
              <c:layout>
                <c:manualLayout>
                  <c:x val="0.40864746490664011"/>
                  <c:y val="3.6728979809373619E-2"/>
                </c:manualLayout>
              </c:layout>
              <c:numFmt formatCode="General" sourceLinked="0"/>
            </c:trendlineLbl>
          </c:trendline>
          <c:xVal>
            <c:strRef>
              <c:f>'P2_Entrepôt 2'!$I$4:$T$4</c:f>
              <c:strCache>
                <c:ptCount val="12"/>
                <c:pt idx="0">
                  <c:v>T-18</c:v>
                </c:pt>
                <c:pt idx="1">
                  <c:v>T-17</c:v>
                </c:pt>
                <c:pt idx="2">
                  <c:v>T-16</c:v>
                </c:pt>
                <c:pt idx="3">
                  <c:v>T-15</c:v>
                </c:pt>
                <c:pt idx="4">
                  <c:v>T-14</c:v>
                </c:pt>
                <c:pt idx="5">
                  <c:v>T-13</c:v>
                </c:pt>
                <c:pt idx="6">
                  <c:v>T-12</c:v>
                </c:pt>
                <c:pt idx="7">
                  <c:v>T-11</c:v>
                </c:pt>
                <c:pt idx="8">
                  <c:v>T-10</c:v>
                </c:pt>
                <c:pt idx="9">
                  <c:v>T-9</c:v>
                </c:pt>
                <c:pt idx="10">
                  <c:v>T-8</c:v>
                </c:pt>
                <c:pt idx="11">
                  <c:v>T-7</c:v>
                </c:pt>
              </c:strCache>
            </c:strRef>
          </c:xVal>
          <c:yVal>
            <c:numRef>
              <c:f>'P2_Entrepôt 2'!$I$6:$T$6</c:f>
              <c:numCache>
                <c:formatCode>0.00</c:formatCode>
                <c:ptCount val="12"/>
                <c:pt idx="0">
                  <c:v>83.25</c:v>
                </c:pt>
                <c:pt idx="1">
                  <c:v>85.833333333333329</c:v>
                </c:pt>
                <c:pt idx="2">
                  <c:v>87.625</c:v>
                </c:pt>
                <c:pt idx="3">
                  <c:v>90.458333333333329</c:v>
                </c:pt>
                <c:pt idx="4">
                  <c:v>93.958333333333329</c:v>
                </c:pt>
                <c:pt idx="5">
                  <c:v>98.708333333333329</c:v>
                </c:pt>
                <c:pt idx="6">
                  <c:v>107.55208333333333</c:v>
                </c:pt>
                <c:pt idx="7">
                  <c:v>112.4097222222222</c:v>
                </c:pt>
                <c:pt idx="8">
                  <c:v>116.734375</c:v>
                </c:pt>
                <c:pt idx="9">
                  <c:v>120.5190972222222</c:v>
                </c:pt>
                <c:pt idx="10">
                  <c:v>124.4565972222222</c:v>
                </c:pt>
                <c:pt idx="11">
                  <c:v>127.77951388888887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8400768"/>
        <c:axId val="198401344"/>
      </c:scatterChart>
      <c:valAx>
        <c:axId val="198400768"/>
        <c:scaling>
          <c:orientation val="minMax"/>
        </c:scaling>
        <c:delete val="0"/>
        <c:axPos val="b"/>
        <c:majorTickMark val="out"/>
        <c:minorTickMark val="none"/>
        <c:tickLblPos val="nextTo"/>
        <c:crossAx val="198401344"/>
        <c:crosses val="autoZero"/>
        <c:crossBetween val="midCat"/>
      </c:valAx>
      <c:valAx>
        <c:axId val="198401344"/>
        <c:scaling>
          <c:orientation val="minMax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198400768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v>Demande P2E3 - Saison 1</c:v>
          </c:tx>
          <c:marker>
            <c:symbol val="none"/>
          </c:marker>
          <c:xVal>
            <c:strRef>
              <c:f>'P2_Entrepôt 3'!$C$4:$N$4</c:f>
              <c:strCache>
                <c:ptCount val="12"/>
                <c:pt idx="0">
                  <c:v>T-24</c:v>
                </c:pt>
                <c:pt idx="1">
                  <c:v>T-23</c:v>
                </c:pt>
                <c:pt idx="2">
                  <c:v>T-22</c:v>
                </c:pt>
                <c:pt idx="3">
                  <c:v>T-21</c:v>
                </c:pt>
                <c:pt idx="4">
                  <c:v>T-20</c:v>
                </c:pt>
                <c:pt idx="5">
                  <c:v>T-19</c:v>
                </c:pt>
                <c:pt idx="6">
                  <c:v>T-18</c:v>
                </c:pt>
                <c:pt idx="7">
                  <c:v>T-17</c:v>
                </c:pt>
                <c:pt idx="8">
                  <c:v>T-16</c:v>
                </c:pt>
                <c:pt idx="9">
                  <c:v>T-15</c:v>
                </c:pt>
                <c:pt idx="10">
                  <c:v>T-14</c:v>
                </c:pt>
                <c:pt idx="11">
                  <c:v>T-13</c:v>
                </c:pt>
              </c:strCache>
            </c:strRef>
          </c:xVal>
          <c:yVal>
            <c:numRef>
              <c:f>'P2_Entrepôt 3'!$C$5:$N$5</c:f>
              <c:numCache>
                <c:formatCode>0</c:formatCode>
                <c:ptCount val="12"/>
                <c:pt idx="0">
                  <c:v>19</c:v>
                </c:pt>
                <c:pt idx="1">
                  <c:v>26</c:v>
                </c:pt>
                <c:pt idx="2">
                  <c:v>38</c:v>
                </c:pt>
                <c:pt idx="3">
                  <c:v>46</c:v>
                </c:pt>
                <c:pt idx="4">
                  <c:v>60</c:v>
                </c:pt>
                <c:pt idx="5">
                  <c:v>67</c:v>
                </c:pt>
                <c:pt idx="6">
                  <c:v>68</c:v>
                </c:pt>
                <c:pt idx="7">
                  <c:v>68</c:v>
                </c:pt>
                <c:pt idx="8">
                  <c:v>72</c:v>
                </c:pt>
                <c:pt idx="9">
                  <c:v>72</c:v>
                </c:pt>
                <c:pt idx="10">
                  <c:v>61</c:v>
                </c:pt>
                <c:pt idx="11">
                  <c:v>60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8206592"/>
        <c:axId val="198207168"/>
      </c:scatterChart>
      <c:valAx>
        <c:axId val="198206592"/>
        <c:scaling>
          <c:orientation val="minMax"/>
        </c:scaling>
        <c:delete val="0"/>
        <c:axPos val="b"/>
        <c:majorTickMark val="out"/>
        <c:minorTickMark val="none"/>
        <c:tickLblPos val="nextTo"/>
        <c:crossAx val="198207168"/>
        <c:crosses val="autoZero"/>
        <c:crossBetween val="midCat"/>
      </c:valAx>
      <c:valAx>
        <c:axId val="198207168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198206592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v>Demande P2E3 - Saison 2</c:v>
          </c:tx>
          <c:marker>
            <c:symbol val="none"/>
          </c:marker>
          <c:xVal>
            <c:strRef>
              <c:f>'P2_Entrepôt 3'!$O$4:$Z$4</c:f>
              <c:strCache>
                <c:ptCount val="12"/>
                <c:pt idx="0">
                  <c:v>T-12</c:v>
                </c:pt>
                <c:pt idx="1">
                  <c:v>T-11</c:v>
                </c:pt>
                <c:pt idx="2">
                  <c:v>T-10</c:v>
                </c:pt>
                <c:pt idx="3">
                  <c:v>T-9</c:v>
                </c:pt>
                <c:pt idx="4">
                  <c:v>T-8</c:v>
                </c:pt>
                <c:pt idx="5">
                  <c:v>T-7</c:v>
                </c:pt>
                <c:pt idx="6">
                  <c:v>T-6</c:v>
                </c:pt>
                <c:pt idx="7">
                  <c:v>T-5</c:v>
                </c:pt>
                <c:pt idx="8">
                  <c:v>T-4</c:v>
                </c:pt>
                <c:pt idx="9">
                  <c:v>T-3</c:v>
                </c:pt>
                <c:pt idx="10">
                  <c:v>T-2</c:v>
                </c:pt>
                <c:pt idx="11">
                  <c:v>T-1</c:v>
                </c:pt>
              </c:strCache>
            </c:strRef>
          </c:xVal>
          <c:yVal>
            <c:numRef>
              <c:f>'P2_Entrepôt 3'!$O$5:$Z$5</c:f>
              <c:numCache>
                <c:formatCode>0</c:formatCode>
                <c:ptCount val="12"/>
                <c:pt idx="0">
                  <c:v>55</c:v>
                </c:pt>
                <c:pt idx="1">
                  <c:v>60</c:v>
                </c:pt>
                <c:pt idx="2">
                  <c:v>71</c:v>
                </c:pt>
                <c:pt idx="3">
                  <c:v>97</c:v>
                </c:pt>
                <c:pt idx="4">
                  <c:v>114</c:v>
                </c:pt>
                <c:pt idx="5">
                  <c:v>137</c:v>
                </c:pt>
                <c:pt idx="6">
                  <c:v>124</c:v>
                </c:pt>
                <c:pt idx="7">
                  <c:v>124</c:v>
                </c:pt>
                <c:pt idx="8">
                  <c:v>123</c:v>
                </c:pt>
                <c:pt idx="9">
                  <c:v>111</c:v>
                </c:pt>
                <c:pt idx="10">
                  <c:v>102</c:v>
                </c:pt>
                <c:pt idx="11">
                  <c:v>93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8210048"/>
        <c:axId val="198210624"/>
      </c:scatterChart>
      <c:valAx>
        <c:axId val="198210048"/>
        <c:scaling>
          <c:orientation val="minMax"/>
        </c:scaling>
        <c:delete val="0"/>
        <c:axPos val="b"/>
        <c:majorTickMark val="out"/>
        <c:minorTickMark val="none"/>
        <c:tickLblPos val="nextTo"/>
        <c:crossAx val="198210624"/>
        <c:crosses val="autoZero"/>
        <c:crossBetween val="midCat"/>
      </c:valAx>
      <c:valAx>
        <c:axId val="198210624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198210048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v>Demande P2E3</c:v>
          </c:tx>
          <c:marker>
            <c:symbol val="none"/>
          </c:marker>
          <c:trendline>
            <c:trendlineType val="linear"/>
            <c:dispRSqr val="1"/>
            <c:dispEq val="1"/>
            <c:trendlineLbl>
              <c:layout>
                <c:manualLayout>
                  <c:x val="0.4099116360454943"/>
                  <c:y val="-0.12414114902303879"/>
                </c:manualLayout>
              </c:layout>
              <c:numFmt formatCode="General" sourceLinked="0"/>
            </c:trendlineLbl>
          </c:trendline>
          <c:xVal>
            <c:strRef>
              <c:f>'P2_Entrepôt 3'!$C$4:$Z$4</c:f>
              <c:strCache>
                <c:ptCount val="24"/>
                <c:pt idx="0">
                  <c:v>T-24</c:v>
                </c:pt>
                <c:pt idx="1">
                  <c:v>T-23</c:v>
                </c:pt>
                <c:pt idx="2">
                  <c:v>T-22</c:v>
                </c:pt>
                <c:pt idx="3">
                  <c:v>T-21</c:v>
                </c:pt>
                <c:pt idx="4">
                  <c:v>T-20</c:v>
                </c:pt>
                <c:pt idx="5">
                  <c:v>T-19</c:v>
                </c:pt>
                <c:pt idx="6">
                  <c:v>T-18</c:v>
                </c:pt>
                <c:pt idx="7">
                  <c:v>T-17</c:v>
                </c:pt>
                <c:pt idx="8">
                  <c:v>T-16</c:v>
                </c:pt>
                <c:pt idx="9">
                  <c:v>T-15</c:v>
                </c:pt>
                <c:pt idx="10">
                  <c:v>T-14</c:v>
                </c:pt>
                <c:pt idx="11">
                  <c:v>T-13</c:v>
                </c:pt>
                <c:pt idx="12">
                  <c:v>T-12</c:v>
                </c:pt>
                <c:pt idx="13">
                  <c:v>T-11</c:v>
                </c:pt>
                <c:pt idx="14">
                  <c:v>T-10</c:v>
                </c:pt>
                <c:pt idx="15">
                  <c:v>T-9</c:v>
                </c:pt>
                <c:pt idx="16">
                  <c:v>T-8</c:v>
                </c:pt>
                <c:pt idx="17">
                  <c:v>T-7</c:v>
                </c:pt>
                <c:pt idx="18">
                  <c:v>T-6</c:v>
                </c:pt>
                <c:pt idx="19">
                  <c:v>T-5</c:v>
                </c:pt>
                <c:pt idx="20">
                  <c:v>T-4</c:v>
                </c:pt>
                <c:pt idx="21">
                  <c:v>T-3</c:v>
                </c:pt>
                <c:pt idx="22">
                  <c:v>T-2</c:v>
                </c:pt>
                <c:pt idx="23">
                  <c:v>T-1</c:v>
                </c:pt>
              </c:strCache>
            </c:strRef>
          </c:xVal>
          <c:yVal>
            <c:numRef>
              <c:f>'P2_Entrepôt 3'!$C$5:$Z$5</c:f>
              <c:numCache>
                <c:formatCode>0</c:formatCode>
                <c:ptCount val="24"/>
                <c:pt idx="0">
                  <c:v>19</c:v>
                </c:pt>
                <c:pt idx="1">
                  <c:v>26</c:v>
                </c:pt>
                <c:pt idx="2">
                  <c:v>38</c:v>
                </c:pt>
                <c:pt idx="3">
                  <c:v>46</c:v>
                </c:pt>
                <c:pt idx="4">
                  <c:v>60</c:v>
                </c:pt>
                <c:pt idx="5">
                  <c:v>67</c:v>
                </c:pt>
                <c:pt idx="6">
                  <c:v>68</c:v>
                </c:pt>
                <c:pt idx="7">
                  <c:v>68</c:v>
                </c:pt>
                <c:pt idx="8">
                  <c:v>72</c:v>
                </c:pt>
                <c:pt idx="9">
                  <c:v>72</c:v>
                </c:pt>
                <c:pt idx="10">
                  <c:v>61</c:v>
                </c:pt>
                <c:pt idx="11">
                  <c:v>60</c:v>
                </c:pt>
                <c:pt idx="12">
                  <c:v>55</c:v>
                </c:pt>
                <c:pt idx="13">
                  <c:v>60</c:v>
                </c:pt>
                <c:pt idx="14">
                  <c:v>71</c:v>
                </c:pt>
                <c:pt idx="15">
                  <c:v>97</c:v>
                </c:pt>
                <c:pt idx="16">
                  <c:v>114</c:v>
                </c:pt>
                <c:pt idx="17">
                  <c:v>137</c:v>
                </c:pt>
                <c:pt idx="18">
                  <c:v>124</c:v>
                </c:pt>
                <c:pt idx="19">
                  <c:v>124</c:v>
                </c:pt>
                <c:pt idx="20">
                  <c:v>123</c:v>
                </c:pt>
                <c:pt idx="21">
                  <c:v>111</c:v>
                </c:pt>
                <c:pt idx="22">
                  <c:v>102</c:v>
                </c:pt>
                <c:pt idx="23">
                  <c:v>93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8212928"/>
        <c:axId val="198918144"/>
      </c:scatterChart>
      <c:valAx>
        <c:axId val="198212928"/>
        <c:scaling>
          <c:orientation val="minMax"/>
        </c:scaling>
        <c:delete val="0"/>
        <c:axPos val="b"/>
        <c:majorTickMark val="out"/>
        <c:minorTickMark val="none"/>
        <c:tickLblPos val="nextTo"/>
        <c:crossAx val="198918144"/>
        <c:crosses val="autoZero"/>
        <c:crossBetween val="midCat"/>
      </c:valAx>
      <c:valAx>
        <c:axId val="198918144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198212928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v>Courbe Moyenne Mobile P2E3</c:v>
          </c:tx>
          <c:marker>
            <c:symbol val="none"/>
          </c:marker>
          <c:trendline>
            <c:trendlineType val="linear"/>
            <c:dispRSqr val="1"/>
            <c:dispEq val="1"/>
            <c:trendlineLbl>
              <c:layout>
                <c:manualLayout>
                  <c:x val="0.41942563429571306"/>
                  <c:y val="-6.1707494896471274E-2"/>
                </c:manualLayout>
              </c:layout>
              <c:numFmt formatCode="General" sourceLinked="0"/>
            </c:trendlineLbl>
          </c:trendline>
          <c:xVal>
            <c:strRef>
              <c:f>'P2_Entrepôt 3'!$I$4:$T$4</c:f>
              <c:strCache>
                <c:ptCount val="12"/>
                <c:pt idx="0">
                  <c:v>T-18</c:v>
                </c:pt>
                <c:pt idx="1">
                  <c:v>T-17</c:v>
                </c:pt>
                <c:pt idx="2">
                  <c:v>T-16</c:v>
                </c:pt>
                <c:pt idx="3">
                  <c:v>T-15</c:v>
                </c:pt>
                <c:pt idx="4">
                  <c:v>T-14</c:v>
                </c:pt>
                <c:pt idx="5">
                  <c:v>T-13</c:v>
                </c:pt>
                <c:pt idx="6">
                  <c:v>T-12</c:v>
                </c:pt>
                <c:pt idx="7">
                  <c:v>T-11</c:v>
                </c:pt>
                <c:pt idx="8">
                  <c:v>T-10</c:v>
                </c:pt>
                <c:pt idx="9">
                  <c:v>T-9</c:v>
                </c:pt>
                <c:pt idx="10">
                  <c:v>T-8</c:v>
                </c:pt>
                <c:pt idx="11">
                  <c:v>T-7</c:v>
                </c:pt>
              </c:strCache>
            </c:strRef>
          </c:xVal>
          <c:yVal>
            <c:numRef>
              <c:f>'P2_Entrepôt 3'!$I$6:$T$6</c:f>
              <c:numCache>
                <c:formatCode>0.00</c:formatCode>
                <c:ptCount val="12"/>
                <c:pt idx="0">
                  <c:v>56.25</c:v>
                </c:pt>
                <c:pt idx="1">
                  <c:v>59.166666666666664</c:v>
                </c:pt>
                <c:pt idx="2">
                  <c:v>61.958333333333329</c:v>
                </c:pt>
                <c:pt idx="3">
                  <c:v>65.458333333333329</c:v>
                </c:pt>
                <c:pt idx="4">
                  <c:v>69.833333333333329</c:v>
                </c:pt>
                <c:pt idx="5">
                  <c:v>75</c:v>
                </c:pt>
                <c:pt idx="6">
                  <c:v>80.25</c:v>
                </c:pt>
                <c:pt idx="7">
                  <c:v>84.916666666666657</c:v>
                </c:pt>
                <c:pt idx="8">
                  <c:v>89.375</c:v>
                </c:pt>
                <c:pt idx="9">
                  <c:v>93.125</c:v>
                </c:pt>
                <c:pt idx="10">
                  <c:v>96.458333333333329</c:v>
                </c:pt>
                <c:pt idx="11">
                  <c:v>99.541666666666657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8919296"/>
        <c:axId val="198919872"/>
      </c:scatterChart>
      <c:valAx>
        <c:axId val="198919296"/>
        <c:scaling>
          <c:orientation val="minMax"/>
        </c:scaling>
        <c:delete val="0"/>
        <c:axPos val="b"/>
        <c:majorTickMark val="out"/>
        <c:minorTickMark val="none"/>
        <c:tickLblPos val="nextTo"/>
        <c:crossAx val="198919872"/>
        <c:crosses val="autoZero"/>
        <c:crossBetween val="midCat"/>
      </c:valAx>
      <c:valAx>
        <c:axId val="198919872"/>
        <c:scaling>
          <c:orientation val="minMax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198919296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v>Demande P2E4 - Saison 1</c:v>
          </c:tx>
          <c:marker>
            <c:symbol val="none"/>
          </c:marker>
          <c:xVal>
            <c:strRef>
              <c:f>'P2_Entrepôt 4'!$C$4:$N$4</c:f>
              <c:strCache>
                <c:ptCount val="12"/>
                <c:pt idx="0">
                  <c:v>T-24</c:v>
                </c:pt>
                <c:pt idx="1">
                  <c:v>T-23</c:v>
                </c:pt>
                <c:pt idx="2">
                  <c:v>T-22</c:v>
                </c:pt>
                <c:pt idx="3">
                  <c:v>T-21</c:v>
                </c:pt>
                <c:pt idx="4">
                  <c:v>T-20</c:v>
                </c:pt>
                <c:pt idx="5">
                  <c:v>T-19</c:v>
                </c:pt>
                <c:pt idx="6">
                  <c:v>T-18</c:v>
                </c:pt>
                <c:pt idx="7">
                  <c:v>T-17</c:v>
                </c:pt>
                <c:pt idx="8">
                  <c:v>T-16</c:v>
                </c:pt>
                <c:pt idx="9">
                  <c:v>T-15</c:v>
                </c:pt>
                <c:pt idx="10">
                  <c:v>T-14</c:v>
                </c:pt>
                <c:pt idx="11">
                  <c:v>T-13</c:v>
                </c:pt>
              </c:strCache>
            </c:strRef>
          </c:xVal>
          <c:yVal>
            <c:numRef>
              <c:f>'P2_Entrepôt 4'!$C$5:$N$5</c:f>
              <c:numCache>
                <c:formatCode>0</c:formatCode>
                <c:ptCount val="12"/>
                <c:pt idx="0">
                  <c:v>6</c:v>
                </c:pt>
                <c:pt idx="1">
                  <c:v>8</c:v>
                </c:pt>
                <c:pt idx="2">
                  <c:v>13</c:v>
                </c:pt>
                <c:pt idx="3">
                  <c:v>16</c:v>
                </c:pt>
                <c:pt idx="4">
                  <c:v>22</c:v>
                </c:pt>
                <c:pt idx="5">
                  <c:v>26</c:v>
                </c:pt>
                <c:pt idx="6">
                  <c:v>26</c:v>
                </c:pt>
                <c:pt idx="7">
                  <c:v>27</c:v>
                </c:pt>
                <c:pt idx="8">
                  <c:v>29</c:v>
                </c:pt>
                <c:pt idx="9">
                  <c:v>29</c:v>
                </c:pt>
                <c:pt idx="10">
                  <c:v>25</c:v>
                </c:pt>
                <c:pt idx="11">
                  <c:v>25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8921600"/>
        <c:axId val="198922176"/>
      </c:scatterChart>
      <c:valAx>
        <c:axId val="198921600"/>
        <c:scaling>
          <c:orientation val="minMax"/>
        </c:scaling>
        <c:delete val="0"/>
        <c:axPos val="b"/>
        <c:majorTickMark val="out"/>
        <c:minorTickMark val="none"/>
        <c:tickLblPos val="nextTo"/>
        <c:crossAx val="198922176"/>
        <c:crosses val="autoZero"/>
        <c:crossBetween val="midCat"/>
      </c:valAx>
      <c:valAx>
        <c:axId val="198922176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198921600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v>Demande P2E4 - Saison 2</c:v>
          </c:tx>
          <c:marker>
            <c:symbol val="none"/>
          </c:marker>
          <c:xVal>
            <c:strRef>
              <c:f>'P2_Entrepôt 4'!$O$4:$Z$4</c:f>
              <c:strCache>
                <c:ptCount val="12"/>
                <c:pt idx="0">
                  <c:v>T-12</c:v>
                </c:pt>
                <c:pt idx="1">
                  <c:v>T-11</c:v>
                </c:pt>
                <c:pt idx="2">
                  <c:v>T-10</c:v>
                </c:pt>
                <c:pt idx="3">
                  <c:v>T-9</c:v>
                </c:pt>
                <c:pt idx="4">
                  <c:v>T-8</c:v>
                </c:pt>
                <c:pt idx="5">
                  <c:v>T-7</c:v>
                </c:pt>
                <c:pt idx="6">
                  <c:v>T-6</c:v>
                </c:pt>
                <c:pt idx="7">
                  <c:v>T-5</c:v>
                </c:pt>
                <c:pt idx="8">
                  <c:v>T-4</c:v>
                </c:pt>
                <c:pt idx="9">
                  <c:v>T-3</c:v>
                </c:pt>
                <c:pt idx="10">
                  <c:v>T-2</c:v>
                </c:pt>
                <c:pt idx="11">
                  <c:v>T-1</c:v>
                </c:pt>
              </c:strCache>
            </c:strRef>
          </c:xVal>
          <c:yVal>
            <c:numRef>
              <c:f>'P2_Entrepôt 4'!$O$5:$Z$5</c:f>
              <c:numCache>
                <c:formatCode>0</c:formatCode>
                <c:ptCount val="12"/>
                <c:pt idx="0">
                  <c:v>23</c:v>
                </c:pt>
                <c:pt idx="1">
                  <c:v>25</c:v>
                </c:pt>
                <c:pt idx="2">
                  <c:v>30</c:v>
                </c:pt>
                <c:pt idx="3">
                  <c:v>42</c:v>
                </c:pt>
                <c:pt idx="4">
                  <c:v>49</c:v>
                </c:pt>
                <c:pt idx="5">
                  <c:v>60</c:v>
                </c:pt>
                <c:pt idx="6">
                  <c:v>55</c:v>
                </c:pt>
                <c:pt idx="7">
                  <c:v>55</c:v>
                </c:pt>
                <c:pt idx="8">
                  <c:v>55</c:v>
                </c:pt>
                <c:pt idx="9">
                  <c:v>49</c:v>
                </c:pt>
                <c:pt idx="10">
                  <c:v>45</c:v>
                </c:pt>
                <c:pt idx="11">
                  <c:v>42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8923904"/>
        <c:axId val="198924480"/>
      </c:scatterChart>
      <c:valAx>
        <c:axId val="198923904"/>
        <c:scaling>
          <c:orientation val="minMax"/>
        </c:scaling>
        <c:delete val="0"/>
        <c:axPos val="b"/>
        <c:majorTickMark val="out"/>
        <c:minorTickMark val="none"/>
        <c:tickLblPos val="nextTo"/>
        <c:crossAx val="198924480"/>
        <c:crosses val="autoZero"/>
        <c:crossBetween val="midCat"/>
      </c:valAx>
      <c:valAx>
        <c:axId val="198924480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198923904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v>Demande P2E4</c:v>
          </c:tx>
          <c:marker>
            <c:symbol val="none"/>
          </c:marker>
          <c:trendline>
            <c:trendlineType val="linear"/>
            <c:dispRSqr val="1"/>
            <c:dispEq val="1"/>
            <c:trendlineLbl>
              <c:layout>
                <c:manualLayout>
                  <c:x val="0.4377283464566929"/>
                  <c:y val="-9.8160177894429865E-2"/>
                </c:manualLayout>
              </c:layout>
              <c:numFmt formatCode="General" sourceLinked="0"/>
            </c:trendlineLbl>
          </c:trendline>
          <c:xVal>
            <c:strRef>
              <c:f>'P2_Entrepôt 4'!$C$4:$Z$4</c:f>
              <c:strCache>
                <c:ptCount val="24"/>
                <c:pt idx="0">
                  <c:v>T-24</c:v>
                </c:pt>
                <c:pt idx="1">
                  <c:v>T-23</c:v>
                </c:pt>
                <c:pt idx="2">
                  <c:v>T-22</c:v>
                </c:pt>
                <c:pt idx="3">
                  <c:v>T-21</c:v>
                </c:pt>
                <c:pt idx="4">
                  <c:v>T-20</c:v>
                </c:pt>
                <c:pt idx="5">
                  <c:v>T-19</c:v>
                </c:pt>
                <c:pt idx="6">
                  <c:v>T-18</c:v>
                </c:pt>
                <c:pt idx="7">
                  <c:v>T-17</c:v>
                </c:pt>
                <c:pt idx="8">
                  <c:v>T-16</c:v>
                </c:pt>
                <c:pt idx="9">
                  <c:v>T-15</c:v>
                </c:pt>
                <c:pt idx="10">
                  <c:v>T-14</c:v>
                </c:pt>
                <c:pt idx="11">
                  <c:v>T-13</c:v>
                </c:pt>
                <c:pt idx="12">
                  <c:v>T-12</c:v>
                </c:pt>
                <c:pt idx="13">
                  <c:v>T-11</c:v>
                </c:pt>
                <c:pt idx="14">
                  <c:v>T-10</c:v>
                </c:pt>
                <c:pt idx="15">
                  <c:v>T-9</c:v>
                </c:pt>
                <c:pt idx="16">
                  <c:v>T-8</c:v>
                </c:pt>
                <c:pt idx="17">
                  <c:v>T-7</c:v>
                </c:pt>
                <c:pt idx="18">
                  <c:v>T-6</c:v>
                </c:pt>
                <c:pt idx="19">
                  <c:v>T-5</c:v>
                </c:pt>
                <c:pt idx="20">
                  <c:v>T-4</c:v>
                </c:pt>
                <c:pt idx="21">
                  <c:v>T-3</c:v>
                </c:pt>
                <c:pt idx="22">
                  <c:v>T-2</c:v>
                </c:pt>
                <c:pt idx="23">
                  <c:v>T-1</c:v>
                </c:pt>
              </c:strCache>
            </c:strRef>
          </c:xVal>
          <c:yVal>
            <c:numRef>
              <c:f>'P2_Entrepôt 4'!$C$5:$Z$5</c:f>
              <c:numCache>
                <c:formatCode>0</c:formatCode>
                <c:ptCount val="24"/>
                <c:pt idx="0">
                  <c:v>6</c:v>
                </c:pt>
                <c:pt idx="1">
                  <c:v>8</c:v>
                </c:pt>
                <c:pt idx="2">
                  <c:v>13</c:v>
                </c:pt>
                <c:pt idx="3">
                  <c:v>16</c:v>
                </c:pt>
                <c:pt idx="4">
                  <c:v>22</c:v>
                </c:pt>
                <c:pt idx="5">
                  <c:v>26</c:v>
                </c:pt>
                <c:pt idx="6">
                  <c:v>26</c:v>
                </c:pt>
                <c:pt idx="7">
                  <c:v>27</c:v>
                </c:pt>
                <c:pt idx="8">
                  <c:v>29</c:v>
                </c:pt>
                <c:pt idx="9">
                  <c:v>29</c:v>
                </c:pt>
                <c:pt idx="10">
                  <c:v>25</c:v>
                </c:pt>
                <c:pt idx="11">
                  <c:v>25</c:v>
                </c:pt>
                <c:pt idx="12">
                  <c:v>23</c:v>
                </c:pt>
                <c:pt idx="13">
                  <c:v>25</c:v>
                </c:pt>
                <c:pt idx="14">
                  <c:v>30</c:v>
                </c:pt>
                <c:pt idx="15">
                  <c:v>42</c:v>
                </c:pt>
                <c:pt idx="16">
                  <c:v>49</c:v>
                </c:pt>
                <c:pt idx="17">
                  <c:v>60</c:v>
                </c:pt>
                <c:pt idx="18">
                  <c:v>55</c:v>
                </c:pt>
                <c:pt idx="19">
                  <c:v>55</c:v>
                </c:pt>
                <c:pt idx="20">
                  <c:v>55</c:v>
                </c:pt>
                <c:pt idx="21">
                  <c:v>49</c:v>
                </c:pt>
                <c:pt idx="22">
                  <c:v>45</c:v>
                </c:pt>
                <c:pt idx="23">
                  <c:v>42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8476352"/>
        <c:axId val="198476928"/>
      </c:scatterChart>
      <c:valAx>
        <c:axId val="198476352"/>
        <c:scaling>
          <c:orientation val="minMax"/>
        </c:scaling>
        <c:delete val="0"/>
        <c:axPos val="b"/>
        <c:majorTickMark val="out"/>
        <c:minorTickMark val="none"/>
        <c:tickLblPos val="nextTo"/>
        <c:crossAx val="198476928"/>
        <c:crosses val="autoZero"/>
        <c:crossBetween val="midCat"/>
      </c:valAx>
      <c:valAx>
        <c:axId val="198476928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198476352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v>Courbe Moyenne Mobile P2E4</c:v>
          </c:tx>
          <c:marker>
            <c:symbol val="none"/>
          </c:marker>
          <c:trendline>
            <c:trendlineType val="linear"/>
            <c:dispRSqr val="1"/>
            <c:dispEq val="1"/>
            <c:trendlineLbl>
              <c:layout>
                <c:manualLayout>
                  <c:x val="0.43057545931758529"/>
                  <c:y val="-3.7396106736657921E-2"/>
                </c:manualLayout>
              </c:layout>
              <c:numFmt formatCode="General" sourceLinked="0"/>
            </c:trendlineLbl>
          </c:trendline>
          <c:xVal>
            <c:strRef>
              <c:f>'P2_Entrepôt 4'!$I$4:$T$4</c:f>
              <c:strCache>
                <c:ptCount val="12"/>
                <c:pt idx="0">
                  <c:v>T-18</c:v>
                </c:pt>
                <c:pt idx="1">
                  <c:v>T-17</c:v>
                </c:pt>
                <c:pt idx="2">
                  <c:v>T-16</c:v>
                </c:pt>
                <c:pt idx="3">
                  <c:v>T-15</c:v>
                </c:pt>
                <c:pt idx="4">
                  <c:v>T-14</c:v>
                </c:pt>
                <c:pt idx="5">
                  <c:v>T-13</c:v>
                </c:pt>
                <c:pt idx="6">
                  <c:v>T-12</c:v>
                </c:pt>
                <c:pt idx="7">
                  <c:v>T-11</c:v>
                </c:pt>
                <c:pt idx="8">
                  <c:v>T-10</c:v>
                </c:pt>
                <c:pt idx="9">
                  <c:v>T-9</c:v>
                </c:pt>
                <c:pt idx="10">
                  <c:v>T-8</c:v>
                </c:pt>
                <c:pt idx="11">
                  <c:v>T-7</c:v>
                </c:pt>
              </c:strCache>
            </c:strRef>
          </c:xVal>
          <c:yVal>
            <c:numRef>
              <c:f>'P2_Entrepôt 4'!$I$6:$T$6</c:f>
              <c:numCache>
                <c:formatCode>0.00</c:formatCode>
                <c:ptCount val="12"/>
                <c:pt idx="0">
                  <c:v>21.708333333333332</c:v>
                </c:pt>
                <c:pt idx="1">
                  <c:v>23.125</c:v>
                </c:pt>
                <c:pt idx="2">
                  <c:v>24.541666666666664</c:v>
                </c:pt>
                <c:pt idx="3">
                  <c:v>26.333333333333332</c:v>
                </c:pt>
                <c:pt idx="4">
                  <c:v>28.541666666666664</c:v>
                </c:pt>
                <c:pt idx="5">
                  <c:v>31.083333333333332</c:v>
                </c:pt>
                <c:pt idx="6">
                  <c:v>33.708333333333329</c:v>
                </c:pt>
                <c:pt idx="7">
                  <c:v>36.083333333333329</c:v>
                </c:pt>
                <c:pt idx="8">
                  <c:v>38.333333333333329</c:v>
                </c:pt>
                <c:pt idx="9">
                  <c:v>40.25</c:v>
                </c:pt>
                <c:pt idx="10">
                  <c:v>41.916666666666664</c:v>
                </c:pt>
                <c:pt idx="11">
                  <c:v>43.458333333333329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8478080"/>
        <c:axId val="198478656"/>
      </c:scatterChart>
      <c:valAx>
        <c:axId val="198478080"/>
        <c:scaling>
          <c:orientation val="minMax"/>
        </c:scaling>
        <c:delete val="0"/>
        <c:axPos val="b"/>
        <c:majorTickMark val="out"/>
        <c:minorTickMark val="none"/>
        <c:tickLblPos val="nextTo"/>
        <c:crossAx val="198478656"/>
        <c:crosses val="autoZero"/>
        <c:crossBetween val="midCat"/>
      </c:valAx>
      <c:valAx>
        <c:axId val="198478656"/>
        <c:scaling>
          <c:orientation val="minMax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198478080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v>Demande P2E5 - Saison 1</c:v>
          </c:tx>
          <c:marker>
            <c:symbol val="none"/>
          </c:marker>
          <c:xVal>
            <c:strRef>
              <c:f>'P2_Entrepôt 5'!$C$4:$N$4</c:f>
              <c:strCache>
                <c:ptCount val="12"/>
                <c:pt idx="0">
                  <c:v>T-24</c:v>
                </c:pt>
                <c:pt idx="1">
                  <c:v>T-23</c:v>
                </c:pt>
                <c:pt idx="2">
                  <c:v>T-22</c:v>
                </c:pt>
                <c:pt idx="3">
                  <c:v>T-21</c:v>
                </c:pt>
                <c:pt idx="4">
                  <c:v>T-20</c:v>
                </c:pt>
                <c:pt idx="5">
                  <c:v>T-19</c:v>
                </c:pt>
                <c:pt idx="6">
                  <c:v>T-18</c:v>
                </c:pt>
                <c:pt idx="7">
                  <c:v>T-17</c:v>
                </c:pt>
                <c:pt idx="8">
                  <c:v>T-16</c:v>
                </c:pt>
                <c:pt idx="9">
                  <c:v>T-15</c:v>
                </c:pt>
                <c:pt idx="10">
                  <c:v>T-14</c:v>
                </c:pt>
                <c:pt idx="11">
                  <c:v>T-13</c:v>
                </c:pt>
              </c:strCache>
            </c:strRef>
          </c:xVal>
          <c:yVal>
            <c:numRef>
              <c:f>'P2_Entrepôt 5'!$C$5:$N$5</c:f>
              <c:numCache>
                <c:formatCode>0</c:formatCode>
                <c:ptCount val="12"/>
                <c:pt idx="0">
                  <c:v>6</c:v>
                </c:pt>
                <c:pt idx="1">
                  <c:v>8</c:v>
                </c:pt>
                <c:pt idx="2">
                  <c:v>13</c:v>
                </c:pt>
                <c:pt idx="3">
                  <c:v>16</c:v>
                </c:pt>
                <c:pt idx="4">
                  <c:v>22</c:v>
                </c:pt>
                <c:pt idx="5">
                  <c:v>26</c:v>
                </c:pt>
                <c:pt idx="6">
                  <c:v>26</c:v>
                </c:pt>
                <c:pt idx="7">
                  <c:v>27</c:v>
                </c:pt>
                <c:pt idx="8">
                  <c:v>29</c:v>
                </c:pt>
                <c:pt idx="9">
                  <c:v>29</c:v>
                </c:pt>
                <c:pt idx="10">
                  <c:v>25</c:v>
                </c:pt>
                <c:pt idx="11">
                  <c:v>25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8480384"/>
        <c:axId val="198480960"/>
      </c:scatterChart>
      <c:valAx>
        <c:axId val="198480384"/>
        <c:scaling>
          <c:orientation val="minMax"/>
        </c:scaling>
        <c:delete val="0"/>
        <c:axPos val="b"/>
        <c:majorTickMark val="out"/>
        <c:minorTickMark val="none"/>
        <c:tickLblPos val="nextTo"/>
        <c:crossAx val="198480960"/>
        <c:crosses val="autoZero"/>
        <c:crossBetween val="midCat"/>
      </c:valAx>
      <c:valAx>
        <c:axId val="198480960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198480384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v>Demande P2E5 - Saison 2</c:v>
          </c:tx>
          <c:marker>
            <c:symbol val="none"/>
          </c:marker>
          <c:xVal>
            <c:strRef>
              <c:f>'P2_Entrepôt 5'!$O$4:$Z$4</c:f>
              <c:strCache>
                <c:ptCount val="12"/>
                <c:pt idx="0">
                  <c:v>T-12</c:v>
                </c:pt>
                <c:pt idx="1">
                  <c:v>T-11</c:v>
                </c:pt>
                <c:pt idx="2">
                  <c:v>T-10</c:v>
                </c:pt>
                <c:pt idx="3">
                  <c:v>T-9</c:v>
                </c:pt>
                <c:pt idx="4">
                  <c:v>T-8</c:v>
                </c:pt>
                <c:pt idx="5">
                  <c:v>T-7</c:v>
                </c:pt>
                <c:pt idx="6">
                  <c:v>T-6</c:v>
                </c:pt>
                <c:pt idx="7">
                  <c:v>T-5</c:v>
                </c:pt>
                <c:pt idx="8">
                  <c:v>T-4</c:v>
                </c:pt>
                <c:pt idx="9">
                  <c:v>T-3</c:v>
                </c:pt>
                <c:pt idx="10">
                  <c:v>T-2</c:v>
                </c:pt>
                <c:pt idx="11">
                  <c:v>T-1</c:v>
                </c:pt>
              </c:strCache>
            </c:strRef>
          </c:xVal>
          <c:yVal>
            <c:numRef>
              <c:f>'P2_Entrepôt 5'!$O$5:$Z$5</c:f>
              <c:numCache>
                <c:formatCode>0</c:formatCode>
                <c:ptCount val="12"/>
                <c:pt idx="0">
                  <c:v>23</c:v>
                </c:pt>
                <c:pt idx="1">
                  <c:v>25</c:v>
                </c:pt>
                <c:pt idx="2">
                  <c:v>30</c:v>
                </c:pt>
                <c:pt idx="3">
                  <c:v>42</c:v>
                </c:pt>
                <c:pt idx="4">
                  <c:v>49</c:v>
                </c:pt>
                <c:pt idx="5">
                  <c:v>60</c:v>
                </c:pt>
                <c:pt idx="6">
                  <c:v>55</c:v>
                </c:pt>
                <c:pt idx="7">
                  <c:v>55</c:v>
                </c:pt>
                <c:pt idx="8">
                  <c:v>55</c:v>
                </c:pt>
                <c:pt idx="9">
                  <c:v>49</c:v>
                </c:pt>
                <c:pt idx="10">
                  <c:v>45</c:v>
                </c:pt>
                <c:pt idx="11">
                  <c:v>42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8482688"/>
        <c:axId val="198483264"/>
      </c:scatterChart>
      <c:valAx>
        <c:axId val="198482688"/>
        <c:scaling>
          <c:orientation val="minMax"/>
        </c:scaling>
        <c:delete val="0"/>
        <c:axPos val="b"/>
        <c:majorTickMark val="out"/>
        <c:minorTickMark val="none"/>
        <c:tickLblPos val="nextTo"/>
        <c:crossAx val="198483264"/>
        <c:crosses val="autoZero"/>
        <c:crossBetween val="midCat"/>
      </c:valAx>
      <c:valAx>
        <c:axId val="198483264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198482688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v>Demande P2E5 </c:v>
          </c:tx>
          <c:marker>
            <c:symbol val="none"/>
          </c:marker>
          <c:trendline>
            <c:trendlineType val="linear"/>
            <c:dispRSqr val="1"/>
            <c:dispEq val="1"/>
            <c:trendlineLbl>
              <c:layout>
                <c:manualLayout>
                  <c:x val="0.43495056867891513"/>
                  <c:y val="-9.8160177894429865E-2"/>
                </c:manualLayout>
              </c:layout>
              <c:numFmt formatCode="General" sourceLinked="0"/>
            </c:trendlineLbl>
          </c:trendline>
          <c:xVal>
            <c:strRef>
              <c:f>'P2_Entrepôt 5'!$C$4:$Z$4</c:f>
              <c:strCache>
                <c:ptCount val="24"/>
                <c:pt idx="0">
                  <c:v>T-24</c:v>
                </c:pt>
                <c:pt idx="1">
                  <c:v>T-23</c:v>
                </c:pt>
                <c:pt idx="2">
                  <c:v>T-22</c:v>
                </c:pt>
                <c:pt idx="3">
                  <c:v>T-21</c:v>
                </c:pt>
                <c:pt idx="4">
                  <c:v>T-20</c:v>
                </c:pt>
                <c:pt idx="5">
                  <c:v>T-19</c:v>
                </c:pt>
                <c:pt idx="6">
                  <c:v>T-18</c:v>
                </c:pt>
                <c:pt idx="7">
                  <c:v>T-17</c:v>
                </c:pt>
                <c:pt idx="8">
                  <c:v>T-16</c:v>
                </c:pt>
                <c:pt idx="9">
                  <c:v>T-15</c:v>
                </c:pt>
                <c:pt idx="10">
                  <c:v>T-14</c:v>
                </c:pt>
                <c:pt idx="11">
                  <c:v>T-13</c:v>
                </c:pt>
                <c:pt idx="12">
                  <c:v>T-12</c:v>
                </c:pt>
                <c:pt idx="13">
                  <c:v>T-11</c:v>
                </c:pt>
                <c:pt idx="14">
                  <c:v>T-10</c:v>
                </c:pt>
                <c:pt idx="15">
                  <c:v>T-9</c:v>
                </c:pt>
                <c:pt idx="16">
                  <c:v>T-8</c:v>
                </c:pt>
                <c:pt idx="17">
                  <c:v>T-7</c:v>
                </c:pt>
                <c:pt idx="18">
                  <c:v>T-6</c:v>
                </c:pt>
                <c:pt idx="19">
                  <c:v>T-5</c:v>
                </c:pt>
                <c:pt idx="20">
                  <c:v>T-4</c:v>
                </c:pt>
                <c:pt idx="21">
                  <c:v>T-3</c:v>
                </c:pt>
                <c:pt idx="22">
                  <c:v>T-2</c:v>
                </c:pt>
                <c:pt idx="23">
                  <c:v>T-1</c:v>
                </c:pt>
              </c:strCache>
            </c:strRef>
          </c:xVal>
          <c:yVal>
            <c:numRef>
              <c:f>'P2_Entrepôt 5'!$C$5:$Z$5</c:f>
              <c:numCache>
                <c:formatCode>0</c:formatCode>
                <c:ptCount val="24"/>
                <c:pt idx="0">
                  <c:v>6</c:v>
                </c:pt>
                <c:pt idx="1">
                  <c:v>8</c:v>
                </c:pt>
                <c:pt idx="2">
                  <c:v>13</c:v>
                </c:pt>
                <c:pt idx="3">
                  <c:v>16</c:v>
                </c:pt>
                <c:pt idx="4">
                  <c:v>22</c:v>
                </c:pt>
                <c:pt idx="5">
                  <c:v>26</c:v>
                </c:pt>
                <c:pt idx="6">
                  <c:v>26</c:v>
                </c:pt>
                <c:pt idx="7">
                  <c:v>27</c:v>
                </c:pt>
                <c:pt idx="8">
                  <c:v>29</c:v>
                </c:pt>
                <c:pt idx="9">
                  <c:v>29</c:v>
                </c:pt>
                <c:pt idx="10">
                  <c:v>25</c:v>
                </c:pt>
                <c:pt idx="11">
                  <c:v>25</c:v>
                </c:pt>
                <c:pt idx="12">
                  <c:v>23</c:v>
                </c:pt>
                <c:pt idx="13">
                  <c:v>25</c:v>
                </c:pt>
                <c:pt idx="14">
                  <c:v>30</c:v>
                </c:pt>
                <c:pt idx="15">
                  <c:v>42</c:v>
                </c:pt>
                <c:pt idx="16">
                  <c:v>49</c:v>
                </c:pt>
                <c:pt idx="17">
                  <c:v>60</c:v>
                </c:pt>
                <c:pt idx="18">
                  <c:v>55</c:v>
                </c:pt>
                <c:pt idx="19">
                  <c:v>55</c:v>
                </c:pt>
                <c:pt idx="20">
                  <c:v>55</c:v>
                </c:pt>
                <c:pt idx="21">
                  <c:v>49</c:v>
                </c:pt>
                <c:pt idx="22">
                  <c:v>45</c:v>
                </c:pt>
                <c:pt idx="23">
                  <c:v>42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9321280"/>
        <c:axId val="199321856"/>
      </c:scatterChart>
      <c:valAx>
        <c:axId val="199321280"/>
        <c:scaling>
          <c:orientation val="minMax"/>
        </c:scaling>
        <c:delete val="0"/>
        <c:axPos val="b"/>
        <c:majorTickMark val="out"/>
        <c:minorTickMark val="none"/>
        <c:tickLblPos val="nextTo"/>
        <c:crossAx val="199321856"/>
        <c:crosses val="autoZero"/>
        <c:crossBetween val="midCat"/>
      </c:valAx>
      <c:valAx>
        <c:axId val="199321856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199321280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v>Courbe Moyenne Mobile P2E5</c:v>
          </c:tx>
          <c:marker>
            <c:symbol val="none"/>
          </c:marker>
          <c:trendline>
            <c:trendlineType val="linear"/>
            <c:dispRSqr val="1"/>
            <c:dispEq val="1"/>
            <c:trendlineLbl>
              <c:layout>
                <c:manualLayout>
                  <c:x val="0.43613101487314088"/>
                  <c:y val="-3.2766477107028291E-2"/>
                </c:manualLayout>
              </c:layout>
              <c:numFmt formatCode="General" sourceLinked="0"/>
            </c:trendlineLbl>
          </c:trendline>
          <c:xVal>
            <c:strRef>
              <c:f>'P2_Entrepôt 5'!$I$4:$T$4</c:f>
              <c:strCache>
                <c:ptCount val="12"/>
                <c:pt idx="0">
                  <c:v>T-18</c:v>
                </c:pt>
                <c:pt idx="1">
                  <c:v>T-17</c:v>
                </c:pt>
                <c:pt idx="2">
                  <c:v>T-16</c:v>
                </c:pt>
                <c:pt idx="3">
                  <c:v>T-15</c:v>
                </c:pt>
                <c:pt idx="4">
                  <c:v>T-14</c:v>
                </c:pt>
                <c:pt idx="5">
                  <c:v>T-13</c:v>
                </c:pt>
                <c:pt idx="6">
                  <c:v>T-12</c:v>
                </c:pt>
                <c:pt idx="7">
                  <c:v>T-11</c:v>
                </c:pt>
                <c:pt idx="8">
                  <c:v>T-10</c:v>
                </c:pt>
                <c:pt idx="9">
                  <c:v>T-9</c:v>
                </c:pt>
                <c:pt idx="10">
                  <c:v>T-8</c:v>
                </c:pt>
                <c:pt idx="11">
                  <c:v>T-7</c:v>
                </c:pt>
              </c:strCache>
            </c:strRef>
          </c:xVal>
          <c:yVal>
            <c:numRef>
              <c:f>'P2_Entrepôt 5'!$I$6:$T$6</c:f>
              <c:numCache>
                <c:formatCode>0.00</c:formatCode>
                <c:ptCount val="12"/>
                <c:pt idx="0">
                  <c:v>21.708333333333332</c:v>
                </c:pt>
                <c:pt idx="1">
                  <c:v>23.125</c:v>
                </c:pt>
                <c:pt idx="2">
                  <c:v>24.541666666666664</c:v>
                </c:pt>
                <c:pt idx="3">
                  <c:v>26.333333333333332</c:v>
                </c:pt>
                <c:pt idx="4">
                  <c:v>28.541666666666664</c:v>
                </c:pt>
                <c:pt idx="5">
                  <c:v>31.083333333333332</c:v>
                </c:pt>
                <c:pt idx="6">
                  <c:v>33.708333333333329</c:v>
                </c:pt>
                <c:pt idx="7">
                  <c:v>36.083333333333329</c:v>
                </c:pt>
                <c:pt idx="8">
                  <c:v>38.333333333333329</c:v>
                </c:pt>
                <c:pt idx="9">
                  <c:v>40.25</c:v>
                </c:pt>
                <c:pt idx="10">
                  <c:v>41.916666666666664</c:v>
                </c:pt>
                <c:pt idx="11">
                  <c:v>43.458333333333329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9323008"/>
        <c:axId val="199323584"/>
      </c:scatterChart>
      <c:valAx>
        <c:axId val="199323008"/>
        <c:scaling>
          <c:orientation val="minMax"/>
        </c:scaling>
        <c:delete val="0"/>
        <c:axPos val="b"/>
        <c:majorTickMark val="out"/>
        <c:minorTickMark val="none"/>
        <c:tickLblPos val="nextTo"/>
        <c:crossAx val="199323584"/>
        <c:crosses val="autoZero"/>
        <c:crossBetween val="midCat"/>
      </c:valAx>
      <c:valAx>
        <c:axId val="199323584"/>
        <c:scaling>
          <c:orientation val="minMax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199323008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v>Demande P2Totale - Saison 1</c:v>
          </c:tx>
          <c:marker>
            <c:symbol val="none"/>
          </c:marker>
          <c:xVal>
            <c:strRef>
              <c:f>P2_Total!$C$4:$N$4</c:f>
              <c:strCache>
                <c:ptCount val="12"/>
                <c:pt idx="0">
                  <c:v>T-24</c:v>
                </c:pt>
                <c:pt idx="1">
                  <c:v>T-23</c:v>
                </c:pt>
                <c:pt idx="2">
                  <c:v>T-22</c:v>
                </c:pt>
                <c:pt idx="3">
                  <c:v>T-21</c:v>
                </c:pt>
                <c:pt idx="4">
                  <c:v>T-20</c:v>
                </c:pt>
                <c:pt idx="5">
                  <c:v>T-19</c:v>
                </c:pt>
                <c:pt idx="6">
                  <c:v>T-18</c:v>
                </c:pt>
                <c:pt idx="7">
                  <c:v>T-17</c:v>
                </c:pt>
                <c:pt idx="8">
                  <c:v>T-16</c:v>
                </c:pt>
                <c:pt idx="9">
                  <c:v>T-15</c:v>
                </c:pt>
                <c:pt idx="10">
                  <c:v>T-14</c:v>
                </c:pt>
                <c:pt idx="11">
                  <c:v>T-13</c:v>
                </c:pt>
              </c:strCache>
            </c:strRef>
          </c:xVal>
          <c:yVal>
            <c:numRef>
              <c:f>P2_Total!$C$5:$N$5</c:f>
              <c:numCache>
                <c:formatCode>0</c:formatCode>
                <c:ptCount val="12"/>
                <c:pt idx="0">
                  <c:v>182</c:v>
                </c:pt>
                <c:pt idx="1">
                  <c:v>226</c:v>
                </c:pt>
                <c:pt idx="2">
                  <c:v>316</c:v>
                </c:pt>
                <c:pt idx="3">
                  <c:v>366</c:v>
                </c:pt>
                <c:pt idx="4">
                  <c:v>455</c:v>
                </c:pt>
                <c:pt idx="5">
                  <c:v>496</c:v>
                </c:pt>
                <c:pt idx="6">
                  <c:v>484</c:v>
                </c:pt>
                <c:pt idx="7">
                  <c:v>472</c:v>
                </c:pt>
                <c:pt idx="8">
                  <c:v>490</c:v>
                </c:pt>
                <c:pt idx="9">
                  <c:v>505</c:v>
                </c:pt>
                <c:pt idx="10">
                  <c:v>459</c:v>
                </c:pt>
                <c:pt idx="11">
                  <c:v>442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9325312"/>
        <c:axId val="199325888"/>
      </c:scatterChart>
      <c:valAx>
        <c:axId val="199325312"/>
        <c:scaling>
          <c:orientation val="minMax"/>
        </c:scaling>
        <c:delete val="0"/>
        <c:axPos val="b"/>
        <c:majorTickMark val="out"/>
        <c:minorTickMark val="none"/>
        <c:tickLblPos val="nextTo"/>
        <c:crossAx val="199325888"/>
        <c:crosses val="autoZero"/>
        <c:crossBetween val="midCat"/>
      </c:valAx>
      <c:valAx>
        <c:axId val="199325888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199325312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v>Demande P2Totale - Saison 2</c:v>
          </c:tx>
          <c:marker>
            <c:symbol val="none"/>
          </c:marker>
          <c:xVal>
            <c:strRef>
              <c:f>P2_Total!$O$4:$Z$4</c:f>
              <c:strCache>
                <c:ptCount val="12"/>
                <c:pt idx="0">
                  <c:v>T-12</c:v>
                </c:pt>
                <c:pt idx="1">
                  <c:v>T-11</c:v>
                </c:pt>
                <c:pt idx="2">
                  <c:v>T-10</c:v>
                </c:pt>
                <c:pt idx="3">
                  <c:v>T-9</c:v>
                </c:pt>
                <c:pt idx="4">
                  <c:v>T-8</c:v>
                </c:pt>
                <c:pt idx="5">
                  <c:v>T-7</c:v>
                </c:pt>
                <c:pt idx="6">
                  <c:v>T-6</c:v>
                </c:pt>
                <c:pt idx="7">
                  <c:v>T-5</c:v>
                </c:pt>
                <c:pt idx="8">
                  <c:v>T-4</c:v>
                </c:pt>
                <c:pt idx="9">
                  <c:v>T-3</c:v>
                </c:pt>
                <c:pt idx="10">
                  <c:v>T-2</c:v>
                </c:pt>
                <c:pt idx="11">
                  <c:v>T-1</c:v>
                </c:pt>
              </c:strCache>
            </c:strRef>
          </c:xVal>
          <c:yVal>
            <c:numRef>
              <c:f>P2_Total!$O$5:$Z$5</c:f>
              <c:numCache>
                <c:formatCode>0</c:formatCode>
                <c:ptCount val="12"/>
                <c:pt idx="0">
                  <c:v>344</c:v>
                </c:pt>
                <c:pt idx="1">
                  <c:v>370</c:v>
                </c:pt>
                <c:pt idx="2">
                  <c:v>430</c:v>
                </c:pt>
                <c:pt idx="3">
                  <c:v>583</c:v>
                </c:pt>
                <c:pt idx="4">
                  <c:v>674</c:v>
                </c:pt>
                <c:pt idx="5">
                  <c:v>801</c:v>
                </c:pt>
                <c:pt idx="6">
                  <c:v>722</c:v>
                </c:pt>
                <c:pt idx="7">
                  <c:v>712</c:v>
                </c:pt>
                <c:pt idx="8">
                  <c:v>700</c:v>
                </c:pt>
                <c:pt idx="9">
                  <c:v>625</c:v>
                </c:pt>
                <c:pt idx="10">
                  <c:v>567</c:v>
                </c:pt>
                <c:pt idx="11">
                  <c:v>516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9680000"/>
        <c:axId val="199680576"/>
      </c:scatterChart>
      <c:valAx>
        <c:axId val="199680000"/>
        <c:scaling>
          <c:orientation val="minMax"/>
        </c:scaling>
        <c:delete val="0"/>
        <c:axPos val="b"/>
        <c:majorTickMark val="out"/>
        <c:minorTickMark val="none"/>
        <c:tickLblPos val="nextTo"/>
        <c:crossAx val="199680576"/>
        <c:crosses val="autoZero"/>
        <c:crossBetween val="midCat"/>
      </c:valAx>
      <c:valAx>
        <c:axId val="199680576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199680000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v>Demande P2Totale</c:v>
          </c:tx>
          <c:marker>
            <c:symbol val="none"/>
          </c:marker>
          <c:trendline>
            <c:trendlineType val="linear"/>
            <c:dispRSqr val="1"/>
            <c:dispEq val="1"/>
            <c:trendlineLbl>
              <c:layout>
                <c:manualLayout>
                  <c:x val="0.45266710411198602"/>
                  <c:y val="-9.8202099737532814E-2"/>
                </c:manualLayout>
              </c:layout>
              <c:numFmt formatCode="General" sourceLinked="0"/>
            </c:trendlineLbl>
          </c:trendline>
          <c:xVal>
            <c:strRef>
              <c:f>P2_Total!$C$4:$Z$4</c:f>
              <c:strCache>
                <c:ptCount val="24"/>
                <c:pt idx="0">
                  <c:v>T-24</c:v>
                </c:pt>
                <c:pt idx="1">
                  <c:v>T-23</c:v>
                </c:pt>
                <c:pt idx="2">
                  <c:v>T-22</c:v>
                </c:pt>
                <c:pt idx="3">
                  <c:v>T-21</c:v>
                </c:pt>
                <c:pt idx="4">
                  <c:v>T-20</c:v>
                </c:pt>
                <c:pt idx="5">
                  <c:v>T-19</c:v>
                </c:pt>
                <c:pt idx="6">
                  <c:v>T-18</c:v>
                </c:pt>
                <c:pt idx="7">
                  <c:v>T-17</c:v>
                </c:pt>
                <c:pt idx="8">
                  <c:v>T-16</c:v>
                </c:pt>
                <c:pt idx="9">
                  <c:v>T-15</c:v>
                </c:pt>
                <c:pt idx="10">
                  <c:v>T-14</c:v>
                </c:pt>
                <c:pt idx="11">
                  <c:v>T-13</c:v>
                </c:pt>
                <c:pt idx="12">
                  <c:v>T-12</c:v>
                </c:pt>
                <c:pt idx="13">
                  <c:v>T-11</c:v>
                </c:pt>
                <c:pt idx="14">
                  <c:v>T-10</c:v>
                </c:pt>
                <c:pt idx="15">
                  <c:v>T-9</c:v>
                </c:pt>
                <c:pt idx="16">
                  <c:v>T-8</c:v>
                </c:pt>
                <c:pt idx="17">
                  <c:v>T-7</c:v>
                </c:pt>
                <c:pt idx="18">
                  <c:v>T-6</c:v>
                </c:pt>
                <c:pt idx="19">
                  <c:v>T-5</c:v>
                </c:pt>
                <c:pt idx="20">
                  <c:v>T-4</c:v>
                </c:pt>
                <c:pt idx="21">
                  <c:v>T-3</c:v>
                </c:pt>
                <c:pt idx="22">
                  <c:v>T-2</c:v>
                </c:pt>
                <c:pt idx="23">
                  <c:v>T-1</c:v>
                </c:pt>
              </c:strCache>
            </c:strRef>
          </c:xVal>
          <c:yVal>
            <c:numRef>
              <c:f>P2_Total!$C$5:$Z$5</c:f>
              <c:numCache>
                <c:formatCode>0</c:formatCode>
                <c:ptCount val="24"/>
                <c:pt idx="0">
                  <c:v>182</c:v>
                </c:pt>
                <c:pt idx="1">
                  <c:v>226</c:v>
                </c:pt>
                <c:pt idx="2">
                  <c:v>316</c:v>
                </c:pt>
                <c:pt idx="3">
                  <c:v>366</c:v>
                </c:pt>
                <c:pt idx="4">
                  <c:v>455</c:v>
                </c:pt>
                <c:pt idx="5">
                  <c:v>496</c:v>
                </c:pt>
                <c:pt idx="6">
                  <c:v>484</c:v>
                </c:pt>
                <c:pt idx="7">
                  <c:v>472</c:v>
                </c:pt>
                <c:pt idx="8">
                  <c:v>490</c:v>
                </c:pt>
                <c:pt idx="9">
                  <c:v>505</c:v>
                </c:pt>
                <c:pt idx="10">
                  <c:v>459</c:v>
                </c:pt>
                <c:pt idx="11">
                  <c:v>442</c:v>
                </c:pt>
                <c:pt idx="12">
                  <c:v>344</c:v>
                </c:pt>
                <c:pt idx="13">
                  <c:v>370</c:v>
                </c:pt>
                <c:pt idx="14">
                  <c:v>430</c:v>
                </c:pt>
                <c:pt idx="15">
                  <c:v>583</c:v>
                </c:pt>
                <c:pt idx="16">
                  <c:v>674</c:v>
                </c:pt>
                <c:pt idx="17">
                  <c:v>801</c:v>
                </c:pt>
                <c:pt idx="18">
                  <c:v>722</c:v>
                </c:pt>
                <c:pt idx="19">
                  <c:v>712</c:v>
                </c:pt>
                <c:pt idx="20">
                  <c:v>700</c:v>
                </c:pt>
                <c:pt idx="21">
                  <c:v>625</c:v>
                </c:pt>
                <c:pt idx="22">
                  <c:v>567</c:v>
                </c:pt>
                <c:pt idx="23">
                  <c:v>516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9682880"/>
        <c:axId val="199683456"/>
      </c:scatterChart>
      <c:valAx>
        <c:axId val="199682880"/>
        <c:scaling>
          <c:orientation val="minMax"/>
        </c:scaling>
        <c:delete val="0"/>
        <c:axPos val="b"/>
        <c:majorTickMark val="out"/>
        <c:minorTickMark val="none"/>
        <c:tickLblPos val="nextTo"/>
        <c:crossAx val="199683456"/>
        <c:crosses val="autoZero"/>
        <c:crossBetween val="midCat"/>
      </c:valAx>
      <c:valAx>
        <c:axId val="199683456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199682880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v>Courbe Moyenne Mobile P2Total</c:v>
          </c:tx>
          <c:marker>
            <c:symbol val="none"/>
          </c:marker>
          <c:trendline>
            <c:trendlineType val="linear"/>
            <c:dispRSqr val="1"/>
            <c:dispEq val="1"/>
            <c:trendlineLbl>
              <c:layout>
                <c:manualLayout>
                  <c:x val="0.44164785651793526"/>
                  <c:y val="-5.445392242636337E-2"/>
                </c:manualLayout>
              </c:layout>
              <c:numFmt formatCode="General" sourceLinked="0"/>
            </c:trendlineLbl>
          </c:trendline>
          <c:xVal>
            <c:strRef>
              <c:f>P2_Total!$I$4:$T$4</c:f>
              <c:strCache>
                <c:ptCount val="12"/>
                <c:pt idx="0">
                  <c:v>T-18</c:v>
                </c:pt>
                <c:pt idx="1">
                  <c:v>T-17</c:v>
                </c:pt>
                <c:pt idx="2">
                  <c:v>T-16</c:v>
                </c:pt>
                <c:pt idx="3">
                  <c:v>T-15</c:v>
                </c:pt>
                <c:pt idx="4">
                  <c:v>T-14</c:v>
                </c:pt>
                <c:pt idx="5">
                  <c:v>T-13</c:v>
                </c:pt>
                <c:pt idx="6">
                  <c:v>T-12</c:v>
                </c:pt>
                <c:pt idx="7">
                  <c:v>T-11</c:v>
                </c:pt>
                <c:pt idx="8">
                  <c:v>T-10</c:v>
                </c:pt>
                <c:pt idx="9">
                  <c:v>T-9</c:v>
                </c:pt>
                <c:pt idx="10">
                  <c:v>T-8</c:v>
                </c:pt>
                <c:pt idx="11">
                  <c:v>T-7</c:v>
                </c:pt>
              </c:strCache>
            </c:strRef>
          </c:xVal>
          <c:yVal>
            <c:numRef>
              <c:f>P2_Total!$I$6:$T$6</c:f>
              <c:numCache>
                <c:formatCode>0.00</c:formatCode>
                <c:ptCount val="12"/>
                <c:pt idx="0">
                  <c:v>414.5</c:v>
                </c:pt>
                <c:pt idx="1">
                  <c:v>427.25</c:v>
                </c:pt>
                <c:pt idx="2">
                  <c:v>438</c:v>
                </c:pt>
                <c:pt idx="3">
                  <c:v>451.79166666666663</c:v>
                </c:pt>
                <c:pt idx="4">
                  <c:v>469.95833333333331</c:v>
                </c:pt>
                <c:pt idx="5">
                  <c:v>491.79166666666663</c:v>
                </c:pt>
                <c:pt idx="6">
                  <c:v>514.41666666666663</c:v>
                </c:pt>
                <c:pt idx="7">
                  <c:v>534.33333333333326</c:v>
                </c:pt>
                <c:pt idx="8">
                  <c:v>553.08333333333326</c:v>
                </c:pt>
                <c:pt idx="9">
                  <c:v>566.83333333333326</c:v>
                </c:pt>
                <c:pt idx="10">
                  <c:v>576.33333333333326</c:v>
                </c:pt>
                <c:pt idx="11">
                  <c:v>583.91666666666663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9684608"/>
        <c:axId val="199685184"/>
      </c:scatterChart>
      <c:valAx>
        <c:axId val="199684608"/>
        <c:scaling>
          <c:orientation val="minMax"/>
        </c:scaling>
        <c:delete val="0"/>
        <c:axPos val="b"/>
        <c:majorTickMark val="out"/>
        <c:minorTickMark val="none"/>
        <c:tickLblPos val="nextTo"/>
        <c:crossAx val="199685184"/>
        <c:crosses val="autoZero"/>
        <c:crossBetween val="midCat"/>
      </c:valAx>
      <c:valAx>
        <c:axId val="199685184"/>
        <c:scaling>
          <c:orientation val="minMax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199684608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7.xml"/><Relationship Id="rId2" Type="http://schemas.openxmlformats.org/officeDocument/2006/relationships/chart" Target="../charts/chart6.xml"/><Relationship Id="rId1" Type="http://schemas.openxmlformats.org/officeDocument/2006/relationships/chart" Target="../charts/chart5.xml"/><Relationship Id="rId4" Type="http://schemas.openxmlformats.org/officeDocument/2006/relationships/chart" Target="../charts/chart8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1.xml"/><Relationship Id="rId2" Type="http://schemas.openxmlformats.org/officeDocument/2006/relationships/chart" Target="../charts/chart10.xml"/><Relationship Id="rId1" Type="http://schemas.openxmlformats.org/officeDocument/2006/relationships/chart" Target="../charts/chart9.xml"/><Relationship Id="rId4" Type="http://schemas.openxmlformats.org/officeDocument/2006/relationships/chart" Target="../charts/chart12.xml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5.xml"/><Relationship Id="rId2" Type="http://schemas.openxmlformats.org/officeDocument/2006/relationships/chart" Target="../charts/chart14.xml"/><Relationship Id="rId1" Type="http://schemas.openxmlformats.org/officeDocument/2006/relationships/chart" Target="../charts/chart13.xml"/><Relationship Id="rId4" Type="http://schemas.openxmlformats.org/officeDocument/2006/relationships/chart" Target="../charts/chart16.xml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9.xml"/><Relationship Id="rId2" Type="http://schemas.openxmlformats.org/officeDocument/2006/relationships/chart" Target="../charts/chart18.xml"/><Relationship Id="rId1" Type="http://schemas.openxmlformats.org/officeDocument/2006/relationships/chart" Target="../charts/chart17.xml"/><Relationship Id="rId4" Type="http://schemas.openxmlformats.org/officeDocument/2006/relationships/chart" Target="../charts/chart20.xml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3.xml"/><Relationship Id="rId2" Type="http://schemas.openxmlformats.org/officeDocument/2006/relationships/chart" Target="../charts/chart22.xml"/><Relationship Id="rId1" Type="http://schemas.openxmlformats.org/officeDocument/2006/relationships/chart" Target="../charts/chart21.xml"/><Relationship Id="rId4" Type="http://schemas.openxmlformats.org/officeDocument/2006/relationships/chart" Target="../charts/chart24.xml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7.xml"/><Relationship Id="rId2" Type="http://schemas.openxmlformats.org/officeDocument/2006/relationships/chart" Target="../charts/chart26.xml"/><Relationship Id="rId1" Type="http://schemas.openxmlformats.org/officeDocument/2006/relationships/chart" Target="../charts/chart25.xml"/><Relationship Id="rId4" Type="http://schemas.openxmlformats.org/officeDocument/2006/relationships/chart" Target="../charts/chart28.xml"/></Relationships>
</file>

<file path=xl/drawings/_rels/drawing8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1.xml"/><Relationship Id="rId2" Type="http://schemas.openxmlformats.org/officeDocument/2006/relationships/chart" Target="../charts/chart30.xml"/><Relationship Id="rId1" Type="http://schemas.openxmlformats.org/officeDocument/2006/relationships/chart" Target="../charts/chart29.xml"/><Relationship Id="rId4" Type="http://schemas.openxmlformats.org/officeDocument/2006/relationships/chart" Target="../charts/chart32.xml"/></Relationships>
</file>

<file path=xl/drawings/_rels/drawing9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5.xml"/><Relationship Id="rId2" Type="http://schemas.openxmlformats.org/officeDocument/2006/relationships/chart" Target="../charts/chart34.xml"/><Relationship Id="rId1" Type="http://schemas.openxmlformats.org/officeDocument/2006/relationships/chart" Target="../charts/chart33.xml"/><Relationship Id="rId4" Type="http://schemas.openxmlformats.org/officeDocument/2006/relationships/chart" Target="../charts/chart36.xml"/></Relationships>
</file>

<file path=xl/drawings/_rels/drawing10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9.xml"/><Relationship Id="rId2" Type="http://schemas.openxmlformats.org/officeDocument/2006/relationships/chart" Target="../charts/chart38.xml"/><Relationship Id="rId1" Type="http://schemas.openxmlformats.org/officeDocument/2006/relationships/chart" Target="../charts/chart37.xml"/><Relationship Id="rId4" Type="http://schemas.openxmlformats.org/officeDocument/2006/relationships/chart" Target="../charts/chart40.xml"/></Relationships>
</file>

<file path=xl/drawings/_rels/drawing1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43.xml"/><Relationship Id="rId2" Type="http://schemas.openxmlformats.org/officeDocument/2006/relationships/chart" Target="../charts/chart42.xml"/><Relationship Id="rId1" Type="http://schemas.openxmlformats.org/officeDocument/2006/relationships/chart" Target="../charts/chart41.xml"/><Relationship Id="rId4" Type="http://schemas.openxmlformats.org/officeDocument/2006/relationships/chart" Target="../charts/chart44.xml"/></Relationships>
</file>

<file path=xl/drawings/_rels/drawing1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47.xml"/><Relationship Id="rId2" Type="http://schemas.openxmlformats.org/officeDocument/2006/relationships/chart" Target="../charts/chart46.xml"/><Relationship Id="rId1" Type="http://schemas.openxmlformats.org/officeDocument/2006/relationships/chart" Target="../charts/chart45.xml"/><Relationship Id="rId4" Type="http://schemas.openxmlformats.org/officeDocument/2006/relationships/chart" Target="../charts/chart48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7620</xdr:colOff>
      <xdr:row>11</xdr:row>
      <xdr:rowOff>7620</xdr:rowOff>
    </xdr:from>
    <xdr:to>
      <xdr:col>13</xdr:col>
      <xdr:colOff>495300</xdr:colOff>
      <xdr:row>25</xdr:row>
      <xdr:rowOff>179070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14</xdr:col>
      <xdr:colOff>22860</xdr:colOff>
      <xdr:row>11</xdr:row>
      <xdr:rowOff>7620</xdr:rowOff>
    </xdr:from>
    <xdr:to>
      <xdr:col>26</xdr:col>
      <xdr:colOff>15240</xdr:colOff>
      <xdr:row>25</xdr:row>
      <xdr:rowOff>171450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7620</xdr:colOff>
      <xdr:row>26</xdr:row>
      <xdr:rowOff>45720</xdr:rowOff>
    </xdr:from>
    <xdr:to>
      <xdr:col>26</xdr:col>
      <xdr:colOff>15240</xdr:colOff>
      <xdr:row>45</xdr:row>
      <xdr:rowOff>175260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26</xdr:col>
      <xdr:colOff>38100</xdr:colOff>
      <xdr:row>10</xdr:row>
      <xdr:rowOff>182880</xdr:rowOff>
    </xdr:from>
    <xdr:to>
      <xdr:col>38</xdr:col>
      <xdr:colOff>7620</xdr:colOff>
      <xdr:row>26</xdr:row>
      <xdr:rowOff>3810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7620</xdr:colOff>
      <xdr:row>10</xdr:row>
      <xdr:rowOff>182880</xdr:rowOff>
    </xdr:from>
    <xdr:to>
      <xdr:col>13</xdr:col>
      <xdr:colOff>502920</xdr:colOff>
      <xdr:row>25</xdr:row>
      <xdr:rowOff>179070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14</xdr:col>
      <xdr:colOff>22860</xdr:colOff>
      <xdr:row>11</xdr:row>
      <xdr:rowOff>22860</xdr:rowOff>
    </xdr:from>
    <xdr:to>
      <xdr:col>25</xdr:col>
      <xdr:colOff>495300</xdr:colOff>
      <xdr:row>25</xdr:row>
      <xdr:rowOff>163830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15240</xdr:colOff>
      <xdr:row>26</xdr:row>
      <xdr:rowOff>22860</xdr:rowOff>
    </xdr:from>
    <xdr:to>
      <xdr:col>26</xdr:col>
      <xdr:colOff>15240</xdr:colOff>
      <xdr:row>45</xdr:row>
      <xdr:rowOff>167640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26</xdr:col>
      <xdr:colOff>30480</xdr:colOff>
      <xdr:row>10</xdr:row>
      <xdr:rowOff>182880</xdr:rowOff>
    </xdr:from>
    <xdr:to>
      <xdr:col>38</xdr:col>
      <xdr:colOff>30480</xdr:colOff>
      <xdr:row>26</xdr:row>
      <xdr:rowOff>11430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7620</xdr:colOff>
      <xdr:row>11</xdr:row>
      <xdr:rowOff>7620</xdr:rowOff>
    </xdr:from>
    <xdr:to>
      <xdr:col>13</xdr:col>
      <xdr:colOff>502920</xdr:colOff>
      <xdr:row>26</xdr:row>
      <xdr:rowOff>3810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14</xdr:col>
      <xdr:colOff>38100</xdr:colOff>
      <xdr:row>11</xdr:row>
      <xdr:rowOff>22860</xdr:rowOff>
    </xdr:from>
    <xdr:to>
      <xdr:col>25</xdr:col>
      <xdr:colOff>495300</xdr:colOff>
      <xdr:row>26</xdr:row>
      <xdr:rowOff>19050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22860</xdr:colOff>
      <xdr:row>26</xdr:row>
      <xdr:rowOff>91440</xdr:rowOff>
    </xdr:from>
    <xdr:to>
      <xdr:col>25</xdr:col>
      <xdr:colOff>502920</xdr:colOff>
      <xdr:row>45</xdr:row>
      <xdr:rowOff>152400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26</xdr:col>
      <xdr:colOff>45720</xdr:colOff>
      <xdr:row>11</xdr:row>
      <xdr:rowOff>0</xdr:rowOff>
    </xdr:from>
    <xdr:to>
      <xdr:col>37</xdr:col>
      <xdr:colOff>449580</xdr:colOff>
      <xdr:row>26</xdr:row>
      <xdr:rowOff>11430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15240</xdr:colOff>
      <xdr:row>11</xdr:row>
      <xdr:rowOff>0</xdr:rowOff>
    </xdr:from>
    <xdr:to>
      <xdr:col>13</xdr:col>
      <xdr:colOff>502920</xdr:colOff>
      <xdr:row>26</xdr:row>
      <xdr:rowOff>11430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14</xdr:col>
      <xdr:colOff>22860</xdr:colOff>
      <xdr:row>11</xdr:row>
      <xdr:rowOff>22860</xdr:rowOff>
    </xdr:from>
    <xdr:to>
      <xdr:col>26</xdr:col>
      <xdr:colOff>0</xdr:colOff>
      <xdr:row>26</xdr:row>
      <xdr:rowOff>3810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22860</xdr:colOff>
      <xdr:row>26</xdr:row>
      <xdr:rowOff>45720</xdr:rowOff>
    </xdr:from>
    <xdr:to>
      <xdr:col>25</xdr:col>
      <xdr:colOff>495300</xdr:colOff>
      <xdr:row>45</xdr:row>
      <xdr:rowOff>137160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26</xdr:col>
      <xdr:colOff>45720</xdr:colOff>
      <xdr:row>11</xdr:row>
      <xdr:rowOff>0</xdr:rowOff>
    </xdr:from>
    <xdr:to>
      <xdr:col>37</xdr:col>
      <xdr:colOff>457200</xdr:colOff>
      <xdr:row>26</xdr:row>
      <xdr:rowOff>3810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7620</xdr:colOff>
      <xdr:row>11</xdr:row>
      <xdr:rowOff>7620</xdr:rowOff>
    </xdr:from>
    <xdr:to>
      <xdr:col>13</xdr:col>
      <xdr:colOff>495300</xdr:colOff>
      <xdr:row>26</xdr:row>
      <xdr:rowOff>19050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14</xdr:col>
      <xdr:colOff>15240</xdr:colOff>
      <xdr:row>11</xdr:row>
      <xdr:rowOff>22860</xdr:rowOff>
    </xdr:from>
    <xdr:to>
      <xdr:col>25</xdr:col>
      <xdr:colOff>502920</xdr:colOff>
      <xdr:row>26</xdr:row>
      <xdr:rowOff>11430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38100</xdr:colOff>
      <xdr:row>26</xdr:row>
      <xdr:rowOff>15240</xdr:rowOff>
    </xdr:from>
    <xdr:to>
      <xdr:col>26</xdr:col>
      <xdr:colOff>7620</xdr:colOff>
      <xdr:row>45</xdr:row>
      <xdr:rowOff>167640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26</xdr:col>
      <xdr:colOff>30480</xdr:colOff>
      <xdr:row>11</xdr:row>
      <xdr:rowOff>15240</xdr:rowOff>
    </xdr:from>
    <xdr:to>
      <xdr:col>37</xdr:col>
      <xdr:colOff>457200</xdr:colOff>
      <xdr:row>26</xdr:row>
      <xdr:rowOff>11430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22860</xdr:colOff>
      <xdr:row>11</xdr:row>
      <xdr:rowOff>22860</xdr:rowOff>
    </xdr:from>
    <xdr:to>
      <xdr:col>14</xdr:col>
      <xdr:colOff>7620</xdr:colOff>
      <xdr:row>26</xdr:row>
      <xdr:rowOff>11430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14</xdr:col>
      <xdr:colOff>68580</xdr:colOff>
      <xdr:row>11</xdr:row>
      <xdr:rowOff>30480</xdr:rowOff>
    </xdr:from>
    <xdr:to>
      <xdr:col>26</xdr:col>
      <xdr:colOff>7620</xdr:colOff>
      <xdr:row>26</xdr:row>
      <xdr:rowOff>3810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22860</xdr:colOff>
      <xdr:row>26</xdr:row>
      <xdr:rowOff>45720</xdr:rowOff>
    </xdr:from>
    <xdr:to>
      <xdr:col>26</xdr:col>
      <xdr:colOff>7620</xdr:colOff>
      <xdr:row>45</xdr:row>
      <xdr:rowOff>160020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26</xdr:col>
      <xdr:colOff>30480</xdr:colOff>
      <xdr:row>11</xdr:row>
      <xdr:rowOff>0</xdr:rowOff>
    </xdr:from>
    <xdr:to>
      <xdr:col>37</xdr:col>
      <xdr:colOff>556260</xdr:colOff>
      <xdr:row>26</xdr:row>
      <xdr:rowOff>11430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38100</xdr:colOff>
      <xdr:row>26</xdr:row>
      <xdr:rowOff>30480</xdr:rowOff>
    </xdr:from>
    <xdr:to>
      <xdr:col>25</xdr:col>
      <xdr:colOff>495300</xdr:colOff>
      <xdr:row>45</xdr:row>
      <xdr:rowOff>175260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38100</xdr:colOff>
      <xdr:row>12</xdr:row>
      <xdr:rowOff>0</xdr:rowOff>
    </xdr:from>
    <xdr:to>
      <xdr:col>13</xdr:col>
      <xdr:colOff>487680</xdr:colOff>
      <xdr:row>26</xdr:row>
      <xdr:rowOff>7620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14</xdr:col>
      <xdr:colOff>7620</xdr:colOff>
      <xdr:row>12</xdr:row>
      <xdr:rowOff>7620</xdr:rowOff>
    </xdr:from>
    <xdr:to>
      <xdr:col>26</xdr:col>
      <xdr:colOff>7620</xdr:colOff>
      <xdr:row>26</xdr:row>
      <xdr:rowOff>15240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26</xdr:col>
      <xdr:colOff>45720</xdr:colOff>
      <xdr:row>12</xdr:row>
      <xdr:rowOff>11430</xdr:rowOff>
    </xdr:from>
    <xdr:to>
      <xdr:col>38</xdr:col>
      <xdr:colOff>45720</xdr:colOff>
      <xdr:row>26</xdr:row>
      <xdr:rowOff>7620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15240</xdr:colOff>
      <xdr:row>11</xdr:row>
      <xdr:rowOff>7620</xdr:rowOff>
    </xdr:from>
    <xdr:to>
      <xdr:col>13</xdr:col>
      <xdr:colOff>502920</xdr:colOff>
      <xdr:row>26</xdr:row>
      <xdr:rowOff>26670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14</xdr:col>
      <xdr:colOff>30480</xdr:colOff>
      <xdr:row>11</xdr:row>
      <xdr:rowOff>15240</xdr:rowOff>
    </xdr:from>
    <xdr:to>
      <xdr:col>25</xdr:col>
      <xdr:colOff>495300</xdr:colOff>
      <xdr:row>26</xdr:row>
      <xdr:rowOff>11430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15240</xdr:colOff>
      <xdr:row>26</xdr:row>
      <xdr:rowOff>68580</xdr:rowOff>
    </xdr:from>
    <xdr:to>
      <xdr:col>25</xdr:col>
      <xdr:colOff>441960</xdr:colOff>
      <xdr:row>45</xdr:row>
      <xdr:rowOff>167640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26</xdr:col>
      <xdr:colOff>22860</xdr:colOff>
      <xdr:row>11</xdr:row>
      <xdr:rowOff>15240</xdr:rowOff>
    </xdr:from>
    <xdr:to>
      <xdr:col>38</xdr:col>
      <xdr:colOff>7620</xdr:colOff>
      <xdr:row>26</xdr:row>
      <xdr:rowOff>11430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15240</xdr:colOff>
      <xdr:row>11</xdr:row>
      <xdr:rowOff>7620</xdr:rowOff>
    </xdr:from>
    <xdr:to>
      <xdr:col>13</xdr:col>
      <xdr:colOff>502920</xdr:colOff>
      <xdr:row>26</xdr:row>
      <xdr:rowOff>3810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14</xdr:col>
      <xdr:colOff>22860</xdr:colOff>
      <xdr:row>11</xdr:row>
      <xdr:rowOff>15240</xdr:rowOff>
    </xdr:from>
    <xdr:to>
      <xdr:col>25</xdr:col>
      <xdr:colOff>495300</xdr:colOff>
      <xdr:row>25</xdr:row>
      <xdr:rowOff>179070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15240</xdr:colOff>
      <xdr:row>26</xdr:row>
      <xdr:rowOff>45720</xdr:rowOff>
    </xdr:from>
    <xdr:to>
      <xdr:col>25</xdr:col>
      <xdr:colOff>495300</xdr:colOff>
      <xdr:row>45</xdr:row>
      <xdr:rowOff>167640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26</xdr:col>
      <xdr:colOff>22860</xdr:colOff>
      <xdr:row>11</xdr:row>
      <xdr:rowOff>30480</xdr:rowOff>
    </xdr:from>
    <xdr:to>
      <xdr:col>37</xdr:col>
      <xdr:colOff>449580</xdr:colOff>
      <xdr:row>26</xdr:row>
      <xdr:rowOff>19050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30480</xdr:colOff>
      <xdr:row>11</xdr:row>
      <xdr:rowOff>7620</xdr:rowOff>
    </xdr:from>
    <xdr:to>
      <xdr:col>13</xdr:col>
      <xdr:colOff>495300</xdr:colOff>
      <xdr:row>26</xdr:row>
      <xdr:rowOff>19050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14</xdr:col>
      <xdr:colOff>22860</xdr:colOff>
      <xdr:row>11</xdr:row>
      <xdr:rowOff>0</xdr:rowOff>
    </xdr:from>
    <xdr:to>
      <xdr:col>25</xdr:col>
      <xdr:colOff>487680</xdr:colOff>
      <xdr:row>26</xdr:row>
      <xdr:rowOff>3810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38100</xdr:colOff>
      <xdr:row>26</xdr:row>
      <xdr:rowOff>53340</xdr:rowOff>
    </xdr:from>
    <xdr:to>
      <xdr:col>26</xdr:col>
      <xdr:colOff>15240</xdr:colOff>
      <xdr:row>45</xdr:row>
      <xdr:rowOff>144780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26</xdr:col>
      <xdr:colOff>15240</xdr:colOff>
      <xdr:row>10</xdr:row>
      <xdr:rowOff>167640</xdr:rowOff>
    </xdr:from>
    <xdr:to>
      <xdr:col>37</xdr:col>
      <xdr:colOff>434340</xdr:colOff>
      <xdr:row>25</xdr:row>
      <xdr:rowOff>179070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22860</xdr:colOff>
      <xdr:row>11</xdr:row>
      <xdr:rowOff>15240</xdr:rowOff>
    </xdr:from>
    <xdr:to>
      <xdr:col>13</xdr:col>
      <xdr:colOff>495300</xdr:colOff>
      <xdr:row>26</xdr:row>
      <xdr:rowOff>3810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14</xdr:col>
      <xdr:colOff>7620</xdr:colOff>
      <xdr:row>11</xdr:row>
      <xdr:rowOff>22860</xdr:rowOff>
    </xdr:from>
    <xdr:to>
      <xdr:col>25</xdr:col>
      <xdr:colOff>502920</xdr:colOff>
      <xdr:row>26</xdr:row>
      <xdr:rowOff>3810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15240</xdr:colOff>
      <xdr:row>26</xdr:row>
      <xdr:rowOff>45720</xdr:rowOff>
    </xdr:from>
    <xdr:to>
      <xdr:col>25</xdr:col>
      <xdr:colOff>487680</xdr:colOff>
      <xdr:row>45</xdr:row>
      <xdr:rowOff>144780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26</xdr:col>
      <xdr:colOff>30480</xdr:colOff>
      <xdr:row>11</xdr:row>
      <xdr:rowOff>0</xdr:rowOff>
    </xdr:from>
    <xdr:to>
      <xdr:col>38</xdr:col>
      <xdr:colOff>0</xdr:colOff>
      <xdr:row>26</xdr:row>
      <xdr:rowOff>3810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7620</xdr:colOff>
      <xdr:row>11</xdr:row>
      <xdr:rowOff>30480</xdr:rowOff>
    </xdr:from>
    <xdr:to>
      <xdr:col>14</xdr:col>
      <xdr:colOff>0</xdr:colOff>
      <xdr:row>26</xdr:row>
      <xdr:rowOff>3810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14</xdr:col>
      <xdr:colOff>22860</xdr:colOff>
      <xdr:row>11</xdr:row>
      <xdr:rowOff>7620</xdr:rowOff>
    </xdr:from>
    <xdr:to>
      <xdr:col>26</xdr:col>
      <xdr:colOff>7620</xdr:colOff>
      <xdr:row>26</xdr:row>
      <xdr:rowOff>11430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22860</xdr:colOff>
      <xdr:row>26</xdr:row>
      <xdr:rowOff>38100</xdr:rowOff>
    </xdr:from>
    <xdr:to>
      <xdr:col>26</xdr:col>
      <xdr:colOff>0</xdr:colOff>
      <xdr:row>45</xdr:row>
      <xdr:rowOff>152400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26</xdr:col>
      <xdr:colOff>45720</xdr:colOff>
      <xdr:row>10</xdr:row>
      <xdr:rowOff>182880</xdr:rowOff>
    </xdr:from>
    <xdr:to>
      <xdr:col>38</xdr:col>
      <xdr:colOff>0</xdr:colOff>
      <xdr:row>25</xdr:row>
      <xdr:rowOff>179070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oRDONNANCEMENT%20(1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oRDONNANCEMEN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menclature"/>
      <sheetName val="Temps opératoires"/>
      <sheetName val="Gantt"/>
      <sheetName val="MRP"/>
      <sheetName val="Ordonnancement"/>
    </sheetNames>
    <sheetDataSet>
      <sheetData sheetId="0">
        <row r="7">
          <cell r="C7" t="str">
            <v>Composants</v>
          </cell>
        </row>
        <row r="8">
          <cell r="C8" t="str">
            <v>P1</v>
          </cell>
          <cell r="D8">
            <v>2325</v>
          </cell>
          <cell r="E8">
            <v>2493</v>
          </cell>
          <cell r="F8">
            <v>2884</v>
          </cell>
          <cell r="G8">
            <v>3882</v>
          </cell>
          <cell r="H8">
            <v>4473</v>
          </cell>
          <cell r="I8">
            <v>5359</v>
          </cell>
          <cell r="J8">
            <v>4772</v>
          </cell>
          <cell r="K8">
            <v>4639</v>
          </cell>
          <cell r="L8">
            <v>4828</v>
          </cell>
          <cell r="M8">
            <v>4638</v>
          </cell>
          <cell r="N8">
            <v>3783</v>
          </cell>
          <cell r="O8">
            <v>3508</v>
          </cell>
        </row>
        <row r="9">
          <cell r="C9" t="str">
            <v>P2</v>
          </cell>
          <cell r="D9">
            <v>471</v>
          </cell>
          <cell r="E9">
            <v>497</v>
          </cell>
          <cell r="F9">
            <v>574</v>
          </cell>
          <cell r="G9">
            <v>776</v>
          </cell>
          <cell r="H9">
            <v>901</v>
          </cell>
          <cell r="I9">
            <v>1078</v>
          </cell>
          <cell r="J9">
            <v>941</v>
          </cell>
          <cell r="K9">
            <v>903</v>
          </cell>
          <cell r="L9">
            <v>938</v>
          </cell>
          <cell r="M9">
            <v>857</v>
          </cell>
          <cell r="N9">
            <v>854</v>
          </cell>
          <cell r="O9">
            <v>800</v>
          </cell>
        </row>
        <row r="10">
          <cell r="C10" t="str">
            <v>SE16</v>
          </cell>
          <cell r="D10">
            <v>2325</v>
          </cell>
        </row>
        <row r="11">
          <cell r="C11" t="str">
            <v>SE17</v>
          </cell>
          <cell r="D11">
            <v>471</v>
          </cell>
        </row>
        <row r="12">
          <cell r="C12" t="str">
            <v>P25</v>
          </cell>
          <cell r="D12">
            <v>2796</v>
          </cell>
        </row>
        <row r="13">
          <cell r="C13" t="str">
            <v>P24</v>
          </cell>
        </row>
        <row r="14">
          <cell r="C14" t="str">
            <v>P23</v>
          </cell>
          <cell r="D14">
            <v>2325</v>
          </cell>
        </row>
      </sheetData>
      <sheetData sheetId="1">
        <row r="5">
          <cell r="D5" t="str">
            <v>Composants</v>
          </cell>
          <cell r="E5" t="str">
            <v>T+1</v>
          </cell>
          <cell r="F5" t="str">
            <v>T+2</v>
          </cell>
          <cell r="G5" t="str">
            <v>T+3</v>
          </cell>
          <cell r="H5" t="str">
            <v>T+4</v>
          </cell>
          <cell r="I5" t="str">
            <v>T+5</v>
          </cell>
          <cell r="J5" t="str">
            <v>T+6</v>
          </cell>
          <cell r="K5" t="str">
            <v>T+7</v>
          </cell>
          <cell r="L5" t="str">
            <v>T+8</v>
          </cell>
          <cell r="M5" t="str">
            <v>T+9</v>
          </cell>
          <cell r="N5" t="str">
            <v>T+10</v>
          </cell>
          <cell r="O5" t="str">
            <v>T+11</v>
          </cell>
        </row>
        <row r="6">
          <cell r="D6" t="str">
            <v>P1</v>
          </cell>
          <cell r="E6">
            <v>0</v>
          </cell>
          <cell r="F6">
            <v>7494.0180000000009</v>
          </cell>
          <cell r="G6">
            <v>8438.5839999999989</v>
          </cell>
          <cell r="H6">
            <v>11358.732</v>
          </cell>
          <cell r="I6">
            <v>13087.998000000001</v>
          </cell>
          <cell r="J6">
            <v>15680.434000000003</v>
          </cell>
          <cell r="K6">
            <v>13962.871999999999</v>
          </cell>
          <cell r="L6">
            <v>13573.714</v>
          </cell>
          <cell r="M6">
            <v>14126.728000000001</v>
          </cell>
          <cell r="N6">
            <v>13570.788</v>
          </cell>
          <cell r="O6">
            <v>11069.058000000001</v>
          </cell>
        </row>
        <row r="7">
          <cell r="D7" t="str">
            <v>P2</v>
          </cell>
          <cell r="E7">
            <v>0</v>
          </cell>
          <cell r="F7">
            <v>19096.800000000003</v>
          </cell>
          <cell r="G7">
            <v>15153.599999999999</v>
          </cell>
          <cell r="H7">
            <v>20486.400000000001</v>
          </cell>
          <cell r="I7">
            <v>23786.400000000001</v>
          </cell>
          <cell r="J7">
            <v>28459.199999999997</v>
          </cell>
          <cell r="K7">
            <v>24842.399999999998</v>
          </cell>
          <cell r="L7">
            <v>23839.200000000004</v>
          </cell>
          <cell r="M7">
            <v>24763.199999999997</v>
          </cell>
          <cell r="N7">
            <v>22624.800000000003</v>
          </cell>
          <cell r="O7">
            <v>22545.599999999999</v>
          </cell>
        </row>
        <row r="8">
          <cell r="D8" t="str">
            <v>SE16</v>
          </cell>
          <cell r="E8">
            <v>5255.3600000000006</v>
          </cell>
          <cell r="F8">
            <v>10151.68</v>
          </cell>
          <cell r="G8">
            <v>13664.64</v>
          </cell>
          <cell r="H8">
            <v>15744.960000000001</v>
          </cell>
          <cell r="I8">
            <v>18863.680000000004</v>
          </cell>
          <cell r="J8">
            <v>16797.439999999999</v>
          </cell>
          <cell r="K8">
            <v>16329.279999999999</v>
          </cell>
          <cell r="L8">
            <v>16994.560000000001</v>
          </cell>
          <cell r="M8">
            <v>16325.760000000002</v>
          </cell>
          <cell r="N8">
            <v>13316.160000000002</v>
          </cell>
          <cell r="O8">
            <v>12348.16</v>
          </cell>
        </row>
        <row r="9">
          <cell r="D9" t="str">
            <v>SE17</v>
          </cell>
          <cell r="E9">
            <v>1620.7520000000004</v>
          </cell>
          <cell r="F9">
            <v>2121.5040000000004</v>
          </cell>
          <cell r="G9">
            <v>2868.096</v>
          </cell>
          <cell r="H9">
            <v>3330.0960000000009</v>
          </cell>
          <cell r="I9">
            <v>3984.288</v>
          </cell>
          <cell r="J9">
            <v>3477.9360000000001</v>
          </cell>
          <cell r="K9">
            <v>3337.4880000000007</v>
          </cell>
          <cell r="L9">
            <v>3466.848</v>
          </cell>
          <cell r="M9">
            <v>3167.4720000000002</v>
          </cell>
          <cell r="N9">
            <v>3156.384</v>
          </cell>
          <cell r="O9">
            <v>2956.8</v>
          </cell>
        </row>
        <row r="10">
          <cell r="D10" t="str">
            <v>P25</v>
          </cell>
          <cell r="E10">
            <v>13526.4</v>
          </cell>
          <cell r="F10">
            <v>36516.479999999996</v>
          </cell>
          <cell r="G10">
            <v>49188.480000000003</v>
          </cell>
          <cell r="H10">
            <v>56749.440000000002</v>
          </cell>
          <cell r="I10">
            <v>67974.720000000001</v>
          </cell>
          <cell r="J10">
            <v>60329.279999999992</v>
          </cell>
          <cell r="K10">
            <v>58523.519999999997</v>
          </cell>
          <cell r="L10">
            <v>60888.959999999999</v>
          </cell>
          <cell r="M10">
            <v>58027.199999999997</v>
          </cell>
          <cell r="N10">
            <v>48966.719999999994</v>
          </cell>
          <cell r="O10">
            <v>45492.479999999989</v>
          </cell>
        </row>
        <row r="11">
          <cell r="D11" t="str">
            <v>P24</v>
          </cell>
          <cell r="E11">
            <v>102702.66000000003</v>
          </cell>
          <cell r="F11">
            <v>225862.56</v>
          </cell>
          <cell r="G11">
            <v>262245.06000000006</v>
          </cell>
          <cell r="H11">
            <v>313762.68</v>
          </cell>
          <cell r="I11">
            <v>273887.46000000002</v>
          </cell>
          <cell r="J11">
            <v>262827.18000000005</v>
          </cell>
          <cell r="K11">
            <v>273014.27999999997</v>
          </cell>
          <cell r="L11">
            <v>249438.41999999998</v>
          </cell>
          <cell r="M11">
            <v>248565.24000000005</v>
          </cell>
          <cell r="N11">
            <v>232847.99999999997</v>
          </cell>
          <cell r="O11">
            <v>0</v>
          </cell>
        </row>
        <row r="12">
          <cell r="D12" t="str">
            <v>P23</v>
          </cell>
          <cell r="E12">
            <v>15070.559999999998</v>
          </cell>
          <cell r="F12">
            <v>20496.96</v>
          </cell>
          <cell r="G12">
            <v>23617.439999999999</v>
          </cell>
          <cell r="H12">
            <v>28295.52</v>
          </cell>
          <cell r="I12">
            <v>25196.16</v>
          </cell>
          <cell r="J12">
            <v>24493.919999999998</v>
          </cell>
          <cell r="K12">
            <v>25491.84</v>
          </cell>
          <cell r="L12">
            <v>24488.639999999999</v>
          </cell>
          <cell r="M12">
            <v>19974.240000000002</v>
          </cell>
          <cell r="N12">
            <v>18522.239999999998</v>
          </cell>
          <cell r="O12">
            <v>0</v>
          </cell>
        </row>
        <row r="13">
          <cell r="D13" t="str">
            <v>M40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  <cell r="L13">
            <v>0</v>
          </cell>
          <cell r="M13">
            <v>0</v>
          </cell>
          <cell r="N13">
            <v>0</v>
          </cell>
          <cell r="O13">
            <v>0</v>
          </cell>
        </row>
        <row r="14">
          <cell r="D14" t="str">
            <v>M41</v>
          </cell>
          <cell r="E14">
            <v>0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>
            <v>0</v>
          </cell>
        </row>
        <row r="15">
          <cell r="D15" t="str">
            <v>M38</v>
          </cell>
          <cell r="E15">
            <v>0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  <cell r="J15">
            <v>0</v>
          </cell>
          <cell r="K15">
            <v>0</v>
          </cell>
          <cell r="L15">
            <v>0</v>
          </cell>
          <cell r="M15">
            <v>0</v>
          </cell>
          <cell r="N15">
            <v>0</v>
          </cell>
          <cell r="O15">
            <v>0</v>
          </cell>
        </row>
        <row r="16">
          <cell r="D16" t="str">
            <v>M39</v>
          </cell>
          <cell r="E16">
            <v>0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  <cell r="K16">
            <v>0</v>
          </cell>
          <cell r="L16">
            <v>0</v>
          </cell>
          <cell r="M16">
            <v>0</v>
          </cell>
          <cell r="N16">
            <v>0</v>
          </cell>
          <cell r="O16">
            <v>0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menclature"/>
      <sheetName val="Temps opératoires"/>
      <sheetName val="Gantt"/>
      <sheetName val="MRP"/>
    </sheetNames>
    <sheetDataSet>
      <sheetData sheetId="0">
        <row r="7">
          <cell r="C7" t="str">
            <v>Composants</v>
          </cell>
        </row>
        <row r="8">
          <cell r="C8" t="str">
            <v>P1</v>
          </cell>
          <cell r="D8">
            <v>2325</v>
          </cell>
          <cell r="E8">
            <v>2493</v>
          </cell>
          <cell r="F8">
            <v>2884</v>
          </cell>
          <cell r="G8">
            <v>3882</v>
          </cell>
          <cell r="H8">
            <v>4473</v>
          </cell>
          <cell r="I8">
            <v>5359</v>
          </cell>
          <cell r="J8">
            <v>4772</v>
          </cell>
          <cell r="K8">
            <v>4639</v>
          </cell>
          <cell r="L8">
            <v>4828</v>
          </cell>
          <cell r="M8">
            <v>4638</v>
          </cell>
          <cell r="N8">
            <v>3783</v>
          </cell>
          <cell r="O8">
            <v>3508</v>
          </cell>
        </row>
        <row r="9">
          <cell r="C9" t="str">
            <v>P2</v>
          </cell>
          <cell r="D9">
            <v>471</v>
          </cell>
          <cell r="E9">
            <v>497</v>
          </cell>
          <cell r="F9">
            <v>574</v>
          </cell>
          <cell r="G9">
            <v>776</v>
          </cell>
          <cell r="H9">
            <v>901</v>
          </cell>
          <cell r="I9">
            <v>1078</v>
          </cell>
          <cell r="J9">
            <v>941</v>
          </cell>
          <cell r="K9">
            <v>903</v>
          </cell>
          <cell r="L9">
            <v>938</v>
          </cell>
          <cell r="M9">
            <v>857</v>
          </cell>
          <cell r="N9">
            <v>854</v>
          </cell>
          <cell r="O9">
            <v>800</v>
          </cell>
        </row>
        <row r="10">
          <cell r="C10" t="str">
            <v>SE16</v>
          </cell>
          <cell r="D10">
            <v>2325</v>
          </cell>
        </row>
        <row r="11">
          <cell r="C11" t="str">
            <v>SE17</v>
          </cell>
          <cell r="D11">
            <v>471</v>
          </cell>
        </row>
        <row r="12">
          <cell r="C12" t="str">
            <v>P25</v>
          </cell>
          <cell r="D12">
            <v>2796</v>
          </cell>
        </row>
        <row r="13">
          <cell r="C13" t="str">
            <v>P24</v>
          </cell>
          <cell r="D13">
            <v>471</v>
          </cell>
        </row>
        <row r="14">
          <cell r="C14" t="str">
            <v>P23</v>
          </cell>
          <cell r="D14">
            <v>2325</v>
          </cell>
        </row>
        <row r="15">
          <cell r="D15">
            <v>5592</v>
          </cell>
        </row>
        <row r="16">
          <cell r="D16">
            <v>2796</v>
          </cell>
        </row>
        <row r="17">
          <cell r="D17">
            <v>2325</v>
          </cell>
        </row>
        <row r="18">
          <cell r="D18">
            <v>471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161"/>
  <sheetViews>
    <sheetView workbookViewId="0">
      <selection sqref="A1:AO3"/>
    </sheetView>
  </sheetViews>
  <sheetFormatPr baseColWidth="10" defaultRowHeight="15" x14ac:dyDescent="0.25"/>
  <cols>
    <col min="4" max="4" width="14.85546875" bestFit="1" customWidth="1"/>
    <col min="5" max="5" width="7.85546875" customWidth="1"/>
    <col min="6" max="9" width="7.28515625" customWidth="1"/>
    <col min="10" max="10" width="7.7109375" customWidth="1"/>
    <col min="11" max="11" width="8" customWidth="1"/>
    <col min="12" max="12" width="7.28515625" customWidth="1"/>
    <col min="13" max="13" width="8" customWidth="1"/>
    <col min="14" max="16" width="7.42578125" bestFit="1" customWidth="1"/>
    <col min="17" max="17" width="7.28515625" customWidth="1"/>
    <col min="18" max="18" width="8" customWidth="1"/>
    <col min="19" max="19" width="7.42578125" customWidth="1"/>
    <col min="20" max="21" width="7.28515625" customWidth="1"/>
    <col min="22" max="23" width="7.7109375" customWidth="1"/>
    <col min="24" max="24" width="7.5703125" customWidth="1"/>
    <col min="25" max="25" width="7.42578125" customWidth="1"/>
    <col min="26" max="28" width="7.42578125" bestFit="1" customWidth="1"/>
    <col min="29" max="29" width="8.140625" customWidth="1"/>
    <col min="30" max="32" width="7.7109375" customWidth="1"/>
    <col min="33" max="33" width="7.28515625" customWidth="1"/>
    <col min="34" max="35" width="7.7109375" customWidth="1"/>
    <col min="36" max="36" width="7.85546875" customWidth="1"/>
    <col min="37" max="37" width="7.7109375" customWidth="1"/>
    <col min="38" max="38" width="7.28515625" customWidth="1"/>
    <col min="39" max="40" width="7.7109375" customWidth="1"/>
  </cols>
  <sheetData>
    <row r="1" spans="1:41" x14ac:dyDescent="0.25">
      <c r="A1" s="249" t="s">
        <v>104</v>
      </c>
      <c r="B1" s="250"/>
      <c r="C1" s="250"/>
      <c r="D1" s="250"/>
      <c r="E1" s="250"/>
      <c r="F1" s="250"/>
      <c r="G1" s="250"/>
      <c r="H1" s="250"/>
      <c r="I1" s="250"/>
      <c r="J1" s="250"/>
      <c r="K1" s="250"/>
      <c r="L1" s="250"/>
      <c r="M1" s="250"/>
      <c r="N1" s="250"/>
      <c r="O1" s="250"/>
      <c r="P1" s="250"/>
      <c r="Q1" s="250"/>
      <c r="R1" s="250"/>
      <c r="S1" s="250"/>
      <c r="T1" s="250"/>
      <c r="U1" s="250"/>
      <c r="V1" s="250"/>
      <c r="W1" s="250"/>
      <c r="X1" s="250"/>
      <c r="Y1" s="250"/>
      <c r="Z1" s="250"/>
      <c r="AA1" s="250"/>
      <c r="AB1" s="250"/>
      <c r="AC1" s="250"/>
      <c r="AD1" s="250"/>
      <c r="AE1" s="250"/>
      <c r="AF1" s="250"/>
      <c r="AG1" s="250"/>
      <c r="AH1" s="250"/>
      <c r="AI1" s="250"/>
      <c r="AJ1" s="250"/>
      <c r="AK1" s="250"/>
      <c r="AL1" s="250"/>
      <c r="AM1" s="250"/>
      <c r="AN1" s="250"/>
      <c r="AO1" s="251"/>
    </row>
    <row r="2" spans="1:41" x14ac:dyDescent="0.25">
      <c r="A2" s="252"/>
      <c r="B2" s="253"/>
      <c r="C2" s="253"/>
      <c r="D2" s="253"/>
      <c r="E2" s="253"/>
      <c r="F2" s="253"/>
      <c r="G2" s="253"/>
      <c r="H2" s="253"/>
      <c r="I2" s="253"/>
      <c r="J2" s="253"/>
      <c r="K2" s="253"/>
      <c r="L2" s="253"/>
      <c r="M2" s="253"/>
      <c r="N2" s="253"/>
      <c r="O2" s="253"/>
      <c r="P2" s="253"/>
      <c r="Q2" s="253"/>
      <c r="R2" s="253"/>
      <c r="S2" s="253"/>
      <c r="T2" s="253"/>
      <c r="U2" s="253"/>
      <c r="V2" s="253"/>
      <c r="W2" s="253"/>
      <c r="X2" s="253"/>
      <c r="Y2" s="253"/>
      <c r="Z2" s="253"/>
      <c r="AA2" s="253"/>
      <c r="AB2" s="253"/>
      <c r="AC2" s="253"/>
      <c r="AD2" s="253"/>
      <c r="AE2" s="253"/>
      <c r="AF2" s="253"/>
      <c r="AG2" s="253"/>
      <c r="AH2" s="253"/>
      <c r="AI2" s="253"/>
      <c r="AJ2" s="253"/>
      <c r="AK2" s="253"/>
      <c r="AL2" s="253"/>
      <c r="AM2" s="253"/>
      <c r="AN2" s="253"/>
      <c r="AO2" s="254"/>
    </row>
    <row r="3" spans="1:41" ht="15.75" thickBot="1" x14ac:dyDescent="0.3">
      <c r="A3" s="255"/>
      <c r="B3" s="256"/>
      <c r="C3" s="256"/>
      <c r="D3" s="256"/>
      <c r="E3" s="256"/>
      <c r="F3" s="256"/>
      <c r="G3" s="256"/>
      <c r="H3" s="256"/>
      <c r="I3" s="256"/>
      <c r="J3" s="256"/>
      <c r="K3" s="256"/>
      <c r="L3" s="256"/>
      <c r="M3" s="256"/>
      <c r="N3" s="256"/>
      <c r="O3" s="256"/>
      <c r="P3" s="256"/>
      <c r="Q3" s="256"/>
      <c r="R3" s="256"/>
      <c r="S3" s="256"/>
      <c r="T3" s="256"/>
      <c r="U3" s="256"/>
      <c r="V3" s="256"/>
      <c r="W3" s="256"/>
      <c r="X3" s="256"/>
      <c r="Y3" s="256"/>
      <c r="Z3" s="256"/>
      <c r="AA3" s="256"/>
      <c r="AB3" s="256"/>
      <c r="AC3" s="256"/>
      <c r="AD3" s="256"/>
      <c r="AE3" s="256"/>
      <c r="AF3" s="256"/>
      <c r="AG3" s="256"/>
      <c r="AH3" s="256"/>
      <c r="AI3" s="256"/>
      <c r="AJ3" s="256"/>
      <c r="AK3" s="256"/>
      <c r="AL3" s="256"/>
      <c r="AM3" s="256"/>
      <c r="AN3" s="256"/>
      <c r="AO3" s="257"/>
    </row>
    <row r="4" spans="1:41" x14ac:dyDescent="0.25">
      <c r="A4" s="258"/>
      <c r="B4" s="258"/>
      <c r="C4" s="258"/>
      <c r="D4" s="258"/>
      <c r="E4" s="258"/>
      <c r="F4" s="258"/>
      <c r="G4" s="258"/>
      <c r="H4" s="258"/>
      <c r="I4" s="258"/>
      <c r="J4" s="258"/>
      <c r="K4" s="258"/>
      <c r="L4" s="258"/>
      <c r="M4" s="258"/>
      <c r="N4" s="258"/>
      <c r="O4" s="258"/>
      <c r="P4" s="258"/>
      <c r="Q4" s="258"/>
      <c r="R4" s="258"/>
      <c r="S4" s="258"/>
      <c r="T4" s="258"/>
      <c r="U4" s="258"/>
      <c r="V4" s="258"/>
      <c r="W4" s="258"/>
      <c r="X4" s="258"/>
      <c r="Y4" s="258"/>
      <c r="Z4" s="258"/>
      <c r="AA4" s="258"/>
      <c r="AB4" s="258"/>
      <c r="AC4" s="258"/>
      <c r="AD4" s="258"/>
      <c r="AE4" s="258"/>
      <c r="AF4" s="258"/>
      <c r="AG4" s="258"/>
      <c r="AH4" s="258"/>
      <c r="AI4" s="258"/>
      <c r="AJ4" s="258"/>
      <c r="AK4" s="258"/>
      <c r="AL4" s="258"/>
      <c r="AM4" s="258"/>
      <c r="AN4" s="258"/>
      <c r="AO4" s="258"/>
    </row>
    <row r="5" spans="1:41" ht="15.75" thickBot="1" x14ac:dyDescent="0.3">
      <c r="A5" s="248"/>
      <c r="B5" s="248"/>
      <c r="C5" s="248"/>
      <c r="D5" s="248"/>
      <c r="E5" s="248"/>
      <c r="F5" s="248"/>
      <c r="G5" s="248"/>
      <c r="H5" s="248"/>
      <c r="I5" s="248"/>
      <c r="J5" s="248"/>
      <c r="K5" s="248"/>
      <c r="L5" s="248"/>
      <c r="M5" s="248"/>
      <c r="N5" s="248"/>
      <c r="O5" s="248"/>
      <c r="P5" s="248"/>
      <c r="Q5" s="248"/>
      <c r="R5" s="248"/>
      <c r="S5" s="248"/>
      <c r="T5" s="248"/>
      <c r="U5" s="248"/>
      <c r="V5" s="248"/>
      <c r="W5" s="248"/>
      <c r="X5" s="248"/>
      <c r="Y5" s="248"/>
      <c r="Z5" s="248"/>
      <c r="AA5" s="248"/>
      <c r="AB5" s="248"/>
      <c r="AC5" s="248"/>
      <c r="AD5" s="248"/>
      <c r="AE5" s="248"/>
      <c r="AF5" s="248"/>
      <c r="AG5" s="248"/>
      <c r="AH5" s="248"/>
      <c r="AI5" s="248"/>
      <c r="AJ5" s="248"/>
      <c r="AK5" s="248"/>
      <c r="AL5" s="248"/>
      <c r="AM5" s="248"/>
      <c r="AN5" s="248"/>
      <c r="AO5" s="248"/>
    </row>
    <row r="6" spans="1:41" x14ac:dyDescent="0.25">
      <c r="A6" s="242" t="s">
        <v>92</v>
      </c>
      <c r="B6" s="243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50"/>
      <c r="W6" s="50"/>
      <c r="X6" s="50"/>
      <c r="Y6" s="50"/>
      <c r="Z6" s="50"/>
      <c r="AA6" s="50"/>
      <c r="AB6" s="50"/>
      <c r="AC6" s="50"/>
      <c r="AD6" s="50"/>
      <c r="AE6" s="50"/>
      <c r="AF6" s="50"/>
      <c r="AG6" s="50"/>
      <c r="AH6" s="50"/>
      <c r="AI6" s="50"/>
      <c r="AJ6" s="50"/>
      <c r="AK6" s="50"/>
      <c r="AL6" s="50"/>
      <c r="AM6" s="50"/>
      <c r="AN6" s="50"/>
      <c r="AO6" s="51"/>
    </row>
    <row r="7" spans="1:41" x14ac:dyDescent="0.25">
      <c r="A7" s="244"/>
      <c r="B7" s="245"/>
      <c r="C7" s="5"/>
      <c r="D7" s="5"/>
      <c r="E7" s="7" t="s">
        <v>26</v>
      </c>
      <c r="F7" s="7" t="s">
        <v>27</v>
      </c>
      <c r="G7" s="7" t="s">
        <v>28</v>
      </c>
      <c r="H7" s="7" t="s">
        <v>29</v>
      </c>
      <c r="I7" s="7" t="s">
        <v>30</v>
      </c>
      <c r="J7" s="7" t="s">
        <v>31</v>
      </c>
      <c r="K7" s="7" t="s">
        <v>32</v>
      </c>
      <c r="L7" s="7" t="s">
        <v>33</v>
      </c>
      <c r="M7" s="7" t="s">
        <v>34</v>
      </c>
      <c r="N7" s="7" t="s">
        <v>35</v>
      </c>
      <c r="O7" s="7" t="s">
        <v>36</v>
      </c>
      <c r="P7" s="7" t="s">
        <v>37</v>
      </c>
      <c r="Q7" s="7" t="s">
        <v>38</v>
      </c>
      <c r="R7" s="7" t="s">
        <v>39</v>
      </c>
      <c r="S7" s="7" t="s">
        <v>40</v>
      </c>
      <c r="T7" s="7" t="s">
        <v>41</v>
      </c>
      <c r="U7" s="7" t="s">
        <v>42</v>
      </c>
      <c r="V7" s="7" t="s">
        <v>43</v>
      </c>
      <c r="W7" s="7" t="s">
        <v>44</v>
      </c>
      <c r="X7" s="7" t="s">
        <v>45</v>
      </c>
      <c r="Y7" s="7" t="s">
        <v>46</v>
      </c>
      <c r="Z7" s="7" t="s">
        <v>47</v>
      </c>
      <c r="AA7" s="7" t="s">
        <v>48</v>
      </c>
      <c r="AB7" s="7" t="s">
        <v>49</v>
      </c>
      <c r="AC7" s="7" t="s">
        <v>50</v>
      </c>
      <c r="AD7" s="7" t="s">
        <v>51</v>
      </c>
      <c r="AE7" s="7" t="s">
        <v>52</v>
      </c>
      <c r="AF7" s="7" t="s">
        <v>53</v>
      </c>
      <c r="AG7" s="7" t="s">
        <v>54</v>
      </c>
      <c r="AH7" s="7" t="s">
        <v>55</v>
      </c>
      <c r="AI7" s="7" t="s">
        <v>56</v>
      </c>
      <c r="AJ7" s="7" t="s">
        <v>57</v>
      </c>
      <c r="AK7" s="7" t="s">
        <v>58</v>
      </c>
      <c r="AL7" s="7" t="s">
        <v>59</v>
      </c>
      <c r="AM7" s="7" t="s">
        <v>60</v>
      </c>
      <c r="AN7" s="7" t="s">
        <v>61</v>
      </c>
      <c r="AO7" s="52"/>
    </row>
    <row r="8" spans="1:41" ht="15.75" thickBot="1" x14ac:dyDescent="0.3">
      <c r="A8" s="244"/>
      <c r="B8" s="245"/>
      <c r="C8" s="5"/>
      <c r="D8" s="5"/>
      <c r="E8" s="8" t="s">
        <v>62</v>
      </c>
      <c r="F8" s="8" t="s">
        <v>63</v>
      </c>
      <c r="G8" s="8" t="s">
        <v>64</v>
      </c>
      <c r="H8" s="8" t="s">
        <v>65</v>
      </c>
      <c r="I8" s="8" t="s">
        <v>66</v>
      </c>
      <c r="J8" s="8" t="s">
        <v>67</v>
      </c>
      <c r="K8" s="8" t="s">
        <v>68</v>
      </c>
      <c r="L8" s="8" t="s">
        <v>69</v>
      </c>
      <c r="M8" s="8" t="s">
        <v>70</v>
      </c>
      <c r="N8" s="8" t="s">
        <v>71</v>
      </c>
      <c r="O8" s="8" t="s">
        <v>72</v>
      </c>
      <c r="P8" s="8" t="s">
        <v>73</v>
      </c>
      <c r="Q8" s="8" t="s">
        <v>62</v>
      </c>
      <c r="R8" s="8" t="s">
        <v>63</v>
      </c>
      <c r="S8" s="8" t="s">
        <v>64</v>
      </c>
      <c r="T8" s="8" t="s">
        <v>65</v>
      </c>
      <c r="U8" s="8" t="s">
        <v>66</v>
      </c>
      <c r="V8" s="8" t="s">
        <v>67</v>
      </c>
      <c r="W8" s="8" t="s">
        <v>68</v>
      </c>
      <c r="X8" s="8" t="s">
        <v>69</v>
      </c>
      <c r="Y8" s="8" t="s">
        <v>70</v>
      </c>
      <c r="Z8" s="8" t="s">
        <v>71</v>
      </c>
      <c r="AA8" s="8" t="s">
        <v>72</v>
      </c>
      <c r="AB8" s="8" t="s">
        <v>73</v>
      </c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52"/>
    </row>
    <row r="9" spans="1:41" x14ac:dyDescent="0.25">
      <c r="A9" s="244"/>
      <c r="B9" s="245"/>
      <c r="C9" s="5"/>
      <c r="D9" s="20" t="s">
        <v>0</v>
      </c>
      <c r="E9" s="4" t="s">
        <v>1</v>
      </c>
      <c r="F9" s="3" t="s">
        <v>2</v>
      </c>
      <c r="G9" s="3" t="s">
        <v>3</v>
      </c>
      <c r="H9" s="3" t="s">
        <v>4</v>
      </c>
      <c r="I9" s="3" t="s">
        <v>5</v>
      </c>
      <c r="J9" s="3" t="s">
        <v>6</v>
      </c>
      <c r="K9" s="3" t="s">
        <v>7</v>
      </c>
      <c r="L9" s="3" t="s">
        <v>8</v>
      </c>
      <c r="M9" s="3" t="s">
        <v>9</v>
      </c>
      <c r="N9" s="3" t="s">
        <v>10</v>
      </c>
      <c r="O9" s="3" t="s">
        <v>11</v>
      </c>
      <c r="P9" s="28" t="s">
        <v>12</v>
      </c>
      <c r="Q9" s="4" t="s">
        <v>14</v>
      </c>
      <c r="R9" s="3" t="s">
        <v>15</v>
      </c>
      <c r="S9" s="3" t="s">
        <v>16</v>
      </c>
      <c r="T9" s="3" t="s">
        <v>17</v>
      </c>
      <c r="U9" s="3" t="s">
        <v>18</v>
      </c>
      <c r="V9" s="3" t="s">
        <v>19</v>
      </c>
      <c r="W9" s="3" t="s">
        <v>20</v>
      </c>
      <c r="X9" s="3" t="s">
        <v>21</v>
      </c>
      <c r="Y9" s="3" t="s">
        <v>22</v>
      </c>
      <c r="Z9" s="3" t="s">
        <v>23</v>
      </c>
      <c r="AA9" s="3" t="s">
        <v>24</v>
      </c>
      <c r="AB9" s="28" t="s">
        <v>25</v>
      </c>
      <c r="AC9" s="17" t="s">
        <v>74</v>
      </c>
      <c r="AD9" s="18" t="s">
        <v>75</v>
      </c>
      <c r="AE9" s="18" t="s">
        <v>76</v>
      </c>
      <c r="AF9" s="18" t="s">
        <v>77</v>
      </c>
      <c r="AG9" s="18" t="s">
        <v>78</v>
      </c>
      <c r="AH9" s="18" t="s">
        <v>79</v>
      </c>
      <c r="AI9" s="18" t="s">
        <v>80</v>
      </c>
      <c r="AJ9" s="18" t="s">
        <v>81</v>
      </c>
      <c r="AK9" s="18" t="s">
        <v>82</v>
      </c>
      <c r="AL9" s="18" t="s">
        <v>83</v>
      </c>
      <c r="AM9" s="18" t="s">
        <v>84</v>
      </c>
      <c r="AN9" s="19" t="s">
        <v>85</v>
      </c>
      <c r="AO9" s="52"/>
    </row>
    <row r="10" spans="1:41" ht="15.75" thickBot="1" x14ac:dyDescent="0.3">
      <c r="A10" s="244"/>
      <c r="B10" s="245"/>
      <c r="C10" s="5"/>
      <c r="D10" s="21" t="s">
        <v>13</v>
      </c>
      <c r="E10" s="12">
        <v>168</v>
      </c>
      <c r="F10" s="6">
        <v>213</v>
      </c>
      <c r="G10" s="6">
        <v>300</v>
      </c>
      <c r="H10" s="6">
        <v>354</v>
      </c>
      <c r="I10" s="6">
        <v>443</v>
      </c>
      <c r="J10" s="6">
        <v>488</v>
      </c>
      <c r="K10" s="6">
        <v>484</v>
      </c>
      <c r="L10" s="6">
        <v>476</v>
      </c>
      <c r="M10" s="6">
        <v>500</v>
      </c>
      <c r="N10" s="6">
        <v>492</v>
      </c>
      <c r="O10" s="6">
        <v>413</v>
      </c>
      <c r="P10" s="29">
        <v>396</v>
      </c>
      <c r="Q10" s="12">
        <v>360</v>
      </c>
      <c r="R10" s="6">
        <v>391</v>
      </c>
      <c r="S10" s="6">
        <v>457</v>
      </c>
      <c r="T10" s="6">
        <v>621</v>
      </c>
      <c r="U10" s="6">
        <v>722</v>
      </c>
      <c r="V10" s="6">
        <v>860</v>
      </c>
      <c r="W10" s="6">
        <v>778</v>
      </c>
      <c r="X10" s="6">
        <v>770</v>
      </c>
      <c r="Y10" s="6">
        <v>760</v>
      </c>
      <c r="Z10" s="6">
        <v>683</v>
      </c>
      <c r="AA10" s="6">
        <v>623</v>
      </c>
      <c r="AB10" s="29">
        <v>565</v>
      </c>
      <c r="AC10" s="13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9"/>
      <c r="AO10" s="52"/>
    </row>
    <row r="11" spans="1:41" ht="15.75" thickBot="1" x14ac:dyDescent="0.3">
      <c r="A11" s="244"/>
      <c r="B11" s="245"/>
      <c r="C11" s="49" t="s">
        <v>91</v>
      </c>
      <c r="D11" s="22" t="s">
        <v>86</v>
      </c>
      <c r="E11" s="33"/>
      <c r="F11" s="32"/>
      <c r="G11" s="32"/>
      <c r="H11" s="32"/>
      <c r="I11" s="32"/>
      <c r="J11" s="32"/>
      <c r="K11" s="44">
        <v>401.91666666666663</v>
      </c>
      <c r="L11" s="44">
        <v>417.33333333333331</v>
      </c>
      <c r="M11" s="44">
        <v>431.29166666666663</v>
      </c>
      <c r="N11" s="44">
        <v>448.95833333333331</v>
      </c>
      <c r="O11" s="44">
        <v>471.70833333333331</v>
      </c>
      <c r="P11" s="48">
        <v>498.83333333333331</v>
      </c>
      <c r="Q11" s="46">
        <v>526.58333333333326</v>
      </c>
      <c r="R11" s="44">
        <v>551.08333333333326</v>
      </c>
      <c r="S11" s="44">
        <v>574.16666666666663</v>
      </c>
      <c r="T11" s="44">
        <v>592.95833333333326</v>
      </c>
      <c r="U11" s="44">
        <v>609.66666666666663</v>
      </c>
      <c r="V11" s="44">
        <v>625.45833333333326</v>
      </c>
      <c r="W11" s="32"/>
      <c r="X11" s="32"/>
      <c r="Y11" s="7"/>
      <c r="Z11" s="32"/>
      <c r="AA11" s="32"/>
      <c r="AB11" s="34"/>
      <c r="AC11" s="33"/>
      <c r="AD11" s="32"/>
      <c r="AE11" s="32"/>
      <c r="AF11" s="32"/>
      <c r="AG11" s="32"/>
      <c r="AH11" s="7"/>
      <c r="AI11" s="32"/>
      <c r="AJ11" s="32"/>
      <c r="AK11" s="32"/>
      <c r="AL11" s="32"/>
      <c r="AM11" s="32"/>
      <c r="AN11" s="42"/>
      <c r="AO11" s="52"/>
    </row>
    <row r="12" spans="1:41" ht="15.75" thickBot="1" x14ac:dyDescent="0.3">
      <c r="A12" s="244"/>
      <c r="B12" s="245"/>
      <c r="C12" s="49">
        <v>21.725999999999999</v>
      </c>
      <c r="D12" s="22" t="s">
        <v>87</v>
      </c>
      <c r="E12" s="37">
        <v>0.68</v>
      </c>
      <c r="F12" s="36">
        <v>0.71</v>
      </c>
      <c r="G12" s="36">
        <v>0.8</v>
      </c>
      <c r="H12" s="36">
        <v>1.05</v>
      </c>
      <c r="I12" s="36">
        <v>1.18</v>
      </c>
      <c r="J12" s="36">
        <v>1.37</v>
      </c>
      <c r="K12" s="32">
        <v>1.2</v>
      </c>
      <c r="L12" s="32">
        <v>1.1399999999999999</v>
      </c>
      <c r="M12" s="32">
        <v>1.1599999999999999</v>
      </c>
      <c r="N12" s="32">
        <v>1.1000000000000001</v>
      </c>
      <c r="O12" s="32">
        <v>0.88</v>
      </c>
      <c r="P12" s="34">
        <v>0.79</v>
      </c>
      <c r="Q12" s="33">
        <v>0.68</v>
      </c>
      <c r="R12" s="32">
        <v>0.71</v>
      </c>
      <c r="S12" s="32">
        <v>0.8</v>
      </c>
      <c r="T12" s="32">
        <v>1.05</v>
      </c>
      <c r="U12" s="32">
        <v>1.18</v>
      </c>
      <c r="V12" s="32">
        <v>1.37</v>
      </c>
      <c r="W12" s="36">
        <v>1.2</v>
      </c>
      <c r="X12" s="36">
        <v>1.1399999999999999</v>
      </c>
      <c r="Y12" s="36">
        <v>1.1599999999999999</v>
      </c>
      <c r="Z12" s="36">
        <v>1.1000000000000001</v>
      </c>
      <c r="AA12" s="36">
        <v>0.88</v>
      </c>
      <c r="AB12" s="35">
        <v>0.79</v>
      </c>
      <c r="AC12" s="33">
        <v>0.68</v>
      </c>
      <c r="AD12" s="7">
        <v>0.71</v>
      </c>
      <c r="AE12" s="32">
        <v>0.8</v>
      </c>
      <c r="AF12" s="32">
        <v>1.05</v>
      </c>
      <c r="AG12" s="32">
        <v>1.18</v>
      </c>
      <c r="AH12" s="32">
        <v>1.37</v>
      </c>
      <c r="AI12" s="32">
        <v>1.2</v>
      </c>
      <c r="AJ12" s="32">
        <v>1.1399999999999999</v>
      </c>
      <c r="AK12" s="32">
        <v>1.1599999999999999</v>
      </c>
      <c r="AL12" s="7">
        <v>1.1000000000000001</v>
      </c>
      <c r="AM12" s="32">
        <v>0.88</v>
      </c>
      <c r="AN12" s="9">
        <v>0.79</v>
      </c>
      <c r="AO12" s="52"/>
    </row>
    <row r="13" spans="1:41" x14ac:dyDescent="0.25">
      <c r="A13" s="244"/>
      <c r="B13" s="245"/>
      <c r="C13" s="5"/>
      <c r="D13" s="22" t="s">
        <v>88</v>
      </c>
      <c r="E13" s="46">
        <v>271.56066666666663</v>
      </c>
      <c r="F13" s="44">
        <v>293.28666666666663</v>
      </c>
      <c r="G13" s="44">
        <v>315.01266666666663</v>
      </c>
      <c r="H13" s="44">
        <v>336.73866666666663</v>
      </c>
      <c r="I13" s="44">
        <v>358.46466666666663</v>
      </c>
      <c r="J13" s="44">
        <v>380.19066666666663</v>
      </c>
      <c r="K13" s="44">
        <v>401.91666666666663</v>
      </c>
      <c r="L13" s="44">
        <v>417.33333333333331</v>
      </c>
      <c r="M13" s="44">
        <v>431.29166666666663</v>
      </c>
      <c r="N13" s="44">
        <v>448.95833333333331</v>
      </c>
      <c r="O13" s="44">
        <v>471.70833333333331</v>
      </c>
      <c r="P13" s="48">
        <v>498.83333333333331</v>
      </c>
      <c r="Q13" s="46">
        <v>526.58333333333326</v>
      </c>
      <c r="R13" s="44">
        <v>551.08333333333326</v>
      </c>
      <c r="S13" s="44">
        <v>574.16666666666663</v>
      </c>
      <c r="T13" s="44">
        <v>592.95833333333326</v>
      </c>
      <c r="U13" s="44">
        <v>609.66666666666663</v>
      </c>
      <c r="V13" s="44">
        <v>625.45833333333326</v>
      </c>
      <c r="W13" s="44">
        <v>647.18433333333326</v>
      </c>
      <c r="X13" s="44">
        <v>668.91033333333326</v>
      </c>
      <c r="Y13" s="44">
        <v>690.63633333333325</v>
      </c>
      <c r="Z13" s="44">
        <v>712.36233333333325</v>
      </c>
      <c r="AA13" s="44">
        <v>734.08833333333325</v>
      </c>
      <c r="AB13" s="48">
        <v>755.81433333333325</v>
      </c>
      <c r="AC13" s="46">
        <v>777.54033333333325</v>
      </c>
      <c r="AD13" s="44">
        <v>799.26633333333325</v>
      </c>
      <c r="AE13" s="44">
        <v>820.99233333333325</v>
      </c>
      <c r="AF13" s="44">
        <v>842.71833333333325</v>
      </c>
      <c r="AG13" s="44">
        <v>864.44433333333325</v>
      </c>
      <c r="AH13" s="44">
        <v>886.17033333333325</v>
      </c>
      <c r="AI13" s="44">
        <v>907.89633333333325</v>
      </c>
      <c r="AJ13" s="44">
        <v>929.62233333333324</v>
      </c>
      <c r="AK13" s="44">
        <v>951.34833333333324</v>
      </c>
      <c r="AL13" s="44">
        <v>973.07433333333324</v>
      </c>
      <c r="AM13" s="44">
        <v>994.80033333333324</v>
      </c>
      <c r="AN13" s="45">
        <v>1016.5263333333332</v>
      </c>
      <c r="AO13" s="52"/>
    </row>
    <row r="14" spans="1:41" x14ac:dyDescent="0.25">
      <c r="A14" s="244"/>
      <c r="B14" s="245"/>
      <c r="C14" s="5"/>
      <c r="D14" s="22" t="s">
        <v>89</v>
      </c>
      <c r="E14" s="33">
        <v>184.66125333333332</v>
      </c>
      <c r="F14" s="32">
        <v>208.2335333333333</v>
      </c>
      <c r="G14" s="32">
        <v>252.01013333333333</v>
      </c>
      <c r="H14" s="32">
        <v>353.57559999999995</v>
      </c>
      <c r="I14" s="32">
        <v>422.98830666666657</v>
      </c>
      <c r="J14" s="32">
        <v>520.86121333333335</v>
      </c>
      <c r="K14" s="32">
        <v>482.29999999999995</v>
      </c>
      <c r="L14" s="32">
        <v>475.75999999999993</v>
      </c>
      <c r="M14" s="32">
        <v>500.29833333333323</v>
      </c>
      <c r="N14" s="32">
        <v>493.85416666666669</v>
      </c>
      <c r="O14" s="32">
        <v>415.1033333333333</v>
      </c>
      <c r="P14" s="34">
        <v>394.07833333333332</v>
      </c>
      <c r="Q14" s="33">
        <v>358.07666666666665</v>
      </c>
      <c r="R14" s="32">
        <v>391.26916666666659</v>
      </c>
      <c r="S14" s="32">
        <v>459.33333333333331</v>
      </c>
      <c r="T14" s="32">
        <v>622.60624999999993</v>
      </c>
      <c r="U14" s="32">
        <v>719.40666666666664</v>
      </c>
      <c r="V14" s="32">
        <v>856.87791666666658</v>
      </c>
      <c r="W14" s="32">
        <v>776.62119999999993</v>
      </c>
      <c r="X14" s="32">
        <v>762.55777999999987</v>
      </c>
      <c r="Y14" s="32">
        <v>801.13814666666656</v>
      </c>
      <c r="Z14" s="32">
        <v>783.59856666666667</v>
      </c>
      <c r="AA14" s="32">
        <v>645.99773333333326</v>
      </c>
      <c r="AB14" s="34">
        <v>597.09332333333327</v>
      </c>
      <c r="AC14" s="33">
        <v>528.7274266666667</v>
      </c>
      <c r="AD14" s="32">
        <v>567.47909666666658</v>
      </c>
      <c r="AE14" s="32">
        <v>656.79386666666664</v>
      </c>
      <c r="AF14" s="32">
        <v>884.85424999999998</v>
      </c>
      <c r="AG14" s="32">
        <v>1020.0443133333332</v>
      </c>
      <c r="AH14" s="32">
        <v>1214.0533566666666</v>
      </c>
      <c r="AI14" s="32">
        <v>1089.4755999999998</v>
      </c>
      <c r="AJ14" s="32">
        <v>1059.7694599999998</v>
      </c>
      <c r="AK14" s="32">
        <v>1103.5640666666666</v>
      </c>
      <c r="AL14" s="32">
        <v>1070.3817666666666</v>
      </c>
      <c r="AM14" s="32">
        <v>875.42429333333325</v>
      </c>
      <c r="AN14" s="42">
        <v>803.0558033333333</v>
      </c>
      <c r="AO14" s="52"/>
    </row>
    <row r="15" spans="1:41" ht="15.75" thickBot="1" x14ac:dyDescent="0.3">
      <c r="A15" s="244"/>
      <c r="B15" s="245"/>
      <c r="C15" s="5"/>
      <c r="D15" s="23" t="s">
        <v>90</v>
      </c>
      <c r="E15" s="26">
        <v>9.9174126984126906E-2</v>
      </c>
      <c r="F15" s="27">
        <v>-2.2377777777777941E-2</v>
      </c>
      <c r="G15" s="27">
        <v>-0.15996622222222223</v>
      </c>
      <c r="H15" s="27">
        <v>-1.1988700564973115E-3</v>
      </c>
      <c r="I15" s="27">
        <v>-4.5173122648608184E-2</v>
      </c>
      <c r="J15" s="27">
        <v>6.7338551912568351E-2</v>
      </c>
      <c r="K15" s="27">
        <v>-3.5123966942149699E-3</v>
      </c>
      <c r="L15" s="27">
        <v>-5.0420168067240746E-4</v>
      </c>
      <c r="M15" s="27">
        <v>5.9666666666646502E-4</v>
      </c>
      <c r="N15" s="27">
        <v>3.7686314363144019E-3</v>
      </c>
      <c r="O15" s="27">
        <v>5.0928167877319517E-3</v>
      </c>
      <c r="P15" s="31">
        <v>-4.8526936026936389E-3</v>
      </c>
      <c r="Q15" s="26">
        <v>-5.3425925925926288E-3</v>
      </c>
      <c r="R15" s="27">
        <v>6.8840579710125935E-4</v>
      </c>
      <c r="S15" s="27">
        <v>5.1057622173595503E-3</v>
      </c>
      <c r="T15" s="27">
        <v>2.5865539452494877E-3</v>
      </c>
      <c r="U15" s="27">
        <v>-3.5918744228993936E-3</v>
      </c>
      <c r="V15" s="27">
        <v>-3.6303294573644435E-3</v>
      </c>
      <c r="W15" s="27">
        <v>-1.7722365038561302E-3</v>
      </c>
      <c r="X15" s="27">
        <v>-9.6652207792209538E-3</v>
      </c>
      <c r="Y15" s="27">
        <v>5.4129140350877049E-2</v>
      </c>
      <c r="Z15" s="27">
        <v>0.14728926305514886</v>
      </c>
      <c r="AA15" s="27">
        <v>3.6914499732477138E-2</v>
      </c>
      <c r="AB15" s="31">
        <v>5.680234218289075E-2</v>
      </c>
      <c r="AC15" s="14"/>
      <c r="AD15" s="10"/>
      <c r="AE15" s="10"/>
      <c r="AF15" s="10"/>
      <c r="AG15" s="10"/>
      <c r="AH15" s="10"/>
      <c r="AI15" s="10"/>
      <c r="AJ15" s="10"/>
      <c r="AK15" s="10"/>
      <c r="AL15" s="10"/>
      <c r="AM15" s="10"/>
      <c r="AN15" s="11"/>
      <c r="AO15" s="52"/>
    </row>
    <row r="16" spans="1:41" ht="15.75" thickBot="1" x14ac:dyDescent="0.3">
      <c r="A16" s="246"/>
      <c r="B16" s="247"/>
      <c r="C16" s="53"/>
      <c r="D16" s="53"/>
      <c r="E16" s="53"/>
      <c r="F16" s="53"/>
      <c r="G16" s="53"/>
      <c r="H16" s="53"/>
      <c r="I16" s="53"/>
      <c r="J16" s="53"/>
      <c r="K16" s="53"/>
      <c r="L16" s="53"/>
      <c r="M16" s="53"/>
      <c r="N16" s="53"/>
      <c r="O16" s="53"/>
      <c r="P16" s="53"/>
      <c r="Q16" s="53"/>
      <c r="R16" s="53"/>
      <c r="S16" s="53"/>
      <c r="T16" s="53"/>
      <c r="U16" s="53"/>
      <c r="V16" s="53"/>
      <c r="W16" s="53"/>
      <c r="X16" s="53"/>
      <c r="Y16" s="53"/>
      <c r="Z16" s="53"/>
      <c r="AA16" s="53"/>
      <c r="AB16" s="53"/>
      <c r="AC16" s="53"/>
      <c r="AD16" s="53"/>
      <c r="AE16" s="53"/>
      <c r="AF16" s="53"/>
      <c r="AG16" s="53"/>
      <c r="AH16" s="53"/>
      <c r="AI16" s="53"/>
      <c r="AJ16" s="53"/>
      <c r="AK16" s="53"/>
      <c r="AL16" s="53"/>
      <c r="AM16" s="53"/>
      <c r="AN16" s="53"/>
      <c r="AO16" s="54"/>
    </row>
    <row r="17" spans="1:41" x14ac:dyDescent="0.25">
      <c r="A17" s="248"/>
      <c r="B17" s="248"/>
      <c r="C17" s="248"/>
      <c r="D17" s="248"/>
      <c r="E17" s="248"/>
      <c r="F17" s="248"/>
      <c r="G17" s="248"/>
      <c r="H17" s="248"/>
      <c r="I17" s="248"/>
      <c r="J17" s="248"/>
      <c r="K17" s="248"/>
      <c r="L17" s="248"/>
      <c r="M17" s="248"/>
      <c r="N17" s="248"/>
      <c r="O17" s="248"/>
      <c r="P17" s="248"/>
      <c r="Q17" s="248"/>
      <c r="R17" s="248"/>
      <c r="S17" s="248"/>
      <c r="T17" s="248"/>
      <c r="U17" s="248"/>
      <c r="V17" s="248"/>
      <c r="W17" s="248"/>
      <c r="X17" s="248"/>
      <c r="Y17" s="248"/>
      <c r="Z17" s="248"/>
      <c r="AA17" s="248"/>
      <c r="AB17" s="248"/>
      <c r="AC17" s="248"/>
      <c r="AD17" s="248"/>
      <c r="AE17" s="248"/>
      <c r="AF17" s="248"/>
      <c r="AG17" s="248"/>
      <c r="AH17" s="248"/>
      <c r="AI17" s="248"/>
      <c r="AJ17" s="248"/>
      <c r="AK17" s="248"/>
      <c r="AL17" s="248"/>
      <c r="AM17" s="248"/>
      <c r="AN17" s="248"/>
      <c r="AO17" s="248"/>
    </row>
    <row r="18" spans="1:41" ht="15.75" thickBot="1" x14ac:dyDescent="0.3">
      <c r="A18" s="248"/>
      <c r="B18" s="248"/>
      <c r="C18" s="248"/>
      <c r="D18" s="248"/>
      <c r="E18" s="248"/>
      <c r="F18" s="248"/>
      <c r="G18" s="248"/>
      <c r="H18" s="248"/>
      <c r="I18" s="248"/>
      <c r="J18" s="248"/>
      <c r="K18" s="248"/>
      <c r="L18" s="248"/>
      <c r="M18" s="248"/>
      <c r="N18" s="248"/>
      <c r="O18" s="248"/>
      <c r="P18" s="248"/>
      <c r="Q18" s="248"/>
      <c r="R18" s="248"/>
      <c r="S18" s="248"/>
      <c r="T18" s="248"/>
      <c r="U18" s="248"/>
      <c r="V18" s="248"/>
      <c r="W18" s="248"/>
      <c r="X18" s="248"/>
      <c r="Y18" s="248"/>
      <c r="Z18" s="248"/>
      <c r="AA18" s="248"/>
      <c r="AB18" s="248"/>
      <c r="AC18" s="248"/>
      <c r="AD18" s="248"/>
      <c r="AE18" s="248"/>
      <c r="AF18" s="248"/>
      <c r="AG18" s="248"/>
      <c r="AH18" s="248"/>
      <c r="AI18" s="248"/>
      <c r="AJ18" s="248"/>
      <c r="AK18" s="248"/>
      <c r="AL18" s="248"/>
      <c r="AM18" s="248"/>
      <c r="AN18" s="248"/>
      <c r="AO18" s="248"/>
    </row>
    <row r="19" spans="1:41" x14ac:dyDescent="0.25">
      <c r="A19" s="242" t="s">
        <v>93</v>
      </c>
      <c r="B19" s="243"/>
      <c r="C19" s="50"/>
      <c r="D19" s="50"/>
      <c r="E19" s="50"/>
      <c r="F19" s="50"/>
      <c r="G19" s="50"/>
      <c r="H19" s="50"/>
      <c r="I19" s="50"/>
      <c r="J19" s="50"/>
      <c r="K19" s="50"/>
      <c r="L19" s="50"/>
      <c r="M19" s="50"/>
      <c r="N19" s="50"/>
      <c r="O19" s="50"/>
      <c r="P19" s="50"/>
      <c r="Q19" s="50"/>
      <c r="R19" s="50"/>
      <c r="S19" s="50"/>
      <c r="T19" s="50"/>
      <c r="U19" s="50"/>
      <c r="V19" s="50"/>
      <c r="W19" s="50"/>
      <c r="X19" s="50"/>
      <c r="Y19" s="50"/>
      <c r="Z19" s="50"/>
      <c r="AA19" s="50"/>
      <c r="AB19" s="50"/>
      <c r="AC19" s="50"/>
      <c r="AD19" s="50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51"/>
    </row>
    <row r="20" spans="1:41" x14ac:dyDescent="0.25">
      <c r="A20" s="244"/>
      <c r="B20" s="245"/>
      <c r="C20" s="5"/>
      <c r="D20" s="5"/>
      <c r="E20" s="7" t="s">
        <v>26</v>
      </c>
      <c r="F20" s="7" t="s">
        <v>27</v>
      </c>
      <c r="G20" s="7" t="s">
        <v>28</v>
      </c>
      <c r="H20" s="7" t="s">
        <v>29</v>
      </c>
      <c r="I20" s="7" t="s">
        <v>30</v>
      </c>
      <c r="J20" s="7" t="s">
        <v>31</v>
      </c>
      <c r="K20" s="7" t="s">
        <v>32</v>
      </c>
      <c r="L20" s="7" t="s">
        <v>33</v>
      </c>
      <c r="M20" s="7" t="s">
        <v>34</v>
      </c>
      <c r="N20" s="7" t="s">
        <v>35</v>
      </c>
      <c r="O20" s="7" t="s">
        <v>36</v>
      </c>
      <c r="P20" s="7" t="s">
        <v>37</v>
      </c>
      <c r="Q20" s="7" t="s">
        <v>38</v>
      </c>
      <c r="R20" s="7" t="s">
        <v>39</v>
      </c>
      <c r="S20" s="7" t="s">
        <v>40</v>
      </c>
      <c r="T20" s="7" t="s">
        <v>41</v>
      </c>
      <c r="U20" s="7" t="s">
        <v>42</v>
      </c>
      <c r="V20" s="7" t="s">
        <v>43</v>
      </c>
      <c r="W20" s="7" t="s">
        <v>44</v>
      </c>
      <c r="X20" s="7" t="s">
        <v>45</v>
      </c>
      <c r="Y20" s="7" t="s">
        <v>46</v>
      </c>
      <c r="Z20" s="7" t="s">
        <v>47</v>
      </c>
      <c r="AA20" s="7" t="s">
        <v>48</v>
      </c>
      <c r="AB20" s="7" t="s">
        <v>49</v>
      </c>
      <c r="AC20" s="7" t="s">
        <v>50</v>
      </c>
      <c r="AD20" s="7" t="s">
        <v>51</v>
      </c>
      <c r="AE20" s="7" t="s">
        <v>52</v>
      </c>
      <c r="AF20" s="7" t="s">
        <v>53</v>
      </c>
      <c r="AG20" s="7" t="s">
        <v>54</v>
      </c>
      <c r="AH20" s="7" t="s">
        <v>55</v>
      </c>
      <c r="AI20" s="7" t="s">
        <v>56</v>
      </c>
      <c r="AJ20" s="7" t="s">
        <v>57</v>
      </c>
      <c r="AK20" s="7" t="s">
        <v>58</v>
      </c>
      <c r="AL20" s="7" t="s">
        <v>59</v>
      </c>
      <c r="AM20" s="7" t="s">
        <v>60</v>
      </c>
      <c r="AN20" s="7" t="s">
        <v>61</v>
      </c>
      <c r="AO20" s="52"/>
    </row>
    <row r="21" spans="1:41" ht="15.75" thickBot="1" x14ac:dyDescent="0.3">
      <c r="A21" s="244"/>
      <c r="B21" s="245"/>
      <c r="C21" s="5"/>
      <c r="D21" s="5"/>
      <c r="E21" s="8" t="s">
        <v>62</v>
      </c>
      <c r="F21" s="8" t="s">
        <v>63</v>
      </c>
      <c r="G21" s="8" t="s">
        <v>64</v>
      </c>
      <c r="H21" s="8" t="s">
        <v>65</v>
      </c>
      <c r="I21" s="8" t="s">
        <v>66</v>
      </c>
      <c r="J21" s="8" t="s">
        <v>67</v>
      </c>
      <c r="K21" s="8" t="s">
        <v>68</v>
      </c>
      <c r="L21" s="8" t="s">
        <v>69</v>
      </c>
      <c r="M21" s="8" t="s">
        <v>70</v>
      </c>
      <c r="N21" s="8" t="s">
        <v>71</v>
      </c>
      <c r="O21" s="8" t="s">
        <v>72</v>
      </c>
      <c r="P21" s="8" t="s">
        <v>73</v>
      </c>
      <c r="Q21" s="8" t="s">
        <v>62</v>
      </c>
      <c r="R21" s="8" t="s">
        <v>63</v>
      </c>
      <c r="S21" s="8" t="s">
        <v>64</v>
      </c>
      <c r="T21" s="8" t="s">
        <v>65</v>
      </c>
      <c r="U21" s="8" t="s">
        <v>66</v>
      </c>
      <c r="V21" s="8" t="s">
        <v>67</v>
      </c>
      <c r="W21" s="8" t="s">
        <v>68</v>
      </c>
      <c r="X21" s="8" t="s">
        <v>69</v>
      </c>
      <c r="Y21" s="8" t="s">
        <v>70</v>
      </c>
      <c r="Z21" s="8" t="s">
        <v>71</v>
      </c>
      <c r="AA21" s="8" t="s">
        <v>72</v>
      </c>
      <c r="AB21" s="8" t="s">
        <v>73</v>
      </c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52"/>
    </row>
    <row r="22" spans="1:41" x14ac:dyDescent="0.25">
      <c r="A22" s="244"/>
      <c r="B22" s="245"/>
      <c r="C22" s="5"/>
      <c r="D22" s="20" t="s">
        <v>0</v>
      </c>
      <c r="E22" s="4" t="s">
        <v>1</v>
      </c>
      <c r="F22" s="3" t="s">
        <v>2</v>
      </c>
      <c r="G22" s="3" t="s">
        <v>3</v>
      </c>
      <c r="H22" s="3" t="s">
        <v>4</v>
      </c>
      <c r="I22" s="3" t="s">
        <v>5</v>
      </c>
      <c r="J22" s="3" t="s">
        <v>6</v>
      </c>
      <c r="K22" s="3" t="s">
        <v>7</v>
      </c>
      <c r="L22" s="3" t="s">
        <v>8</v>
      </c>
      <c r="M22" s="3" t="s">
        <v>9</v>
      </c>
      <c r="N22" s="3" t="s">
        <v>10</v>
      </c>
      <c r="O22" s="3" t="s">
        <v>11</v>
      </c>
      <c r="P22" s="28" t="s">
        <v>12</v>
      </c>
      <c r="Q22" s="4" t="s">
        <v>14</v>
      </c>
      <c r="R22" s="3" t="s">
        <v>15</v>
      </c>
      <c r="S22" s="3" t="s">
        <v>16</v>
      </c>
      <c r="T22" s="3" t="s">
        <v>17</v>
      </c>
      <c r="U22" s="3" t="s">
        <v>18</v>
      </c>
      <c r="V22" s="3" t="s">
        <v>19</v>
      </c>
      <c r="W22" s="3" t="s">
        <v>20</v>
      </c>
      <c r="X22" s="3" t="s">
        <v>21</v>
      </c>
      <c r="Y22" s="3" t="s">
        <v>22</v>
      </c>
      <c r="Z22" s="3" t="s">
        <v>23</v>
      </c>
      <c r="AA22" s="3" t="s">
        <v>24</v>
      </c>
      <c r="AB22" s="28" t="s">
        <v>25</v>
      </c>
      <c r="AC22" s="17" t="s">
        <v>74</v>
      </c>
      <c r="AD22" s="18" t="s">
        <v>75</v>
      </c>
      <c r="AE22" s="18" t="s">
        <v>76</v>
      </c>
      <c r="AF22" s="18" t="s">
        <v>77</v>
      </c>
      <c r="AG22" s="18" t="s">
        <v>78</v>
      </c>
      <c r="AH22" s="18" t="s">
        <v>79</v>
      </c>
      <c r="AI22" s="18" t="s">
        <v>80</v>
      </c>
      <c r="AJ22" s="18" t="s">
        <v>81</v>
      </c>
      <c r="AK22" s="18" t="s">
        <v>82</v>
      </c>
      <c r="AL22" s="18" t="s">
        <v>83</v>
      </c>
      <c r="AM22" s="18" t="s">
        <v>84</v>
      </c>
      <c r="AN22" s="19" t="s">
        <v>85</v>
      </c>
      <c r="AO22" s="52"/>
    </row>
    <row r="23" spans="1:41" ht="15.75" thickBot="1" x14ac:dyDescent="0.3">
      <c r="A23" s="244"/>
      <c r="B23" s="245"/>
      <c r="C23" s="5"/>
      <c r="D23" s="21" t="s">
        <v>13</v>
      </c>
      <c r="E23" s="12">
        <v>190</v>
      </c>
      <c r="F23" s="6">
        <v>243</v>
      </c>
      <c r="G23" s="6">
        <v>346</v>
      </c>
      <c r="H23" s="6">
        <v>411</v>
      </c>
      <c r="I23" s="6">
        <v>518</v>
      </c>
      <c r="J23" s="6">
        <v>574</v>
      </c>
      <c r="K23" s="6">
        <v>572</v>
      </c>
      <c r="L23" s="6">
        <v>565</v>
      </c>
      <c r="M23" s="6">
        <v>596</v>
      </c>
      <c r="N23" s="6">
        <v>588</v>
      </c>
      <c r="O23" s="6">
        <v>496</v>
      </c>
      <c r="P23" s="29">
        <v>477</v>
      </c>
      <c r="Q23" s="12">
        <v>435</v>
      </c>
      <c r="R23" s="6">
        <v>473</v>
      </c>
      <c r="S23" s="6">
        <v>554</v>
      </c>
      <c r="T23" s="6">
        <v>754</v>
      </c>
      <c r="U23" s="6">
        <v>879</v>
      </c>
      <c r="V23" s="6">
        <v>1049</v>
      </c>
      <c r="W23" s="6">
        <v>951</v>
      </c>
      <c r="X23" s="6">
        <v>942</v>
      </c>
      <c r="Y23" s="6">
        <v>931</v>
      </c>
      <c r="Z23" s="6">
        <v>839</v>
      </c>
      <c r="AA23" s="6">
        <v>765</v>
      </c>
      <c r="AB23" s="29">
        <v>696</v>
      </c>
      <c r="AC23" s="13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9"/>
      <c r="AO23" s="52"/>
    </row>
    <row r="24" spans="1:41" ht="15.75" thickBot="1" x14ac:dyDescent="0.3">
      <c r="A24" s="244"/>
      <c r="B24" s="245"/>
      <c r="C24" s="49" t="s">
        <v>91</v>
      </c>
      <c r="D24" s="22" t="s">
        <v>86</v>
      </c>
      <c r="E24" s="33"/>
      <c r="F24" s="32"/>
      <c r="G24" s="32"/>
      <c r="H24" s="32"/>
      <c r="I24" s="32"/>
      <c r="J24" s="32"/>
      <c r="K24" s="44">
        <v>474.875</v>
      </c>
      <c r="L24" s="44">
        <v>494.66666666666663</v>
      </c>
      <c r="M24" s="44">
        <v>512.91666666666663</v>
      </c>
      <c r="N24" s="44">
        <v>535.875</v>
      </c>
      <c r="O24" s="44">
        <v>565.20833333333326</v>
      </c>
      <c r="P24" s="48">
        <v>600.04166666666663</v>
      </c>
      <c r="Q24" s="46">
        <v>635.625</v>
      </c>
      <c r="R24" s="44">
        <v>667.125</v>
      </c>
      <c r="S24" s="44">
        <v>696.79166666666663</v>
      </c>
      <c r="T24" s="44">
        <v>721.20833333333326</v>
      </c>
      <c r="U24" s="44">
        <v>742.875</v>
      </c>
      <c r="V24" s="44">
        <v>763.20833333333326</v>
      </c>
      <c r="W24" s="32"/>
      <c r="X24" s="32"/>
      <c r="Y24" s="7"/>
      <c r="Z24" s="32"/>
      <c r="AA24" s="32"/>
      <c r="AB24" s="34"/>
      <c r="AC24" s="33"/>
      <c r="AD24" s="32"/>
      <c r="AE24" s="32"/>
      <c r="AF24" s="32"/>
      <c r="AG24" s="32"/>
      <c r="AH24" s="7"/>
      <c r="AI24" s="32"/>
      <c r="AJ24" s="32"/>
      <c r="AK24" s="32"/>
      <c r="AL24" s="32"/>
      <c r="AM24" s="32"/>
      <c r="AN24" s="42"/>
      <c r="AO24" s="52"/>
    </row>
    <row r="25" spans="1:41" ht="15.75" thickBot="1" x14ac:dyDescent="0.3">
      <c r="A25" s="244"/>
      <c r="B25" s="245"/>
      <c r="C25" s="49">
        <v>28.004999999999999</v>
      </c>
      <c r="D25" s="22" t="s">
        <v>87</v>
      </c>
      <c r="E25" s="37">
        <v>0.68</v>
      </c>
      <c r="F25" s="36">
        <v>0.71</v>
      </c>
      <c r="G25" s="36">
        <v>0.8</v>
      </c>
      <c r="H25" s="36">
        <v>1.05</v>
      </c>
      <c r="I25" s="36">
        <v>1.18</v>
      </c>
      <c r="J25" s="36">
        <v>1.37</v>
      </c>
      <c r="K25" s="32">
        <v>1.2</v>
      </c>
      <c r="L25" s="32">
        <v>1.1399999999999999</v>
      </c>
      <c r="M25" s="32">
        <v>1.1599999999999999</v>
      </c>
      <c r="N25" s="32">
        <v>1.1000000000000001</v>
      </c>
      <c r="O25" s="32">
        <v>0.88</v>
      </c>
      <c r="P25" s="34">
        <v>0.79</v>
      </c>
      <c r="Q25" s="33">
        <v>0.68</v>
      </c>
      <c r="R25" s="32">
        <v>0.71</v>
      </c>
      <c r="S25" s="32">
        <v>0.8</v>
      </c>
      <c r="T25" s="32">
        <v>1.05</v>
      </c>
      <c r="U25" s="32">
        <v>1.18</v>
      </c>
      <c r="V25" s="32">
        <v>1.37</v>
      </c>
      <c r="W25" s="36">
        <v>1.2</v>
      </c>
      <c r="X25" s="36">
        <v>1.1399999999999999</v>
      </c>
      <c r="Y25" s="36">
        <v>1.1599999999999999</v>
      </c>
      <c r="Z25" s="36">
        <v>1.1000000000000001</v>
      </c>
      <c r="AA25" s="36">
        <v>0.88</v>
      </c>
      <c r="AB25" s="35">
        <v>0.79</v>
      </c>
      <c r="AC25" s="33">
        <v>0.68</v>
      </c>
      <c r="AD25" s="7">
        <v>0.71</v>
      </c>
      <c r="AE25" s="32">
        <v>0.8</v>
      </c>
      <c r="AF25" s="32">
        <v>1.05</v>
      </c>
      <c r="AG25" s="32">
        <v>1.18</v>
      </c>
      <c r="AH25" s="32">
        <v>1.37</v>
      </c>
      <c r="AI25" s="32">
        <v>1.2</v>
      </c>
      <c r="AJ25" s="32">
        <v>1.1399999999999999</v>
      </c>
      <c r="AK25" s="32">
        <v>1.1599999999999999</v>
      </c>
      <c r="AL25" s="7">
        <v>1.1000000000000001</v>
      </c>
      <c r="AM25" s="32">
        <v>0.88</v>
      </c>
      <c r="AN25" s="9">
        <v>0.79</v>
      </c>
      <c r="AO25" s="52"/>
    </row>
    <row r="26" spans="1:41" x14ac:dyDescent="0.25">
      <c r="A26" s="244"/>
      <c r="B26" s="245"/>
      <c r="C26" s="5"/>
      <c r="D26" s="22" t="s">
        <v>88</v>
      </c>
      <c r="E26" s="46">
        <v>306.84500000000003</v>
      </c>
      <c r="F26" s="44">
        <v>334.85</v>
      </c>
      <c r="G26" s="44">
        <v>362.85500000000002</v>
      </c>
      <c r="H26" s="44">
        <v>390.86</v>
      </c>
      <c r="I26" s="44">
        <v>418.86500000000001</v>
      </c>
      <c r="J26" s="44">
        <v>446.87</v>
      </c>
      <c r="K26" s="44">
        <v>474.875</v>
      </c>
      <c r="L26" s="44">
        <v>494.66666666666663</v>
      </c>
      <c r="M26" s="44">
        <v>512.91666666666663</v>
      </c>
      <c r="N26" s="44">
        <v>535.875</v>
      </c>
      <c r="O26" s="44">
        <v>565.20833333333326</v>
      </c>
      <c r="P26" s="48">
        <v>600.04166666666663</v>
      </c>
      <c r="Q26" s="46">
        <v>635.625</v>
      </c>
      <c r="R26" s="44">
        <v>667.125</v>
      </c>
      <c r="S26" s="44">
        <v>696.79166666666663</v>
      </c>
      <c r="T26" s="44">
        <v>721.20833333333326</v>
      </c>
      <c r="U26" s="44">
        <v>742.875</v>
      </c>
      <c r="V26" s="44">
        <v>763.20833333333326</v>
      </c>
      <c r="W26" s="44">
        <v>791.21333333333325</v>
      </c>
      <c r="X26" s="44">
        <v>819.21833333333325</v>
      </c>
      <c r="Y26" s="44">
        <v>847.22333333333324</v>
      </c>
      <c r="Z26" s="44">
        <v>875.22833333333324</v>
      </c>
      <c r="AA26" s="44">
        <v>903.23333333333323</v>
      </c>
      <c r="AB26" s="48">
        <v>931.23833333333323</v>
      </c>
      <c r="AC26" s="46">
        <v>959.24333333333323</v>
      </c>
      <c r="AD26" s="44">
        <v>987.24833333333322</v>
      </c>
      <c r="AE26" s="44">
        <v>1015.2533333333332</v>
      </c>
      <c r="AF26" s="44">
        <v>1043.2583333333332</v>
      </c>
      <c r="AG26" s="44">
        <v>1071.2633333333333</v>
      </c>
      <c r="AH26" s="44">
        <v>1099.2683333333334</v>
      </c>
      <c r="AI26" s="44">
        <v>1127.2733333333335</v>
      </c>
      <c r="AJ26" s="44">
        <v>1155.2783333333336</v>
      </c>
      <c r="AK26" s="44">
        <v>1183.2833333333338</v>
      </c>
      <c r="AL26" s="44">
        <v>1211.2883333333339</v>
      </c>
      <c r="AM26" s="44">
        <v>1239.293333333334</v>
      </c>
      <c r="AN26" s="45">
        <v>1267.2983333333341</v>
      </c>
      <c r="AO26" s="52"/>
    </row>
    <row r="27" spans="1:41" x14ac:dyDescent="0.25">
      <c r="A27" s="244"/>
      <c r="B27" s="245"/>
      <c r="C27" s="5"/>
      <c r="D27" s="22" t="s">
        <v>89</v>
      </c>
      <c r="E27" s="33">
        <v>208.65460000000004</v>
      </c>
      <c r="F27" s="32">
        <v>237.74350000000001</v>
      </c>
      <c r="G27" s="32">
        <v>290.28400000000005</v>
      </c>
      <c r="H27" s="32">
        <v>410.40300000000002</v>
      </c>
      <c r="I27" s="32">
        <v>494.26069999999999</v>
      </c>
      <c r="J27" s="32">
        <v>612.21190000000001</v>
      </c>
      <c r="K27" s="32">
        <v>569.85</v>
      </c>
      <c r="L27" s="32">
        <v>563.91999999999996</v>
      </c>
      <c r="M27" s="32">
        <v>594.98333333333323</v>
      </c>
      <c r="N27" s="32">
        <v>589.46250000000009</v>
      </c>
      <c r="O27" s="32">
        <v>497.38333333333327</v>
      </c>
      <c r="P27" s="34">
        <v>474.03291666666667</v>
      </c>
      <c r="Q27" s="33">
        <v>432.22500000000002</v>
      </c>
      <c r="R27" s="32">
        <v>473.65875</v>
      </c>
      <c r="S27" s="32">
        <v>557.43333333333328</v>
      </c>
      <c r="T27" s="32">
        <v>757.26874999999995</v>
      </c>
      <c r="U27" s="32">
        <v>876.59249999999997</v>
      </c>
      <c r="V27" s="32">
        <v>1045.5954166666666</v>
      </c>
      <c r="W27" s="32">
        <v>949.4559999999999</v>
      </c>
      <c r="X27" s="32">
        <v>933.90889999999979</v>
      </c>
      <c r="Y27" s="32">
        <v>982.77906666666649</v>
      </c>
      <c r="Z27" s="32">
        <v>962.75116666666668</v>
      </c>
      <c r="AA27" s="32">
        <v>794.8453333333332</v>
      </c>
      <c r="AB27" s="34">
        <v>735.6782833333333</v>
      </c>
      <c r="AC27" s="33">
        <v>652.28546666666659</v>
      </c>
      <c r="AD27" s="32">
        <v>700.94631666666658</v>
      </c>
      <c r="AE27" s="32">
        <v>812.20266666666657</v>
      </c>
      <c r="AF27" s="32">
        <v>1095.4212499999999</v>
      </c>
      <c r="AG27" s="32">
        <v>1264.0907333333332</v>
      </c>
      <c r="AH27" s="32">
        <v>1505.997616666667</v>
      </c>
      <c r="AI27" s="32">
        <v>1352.7280000000003</v>
      </c>
      <c r="AJ27" s="32">
        <v>1317.0173000000002</v>
      </c>
      <c r="AK27" s="32">
        <v>1372.608666666667</v>
      </c>
      <c r="AL27" s="32">
        <v>1332.4171666666673</v>
      </c>
      <c r="AM27" s="32">
        <v>1090.5781333333339</v>
      </c>
      <c r="AN27" s="42">
        <v>1001.165683333334</v>
      </c>
      <c r="AO27" s="52"/>
    </row>
    <row r="28" spans="1:41" ht="15.75" thickBot="1" x14ac:dyDescent="0.3">
      <c r="A28" s="244"/>
      <c r="B28" s="245"/>
      <c r="C28" s="5"/>
      <c r="D28" s="23" t="s">
        <v>90</v>
      </c>
      <c r="E28" s="26">
        <v>9.8182105263158126E-2</v>
      </c>
      <c r="F28" s="27">
        <v>-2.1631687242798306E-2</v>
      </c>
      <c r="G28" s="27">
        <v>-0.16102890173410392</v>
      </c>
      <c r="H28" s="27">
        <v>-1.4525547445254988E-3</v>
      </c>
      <c r="I28" s="27">
        <v>-4.5828764478764508E-2</v>
      </c>
      <c r="J28" s="27">
        <v>6.6571254355400719E-2</v>
      </c>
      <c r="K28" s="27">
        <v>-3.7587412587412189E-3</v>
      </c>
      <c r="L28" s="27">
        <v>-1.9115044247788335E-3</v>
      </c>
      <c r="M28" s="27">
        <v>-1.7058165548100087E-3</v>
      </c>
      <c r="N28" s="27">
        <v>2.4872448979593384E-3</v>
      </c>
      <c r="O28" s="27">
        <v>2.7889784946235258E-3</v>
      </c>
      <c r="P28" s="31">
        <v>-6.2203004891684165E-3</v>
      </c>
      <c r="Q28" s="26">
        <v>-6.3793103448275337E-3</v>
      </c>
      <c r="R28" s="27">
        <v>1.3927061310782193E-3</v>
      </c>
      <c r="S28" s="27">
        <v>6.1973525872441879E-3</v>
      </c>
      <c r="T28" s="27">
        <v>4.3352122015914516E-3</v>
      </c>
      <c r="U28" s="27">
        <v>-2.7389078498293827E-3</v>
      </c>
      <c r="V28" s="27">
        <v>-3.2455513187163473E-3</v>
      </c>
      <c r="W28" s="27">
        <v>-1.6235541535227092E-3</v>
      </c>
      <c r="X28" s="27">
        <v>-8.5892781316350437E-3</v>
      </c>
      <c r="Y28" s="27">
        <v>5.5616612960973678E-2</v>
      </c>
      <c r="Z28" s="27">
        <v>0.14749841080651571</v>
      </c>
      <c r="AA28" s="27">
        <v>3.9013507625272156E-2</v>
      </c>
      <c r="AB28" s="31">
        <v>5.7009027777777728E-2</v>
      </c>
      <c r="AC28" s="14"/>
      <c r="AD28" s="10"/>
      <c r="AE28" s="10"/>
      <c r="AF28" s="10"/>
      <c r="AG28" s="10"/>
      <c r="AH28" s="10"/>
      <c r="AI28" s="10"/>
      <c r="AJ28" s="10"/>
      <c r="AK28" s="10"/>
      <c r="AL28" s="10"/>
      <c r="AM28" s="10"/>
      <c r="AN28" s="11"/>
      <c r="AO28" s="52"/>
    </row>
    <row r="29" spans="1:41" ht="15.75" thickBot="1" x14ac:dyDescent="0.3">
      <c r="A29" s="246"/>
      <c r="B29" s="247"/>
      <c r="C29" s="53"/>
      <c r="D29" s="53"/>
      <c r="E29" s="53"/>
      <c r="F29" s="53"/>
      <c r="G29" s="53"/>
      <c r="H29" s="53"/>
      <c r="I29" s="53"/>
      <c r="J29" s="53"/>
      <c r="K29" s="53"/>
      <c r="L29" s="53"/>
      <c r="M29" s="53"/>
      <c r="N29" s="53"/>
      <c r="O29" s="53"/>
      <c r="P29" s="53"/>
      <c r="Q29" s="53"/>
      <c r="R29" s="53"/>
      <c r="S29" s="53"/>
      <c r="T29" s="53"/>
      <c r="U29" s="53"/>
      <c r="V29" s="53"/>
      <c r="W29" s="53"/>
      <c r="X29" s="53"/>
      <c r="Y29" s="53"/>
      <c r="Z29" s="53"/>
      <c r="AA29" s="53"/>
      <c r="AB29" s="53"/>
      <c r="AC29" s="53"/>
      <c r="AD29" s="53"/>
      <c r="AE29" s="53"/>
      <c r="AF29" s="53"/>
      <c r="AG29" s="53"/>
      <c r="AH29" s="53"/>
      <c r="AI29" s="53"/>
      <c r="AJ29" s="53"/>
      <c r="AK29" s="53"/>
      <c r="AL29" s="53"/>
      <c r="AM29" s="53"/>
      <c r="AN29" s="53"/>
      <c r="AO29" s="54"/>
    </row>
    <row r="30" spans="1:41" x14ac:dyDescent="0.25">
      <c r="A30" s="248"/>
      <c r="B30" s="248"/>
      <c r="C30" s="248"/>
      <c r="D30" s="248"/>
      <c r="E30" s="248"/>
      <c r="F30" s="248"/>
      <c r="G30" s="248"/>
      <c r="H30" s="248"/>
      <c r="I30" s="248"/>
      <c r="J30" s="248"/>
      <c r="K30" s="248"/>
      <c r="L30" s="248"/>
      <c r="M30" s="248"/>
      <c r="N30" s="248"/>
      <c r="O30" s="248"/>
      <c r="P30" s="248"/>
      <c r="Q30" s="248"/>
      <c r="R30" s="248"/>
      <c r="S30" s="248"/>
      <c r="T30" s="248"/>
      <c r="U30" s="248"/>
      <c r="V30" s="248"/>
      <c r="W30" s="248"/>
      <c r="X30" s="248"/>
      <c r="Y30" s="248"/>
      <c r="Z30" s="248"/>
      <c r="AA30" s="248"/>
      <c r="AB30" s="248"/>
      <c r="AC30" s="248"/>
      <c r="AD30" s="248"/>
      <c r="AE30" s="248"/>
      <c r="AF30" s="248"/>
      <c r="AG30" s="248"/>
      <c r="AH30" s="248"/>
      <c r="AI30" s="248"/>
      <c r="AJ30" s="248"/>
      <c r="AK30" s="248"/>
      <c r="AL30" s="248"/>
      <c r="AM30" s="248"/>
      <c r="AN30" s="248"/>
      <c r="AO30" s="248"/>
    </row>
    <row r="31" spans="1:41" ht="15.75" thickBot="1" x14ac:dyDescent="0.3">
      <c r="A31" s="248"/>
      <c r="B31" s="248"/>
      <c r="C31" s="248"/>
      <c r="D31" s="248"/>
      <c r="E31" s="248"/>
      <c r="F31" s="248"/>
      <c r="G31" s="248"/>
      <c r="H31" s="248"/>
      <c r="I31" s="248"/>
      <c r="J31" s="248"/>
      <c r="K31" s="248"/>
      <c r="L31" s="248"/>
      <c r="M31" s="248"/>
      <c r="N31" s="248"/>
      <c r="O31" s="248"/>
      <c r="P31" s="248"/>
      <c r="Q31" s="248"/>
      <c r="R31" s="248"/>
      <c r="S31" s="248"/>
      <c r="T31" s="248"/>
      <c r="U31" s="248"/>
      <c r="V31" s="248"/>
      <c r="W31" s="248"/>
      <c r="X31" s="248"/>
      <c r="Y31" s="248"/>
      <c r="Z31" s="248"/>
      <c r="AA31" s="248"/>
      <c r="AB31" s="248"/>
      <c r="AC31" s="248"/>
      <c r="AD31" s="248"/>
      <c r="AE31" s="248"/>
      <c r="AF31" s="248"/>
      <c r="AG31" s="248"/>
      <c r="AH31" s="248"/>
      <c r="AI31" s="248"/>
      <c r="AJ31" s="248"/>
      <c r="AK31" s="248"/>
      <c r="AL31" s="248"/>
      <c r="AM31" s="248"/>
      <c r="AN31" s="248"/>
      <c r="AO31" s="248"/>
    </row>
    <row r="32" spans="1:41" x14ac:dyDescent="0.25">
      <c r="A32" s="242" t="s">
        <v>94</v>
      </c>
      <c r="B32" s="243"/>
      <c r="C32" s="50"/>
      <c r="D32" s="50"/>
      <c r="E32" s="50"/>
      <c r="F32" s="50"/>
      <c r="G32" s="50"/>
      <c r="H32" s="50"/>
      <c r="I32" s="50"/>
      <c r="J32" s="50"/>
      <c r="K32" s="50"/>
      <c r="L32" s="50"/>
      <c r="M32" s="50"/>
      <c r="N32" s="50"/>
      <c r="O32" s="50"/>
      <c r="P32" s="50"/>
      <c r="Q32" s="50"/>
      <c r="R32" s="50"/>
      <c r="S32" s="50"/>
      <c r="T32" s="50"/>
      <c r="U32" s="50"/>
      <c r="V32" s="50"/>
      <c r="W32" s="50"/>
      <c r="X32" s="50"/>
      <c r="Y32" s="50"/>
      <c r="Z32" s="50"/>
      <c r="AA32" s="50"/>
      <c r="AB32" s="50"/>
      <c r="AC32" s="50"/>
      <c r="AD32" s="50"/>
      <c r="AE32" s="50"/>
      <c r="AF32" s="50"/>
      <c r="AG32" s="50"/>
      <c r="AH32" s="50"/>
      <c r="AI32" s="50"/>
      <c r="AJ32" s="50"/>
      <c r="AK32" s="50"/>
      <c r="AL32" s="50"/>
      <c r="AM32" s="50"/>
      <c r="AN32" s="50"/>
      <c r="AO32" s="51"/>
    </row>
    <row r="33" spans="1:41" x14ac:dyDescent="0.25">
      <c r="A33" s="244"/>
      <c r="B33" s="245"/>
      <c r="C33" s="5"/>
      <c r="D33" s="5"/>
      <c r="E33" s="7" t="s">
        <v>26</v>
      </c>
      <c r="F33" s="7" t="s">
        <v>27</v>
      </c>
      <c r="G33" s="7" t="s">
        <v>28</v>
      </c>
      <c r="H33" s="7" t="s">
        <v>29</v>
      </c>
      <c r="I33" s="7" t="s">
        <v>30</v>
      </c>
      <c r="J33" s="7" t="s">
        <v>31</v>
      </c>
      <c r="K33" s="7" t="s">
        <v>32</v>
      </c>
      <c r="L33" s="7" t="s">
        <v>33</v>
      </c>
      <c r="M33" s="7" t="s">
        <v>34</v>
      </c>
      <c r="N33" s="7" t="s">
        <v>35</v>
      </c>
      <c r="O33" s="7" t="s">
        <v>36</v>
      </c>
      <c r="P33" s="7" t="s">
        <v>37</v>
      </c>
      <c r="Q33" s="7" t="s">
        <v>38</v>
      </c>
      <c r="R33" s="7" t="s">
        <v>39</v>
      </c>
      <c r="S33" s="7" t="s">
        <v>40</v>
      </c>
      <c r="T33" s="7" t="s">
        <v>41</v>
      </c>
      <c r="U33" s="7" t="s">
        <v>42</v>
      </c>
      <c r="V33" s="7" t="s">
        <v>43</v>
      </c>
      <c r="W33" s="7" t="s">
        <v>44</v>
      </c>
      <c r="X33" s="7" t="s">
        <v>45</v>
      </c>
      <c r="Y33" s="7" t="s">
        <v>46</v>
      </c>
      <c r="Z33" s="7" t="s">
        <v>47</v>
      </c>
      <c r="AA33" s="7" t="s">
        <v>48</v>
      </c>
      <c r="AB33" s="7" t="s">
        <v>49</v>
      </c>
      <c r="AC33" s="7" t="s">
        <v>50</v>
      </c>
      <c r="AD33" s="7" t="s">
        <v>51</v>
      </c>
      <c r="AE33" s="7" t="s">
        <v>52</v>
      </c>
      <c r="AF33" s="7" t="s">
        <v>53</v>
      </c>
      <c r="AG33" s="7" t="s">
        <v>54</v>
      </c>
      <c r="AH33" s="7" t="s">
        <v>55</v>
      </c>
      <c r="AI33" s="7" t="s">
        <v>56</v>
      </c>
      <c r="AJ33" s="7" t="s">
        <v>57</v>
      </c>
      <c r="AK33" s="7" t="s">
        <v>58</v>
      </c>
      <c r="AL33" s="7" t="s">
        <v>59</v>
      </c>
      <c r="AM33" s="7" t="s">
        <v>60</v>
      </c>
      <c r="AN33" s="7" t="s">
        <v>61</v>
      </c>
      <c r="AO33" s="52"/>
    </row>
    <row r="34" spans="1:41" ht="15.75" thickBot="1" x14ac:dyDescent="0.3">
      <c r="A34" s="244"/>
      <c r="B34" s="245"/>
      <c r="C34" s="5"/>
      <c r="D34" s="5"/>
      <c r="E34" s="8" t="s">
        <v>62</v>
      </c>
      <c r="F34" s="8" t="s">
        <v>63</v>
      </c>
      <c r="G34" s="8" t="s">
        <v>64</v>
      </c>
      <c r="H34" s="8" t="s">
        <v>65</v>
      </c>
      <c r="I34" s="8" t="s">
        <v>66</v>
      </c>
      <c r="J34" s="8" t="s">
        <v>67</v>
      </c>
      <c r="K34" s="8" t="s">
        <v>68</v>
      </c>
      <c r="L34" s="8" t="s">
        <v>69</v>
      </c>
      <c r="M34" s="8" t="s">
        <v>70</v>
      </c>
      <c r="N34" s="8" t="s">
        <v>71</v>
      </c>
      <c r="O34" s="8" t="s">
        <v>72</v>
      </c>
      <c r="P34" s="8" t="s">
        <v>73</v>
      </c>
      <c r="Q34" s="8" t="s">
        <v>62</v>
      </c>
      <c r="R34" s="8" t="s">
        <v>63</v>
      </c>
      <c r="S34" s="8" t="s">
        <v>64</v>
      </c>
      <c r="T34" s="8" t="s">
        <v>65</v>
      </c>
      <c r="U34" s="8" t="s">
        <v>66</v>
      </c>
      <c r="V34" s="8" t="s">
        <v>67</v>
      </c>
      <c r="W34" s="8" t="s">
        <v>68</v>
      </c>
      <c r="X34" s="8" t="s">
        <v>69</v>
      </c>
      <c r="Y34" s="8" t="s">
        <v>70</v>
      </c>
      <c r="Z34" s="8" t="s">
        <v>71</v>
      </c>
      <c r="AA34" s="8" t="s">
        <v>72</v>
      </c>
      <c r="AB34" s="8" t="s">
        <v>73</v>
      </c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52"/>
    </row>
    <row r="35" spans="1:41" x14ac:dyDescent="0.25">
      <c r="A35" s="244"/>
      <c r="B35" s="245"/>
      <c r="C35" s="5"/>
      <c r="D35" s="20" t="s">
        <v>0</v>
      </c>
      <c r="E35" s="4" t="s">
        <v>1</v>
      </c>
      <c r="F35" s="3" t="s">
        <v>2</v>
      </c>
      <c r="G35" s="3" t="s">
        <v>3</v>
      </c>
      <c r="H35" s="3" t="s">
        <v>4</v>
      </c>
      <c r="I35" s="3" t="s">
        <v>5</v>
      </c>
      <c r="J35" s="3" t="s">
        <v>6</v>
      </c>
      <c r="K35" s="3" t="s">
        <v>7</v>
      </c>
      <c r="L35" s="3" t="s">
        <v>8</v>
      </c>
      <c r="M35" s="3" t="s">
        <v>9</v>
      </c>
      <c r="N35" s="3" t="s">
        <v>10</v>
      </c>
      <c r="O35" s="3" t="s">
        <v>11</v>
      </c>
      <c r="P35" s="28" t="s">
        <v>12</v>
      </c>
      <c r="Q35" s="4" t="s">
        <v>14</v>
      </c>
      <c r="R35" s="3" t="s">
        <v>15</v>
      </c>
      <c r="S35" s="3" t="s">
        <v>16</v>
      </c>
      <c r="T35" s="3" t="s">
        <v>17</v>
      </c>
      <c r="U35" s="3" t="s">
        <v>18</v>
      </c>
      <c r="V35" s="3" t="s">
        <v>19</v>
      </c>
      <c r="W35" s="3" t="s">
        <v>20</v>
      </c>
      <c r="X35" s="3" t="s">
        <v>21</v>
      </c>
      <c r="Y35" s="3" t="s">
        <v>22</v>
      </c>
      <c r="Z35" s="3" t="s">
        <v>23</v>
      </c>
      <c r="AA35" s="3" t="s">
        <v>24</v>
      </c>
      <c r="AB35" s="28" t="s">
        <v>25</v>
      </c>
      <c r="AC35" s="17" t="s">
        <v>74</v>
      </c>
      <c r="AD35" s="18" t="s">
        <v>75</v>
      </c>
      <c r="AE35" s="18" t="s">
        <v>76</v>
      </c>
      <c r="AF35" s="18" t="s">
        <v>77</v>
      </c>
      <c r="AG35" s="18" t="s">
        <v>78</v>
      </c>
      <c r="AH35" s="18" t="s">
        <v>79</v>
      </c>
      <c r="AI35" s="18" t="s">
        <v>80</v>
      </c>
      <c r="AJ35" s="18" t="s">
        <v>81</v>
      </c>
      <c r="AK35" s="18" t="s">
        <v>82</v>
      </c>
      <c r="AL35" s="18" t="s">
        <v>83</v>
      </c>
      <c r="AM35" s="18" t="s">
        <v>84</v>
      </c>
      <c r="AN35" s="19" t="s">
        <v>85</v>
      </c>
      <c r="AO35" s="52"/>
    </row>
    <row r="36" spans="1:41" ht="15.75" thickBot="1" x14ac:dyDescent="0.3">
      <c r="A36" s="244"/>
      <c r="B36" s="245"/>
      <c r="C36" s="5"/>
      <c r="D36" s="21" t="s">
        <v>13</v>
      </c>
      <c r="E36" s="12">
        <v>192</v>
      </c>
      <c r="F36" s="6">
        <v>233</v>
      </c>
      <c r="G36" s="6">
        <v>316</v>
      </c>
      <c r="H36" s="6">
        <v>360</v>
      </c>
      <c r="I36" s="6">
        <v>437</v>
      </c>
      <c r="J36" s="6">
        <v>468</v>
      </c>
      <c r="K36" s="6">
        <v>451</v>
      </c>
      <c r="L36" s="6">
        <v>433</v>
      </c>
      <c r="M36" s="6">
        <v>444</v>
      </c>
      <c r="N36" s="6">
        <v>428</v>
      </c>
      <c r="O36" s="6">
        <v>352</v>
      </c>
      <c r="P36" s="29">
        <v>331</v>
      </c>
      <c r="Q36" s="12">
        <v>296</v>
      </c>
      <c r="R36" s="6">
        <v>316</v>
      </c>
      <c r="S36" s="6">
        <v>364</v>
      </c>
      <c r="T36" s="6">
        <v>487</v>
      </c>
      <c r="U36" s="6">
        <v>559</v>
      </c>
      <c r="V36" s="6">
        <v>657</v>
      </c>
      <c r="W36" s="6">
        <v>588</v>
      </c>
      <c r="X36" s="6">
        <v>575</v>
      </c>
      <c r="Y36" s="6">
        <v>561</v>
      </c>
      <c r="Z36" s="6">
        <v>499</v>
      </c>
      <c r="AA36" s="6">
        <v>450</v>
      </c>
      <c r="AB36" s="29">
        <v>405</v>
      </c>
      <c r="AC36" s="13"/>
      <c r="AD36" s="7"/>
      <c r="AE36" s="7"/>
      <c r="AF36" s="7"/>
      <c r="AG36" s="7"/>
      <c r="AH36" s="7"/>
      <c r="AI36" s="7"/>
      <c r="AJ36" s="7"/>
      <c r="AK36" s="7"/>
      <c r="AL36" s="7"/>
      <c r="AM36" s="7"/>
      <c r="AN36" s="9"/>
      <c r="AO36" s="52"/>
    </row>
    <row r="37" spans="1:41" ht="15.75" thickBot="1" x14ac:dyDescent="0.3">
      <c r="A37" s="244"/>
      <c r="B37" s="245"/>
      <c r="C37" s="49" t="s">
        <v>91</v>
      </c>
      <c r="D37" s="22" t="s">
        <v>86</v>
      </c>
      <c r="E37" s="33"/>
      <c r="F37" s="32"/>
      <c r="G37" s="32"/>
      <c r="H37" s="32"/>
      <c r="I37" s="32"/>
      <c r="J37" s="32"/>
      <c r="K37" s="44">
        <v>374.75</v>
      </c>
      <c r="L37" s="44">
        <v>382.54166666666663</v>
      </c>
      <c r="M37" s="44">
        <v>388</v>
      </c>
      <c r="N37" s="44">
        <v>395.29166666666663</v>
      </c>
      <c r="O37" s="44">
        <v>405.66666666666663</v>
      </c>
      <c r="P37" s="48">
        <v>418.625</v>
      </c>
      <c r="Q37" s="46">
        <v>432.20833333333331</v>
      </c>
      <c r="R37" s="44">
        <v>443.83333333333331</v>
      </c>
      <c r="S37" s="44">
        <v>454.625</v>
      </c>
      <c r="T37" s="44">
        <v>462.45833333333331</v>
      </c>
      <c r="U37" s="44">
        <v>469.5</v>
      </c>
      <c r="V37" s="44">
        <v>476.66666666666663</v>
      </c>
      <c r="W37" s="32"/>
      <c r="X37" s="32"/>
      <c r="Y37" s="7"/>
      <c r="Z37" s="32"/>
      <c r="AA37" s="32"/>
      <c r="AB37" s="34"/>
      <c r="AC37" s="33"/>
      <c r="AD37" s="32"/>
      <c r="AE37" s="32"/>
      <c r="AF37" s="32"/>
      <c r="AG37" s="32"/>
      <c r="AH37" s="7"/>
      <c r="AI37" s="32"/>
      <c r="AJ37" s="32"/>
      <c r="AK37" s="32"/>
      <c r="AL37" s="32"/>
      <c r="AM37" s="32"/>
      <c r="AN37" s="42"/>
      <c r="AO37" s="52"/>
    </row>
    <row r="38" spans="1:41" ht="15.75" thickBot="1" x14ac:dyDescent="0.3">
      <c r="A38" s="244"/>
      <c r="B38" s="245"/>
      <c r="C38" s="49">
        <v>9.9639000000000006</v>
      </c>
      <c r="D38" s="22" t="s">
        <v>87</v>
      </c>
      <c r="E38" s="37">
        <v>0.68</v>
      </c>
      <c r="F38" s="36">
        <v>0.71</v>
      </c>
      <c r="G38" s="36">
        <v>0.8</v>
      </c>
      <c r="H38" s="36">
        <v>1.05</v>
      </c>
      <c r="I38" s="36">
        <v>1.19</v>
      </c>
      <c r="J38" s="36">
        <v>1.38</v>
      </c>
      <c r="K38" s="32">
        <v>1.2</v>
      </c>
      <c r="L38" s="32">
        <v>1.1299999999999999</v>
      </c>
      <c r="M38" s="32">
        <v>1.1399999999999999</v>
      </c>
      <c r="N38" s="32">
        <v>1.08</v>
      </c>
      <c r="O38" s="32">
        <v>0.87</v>
      </c>
      <c r="P38" s="34">
        <v>0.79</v>
      </c>
      <c r="Q38" s="33">
        <v>0.68</v>
      </c>
      <c r="R38" s="32">
        <v>0.71</v>
      </c>
      <c r="S38" s="32">
        <v>0.8</v>
      </c>
      <c r="T38" s="32">
        <v>1.05</v>
      </c>
      <c r="U38" s="32">
        <v>1.19</v>
      </c>
      <c r="V38" s="32">
        <v>1.38</v>
      </c>
      <c r="W38" s="36">
        <v>1.2</v>
      </c>
      <c r="X38" s="36">
        <v>1.1299999999999999</v>
      </c>
      <c r="Y38" s="36">
        <v>1.1399999999999999</v>
      </c>
      <c r="Z38" s="36">
        <v>1.08</v>
      </c>
      <c r="AA38" s="36">
        <v>0.87</v>
      </c>
      <c r="AB38" s="35">
        <v>0.79</v>
      </c>
      <c r="AC38" s="33">
        <v>0.68</v>
      </c>
      <c r="AD38" s="7">
        <v>0.71</v>
      </c>
      <c r="AE38" s="32">
        <v>0.8</v>
      </c>
      <c r="AF38" s="32">
        <v>1.05</v>
      </c>
      <c r="AG38" s="32">
        <v>1.19</v>
      </c>
      <c r="AH38" s="32">
        <v>1.38</v>
      </c>
      <c r="AI38" s="32">
        <v>1.2</v>
      </c>
      <c r="AJ38" s="32">
        <v>1.1299999999999999</v>
      </c>
      <c r="AK38" s="32">
        <v>1.1399999999999999</v>
      </c>
      <c r="AL38" s="7">
        <v>1.08</v>
      </c>
      <c r="AM38" s="32">
        <v>0.87</v>
      </c>
      <c r="AN38" s="9">
        <v>0.79</v>
      </c>
      <c r="AO38" s="52"/>
    </row>
    <row r="39" spans="1:41" x14ac:dyDescent="0.25">
      <c r="A39" s="244"/>
      <c r="B39" s="245"/>
      <c r="C39" s="5"/>
      <c r="D39" s="22" t="s">
        <v>88</v>
      </c>
      <c r="E39" s="46">
        <v>314.96659999999986</v>
      </c>
      <c r="F39" s="44">
        <v>324.93049999999988</v>
      </c>
      <c r="G39" s="44">
        <v>334.89439999999991</v>
      </c>
      <c r="H39" s="44">
        <v>344.85829999999993</v>
      </c>
      <c r="I39" s="44">
        <v>354.82219999999995</v>
      </c>
      <c r="J39" s="44">
        <v>364.78609999999998</v>
      </c>
      <c r="K39" s="44">
        <v>374.75</v>
      </c>
      <c r="L39" s="44">
        <v>382.54166666666663</v>
      </c>
      <c r="M39" s="44">
        <v>388</v>
      </c>
      <c r="N39" s="44">
        <v>395.29166666666663</v>
      </c>
      <c r="O39" s="44">
        <v>405.66666666666663</v>
      </c>
      <c r="P39" s="48">
        <v>418.625</v>
      </c>
      <c r="Q39" s="46">
        <v>432.20833333333331</v>
      </c>
      <c r="R39" s="44">
        <v>443.83333333333331</v>
      </c>
      <c r="S39" s="44">
        <v>454.625</v>
      </c>
      <c r="T39" s="44">
        <v>462.45833333333331</v>
      </c>
      <c r="U39" s="44">
        <v>469.5</v>
      </c>
      <c r="V39" s="44">
        <v>476.66666666666663</v>
      </c>
      <c r="W39" s="44">
        <v>486.63056666666665</v>
      </c>
      <c r="X39" s="44">
        <v>496.59446666666668</v>
      </c>
      <c r="Y39" s="44">
        <v>506.5583666666667</v>
      </c>
      <c r="Z39" s="44">
        <v>516.52226666666672</v>
      </c>
      <c r="AA39" s="44">
        <v>526.48616666666669</v>
      </c>
      <c r="AB39" s="48">
        <v>536.45006666666666</v>
      </c>
      <c r="AC39" s="46">
        <v>546.41396666666662</v>
      </c>
      <c r="AD39" s="44">
        <v>556.37786666666659</v>
      </c>
      <c r="AE39" s="44">
        <v>566.34176666666656</v>
      </c>
      <c r="AF39" s="44">
        <v>576.30566666666653</v>
      </c>
      <c r="AG39" s="44">
        <v>586.26956666666649</v>
      </c>
      <c r="AH39" s="44">
        <v>596.23346666666646</v>
      </c>
      <c r="AI39" s="44">
        <v>606.19736666666643</v>
      </c>
      <c r="AJ39" s="44">
        <v>616.16126666666639</v>
      </c>
      <c r="AK39" s="44">
        <v>626.12516666666636</v>
      </c>
      <c r="AL39" s="44">
        <v>636.08906666666633</v>
      </c>
      <c r="AM39" s="44">
        <v>646.05296666666629</v>
      </c>
      <c r="AN39" s="45">
        <v>656.01686666666626</v>
      </c>
      <c r="AO39" s="52"/>
    </row>
    <row r="40" spans="1:41" x14ac:dyDescent="0.25">
      <c r="A40" s="244"/>
      <c r="B40" s="245"/>
      <c r="C40" s="5"/>
      <c r="D40" s="22" t="s">
        <v>89</v>
      </c>
      <c r="E40" s="33">
        <v>214.17728799999992</v>
      </c>
      <c r="F40" s="32">
        <v>230.7006549999999</v>
      </c>
      <c r="G40" s="32">
        <v>267.91551999999996</v>
      </c>
      <c r="H40" s="32">
        <v>362.10121499999997</v>
      </c>
      <c r="I40" s="32">
        <v>422.23841799999991</v>
      </c>
      <c r="J40" s="32">
        <v>503.40481799999992</v>
      </c>
      <c r="K40" s="32">
        <v>449.7</v>
      </c>
      <c r="L40" s="32">
        <v>432.27208333333323</v>
      </c>
      <c r="M40" s="32">
        <v>442.31999999999994</v>
      </c>
      <c r="N40" s="32">
        <v>426.91499999999996</v>
      </c>
      <c r="O40" s="32">
        <v>352.92999999999995</v>
      </c>
      <c r="P40" s="34">
        <v>330.71375</v>
      </c>
      <c r="Q40" s="33">
        <v>293.9016666666667</v>
      </c>
      <c r="R40" s="32">
        <v>315.12166666666661</v>
      </c>
      <c r="S40" s="32">
        <v>363.70000000000005</v>
      </c>
      <c r="T40" s="32">
        <v>485.58125000000001</v>
      </c>
      <c r="U40" s="32">
        <v>558.70499999999993</v>
      </c>
      <c r="V40" s="32">
        <v>657.79999999999984</v>
      </c>
      <c r="W40" s="32">
        <v>583.95668000000001</v>
      </c>
      <c r="X40" s="32">
        <v>561.15174733333333</v>
      </c>
      <c r="Y40" s="32">
        <v>577.47653800000001</v>
      </c>
      <c r="Z40" s="32">
        <v>557.84404800000004</v>
      </c>
      <c r="AA40" s="32">
        <v>458.04296500000004</v>
      </c>
      <c r="AB40" s="34">
        <v>423.79555266666665</v>
      </c>
      <c r="AC40" s="33">
        <v>371.56149733333331</v>
      </c>
      <c r="AD40" s="32">
        <v>395.02828533333326</v>
      </c>
      <c r="AE40" s="32">
        <v>453.07341333333329</v>
      </c>
      <c r="AF40" s="32">
        <v>605.12094999999988</v>
      </c>
      <c r="AG40" s="32">
        <v>697.66078433333314</v>
      </c>
      <c r="AH40" s="32">
        <v>822.80218399999967</v>
      </c>
      <c r="AI40" s="32">
        <v>727.43683999999973</v>
      </c>
      <c r="AJ40" s="32">
        <v>696.26223133333292</v>
      </c>
      <c r="AK40" s="32">
        <v>713.78268999999955</v>
      </c>
      <c r="AL40" s="32">
        <v>686.97619199999963</v>
      </c>
      <c r="AM40" s="32">
        <v>562.06608099999971</v>
      </c>
      <c r="AN40" s="42">
        <v>518.25332466666634</v>
      </c>
      <c r="AO40" s="52"/>
    </row>
    <row r="41" spans="1:41" ht="15.75" thickBot="1" x14ac:dyDescent="0.3">
      <c r="A41" s="244"/>
      <c r="B41" s="245"/>
      <c r="C41" s="5"/>
      <c r="D41" s="23" t="s">
        <v>90</v>
      </c>
      <c r="E41" s="26">
        <v>0.11550670833333292</v>
      </c>
      <c r="F41" s="27">
        <v>-9.8684334763952872E-3</v>
      </c>
      <c r="G41" s="27">
        <v>-0.15216607594936721</v>
      </c>
      <c r="H41" s="27">
        <v>5.8367083333332442E-3</v>
      </c>
      <c r="I41" s="27">
        <v>-3.3779363844393798E-2</v>
      </c>
      <c r="J41" s="27">
        <v>7.565132051282035E-2</v>
      </c>
      <c r="K41" s="27">
        <v>-2.8824833702882735E-3</v>
      </c>
      <c r="L41" s="27">
        <v>-1.681100846805478E-3</v>
      </c>
      <c r="M41" s="27">
        <v>-3.7837837837839273E-3</v>
      </c>
      <c r="N41" s="27">
        <v>-2.5350467289720477E-3</v>
      </c>
      <c r="O41" s="27">
        <v>2.6420454545453124E-3</v>
      </c>
      <c r="P41" s="31">
        <v>-8.6480362537762982E-4</v>
      </c>
      <c r="Q41" s="26">
        <v>-7.0889639639638543E-3</v>
      </c>
      <c r="R41" s="27">
        <v>-2.7795358649790733E-3</v>
      </c>
      <c r="S41" s="27">
        <v>-8.2417582417569928E-4</v>
      </c>
      <c r="T41" s="27">
        <v>-2.913244353182728E-3</v>
      </c>
      <c r="U41" s="27">
        <v>-5.2772808586775094E-4</v>
      </c>
      <c r="V41" s="27">
        <v>1.2176560121763178E-3</v>
      </c>
      <c r="W41" s="27">
        <v>-6.8763945578231194E-3</v>
      </c>
      <c r="X41" s="27">
        <v>-2.408391768115942E-2</v>
      </c>
      <c r="Y41" s="27">
        <v>2.9369942959001791E-2</v>
      </c>
      <c r="Z41" s="27">
        <v>0.11792394388777563</v>
      </c>
      <c r="AA41" s="27">
        <v>1.7873255555555641E-2</v>
      </c>
      <c r="AB41" s="31">
        <v>4.6408772016460868E-2</v>
      </c>
      <c r="AC41" s="14"/>
      <c r="AD41" s="10"/>
      <c r="AE41" s="10"/>
      <c r="AF41" s="10"/>
      <c r="AG41" s="10"/>
      <c r="AH41" s="10"/>
      <c r="AI41" s="10"/>
      <c r="AJ41" s="10"/>
      <c r="AK41" s="10"/>
      <c r="AL41" s="10"/>
      <c r="AM41" s="10"/>
      <c r="AN41" s="11"/>
      <c r="AO41" s="52"/>
    </row>
    <row r="42" spans="1:41" ht="15.75" thickBot="1" x14ac:dyDescent="0.3">
      <c r="A42" s="246"/>
      <c r="B42" s="247"/>
      <c r="C42" s="53"/>
      <c r="D42" s="53"/>
      <c r="E42" s="53"/>
      <c r="F42" s="53"/>
      <c r="G42" s="53"/>
      <c r="H42" s="53"/>
      <c r="I42" s="53"/>
      <c r="J42" s="53"/>
      <c r="K42" s="53"/>
      <c r="L42" s="53"/>
      <c r="M42" s="53"/>
      <c r="N42" s="53"/>
      <c r="O42" s="53"/>
      <c r="P42" s="53"/>
      <c r="Q42" s="53"/>
      <c r="R42" s="53"/>
      <c r="S42" s="53"/>
      <c r="T42" s="53"/>
      <c r="U42" s="53"/>
      <c r="V42" s="53"/>
      <c r="W42" s="53"/>
      <c r="X42" s="53"/>
      <c r="Y42" s="53"/>
      <c r="Z42" s="53"/>
      <c r="AA42" s="53"/>
      <c r="AB42" s="53"/>
      <c r="AC42" s="53"/>
      <c r="AD42" s="53"/>
      <c r="AE42" s="53"/>
      <c r="AF42" s="53"/>
      <c r="AG42" s="53"/>
      <c r="AH42" s="53"/>
      <c r="AI42" s="53"/>
      <c r="AJ42" s="53"/>
      <c r="AK42" s="53"/>
      <c r="AL42" s="53"/>
      <c r="AM42" s="53"/>
      <c r="AN42" s="53"/>
      <c r="AO42" s="54"/>
    </row>
    <row r="43" spans="1:41" x14ac:dyDescent="0.25">
      <c r="A43" s="248"/>
      <c r="B43" s="248"/>
      <c r="C43" s="248"/>
      <c r="D43" s="248"/>
      <c r="E43" s="248"/>
      <c r="F43" s="248"/>
      <c r="G43" s="248"/>
      <c r="H43" s="248"/>
      <c r="I43" s="248"/>
      <c r="J43" s="248"/>
      <c r="K43" s="248"/>
      <c r="L43" s="248"/>
      <c r="M43" s="248"/>
      <c r="N43" s="248"/>
      <c r="O43" s="248"/>
      <c r="P43" s="248"/>
      <c r="Q43" s="248"/>
      <c r="R43" s="248"/>
      <c r="S43" s="248"/>
      <c r="T43" s="248"/>
      <c r="U43" s="248"/>
      <c r="V43" s="248"/>
      <c r="W43" s="248"/>
      <c r="X43" s="248"/>
      <c r="Y43" s="248"/>
      <c r="Z43" s="248"/>
      <c r="AA43" s="248"/>
      <c r="AB43" s="248"/>
      <c r="AC43" s="248"/>
      <c r="AD43" s="248"/>
      <c r="AE43" s="248"/>
      <c r="AF43" s="248"/>
      <c r="AG43" s="248"/>
      <c r="AH43" s="248"/>
      <c r="AI43" s="248"/>
      <c r="AJ43" s="248"/>
      <c r="AK43" s="248"/>
      <c r="AL43" s="248"/>
      <c r="AM43" s="248"/>
      <c r="AN43" s="248"/>
      <c r="AO43" s="248"/>
    </row>
    <row r="44" spans="1:41" ht="15.75" thickBot="1" x14ac:dyDescent="0.3">
      <c r="A44" s="248"/>
      <c r="B44" s="248"/>
      <c r="C44" s="248"/>
      <c r="D44" s="248"/>
      <c r="E44" s="248"/>
      <c r="F44" s="248"/>
      <c r="G44" s="248"/>
      <c r="H44" s="248"/>
      <c r="I44" s="248"/>
      <c r="J44" s="248"/>
      <c r="K44" s="248"/>
      <c r="L44" s="248"/>
      <c r="M44" s="248"/>
      <c r="N44" s="248"/>
      <c r="O44" s="248"/>
      <c r="P44" s="248"/>
      <c r="Q44" s="248"/>
      <c r="R44" s="248"/>
      <c r="S44" s="248"/>
      <c r="T44" s="248"/>
      <c r="U44" s="248"/>
      <c r="V44" s="248"/>
      <c r="W44" s="248"/>
      <c r="X44" s="248"/>
      <c r="Y44" s="248"/>
      <c r="Z44" s="248"/>
      <c r="AA44" s="248"/>
      <c r="AB44" s="248"/>
      <c r="AC44" s="248"/>
      <c r="AD44" s="248"/>
      <c r="AE44" s="248"/>
      <c r="AF44" s="248"/>
      <c r="AG44" s="248"/>
      <c r="AH44" s="248"/>
      <c r="AI44" s="248"/>
      <c r="AJ44" s="248"/>
      <c r="AK44" s="248"/>
      <c r="AL44" s="248"/>
      <c r="AM44" s="248"/>
      <c r="AN44" s="248"/>
      <c r="AO44" s="248"/>
    </row>
    <row r="45" spans="1:41" x14ac:dyDescent="0.25">
      <c r="A45" s="242" t="s">
        <v>95</v>
      </c>
      <c r="B45" s="243"/>
      <c r="C45" s="50"/>
      <c r="D45" s="50"/>
      <c r="E45" s="50"/>
      <c r="F45" s="50"/>
      <c r="G45" s="50"/>
      <c r="H45" s="50"/>
      <c r="I45" s="50"/>
      <c r="J45" s="50"/>
      <c r="K45" s="50"/>
      <c r="L45" s="50"/>
      <c r="M45" s="50"/>
      <c r="N45" s="50"/>
      <c r="O45" s="50"/>
      <c r="P45" s="50"/>
      <c r="Q45" s="50"/>
      <c r="R45" s="50"/>
      <c r="S45" s="50"/>
      <c r="T45" s="50"/>
      <c r="U45" s="50"/>
      <c r="V45" s="50"/>
      <c r="W45" s="50"/>
      <c r="X45" s="50"/>
      <c r="Y45" s="50"/>
      <c r="Z45" s="50"/>
      <c r="AA45" s="50"/>
      <c r="AB45" s="50"/>
      <c r="AC45" s="50"/>
      <c r="AD45" s="50"/>
      <c r="AE45" s="50"/>
      <c r="AF45" s="50"/>
      <c r="AG45" s="50"/>
      <c r="AH45" s="50"/>
      <c r="AI45" s="50"/>
      <c r="AJ45" s="50"/>
      <c r="AK45" s="50"/>
      <c r="AL45" s="50"/>
      <c r="AM45" s="50"/>
      <c r="AN45" s="50"/>
      <c r="AO45" s="51"/>
    </row>
    <row r="46" spans="1:41" x14ac:dyDescent="0.25">
      <c r="A46" s="244"/>
      <c r="B46" s="245"/>
      <c r="C46" s="5"/>
      <c r="D46" s="5"/>
      <c r="E46" s="7" t="s">
        <v>26</v>
      </c>
      <c r="F46" s="7" t="s">
        <v>27</v>
      </c>
      <c r="G46" s="7" t="s">
        <v>28</v>
      </c>
      <c r="H46" s="7" t="s">
        <v>29</v>
      </c>
      <c r="I46" s="7" t="s">
        <v>30</v>
      </c>
      <c r="J46" s="7" t="s">
        <v>31</v>
      </c>
      <c r="K46" s="7" t="s">
        <v>32</v>
      </c>
      <c r="L46" s="7" t="s">
        <v>33</v>
      </c>
      <c r="M46" s="7" t="s">
        <v>34</v>
      </c>
      <c r="N46" s="7" t="s">
        <v>35</v>
      </c>
      <c r="O46" s="7" t="s">
        <v>36</v>
      </c>
      <c r="P46" s="7" t="s">
        <v>37</v>
      </c>
      <c r="Q46" s="7" t="s">
        <v>38</v>
      </c>
      <c r="R46" s="7" t="s">
        <v>39</v>
      </c>
      <c r="S46" s="7" t="s">
        <v>40</v>
      </c>
      <c r="T46" s="7" t="s">
        <v>41</v>
      </c>
      <c r="U46" s="7" t="s">
        <v>42</v>
      </c>
      <c r="V46" s="7" t="s">
        <v>43</v>
      </c>
      <c r="W46" s="7" t="s">
        <v>44</v>
      </c>
      <c r="X46" s="7" t="s">
        <v>45</v>
      </c>
      <c r="Y46" s="7" t="s">
        <v>46</v>
      </c>
      <c r="Z46" s="7" t="s">
        <v>47</v>
      </c>
      <c r="AA46" s="7" t="s">
        <v>48</v>
      </c>
      <c r="AB46" s="7" t="s">
        <v>49</v>
      </c>
      <c r="AC46" s="7" t="s">
        <v>50</v>
      </c>
      <c r="AD46" s="7" t="s">
        <v>51</v>
      </c>
      <c r="AE46" s="7" t="s">
        <v>52</v>
      </c>
      <c r="AF46" s="7" t="s">
        <v>53</v>
      </c>
      <c r="AG46" s="7" t="s">
        <v>54</v>
      </c>
      <c r="AH46" s="7" t="s">
        <v>55</v>
      </c>
      <c r="AI46" s="7" t="s">
        <v>56</v>
      </c>
      <c r="AJ46" s="7" t="s">
        <v>57</v>
      </c>
      <c r="AK46" s="7" t="s">
        <v>58</v>
      </c>
      <c r="AL46" s="7" t="s">
        <v>59</v>
      </c>
      <c r="AM46" s="7" t="s">
        <v>60</v>
      </c>
      <c r="AN46" s="7" t="s">
        <v>61</v>
      </c>
      <c r="AO46" s="52"/>
    </row>
    <row r="47" spans="1:41" ht="15.75" thickBot="1" x14ac:dyDescent="0.3">
      <c r="A47" s="244"/>
      <c r="B47" s="245"/>
      <c r="C47" s="5"/>
      <c r="D47" s="5"/>
      <c r="E47" s="8" t="s">
        <v>62</v>
      </c>
      <c r="F47" s="8" t="s">
        <v>63</v>
      </c>
      <c r="G47" s="8" t="s">
        <v>64</v>
      </c>
      <c r="H47" s="8" t="s">
        <v>65</v>
      </c>
      <c r="I47" s="8" t="s">
        <v>66</v>
      </c>
      <c r="J47" s="8" t="s">
        <v>67</v>
      </c>
      <c r="K47" s="8" t="s">
        <v>68</v>
      </c>
      <c r="L47" s="8" t="s">
        <v>69</v>
      </c>
      <c r="M47" s="8" t="s">
        <v>70</v>
      </c>
      <c r="N47" s="8" t="s">
        <v>71</v>
      </c>
      <c r="O47" s="8" t="s">
        <v>72</v>
      </c>
      <c r="P47" s="8" t="s">
        <v>73</v>
      </c>
      <c r="Q47" s="8" t="s">
        <v>62</v>
      </c>
      <c r="R47" s="8" t="s">
        <v>63</v>
      </c>
      <c r="S47" s="8" t="s">
        <v>64</v>
      </c>
      <c r="T47" s="8" t="s">
        <v>65</v>
      </c>
      <c r="U47" s="8" t="s">
        <v>66</v>
      </c>
      <c r="V47" s="8" t="s">
        <v>67</v>
      </c>
      <c r="W47" s="8" t="s">
        <v>68</v>
      </c>
      <c r="X47" s="8" t="s">
        <v>69</v>
      </c>
      <c r="Y47" s="8" t="s">
        <v>70</v>
      </c>
      <c r="Z47" s="8" t="s">
        <v>71</v>
      </c>
      <c r="AA47" s="8" t="s">
        <v>72</v>
      </c>
      <c r="AB47" s="8" t="s">
        <v>73</v>
      </c>
      <c r="AC47" s="8"/>
      <c r="AD47" s="8"/>
      <c r="AE47" s="8"/>
      <c r="AF47" s="8"/>
      <c r="AG47" s="8"/>
      <c r="AH47" s="8"/>
      <c r="AI47" s="8"/>
      <c r="AJ47" s="8"/>
      <c r="AK47" s="8"/>
      <c r="AL47" s="8"/>
      <c r="AM47" s="8"/>
      <c r="AN47" s="8"/>
      <c r="AO47" s="52"/>
    </row>
    <row r="48" spans="1:41" x14ac:dyDescent="0.25">
      <c r="A48" s="244"/>
      <c r="B48" s="245"/>
      <c r="C48" s="5"/>
      <c r="D48" s="20" t="s">
        <v>0</v>
      </c>
      <c r="E48" s="4" t="s">
        <v>1</v>
      </c>
      <c r="F48" s="3" t="s">
        <v>2</v>
      </c>
      <c r="G48" s="3" t="s">
        <v>3</v>
      </c>
      <c r="H48" s="3" t="s">
        <v>4</v>
      </c>
      <c r="I48" s="3" t="s">
        <v>5</v>
      </c>
      <c r="J48" s="3" t="s">
        <v>6</v>
      </c>
      <c r="K48" s="3" t="s">
        <v>7</v>
      </c>
      <c r="L48" s="3" t="s">
        <v>8</v>
      </c>
      <c r="M48" s="3" t="s">
        <v>9</v>
      </c>
      <c r="N48" s="3" t="s">
        <v>10</v>
      </c>
      <c r="O48" s="3" t="s">
        <v>11</v>
      </c>
      <c r="P48" s="28" t="s">
        <v>12</v>
      </c>
      <c r="Q48" s="4" t="s">
        <v>14</v>
      </c>
      <c r="R48" s="3" t="s">
        <v>15</v>
      </c>
      <c r="S48" s="3" t="s">
        <v>16</v>
      </c>
      <c r="T48" s="3" t="s">
        <v>17</v>
      </c>
      <c r="U48" s="3" t="s">
        <v>18</v>
      </c>
      <c r="V48" s="3" t="s">
        <v>19</v>
      </c>
      <c r="W48" s="3" t="s">
        <v>20</v>
      </c>
      <c r="X48" s="3" t="s">
        <v>21</v>
      </c>
      <c r="Y48" s="3" t="s">
        <v>22</v>
      </c>
      <c r="Z48" s="3" t="s">
        <v>23</v>
      </c>
      <c r="AA48" s="3" t="s">
        <v>24</v>
      </c>
      <c r="AB48" s="28" t="s">
        <v>25</v>
      </c>
      <c r="AC48" s="17" t="s">
        <v>74</v>
      </c>
      <c r="AD48" s="18" t="s">
        <v>75</v>
      </c>
      <c r="AE48" s="18" t="s">
        <v>76</v>
      </c>
      <c r="AF48" s="18" t="s">
        <v>77</v>
      </c>
      <c r="AG48" s="18" t="s">
        <v>78</v>
      </c>
      <c r="AH48" s="18" t="s">
        <v>79</v>
      </c>
      <c r="AI48" s="18" t="s">
        <v>80</v>
      </c>
      <c r="AJ48" s="18" t="s">
        <v>81</v>
      </c>
      <c r="AK48" s="18" t="s">
        <v>82</v>
      </c>
      <c r="AL48" s="18" t="s">
        <v>83</v>
      </c>
      <c r="AM48" s="18" t="s">
        <v>84</v>
      </c>
      <c r="AN48" s="19" t="s">
        <v>85</v>
      </c>
      <c r="AO48" s="52"/>
    </row>
    <row r="49" spans="1:41" ht="15.75" thickBot="1" x14ac:dyDescent="0.3">
      <c r="A49" s="244"/>
      <c r="B49" s="245"/>
      <c r="C49" s="5"/>
      <c r="D49" s="21" t="s">
        <v>13</v>
      </c>
      <c r="E49" s="12">
        <v>125</v>
      </c>
      <c r="F49" s="6">
        <v>156</v>
      </c>
      <c r="G49" s="6">
        <v>216</v>
      </c>
      <c r="H49" s="6">
        <v>252</v>
      </c>
      <c r="I49" s="6">
        <v>312</v>
      </c>
      <c r="J49" s="6">
        <v>340</v>
      </c>
      <c r="K49" s="6">
        <v>334</v>
      </c>
      <c r="L49" s="6">
        <v>326</v>
      </c>
      <c r="M49" s="6">
        <v>339</v>
      </c>
      <c r="N49" s="6">
        <v>331</v>
      </c>
      <c r="O49" s="6">
        <v>276</v>
      </c>
      <c r="P49" s="29">
        <v>263</v>
      </c>
      <c r="Q49" s="12">
        <v>238</v>
      </c>
      <c r="R49" s="6">
        <v>257</v>
      </c>
      <c r="S49" s="6">
        <v>299</v>
      </c>
      <c r="T49" s="6">
        <v>404</v>
      </c>
      <c r="U49" s="6">
        <v>468</v>
      </c>
      <c r="V49" s="6">
        <v>556</v>
      </c>
      <c r="W49" s="6">
        <v>501</v>
      </c>
      <c r="X49" s="6">
        <v>494</v>
      </c>
      <c r="Y49" s="6">
        <v>486</v>
      </c>
      <c r="Z49" s="6">
        <v>435</v>
      </c>
      <c r="AA49" s="6">
        <v>396</v>
      </c>
      <c r="AB49" s="29">
        <v>358</v>
      </c>
      <c r="AC49" s="13"/>
      <c r="AD49" s="7"/>
      <c r="AE49" s="7"/>
      <c r="AF49" s="7"/>
      <c r="AG49" s="7"/>
      <c r="AH49" s="7"/>
      <c r="AI49" s="7"/>
      <c r="AJ49" s="7"/>
      <c r="AK49" s="7"/>
      <c r="AL49" s="7"/>
      <c r="AM49" s="7"/>
      <c r="AN49" s="9"/>
      <c r="AO49" s="52"/>
    </row>
    <row r="50" spans="1:41" ht="15.75" thickBot="1" x14ac:dyDescent="0.3">
      <c r="A50" s="244"/>
      <c r="B50" s="245"/>
      <c r="C50" s="49" t="s">
        <v>91</v>
      </c>
      <c r="D50" s="22" t="s">
        <v>86</v>
      </c>
      <c r="E50" s="33"/>
      <c r="F50" s="32"/>
      <c r="G50" s="32"/>
      <c r="H50" s="32"/>
      <c r="I50" s="32"/>
      <c r="J50" s="32"/>
      <c r="K50" s="44">
        <v>277.20833333333331</v>
      </c>
      <c r="L50" s="44">
        <v>286.125</v>
      </c>
      <c r="M50" s="44">
        <v>293.79166666666663</v>
      </c>
      <c r="N50" s="44">
        <v>303.58333333333331</v>
      </c>
      <c r="O50" s="44">
        <v>316.41666666666663</v>
      </c>
      <c r="P50" s="48">
        <v>331.91666666666663</v>
      </c>
      <c r="Q50" s="46">
        <v>347.875</v>
      </c>
      <c r="R50" s="44">
        <v>361.83333333333331</v>
      </c>
      <c r="S50" s="44">
        <v>374.95833333333331</v>
      </c>
      <c r="T50" s="44">
        <v>385.41666666666663</v>
      </c>
      <c r="U50" s="44">
        <v>394.75</v>
      </c>
      <c r="V50" s="44">
        <v>403.70833333333331</v>
      </c>
      <c r="W50" s="32"/>
      <c r="X50" s="32"/>
      <c r="Y50" s="7"/>
      <c r="Z50" s="32"/>
      <c r="AA50" s="32"/>
      <c r="AB50" s="34"/>
      <c r="AC50" s="33"/>
      <c r="AD50" s="32"/>
      <c r="AE50" s="32"/>
      <c r="AF50" s="32"/>
      <c r="AG50" s="32"/>
      <c r="AH50" s="7"/>
      <c r="AI50" s="32"/>
      <c r="AJ50" s="32"/>
      <c r="AK50" s="32"/>
      <c r="AL50" s="32"/>
      <c r="AM50" s="32"/>
      <c r="AN50" s="42"/>
      <c r="AO50" s="52"/>
    </row>
    <row r="51" spans="1:41" ht="15.75" thickBot="1" x14ac:dyDescent="0.3">
      <c r="A51" s="244"/>
      <c r="B51" s="245"/>
      <c r="C51" s="49">
        <v>12.305999999999999</v>
      </c>
      <c r="D51" s="22" t="s">
        <v>87</v>
      </c>
      <c r="E51" s="37">
        <v>0.68</v>
      </c>
      <c r="F51" s="36">
        <v>0.71</v>
      </c>
      <c r="G51" s="36">
        <v>0.8</v>
      </c>
      <c r="H51" s="36">
        <v>1.05</v>
      </c>
      <c r="I51" s="36">
        <v>1.19</v>
      </c>
      <c r="J51" s="36">
        <v>1.38</v>
      </c>
      <c r="K51" s="32">
        <v>1.2</v>
      </c>
      <c r="L51" s="32">
        <v>1.1399999999999999</v>
      </c>
      <c r="M51" s="32">
        <v>1.1499999999999999</v>
      </c>
      <c r="N51" s="32">
        <v>1.0900000000000001</v>
      </c>
      <c r="O51" s="32">
        <v>0.87</v>
      </c>
      <c r="P51" s="34">
        <v>0.79</v>
      </c>
      <c r="Q51" s="33">
        <v>0.68</v>
      </c>
      <c r="R51" s="32">
        <v>0.71</v>
      </c>
      <c r="S51" s="32">
        <v>0.8</v>
      </c>
      <c r="T51" s="32">
        <v>1.05</v>
      </c>
      <c r="U51" s="32">
        <v>1.19</v>
      </c>
      <c r="V51" s="32">
        <v>1.38</v>
      </c>
      <c r="W51" s="36">
        <v>1.2</v>
      </c>
      <c r="X51" s="36">
        <v>1.1399999999999999</v>
      </c>
      <c r="Y51" s="36">
        <v>1.1499999999999999</v>
      </c>
      <c r="Z51" s="36">
        <v>1.0900000000000001</v>
      </c>
      <c r="AA51" s="36">
        <v>0.87</v>
      </c>
      <c r="AB51" s="35">
        <v>0.79</v>
      </c>
      <c r="AC51" s="33">
        <v>0.68</v>
      </c>
      <c r="AD51" s="7">
        <v>0.71</v>
      </c>
      <c r="AE51" s="32">
        <v>0.8</v>
      </c>
      <c r="AF51" s="32">
        <v>1.05</v>
      </c>
      <c r="AG51" s="32">
        <v>1.19</v>
      </c>
      <c r="AH51" s="32">
        <v>1.38</v>
      </c>
      <c r="AI51" s="32">
        <v>1.2</v>
      </c>
      <c r="AJ51" s="32">
        <v>1.1399999999999999</v>
      </c>
      <c r="AK51" s="32">
        <v>1.1499999999999999</v>
      </c>
      <c r="AL51" s="7">
        <v>1.0900000000000001</v>
      </c>
      <c r="AM51" s="32">
        <v>0.87</v>
      </c>
      <c r="AN51" s="9">
        <v>0.79</v>
      </c>
      <c r="AO51" s="52"/>
    </row>
    <row r="52" spans="1:41" x14ac:dyDescent="0.25">
      <c r="A52" s="244"/>
      <c r="B52" s="245"/>
      <c r="C52" s="5"/>
      <c r="D52" s="22" t="s">
        <v>88</v>
      </c>
      <c r="E52" s="46">
        <v>203.37233333333327</v>
      </c>
      <c r="F52" s="44">
        <v>215.67833333333328</v>
      </c>
      <c r="G52" s="44">
        <v>227.9843333333333</v>
      </c>
      <c r="H52" s="44">
        <v>240.29033333333331</v>
      </c>
      <c r="I52" s="44">
        <v>252.59633333333332</v>
      </c>
      <c r="J52" s="44">
        <v>264.90233333333333</v>
      </c>
      <c r="K52" s="44">
        <v>277.20833333333331</v>
      </c>
      <c r="L52" s="44">
        <v>286.125</v>
      </c>
      <c r="M52" s="44">
        <v>293.79166666666663</v>
      </c>
      <c r="N52" s="44">
        <v>303.58333333333331</v>
      </c>
      <c r="O52" s="44">
        <v>316.41666666666663</v>
      </c>
      <c r="P52" s="48">
        <v>331.91666666666663</v>
      </c>
      <c r="Q52" s="46">
        <v>347.875</v>
      </c>
      <c r="R52" s="44">
        <v>361.83333333333331</v>
      </c>
      <c r="S52" s="44">
        <v>374.95833333333331</v>
      </c>
      <c r="T52" s="44">
        <v>385.41666666666663</v>
      </c>
      <c r="U52" s="44">
        <v>394.75</v>
      </c>
      <c r="V52" s="44">
        <v>403.70833333333331</v>
      </c>
      <c r="W52" s="44">
        <v>416.0143333333333</v>
      </c>
      <c r="X52" s="44">
        <v>428.32033333333328</v>
      </c>
      <c r="Y52" s="44">
        <v>440.62633333333326</v>
      </c>
      <c r="Z52" s="44">
        <v>452.93233333333325</v>
      </c>
      <c r="AA52" s="44">
        <v>465.23833333333323</v>
      </c>
      <c r="AB52" s="48">
        <v>477.54433333333321</v>
      </c>
      <c r="AC52" s="46">
        <v>489.8503333333332</v>
      </c>
      <c r="AD52" s="44">
        <v>502.15633333333318</v>
      </c>
      <c r="AE52" s="44">
        <v>514.46233333333316</v>
      </c>
      <c r="AF52" s="44">
        <v>526.7683333333332</v>
      </c>
      <c r="AG52" s="44">
        <v>539.07433333333324</v>
      </c>
      <c r="AH52" s="44">
        <v>551.38033333333328</v>
      </c>
      <c r="AI52" s="44">
        <v>563.68633333333332</v>
      </c>
      <c r="AJ52" s="44">
        <v>575.99233333333336</v>
      </c>
      <c r="AK52" s="44">
        <v>588.2983333333334</v>
      </c>
      <c r="AL52" s="44">
        <v>600.60433333333344</v>
      </c>
      <c r="AM52" s="44">
        <v>612.91033333333348</v>
      </c>
      <c r="AN52" s="45">
        <v>625.21633333333352</v>
      </c>
      <c r="AO52" s="52"/>
    </row>
    <row r="53" spans="1:41" x14ac:dyDescent="0.25">
      <c r="A53" s="244"/>
      <c r="B53" s="245"/>
      <c r="C53" s="5"/>
      <c r="D53" s="22" t="s">
        <v>89</v>
      </c>
      <c r="E53" s="33">
        <v>138.29318666666663</v>
      </c>
      <c r="F53" s="32">
        <v>153.13161666666662</v>
      </c>
      <c r="G53" s="32">
        <v>182.38746666666665</v>
      </c>
      <c r="H53" s="32">
        <v>252.30484999999999</v>
      </c>
      <c r="I53" s="32">
        <v>300.58963666666665</v>
      </c>
      <c r="J53" s="32">
        <v>365.56521999999995</v>
      </c>
      <c r="K53" s="32">
        <v>332.65</v>
      </c>
      <c r="L53" s="32">
        <v>326.18249999999995</v>
      </c>
      <c r="M53" s="32">
        <v>337.86041666666659</v>
      </c>
      <c r="N53" s="32">
        <v>330.90583333333336</v>
      </c>
      <c r="O53" s="32">
        <v>275.28249999999997</v>
      </c>
      <c r="P53" s="34">
        <v>262.21416666666664</v>
      </c>
      <c r="Q53" s="33">
        <v>236.55500000000001</v>
      </c>
      <c r="R53" s="32">
        <v>256.90166666666664</v>
      </c>
      <c r="S53" s="32">
        <v>299.96666666666664</v>
      </c>
      <c r="T53" s="32">
        <v>404.6875</v>
      </c>
      <c r="U53" s="32">
        <v>469.7525</v>
      </c>
      <c r="V53" s="32">
        <v>557.11749999999995</v>
      </c>
      <c r="W53" s="32">
        <v>499.21719999999993</v>
      </c>
      <c r="X53" s="32">
        <v>488.28517999999991</v>
      </c>
      <c r="Y53" s="32">
        <v>506.72028333333321</v>
      </c>
      <c r="Z53" s="32">
        <v>493.69624333333326</v>
      </c>
      <c r="AA53" s="32">
        <v>404.75734999999992</v>
      </c>
      <c r="AB53" s="34">
        <v>377.26002333333327</v>
      </c>
      <c r="AC53" s="33">
        <v>333.09822666666662</v>
      </c>
      <c r="AD53" s="32">
        <v>356.53099666666657</v>
      </c>
      <c r="AE53" s="32">
        <v>411.56986666666654</v>
      </c>
      <c r="AF53" s="32">
        <v>553.10674999999992</v>
      </c>
      <c r="AG53" s="32">
        <v>641.49845666666658</v>
      </c>
      <c r="AH53" s="32">
        <v>760.90485999999987</v>
      </c>
      <c r="AI53" s="32">
        <v>676.42359999999996</v>
      </c>
      <c r="AJ53" s="32">
        <v>656.63126</v>
      </c>
      <c r="AK53" s="32">
        <v>676.54308333333336</v>
      </c>
      <c r="AL53" s="32">
        <v>654.65872333333346</v>
      </c>
      <c r="AM53" s="32">
        <v>533.23199000000011</v>
      </c>
      <c r="AN53" s="42">
        <v>493.92090333333351</v>
      </c>
      <c r="AO53" s="52"/>
    </row>
    <row r="54" spans="1:41" ht="15.75" thickBot="1" x14ac:dyDescent="0.3">
      <c r="A54" s="244"/>
      <c r="B54" s="245"/>
      <c r="C54" s="5"/>
      <c r="D54" s="23" t="s">
        <v>90</v>
      </c>
      <c r="E54" s="26">
        <v>0.10634549333333303</v>
      </c>
      <c r="F54" s="27">
        <v>-1.8387072649572973E-2</v>
      </c>
      <c r="G54" s="27">
        <v>-0.15561358024691363</v>
      </c>
      <c r="H54" s="27">
        <v>1.2097222222221731E-3</v>
      </c>
      <c r="I54" s="27">
        <v>-3.6571677350427406E-2</v>
      </c>
      <c r="J54" s="27">
        <v>7.5191823529411631E-2</v>
      </c>
      <c r="K54" s="27">
        <v>-4.0419161676647384E-3</v>
      </c>
      <c r="L54" s="27">
        <v>5.5981595092008494E-4</v>
      </c>
      <c r="M54" s="27">
        <v>-3.3616027531958859E-3</v>
      </c>
      <c r="N54" s="27">
        <v>-2.8449144008047694E-4</v>
      </c>
      <c r="O54" s="27">
        <v>-2.5996376811595273E-3</v>
      </c>
      <c r="P54" s="31">
        <v>-2.987959442332158E-3</v>
      </c>
      <c r="Q54" s="26">
        <v>-6.0714285714285427E-3</v>
      </c>
      <c r="R54" s="27">
        <v>-3.8261997405975717E-4</v>
      </c>
      <c r="S54" s="27">
        <v>3.2329988851727094E-3</v>
      </c>
      <c r="T54" s="27">
        <v>1.7017326732673267E-3</v>
      </c>
      <c r="U54" s="27">
        <v>3.7446581196581147E-3</v>
      </c>
      <c r="V54" s="27">
        <v>2.0098920863308454E-3</v>
      </c>
      <c r="W54" s="27">
        <v>-3.5584830339322666E-3</v>
      </c>
      <c r="X54" s="27">
        <v>-1.1568461538461717E-2</v>
      </c>
      <c r="Y54" s="27">
        <v>4.2634327846364638E-2</v>
      </c>
      <c r="Z54" s="27">
        <v>0.13493389272030634</v>
      </c>
      <c r="AA54" s="27">
        <v>2.2114520202019993E-2</v>
      </c>
      <c r="AB54" s="31">
        <v>5.3798947858472806E-2</v>
      </c>
      <c r="AC54" s="14"/>
      <c r="AD54" s="10"/>
      <c r="AE54" s="10"/>
      <c r="AF54" s="10"/>
      <c r="AG54" s="10"/>
      <c r="AH54" s="10"/>
      <c r="AI54" s="10"/>
      <c r="AJ54" s="10"/>
      <c r="AK54" s="10"/>
      <c r="AL54" s="10"/>
      <c r="AM54" s="10"/>
      <c r="AN54" s="11"/>
      <c r="AO54" s="52"/>
    </row>
    <row r="55" spans="1:41" ht="15.75" thickBot="1" x14ac:dyDescent="0.3">
      <c r="A55" s="246"/>
      <c r="B55" s="247"/>
      <c r="C55" s="53"/>
      <c r="D55" s="53"/>
      <c r="E55" s="53"/>
      <c r="F55" s="53"/>
      <c r="G55" s="53"/>
      <c r="H55" s="53"/>
      <c r="I55" s="53"/>
      <c r="J55" s="53"/>
      <c r="K55" s="53"/>
      <c r="L55" s="53"/>
      <c r="M55" s="53"/>
      <c r="N55" s="53"/>
      <c r="O55" s="53"/>
      <c r="P55" s="53"/>
      <c r="Q55" s="53"/>
      <c r="R55" s="53"/>
      <c r="S55" s="53"/>
      <c r="T55" s="53"/>
      <c r="U55" s="53"/>
      <c r="V55" s="53"/>
      <c r="W55" s="53"/>
      <c r="X55" s="53"/>
      <c r="Y55" s="53"/>
      <c r="Z55" s="53"/>
      <c r="AA55" s="53"/>
      <c r="AB55" s="53"/>
      <c r="AC55" s="53"/>
      <c r="AD55" s="53"/>
      <c r="AE55" s="53"/>
      <c r="AF55" s="53"/>
      <c r="AG55" s="53"/>
      <c r="AH55" s="53"/>
      <c r="AI55" s="53"/>
      <c r="AJ55" s="53"/>
      <c r="AK55" s="53"/>
      <c r="AL55" s="53"/>
      <c r="AM55" s="53"/>
      <c r="AN55" s="53"/>
      <c r="AO55" s="54"/>
    </row>
    <row r="56" spans="1:41" x14ac:dyDescent="0.25">
      <c r="A56" s="248"/>
      <c r="B56" s="248"/>
      <c r="C56" s="248"/>
      <c r="D56" s="248"/>
      <c r="E56" s="248"/>
      <c r="F56" s="248"/>
      <c r="G56" s="248"/>
      <c r="H56" s="248"/>
      <c r="I56" s="248"/>
      <c r="J56" s="248"/>
      <c r="K56" s="248"/>
      <c r="L56" s="248"/>
      <c r="M56" s="248"/>
      <c r="N56" s="248"/>
      <c r="O56" s="248"/>
      <c r="P56" s="248"/>
      <c r="Q56" s="248"/>
      <c r="R56" s="248"/>
      <c r="S56" s="248"/>
      <c r="T56" s="248"/>
      <c r="U56" s="248"/>
      <c r="V56" s="248"/>
      <c r="W56" s="248"/>
      <c r="X56" s="248"/>
      <c r="Y56" s="248"/>
      <c r="Z56" s="248"/>
      <c r="AA56" s="248"/>
      <c r="AB56" s="248"/>
      <c r="AC56" s="248"/>
      <c r="AD56" s="248"/>
      <c r="AE56" s="248"/>
      <c r="AF56" s="248"/>
      <c r="AG56" s="248"/>
      <c r="AH56" s="248"/>
      <c r="AI56" s="248"/>
      <c r="AJ56" s="248"/>
      <c r="AK56" s="248"/>
      <c r="AL56" s="248"/>
      <c r="AM56" s="248"/>
      <c r="AN56" s="248"/>
      <c r="AO56" s="248"/>
    </row>
    <row r="57" spans="1:41" ht="15.75" thickBot="1" x14ac:dyDescent="0.3">
      <c r="A57" s="248"/>
      <c r="B57" s="248"/>
      <c r="C57" s="248"/>
      <c r="D57" s="248"/>
      <c r="E57" s="248"/>
      <c r="F57" s="248"/>
      <c r="G57" s="248"/>
      <c r="H57" s="248"/>
      <c r="I57" s="248"/>
      <c r="J57" s="248"/>
      <c r="K57" s="248"/>
      <c r="L57" s="248"/>
      <c r="M57" s="248"/>
      <c r="N57" s="248"/>
      <c r="O57" s="248"/>
      <c r="P57" s="248"/>
      <c r="Q57" s="248"/>
      <c r="R57" s="248"/>
      <c r="S57" s="248"/>
      <c r="T57" s="248"/>
      <c r="U57" s="248"/>
      <c r="V57" s="248"/>
      <c r="W57" s="248"/>
      <c r="X57" s="248"/>
      <c r="Y57" s="248"/>
      <c r="Z57" s="248"/>
      <c r="AA57" s="248"/>
      <c r="AB57" s="248"/>
      <c r="AC57" s="248"/>
      <c r="AD57" s="248"/>
      <c r="AE57" s="248"/>
      <c r="AF57" s="248"/>
      <c r="AG57" s="248"/>
      <c r="AH57" s="248"/>
      <c r="AI57" s="248"/>
      <c r="AJ57" s="248"/>
      <c r="AK57" s="248"/>
      <c r="AL57" s="248"/>
      <c r="AM57" s="248"/>
      <c r="AN57" s="248"/>
      <c r="AO57" s="248"/>
    </row>
    <row r="58" spans="1:41" x14ac:dyDescent="0.25">
      <c r="A58" s="242" t="s">
        <v>96</v>
      </c>
      <c r="B58" s="243"/>
      <c r="C58" s="50"/>
      <c r="D58" s="50"/>
      <c r="E58" s="50"/>
      <c r="F58" s="50"/>
      <c r="G58" s="50"/>
      <c r="H58" s="50"/>
      <c r="I58" s="50"/>
      <c r="J58" s="50"/>
      <c r="K58" s="50"/>
      <c r="L58" s="50"/>
      <c r="M58" s="50"/>
      <c r="N58" s="50"/>
      <c r="O58" s="50"/>
      <c r="P58" s="50"/>
      <c r="Q58" s="50"/>
      <c r="R58" s="50"/>
      <c r="S58" s="50"/>
      <c r="T58" s="50"/>
      <c r="U58" s="50"/>
      <c r="V58" s="50"/>
      <c r="W58" s="50"/>
      <c r="X58" s="50"/>
      <c r="Y58" s="50"/>
      <c r="Z58" s="50"/>
      <c r="AA58" s="50"/>
      <c r="AB58" s="50"/>
      <c r="AC58" s="50"/>
      <c r="AD58" s="50"/>
      <c r="AE58" s="50"/>
      <c r="AF58" s="50"/>
      <c r="AG58" s="50"/>
      <c r="AH58" s="50"/>
      <c r="AI58" s="50"/>
      <c r="AJ58" s="50"/>
      <c r="AK58" s="50"/>
      <c r="AL58" s="50"/>
      <c r="AM58" s="50"/>
      <c r="AN58" s="50"/>
      <c r="AO58" s="51"/>
    </row>
    <row r="59" spans="1:41" x14ac:dyDescent="0.25">
      <c r="A59" s="244"/>
      <c r="B59" s="245"/>
      <c r="C59" s="5"/>
      <c r="D59" s="5"/>
      <c r="E59" s="7" t="s">
        <v>26</v>
      </c>
      <c r="F59" s="7" t="s">
        <v>27</v>
      </c>
      <c r="G59" s="7" t="s">
        <v>28</v>
      </c>
      <c r="H59" s="7" t="s">
        <v>29</v>
      </c>
      <c r="I59" s="7" t="s">
        <v>30</v>
      </c>
      <c r="J59" s="7" t="s">
        <v>31</v>
      </c>
      <c r="K59" s="7" t="s">
        <v>32</v>
      </c>
      <c r="L59" s="7" t="s">
        <v>33</v>
      </c>
      <c r="M59" s="7" t="s">
        <v>34</v>
      </c>
      <c r="N59" s="7" t="s">
        <v>35</v>
      </c>
      <c r="O59" s="7" t="s">
        <v>36</v>
      </c>
      <c r="P59" s="7" t="s">
        <v>37</v>
      </c>
      <c r="Q59" s="7" t="s">
        <v>38</v>
      </c>
      <c r="R59" s="7" t="s">
        <v>39</v>
      </c>
      <c r="S59" s="7" t="s">
        <v>40</v>
      </c>
      <c r="T59" s="7" t="s">
        <v>41</v>
      </c>
      <c r="U59" s="7" t="s">
        <v>42</v>
      </c>
      <c r="V59" s="7" t="s">
        <v>43</v>
      </c>
      <c r="W59" s="7" t="s">
        <v>44</v>
      </c>
      <c r="X59" s="7" t="s">
        <v>45</v>
      </c>
      <c r="Y59" s="7" t="s">
        <v>46</v>
      </c>
      <c r="Z59" s="7" t="s">
        <v>47</v>
      </c>
      <c r="AA59" s="7" t="s">
        <v>48</v>
      </c>
      <c r="AB59" s="7" t="s">
        <v>49</v>
      </c>
      <c r="AC59" s="7" t="s">
        <v>50</v>
      </c>
      <c r="AD59" s="7" t="s">
        <v>51</v>
      </c>
      <c r="AE59" s="7" t="s">
        <v>52</v>
      </c>
      <c r="AF59" s="7" t="s">
        <v>53</v>
      </c>
      <c r="AG59" s="7" t="s">
        <v>54</v>
      </c>
      <c r="AH59" s="7" t="s">
        <v>55</v>
      </c>
      <c r="AI59" s="7" t="s">
        <v>56</v>
      </c>
      <c r="AJ59" s="7" t="s">
        <v>57</v>
      </c>
      <c r="AK59" s="7" t="s">
        <v>58</v>
      </c>
      <c r="AL59" s="7" t="s">
        <v>59</v>
      </c>
      <c r="AM59" s="7" t="s">
        <v>60</v>
      </c>
      <c r="AN59" s="7" t="s">
        <v>61</v>
      </c>
      <c r="AO59" s="52"/>
    </row>
    <row r="60" spans="1:41" ht="15.75" thickBot="1" x14ac:dyDescent="0.3">
      <c r="A60" s="244"/>
      <c r="B60" s="245"/>
      <c r="C60" s="5"/>
      <c r="D60" s="5"/>
      <c r="E60" s="8" t="s">
        <v>62</v>
      </c>
      <c r="F60" s="8" t="s">
        <v>63</v>
      </c>
      <c r="G60" s="8" t="s">
        <v>64</v>
      </c>
      <c r="H60" s="8" t="s">
        <v>65</v>
      </c>
      <c r="I60" s="8" t="s">
        <v>66</v>
      </c>
      <c r="J60" s="8" t="s">
        <v>67</v>
      </c>
      <c r="K60" s="8" t="s">
        <v>68</v>
      </c>
      <c r="L60" s="8" t="s">
        <v>69</v>
      </c>
      <c r="M60" s="8" t="s">
        <v>70</v>
      </c>
      <c r="N60" s="8" t="s">
        <v>71</v>
      </c>
      <c r="O60" s="8" t="s">
        <v>72</v>
      </c>
      <c r="P60" s="8" t="s">
        <v>73</v>
      </c>
      <c r="Q60" s="8" t="s">
        <v>62</v>
      </c>
      <c r="R60" s="8" t="s">
        <v>63</v>
      </c>
      <c r="S60" s="8" t="s">
        <v>64</v>
      </c>
      <c r="T60" s="8" t="s">
        <v>65</v>
      </c>
      <c r="U60" s="8" t="s">
        <v>66</v>
      </c>
      <c r="V60" s="8" t="s">
        <v>67</v>
      </c>
      <c r="W60" s="8" t="s">
        <v>68</v>
      </c>
      <c r="X60" s="8" t="s">
        <v>69</v>
      </c>
      <c r="Y60" s="8" t="s">
        <v>70</v>
      </c>
      <c r="Z60" s="8" t="s">
        <v>71</v>
      </c>
      <c r="AA60" s="8" t="s">
        <v>72</v>
      </c>
      <c r="AB60" s="8" t="s">
        <v>73</v>
      </c>
      <c r="AC60" s="8"/>
      <c r="AD60" s="8"/>
      <c r="AE60" s="8"/>
      <c r="AF60" s="8"/>
      <c r="AG60" s="8"/>
      <c r="AH60" s="8"/>
      <c r="AI60" s="8"/>
      <c r="AJ60" s="8"/>
      <c r="AK60" s="8"/>
      <c r="AL60" s="8"/>
      <c r="AM60" s="8"/>
      <c r="AN60" s="8"/>
      <c r="AO60" s="52"/>
    </row>
    <row r="61" spans="1:41" x14ac:dyDescent="0.25">
      <c r="A61" s="244"/>
      <c r="B61" s="245"/>
      <c r="C61" s="5"/>
      <c r="D61" s="20" t="s">
        <v>0</v>
      </c>
      <c r="E61" s="4" t="s">
        <v>1</v>
      </c>
      <c r="F61" s="3" t="s">
        <v>2</v>
      </c>
      <c r="G61" s="3" t="s">
        <v>3</v>
      </c>
      <c r="H61" s="3" t="s">
        <v>4</v>
      </c>
      <c r="I61" s="3" t="s">
        <v>5</v>
      </c>
      <c r="J61" s="3" t="s">
        <v>6</v>
      </c>
      <c r="K61" s="3" t="s">
        <v>7</v>
      </c>
      <c r="L61" s="3" t="s">
        <v>8</v>
      </c>
      <c r="M61" s="3" t="s">
        <v>9</v>
      </c>
      <c r="N61" s="3" t="s">
        <v>10</v>
      </c>
      <c r="O61" s="3" t="s">
        <v>11</v>
      </c>
      <c r="P61" s="28" t="s">
        <v>12</v>
      </c>
      <c r="Q61" s="4" t="s">
        <v>14</v>
      </c>
      <c r="R61" s="3" t="s">
        <v>15</v>
      </c>
      <c r="S61" s="3" t="s">
        <v>16</v>
      </c>
      <c r="T61" s="3" t="s">
        <v>17</v>
      </c>
      <c r="U61" s="3" t="s">
        <v>18</v>
      </c>
      <c r="V61" s="3" t="s">
        <v>19</v>
      </c>
      <c r="W61" s="3" t="s">
        <v>20</v>
      </c>
      <c r="X61" s="3" t="s">
        <v>21</v>
      </c>
      <c r="Y61" s="3" t="s">
        <v>22</v>
      </c>
      <c r="Z61" s="3" t="s">
        <v>23</v>
      </c>
      <c r="AA61" s="3" t="s">
        <v>24</v>
      </c>
      <c r="AB61" s="28" t="s">
        <v>25</v>
      </c>
      <c r="AC61" s="17" t="s">
        <v>74</v>
      </c>
      <c r="AD61" s="18" t="s">
        <v>75</v>
      </c>
      <c r="AE61" s="18" t="s">
        <v>76</v>
      </c>
      <c r="AF61" s="18" t="s">
        <v>77</v>
      </c>
      <c r="AG61" s="18" t="s">
        <v>78</v>
      </c>
      <c r="AH61" s="18" t="s">
        <v>79</v>
      </c>
      <c r="AI61" s="18" t="s">
        <v>80</v>
      </c>
      <c r="AJ61" s="18" t="s">
        <v>81</v>
      </c>
      <c r="AK61" s="18" t="s">
        <v>82</v>
      </c>
      <c r="AL61" s="18" t="s">
        <v>83</v>
      </c>
      <c r="AM61" s="18" t="s">
        <v>84</v>
      </c>
      <c r="AN61" s="19" t="s">
        <v>85</v>
      </c>
      <c r="AO61" s="52"/>
    </row>
    <row r="62" spans="1:41" ht="15.75" thickBot="1" x14ac:dyDescent="0.3">
      <c r="A62" s="244"/>
      <c r="B62" s="245"/>
      <c r="C62" s="5"/>
      <c r="D62" s="21" t="s">
        <v>13</v>
      </c>
      <c r="E62" s="12">
        <v>99</v>
      </c>
      <c r="F62" s="6">
        <v>131</v>
      </c>
      <c r="G62" s="6">
        <v>192</v>
      </c>
      <c r="H62" s="6">
        <v>233</v>
      </c>
      <c r="I62" s="6">
        <v>300</v>
      </c>
      <c r="J62" s="6">
        <v>338</v>
      </c>
      <c r="K62" s="6">
        <v>341</v>
      </c>
      <c r="L62" s="6">
        <v>341</v>
      </c>
      <c r="M62" s="6">
        <v>364</v>
      </c>
      <c r="N62" s="6">
        <v>363</v>
      </c>
      <c r="O62" s="6">
        <v>309</v>
      </c>
      <c r="P62" s="29">
        <v>300</v>
      </c>
      <c r="Q62" s="12">
        <v>276</v>
      </c>
      <c r="R62" s="6">
        <v>302</v>
      </c>
      <c r="S62" s="6">
        <v>356</v>
      </c>
      <c r="T62" s="6">
        <v>487</v>
      </c>
      <c r="U62" s="6">
        <v>571</v>
      </c>
      <c r="V62" s="6">
        <v>685</v>
      </c>
      <c r="W62" s="6">
        <v>624</v>
      </c>
      <c r="X62" s="6">
        <v>621</v>
      </c>
      <c r="Y62" s="6">
        <v>616</v>
      </c>
      <c r="Z62" s="6">
        <v>556</v>
      </c>
      <c r="AA62" s="6">
        <v>510</v>
      </c>
      <c r="AB62" s="29">
        <v>465</v>
      </c>
      <c r="AC62" s="13"/>
      <c r="AD62" s="7"/>
      <c r="AE62" s="7"/>
      <c r="AF62" s="7"/>
      <c r="AG62" s="7"/>
      <c r="AH62" s="7"/>
      <c r="AI62" s="7"/>
      <c r="AJ62" s="7"/>
      <c r="AK62" s="7"/>
      <c r="AL62" s="7"/>
      <c r="AM62" s="7"/>
      <c r="AN62" s="9"/>
      <c r="AO62" s="52"/>
    </row>
    <row r="63" spans="1:41" ht="15.75" thickBot="1" x14ac:dyDescent="0.3">
      <c r="A63" s="244"/>
      <c r="B63" s="245"/>
      <c r="C63" s="49" t="s">
        <v>91</v>
      </c>
      <c r="D63" s="22" t="s">
        <v>86</v>
      </c>
      <c r="E63" s="33"/>
      <c r="F63" s="32"/>
      <c r="G63" s="32"/>
      <c r="H63" s="32"/>
      <c r="I63" s="32"/>
      <c r="J63" s="32"/>
      <c r="K63" s="44">
        <v>283.29166666666663</v>
      </c>
      <c r="L63" s="44">
        <v>297.79166666666663</v>
      </c>
      <c r="M63" s="44">
        <v>311.75</v>
      </c>
      <c r="N63" s="44">
        <v>329.16666666666663</v>
      </c>
      <c r="O63" s="44">
        <v>351.04166666666663</v>
      </c>
      <c r="P63" s="48">
        <v>376.79166666666663</v>
      </c>
      <c r="Q63" s="46">
        <v>403.04166666666663</v>
      </c>
      <c r="R63" s="44">
        <v>426.5</v>
      </c>
      <c r="S63" s="44">
        <v>448.66666666666663</v>
      </c>
      <c r="T63" s="44">
        <v>467.20833333333331</v>
      </c>
      <c r="U63" s="44">
        <v>483.625</v>
      </c>
      <c r="V63" s="44">
        <v>498.875</v>
      </c>
      <c r="W63" s="32"/>
      <c r="X63" s="32"/>
      <c r="Y63" s="7"/>
      <c r="Z63" s="32"/>
      <c r="AA63" s="32"/>
      <c r="AB63" s="34"/>
      <c r="AC63" s="33"/>
      <c r="AD63" s="32"/>
      <c r="AE63" s="32"/>
      <c r="AF63" s="32"/>
      <c r="AG63" s="32"/>
      <c r="AH63" s="7"/>
      <c r="AI63" s="32"/>
      <c r="AJ63" s="32"/>
      <c r="AK63" s="32"/>
      <c r="AL63" s="32"/>
      <c r="AM63" s="32"/>
      <c r="AN63" s="42"/>
      <c r="AO63" s="52"/>
    </row>
    <row r="64" spans="1:41" ht="15.75" thickBot="1" x14ac:dyDescent="0.3">
      <c r="A64" s="244"/>
      <c r="B64" s="245"/>
      <c r="C64" s="49">
        <v>20.917000000000002</v>
      </c>
      <c r="D64" s="22" t="s">
        <v>87</v>
      </c>
      <c r="E64" s="37">
        <v>0.68</v>
      </c>
      <c r="F64" s="36">
        <v>0.71</v>
      </c>
      <c r="G64" s="36">
        <v>0.79</v>
      </c>
      <c r="H64" s="36">
        <v>1.04</v>
      </c>
      <c r="I64" s="36">
        <v>1.18</v>
      </c>
      <c r="J64" s="36">
        <v>1.37</v>
      </c>
      <c r="K64" s="32">
        <v>1.2</v>
      </c>
      <c r="L64" s="32">
        <v>1.1499999999999999</v>
      </c>
      <c r="M64" s="32">
        <v>1.17</v>
      </c>
      <c r="N64" s="32">
        <v>1.1000000000000001</v>
      </c>
      <c r="O64" s="32">
        <v>0.88</v>
      </c>
      <c r="P64" s="34">
        <v>0.8</v>
      </c>
      <c r="Q64" s="33">
        <v>0.68</v>
      </c>
      <c r="R64" s="32">
        <v>0.71</v>
      </c>
      <c r="S64" s="32">
        <v>0.79</v>
      </c>
      <c r="T64" s="32">
        <v>1.04</v>
      </c>
      <c r="U64" s="32">
        <v>1.18</v>
      </c>
      <c r="V64" s="32">
        <v>1.37</v>
      </c>
      <c r="W64" s="36">
        <v>1.2</v>
      </c>
      <c r="X64" s="36">
        <v>1.1499999999999999</v>
      </c>
      <c r="Y64" s="36">
        <v>1.17</v>
      </c>
      <c r="Z64" s="36">
        <v>1.1000000000000001</v>
      </c>
      <c r="AA64" s="36">
        <v>0.88</v>
      </c>
      <c r="AB64" s="35">
        <v>0.8</v>
      </c>
      <c r="AC64" s="33">
        <v>0.68</v>
      </c>
      <c r="AD64" s="7">
        <v>0.71</v>
      </c>
      <c r="AE64" s="32">
        <v>0.79</v>
      </c>
      <c r="AF64" s="32">
        <v>1.04</v>
      </c>
      <c r="AG64" s="32">
        <v>1.18</v>
      </c>
      <c r="AH64" s="32">
        <v>1.37</v>
      </c>
      <c r="AI64" s="32">
        <v>1.2</v>
      </c>
      <c r="AJ64" s="32">
        <v>1.1499999999999999</v>
      </c>
      <c r="AK64" s="32">
        <v>1.17</v>
      </c>
      <c r="AL64" s="7">
        <v>1.1000000000000001</v>
      </c>
      <c r="AM64" s="32">
        <v>0.88</v>
      </c>
      <c r="AN64" s="9">
        <v>0.8</v>
      </c>
      <c r="AO64" s="52"/>
    </row>
    <row r="65" spans="1:41" x14ac:dyDescent="0.25">
      <c r="A65" s="244"/>
      <c r="B65" s="245"/>
      <c r="C65" s="5"/>
      <c r="D65" s="22" t="s">
        <v>88</v>
      </c>
      <c r="E65" s="46">
        <v>157.78966666666659</v>
      </c>
      <c r="F65" s="44">
        <v>178.70666666666659</v>
      </c>
      <c r="G65" s="44">
        <v>199.62366666666659</v>
      </c>
      <c r="H65" s="44">
        <v>220.5406666666666</v>
      </c>
      <c r="I65" s="44">
        <v>241.4576666666666</v>
      </c>
      <c r="J65" s="44">
        <v>262.3746666666666</v>
      </c>
      <c r="K65" s="44">
        <v>283.29166666666663</v>
      </c>
      <c r="L65" s="44">
        <v>297.79166666666663</v>
      </c>
      <c r="M65" s="44">
        <v>311.75</v>
      </c>
      <c r="N65" s="44">
        <v>329.16666666666663</v>
      </c>
      <c r="O65" s="44">
        <v>351.04166666666663</v>
      </c>
      <c r="P65" s="48">
        <v>376.79166666666663</v>
      </c>
      <c r="Q65" s="46">
        <v>403.04166666666663</v>
      </c>
      <c r="R65" s="44">
        <v>426.5</v>
      </c>
      <c r="S65" s="44">
        <v>448.66666666666663</v>
      </c>
      <c r="T65" s="44">
        <v>467.20833333333331</v>
      </c>
      <c r="U65" s="44">
        <v>483.625</v>
      </c>
      <c r="V65" s="44">
        <v>498.875</v>
      </c>
      <c r="W65" s="44">
        <v>519.79200000000003</v>
      </c>
      <c r="X65" s="44">
        <v>540.70900000000006</v>
      </c>
      <c r="Y65" s="44">
        <v>561.62600000000009</v>
      </c>
      <c r="Z65" s="44">
        <v>582.54300000000012</v>
      </c>
      <c r="AA65" s="44">
        <v>603.46000000000015</v>
      </c>
      <c r="AB65" s="48">
        <v>624.37700000000018</v>
      </c>
      <c r="AC65" s="46">
        <v>645.29400000000021</v>
      </c>
      <c r="AD65" s="44">
        <v>666.21100000000024</v>
      </c>
      <c r="AE65" s="44">
        <v>687.12800000000027</v>
      </c>
      <c r="AF65" s="44">
        <v>708.0450000000003</v>
      </c>
      <c r="AG65" s="44">
        <v>728.96200000000033</v>
      </c>
      <c r="AH65" s="44">
        <v>749.87900000000036</v>
      </c>
      <c r="AI65" s="44">
        <v>770.79600000000039</v>
      </c>
      <c r="AJ65" s="44">
        <v>791.71300000000042</v>
      </c>
      <c r="AK65" s="44">
        <v>812.63000000000045</v>
      </c>
      <c r="AL65" s="44">
        <v>833.54700000000048</v>
      </c>
      <c r="AM65" s="44">
        <v>854.46400000000051</v>
      </c>
      <c r="AN65" s="45">
        <v>875.38100000000054</v>
      </c>
      <c r="AO65" s="52"/>
    </row>
    <row r="66" spans="1:41" x14ac:dyDescent="0.25">
      <c r="A66" s="244"/>
      <c r="B66" s="245"/>
      <c r="C66" s="5"/>
      <c r="D66" s="22" t="s">
        <v>89</v>
      </c>
      <c r="E66" s="33">
        <v>107.29697333333328</v>
      </c>
      <c r="F66" s="32">
        <v>126.88173333333327</v>
      </c>
      <c r="G66" s="32">
        <v>157.70269666666661</v>
      </c>
      <c r="H66" s="32">
        <v>229.36229333333327</v>
      </c>
      <c r="I66" s="32">
        <v>284.92004666666656</v>
      </c>
      <c r="J66" s="32">
        <v>359.45329333333325</v>
      </c>
      <c r="K66" s="32">
        <v>339.94999999999993</v>
      </c>
      <c r="L66" s="32">
        <v>342.46041666666662</v>
      </c>
      <c r="M66" s="32">
        <v>364.7475</v>
      </c>
      <c r="N66" s="32">
        <v>362.08333333333331</v>
      </c>
      <c r="O66" s="32">
        <v>308.91666666666663</v>
      </c>
      <c r="P66" s="34">
        <v>301.43333333333334</v>
      </c>
      <c r="Q66" s="33">
        <v>274.06833333333333</v>
      </c>
      <c r="R66" s="32">
        <v>302.815</v>
      </c>
      <c r="S66" s="32">
        <v>354.44666666666666</v>
      </c>
      <c r="T66" s="32">
        <v>485.89666666666665</v>
      </c>
      <c r="U66" s="32">
        <v>570.67750000000001</v>
      </c>
      <c r="V66" s="32">
        <v>683.45875000000001</v>
      </c>
      <c r="W66" s="32">
        <v>623.75040000000001</v>
      </c>
      <c r="X66" s="32">
        <v>621.81534999999997</v>
      </c>
      <c r="Y66" s="32">
        <v>657.10242000000005</v>
      </c>
      <c r="Z66" s="32">
        <v>640.79730000000018</v>
      </c>
      <c r="AA66" s="32">
        <v>531.04480000000012</v>
      </c>
      <c r="AB66" s="34">
        <v>499.50160000000017</v>
      </c>
      <c r="AC66" s="33">
        <v>438.79992000000016</v>
      </c>
      <c r="AD66" s="32">
        <v>473.00981000000013</v>
      </c>
      <c r="AE66" s="32">
        <v>542.83112000000028</v>
      </c>
      <c r="AF66" s="32">
        <v>736.36680000000035</v>
      </c>
      <c r="AG66" s="32">
        <v>860.17516000000035</v>
      </c>
      <c r="AH66" s="32">
        <v>1027.3342300000006</v>
      </c>
      <c r="AI66" s="32">
        <v>924.95520000000045</v>
      </c>
      <c r="AJ66" s="32">
        <v>910.46995000000038</v>
      </c>
      <c r="AK66" s="32">
        <v>950.77710000000047</v>
      </c>
      <c r="AL66" s="32">
        <v>916.90170000000057</v>
      </c>
      <c r="AM66" s="32">
        <v>751.92832000000044</v>
      </c>
      <c r="AN66" s="42">
        <v>700.30480000000045</v>
      </c>
      <c r="AO66" s="52"/>
    </row>
    <row r="67" spans="1:41" ht="15.75" thickBot="1" x14ac:dyDescent="0.3">
      <c r="A67" s="244"/>
      <c r="B67" s="245"/>
      <c r="C67" s="5"/>
      <c r="D67" s="23" t="s">
        <v>90</v>
      </c>
      <c r="E67" s="26">
        <v>8.3807811447810951E-2</v>
      </c>
      <c r="F67" s="27">
        <v>-3.1437150127226927E-2</v>
      </c>
      <c r="G67" s="27">
        <v>-0.17863178819444472</v>
      </c>
      <c r="H67" s="27">
        <v>-1.5612474964234895E-2</v>
      </c>
      <c r="I67" s="27">
        <v>-5.0266511111111453E-2</v>
      </c>
      <c r="J67" s="27">
        <v>6.3471282051281802E-2</v>
      </c>
      <c r="K67" s="27">
        <v>-3.0791788856306987E-3</v>
      </c>
      <c r="L67" s="27">
        <v>4.2827468230692591E-3</v>
      </c>
      <c r="M67" s="27">
        <v>2.053571428571435E-3</v>
      </c>
      <c r="N67" s="27">
        <v>-2.5252525252525775E-3</v>
      </c>
      <c r="O67" s="27">
        <v>-2.6968716289116904E-4</v>
      </c>
      <c r="P67" s="31">
        <v>4.7777777777777905E-3</v>
      </c>
      <c r="Q67" s="26">
        <v>-6.9987922705314204E-3</v>
      </c>
      <c r="R67" s="27">
        <v>2.6986754966887342E-3</v>
      </c>
      <c r="S67" s="27">
        <v>-4.3632958801498364E-3</v>
      </c>
      <c r="T67" s="27">
        <v>-2.2655715263518541E-3</v>
      </c>
      <c r="U67" s="27">
        <v>-5.6479859894919594E-4</v>
      </c>
      <c r="V67" s="27">
        <v>-2.2499999999999868E-3</v>
      </c>
      <c r="W67" s="27">
        <v>-3.9999999999997871E-4</v>
      </c>
      <c r="X67" s="27">
        <v>1.3129629629629093E-3</v>
      </c>
      <c r="Y67" s="27">
        <v>6.6724707792207877E-2</v>
      </c>
      <c r="Z67" s="27">
        <v>0.15251312949640319</v>
      </c>
      <c r="AA67" s="27">
        <v>4.1264313725490435E-2</v>
      </c>
      <c r="AB67" s="31">
        <v>7.4196989247312189E-2</v>
      </c>
      <c r="AC67" s="14"/>
      <c r="AD67" s="10"/>
      <c r="AE67" s="10"/>
      <c r="AF67" s="10"/>
      <c r="AG67" s="10"/>
      <c r="AH67" s="10"/>
      <c r="AI67" s="10"/>
      <c r="AJ67" s="10"/>
      <c r="AK67" s="10"/>
      <c r="AL67" s="10"/>
      <c r="AM67" s="10"/>
      <c r="AN67" s="11"/>
      <c r="AO67" s="52"/>
    </row>
    <row r="68" spans="1:41" ht="15.75" thickBot="1" x14ac:dyDescent="0.3">
      <c r="A68" s="246"/>
      <c r="B68" s="247"/>
      <c r="C68" s="53"/>
      <c r="D68" s="53"/>
      <c r="E68" s="53"/>
      <c r="F68" s="53"/>
      <c r="G68" s="53"/>
      <c r="H68" s="53"/>
      <c r="I68" s="53"/>
      <c r="J68" s="53"/>
      <c r="K68" s="53"/>
      <c r="L68" s="53"/>
      <c r="M68" s="53"/>
      <c r="N68" s="53"/>
      <c r="O68" s="53"/>
      <c r="P68" s="53"/>
      <c r="Q68" s="53"/>
      <c r="R68" s="53"/>
      <c r="S68" s="53"/>
      <c r="T68" s="53"/>
      <c r="U68" s="53"/>
      <c r="V68" s="53"/>
      <c r="W68" s="53"/>
      <c r="X68" s="53"/>
      <c r="Y68" s="53"/>
      <c r="Z68" s="53"/>
      <c r="AA68" s="53"/>
      <c r="AB68" s="53"/>
      <c r="AC68" s="53"/>
      <c r="AD68" s="53"/>
      <c r="AE68" s="53"/>
      <c r="AF68" s="53"/>
      <c r="AG68" s="53"/>
      <c r="AH68" s="53"/>
      <c r="AI68" s="53"/>
      <c r="AJ68" s="53"/>
      <c r="AK68" s="53"/>
      <c r="AL68" s="53"/>
      <c r="AM68" s="53"/>
      <c r="AN68" s="53"/>
      <c r="AO68" s="54"/>
    </row>
    <row r="69" spans="1:41" x14ac:dyDescent="0.25">
      <c r="A69" s="248"/>
      <c r="B69" s="248"/>
      <c r="C69" s="248"/>
      <c r="D69" s="248"/>
      <c r="E69" s="248"/>
      <c r="F69" s="248"/>
      <c r="G69" s="248"/>
      <c r="H69" s="248"/>
      <c r="I69" s="248"/>
      <c r="J69" s="248"/>
      <c r="K69" s="248"/>
      <c r="L69" s="248"/>
      <c r="M69" s="248"/>
      <c r="N69" s="248"/>
      <c r="O69" s="248"/>
      <c r="P69" s="248"/>
      <c r="Q69" s="248"/>
      <c r="R69" s="248"/>
      <c r="S69" s="248"/>
      <c r="T69" s="248"/>
      <c r="U69" s="248"/>
      <c r="V69" s="248"/>
      <c r="W69" s="248"/>
      <c r="X69" s="248"/>
      <c r="Y69" s="248"/>
      <c r="Z69" s="248"/>
      <c r="AA69" s="248"/>
      <c r="AB69" s="248"/>
      <c r="AC69" s="248"/>
      <c r="AD69" s="248"/>
      <c r="AE69" s="248"/>
      <c r="AF69" s="248"/>
      <c r="AG69" s="248"/>
      <c r="AH69" s="248"/>
      <c r="AI69" s="248"/>
      <c r="AJ69" s="248"/>
      <c r="AK69" s="248"/>
      <c r="AL69" s="248"/>
      <c r="AM69" s="248"/>
      <c r="AN69" s="248"/>
      <c r="AO69" s="248"/>
    </row>
    <row r="70" spans="1:41" ht="15.75" thickBot="1" x14ac:dyDescent="0.3">
      <c r="A70" s="248"/>
      <c r="B70" s="248"/>
      <c r="C70" s="248"/>
      <c r="D70" s="248"/>
      <c r="E70" s="248"/>
      <c r="F70" s="248"/>
      <c r="G70" s="248"/>
      <c r="H70" s="248"/>
      <c r="I70" s="248"/>
      <c r="J70" s="248"/>
      <c r="K70" s="248"/>
      <c r="L70" s="248"/>
      <c r="M70" s="248"/>
      <c r="N70" s="248"/>
      <c r="O70" s="248"/>
      <c r="P70" s="248"/>
      <c r="Q70" s="248"/>
      <c r="R70" s="248"/>
      <c r="S70" s="248"/>
      <c r="T70" s="248"/>
      <c r="U70" s="248"/>
      <c r="V70" s="248"/>
      <c r="W70" s="248"/>
      <c r="X70" s="248"/>
      <c r="Y70" s="248"/>
      <c r="Z70" s="248"/>
      <c r="AA70" s="248"/>
      <c r="AB70" s="248"/>
      <c r="AC70" s="248"/>
      <c r="AD70" s="248"/>
      <c r="AE70" s="248"/>
      <c r="AF70" s="248"/>
      <c r="AG70" s="248"/>
      <c r="AH70" s="248"/>
      <c r="AI70" s="248"/>
      <c r="AJ70" s="248"/>
      <c r="AK70" s="248"/>
      <c r="AL70" s="248"/>
      <c r="AM70" s="248"/>
      <c r="AN70" s="248"/>
      <c r="AO70" s="248"/>
    </row>
    <row r="71" spans="1:41" x14ac:dyDescent="0.25">
      <c r="A71" s="242" t="s">
        <v>97</v>
      </c>
      <c r="B71" s="243"/>
      <c r="C71" s="50"/>
      <c r="D71" s="50"/>
      <c r="E71" s="50"/>
      <c r="F71" s="50"/>
      <c r="G71" s="50"/>
      <c r="H71" s="50"/>
      <c r="I71" s="50"/>
      <c r="J71" s="50"/>
      <c r="K71" s="50"/>
      <c r="L71" s="50"/>
      <c r="M71" s="50"/>
      <c r="N71" s="50"/>
      <c r="O71" s="50"/>
      <c r="P71" s="50"/>
      <c r="Q71" s="50"/>
      <c r="R71" s="50"/>
      <c r="S71" s="50"/>
      <c r="T71" s="50"/>
      <c r="U71" s="50"/>
      <c r="V71" s="50"/>
      <c r="W71" s="50"/>
      <c r="X71" s="50"/>
      <c r="Y71" s="50"/>
      <c r="Z71" s="50"/>
      <c r="AA71" s="50"/>
      <c r="AB71" s="50"/>
      <c r="AC71" s="50"/>
      <c r="AD71" s="50"/>
      <c r="AE71" s="50"/>
      <c r="AF71" s="50"/>
      <c r="AG71" s="50"/>
      <c r="AH71" s="50"/>
      <c r="AI71" s="50"/>
      <c r="AJ71" s="50"/>
      <c r="AK71" s="50"/>
      <c r="AL71" s="50"/>
      <c r="AM71" s="50"/>
      <c r="AN71" s="50"/>
      <c r="AO71" s="51"/>
    </row>
    <row r="72" spans="1:41" x14ac:dyDescent="0.25">
      <c r="A72" s="244"/>
      <c r="B72" s="245"/>
      <c r="C72" s="5"/>
      <c r="D72" s="5"/>
      <c r="E72" s="7" t="s">
        <v>26</v>
      </c>
      <c r="F72" s="7" t="s">
        <v>27</v>
      </c>
      <c r="G72" s="7" t="s">
        <v>28</v>
      </c>
      <c r="H72" s="7" t="s">
        <v>29</v>
      </c>
      <c r="I72" s="7" t="s">
        <v>30</v>
      </c>
      <c r="J72" s="7" t="s">
        <v>31</v>
      </c>
      <c r="K72" s="7" t="s">
        <v>32</v>
      </c>
      <c r="L72" s="7" t="s">
        <v>33</v>
      </c>
      <c r="M72" s="7" t="s">
        <v>34</v>
      </c>
      <c r="N72" s="7" t="s">
        <v>35</v>
      </c>
      <c r="O72" s="7" t="s">
        <v>36</v>
      </c>
      <c r="P72" s="7" t="s">
        <v>37</v>
      </c>
      <c r="Q72" s="7" t="s">
        <v>38</v>
      </c>
      <c r="R72" s="7" t="s">
        <v>39</v>
      </c>
      <c r="S72" s="7" t="s">
        <v>40</v>
      </c>
      <c r="T72" s="7" t="s">
        <v>41</v>
      </c>
      <c r="U72" s="7" t="s">
        <v>42</v>
      </c>
      <c r="V72" s="7" t="s">
        <v>43</v>
      </c>
      <c r="W72" s="7" t="s">
        <v>44</v>
      </c>
      <c r="X72" s="7" t="s">
        <v>45</v>
      </c>
      <c r="Y72" s="7" t="s">
        <v>46</v>
      </c>
      <c r="Z72" s="7" t="s">
        <v>47</v>
      </c>
      <c r="AA72" s="7" t="s">
        <v>48</v>
      </c>
      <c r="AB72" s="7" t="s">
        <v>49</v>
      </c>
      <c r="AC72" s="7" t="s">
        <v>50</v>
      </c>
      <c r="AD72" s="7" t="s">
        <v>51</v>
      </c>
      <c r="AE72" s="7" t="s">
        <v>52</v>
      </c>
      <c r="AF72" s="7" t="s">
        <v>53</v>
      </c>
      <c r="AG72" s="7" t="s">
        <v>54</v>
      </c>
      <c r="AH72" s="7" t="s">
        <v>55</v>
      </c>
      <c r="AI72" s="7" t="s">
        <v>56</v>
      </c>
      <c r="AJ72" s="7" t="s">
        <v>57</v>
      </c>
      <c r="AK72" s="7" t="s">
        <v>58</v>
      </c>
      <c r="AL72" s="7" t="s">
        <v>59</v>
      </c>
      <c r="AM72" s="7" t="s">
        <v>60</v>
      </c>
      <c r="AN72" s="7" t="s">
        <v>61</v>
      </c>
      <c r="AO72" s="52"/>
    </row>
    <row r="73" spans="1:41" ht="15.75" thickBot="1" x14ac:dyDescent="0.3">
      <c r="A73" s="244"/>
      <c r="B73" s="245"/>
      <c r="C73" s="5"/>
      <c r="D73" s="5"/>
      <c r="E73" s="8" t="s">
        <v>62</v>
      </c>
      <c r="F73" s="8" t="s">
        <v>63</v>
      </c>
      <c r="G73" s="8" t="s">
        <v>64</v>
      </c>
      <c r="H73" s="8" t="s">
        <v>65</v>
      </c>
      <c r="I73" s="8" t="s">
        <v>66</v>
      </c>
      <c r="J73" s="8" t="s">
        <v>67</v>
      </c>
      <c r="K73" s="8" t="s">
        <v>68</v>
      </c>
      <c r="L73" s="8" t="s">
        <v>69</v>
      </c>
      <c r="M73" s="8" t="s">
        <v>70</v>
      </c>
      <c r="N73" s="8" t="s">
        <v>71</v>
      </c>
      <c r="O73" s="8" t="s">
        <v>72</v>
      </c>
      <c r="P73" s="8" t="s">
        <v>73</v>
      </c>
      <c r="Q73" s="8" t="s">
        <v>62</v>
      </c>
      <c r="R73" s="8" t="s">
        <v>63</v>
      </c>
      <c r="S73" s="8" t="s">
        <v>64</v>
      </c>
      <c r="T73" s="8" t="s">
        <v>65</v>
      </c>
      <c r="U73" s="8" t="s">
        <v>66</v>
      </c>
      <c r="V73" s="8" t="s">
        <v>67</v>
      </c>
      <c r="W73" s="8" t="s">
        <v>68</v>
      </c>
      <c r="X73" s="8" t="s">
        <v>69</v>
      </c>
      <c r="Y73" s="8" t="s">
        <v>70</v>
      </c>
      <c r="Z73" s="8" t="s">
        <v>71</v>
      </c>
      <c r="AA73" s="8" t="s">
        <v>72</v>
      </c>
      <c r="AB73" s="8" t="s">
        <v>73</v>
      </c>
      <c r="AC73" s="8"/>
      <c r="AD73" s="8"/>
      <c r="AE73" s="8"/>
      <c r="AF73" s="8"/>
      <c r="AG73" s="8"/>
      <c r="AH73" s="8"/>
      <c r="AI73" s="8"/>
      <c r="AJ73" s="8"/>
      <c r="AK73" s="8"/>
      <c r="AL73" s="8"/>
      <c r="AM73" s="8"/>
      <c r="AN73" s="8"/>
      <c r="AO73" s="52"/>
    </row>
    <row r="74" spans="1:41" x14ac:dyDescent="0.25">
      <c r="A74" s="244"/>
      <c r="B74" s="245"/>
      <c r="C74" s="5"/>
      <c r="D74" s="20" t="s">
        <v>0</v>
      </c>
      <c r="E74" s="4" t="s">
        <v>1</v>
      </c>
      <c r="F74" s="3" t="s">
        <v>2</v>
      </c>
      <c r="G74" s="3" t="s">
        <v>3</v>
      </c>
      <c r="H74" s="3" t="s">
        <v>4</v>
      </c>
      <c r="I74" s="3" t="s">
        <v>5</v>
      </c>
      <c r="J74" s="3" t="s">
        <v>6</v>
      </c>
      <c r="K74" s="3" t="s">
        <v>7</v>
      </c>
      <c r="L74" s="3" t="s">
        <v>8</v>
      </c>
      <c r="M74" s="3" t="s">
        <v>9</v>
      </c>
      <c r="N74" s="3" t="s">
        <v>10</v>
      </c>
      <c r="O74" s="3" t="s">
        <v>11</v>
      </c>
      <c r="P74" s="28" t="s">
        <v>12</v>
      </c>
      <c r="Q74" s="4" t="s">
        <v>14</v>
      </c>
      <c r="R74" s="3" t="s">
        <v>15</v>
      </c>
      <c r="S74" s="3" t="s">
        <v>16</v>
      </c>
      <c r="T74" s="3" t="s">
        <v>17</v>
      </c>
      <c r="U74" s="3" t="s">
        <v>18</v>
      </c>
      <c r="V74" s="3" t="s">
        <v>19</v>
      </c>
      <c r="W74" s="3" t="s">
        <v>20</v>
      </c>
      <c r="X74" s="3" t="s">
        <v>21</v>
      </c>
      <c r="Y74" s="3" t="s">
        <v>22</v>
      </c>
      <c r="Z74" s="3" t="s">
        <v>23</v>
      </c>
      <c r="AA74" s="3" t="s">
        <v>24</v>
      </c>
      <c r="AB74" s="28" t="s">
        <v>25</v>
      </c>
      <c r="AC74" s="17" t="s">
        <v>74</v>
      </c>
      <c r="AD74" s="18" t="s">
        <v>75</v>
      </c>
      <c r="AE74" s="18" t="s">
        <v>76</v>
      </c>
      <c r="AF74" s="18" t="s">
        <v>77</v>
      </c>
      <c r="AG74" s="18" t="s">
        <v>78</v>
      </c>
      <c r="AH74" s="18" t="s">
        <v>79</v>
      </c>
      <c r="AI74" s="18" t="s">
        <v>80</v>
      </c>
      <c r="AJ74" s="18" t="s">
        <v>81</v>
      </c>
      <c r="AK74" s="18" t="s">
        <v>82</v>
      </c>
      <c r="AL74" s="18" t="s">
        <v>83</v>
      </c>
      <c r="AM74" s="18" t="s">
        <v>84</v>
      </c>
      <c r="AN74" s="19" t="s">
        <v>85</v>
      </c>
      <c r="AO74" s="52"/>
    </row>
    <row r="75" spans="1:41" ht="15.75" thickBot="1" x14ac:dyDescent="0.3">
      <c r="A75" s="244"/>
      <c r="B75" s="245"/>
      <c r="C75" s="5"/>
      <c r="D75" s="21" t="s">
        <v>13</v>
      </c>
      <c r="E75" s="12">
        <v>774</v>
      </c>
      <c r="F75" s="6">
        <v>976</v>
      </c>
      <c r="G75" s="6">
        <v>1370</v>
      </c>
      <c r="H75" s="6">
        <v>1610</v>
      </c>
      <c r="I75" s="6">
        <v>2010</v>
      </c>
      <c r="J75" s="6">
        <v>2208</v>
      </c>
      <c r="K75" s="6">
        <v>2182</v>
      </c>
      <c r="L75" s="6">
        <v>2141</v>
      </c>
      <c r="M75" s="6">
        <v>2243</v>
      </c>
      <c r="N75" s="6">
        <v>2202</v>
      </c>
      <c r="O75" s="6">
        <v>1846</v>
      </c>
      <c r="P75" s="29">
        <v>1767</v>
      </c>
      <c r="Q75" s="12">
        <v>1605</v>
      </c>
      <c r="R75" s="6">
        <v>1739</v>
      </c>
      <c r="S75" s="6">
        <v>2030</v>
      </c>
      <c r="T75" s="6">
        <v>2753</v>
      </c>
      <c r="U75" s="6">
        <v>3199</v>
      </c>
      <c r="V75" s="6">
        <v>3807</v>
      </c>
      <c r="W75" s="6">
        <v>3442</v>
      </c>
      <c r="X75" s="6">
        <v>3402</v>
      </c>
      <c r="Y75" s="6">
        <v>3354</v>
      </c>
      <c r="Z75" s="6">
        <v>3012</v>
      </c>
      <c r="AA75" s="6">
        <v>2744</v>
      </c>
      <c r="AB75" s="29">
        <v>2489</v>
      </c>
      <c r="AC75" s="13"/>
      <c r="AD75" s="7"/>
      <c r="AE75" s="7"/>
      <c r="AF75" s="7"/>
      <c r="AG75" s="7"/>
      <c r="AH75" s="7"/>
      <c r="AI75" s="7"/>
      <c r="AJ75" s="7"/>
      <c r="AK75" s="7"/>
      <c r="AL75" s="7"/>
      <c r="AM75" s="7"/>
      <c r="AN75" s="9"/>
      <c r="AO75" s="52"/>
    </row>
    <row r="76" spans="1:41" ht="15.75" thickBot="1" x14ac:dyDescent="0.3">
      <c r="A76" s="244"/>
      <c r="B76" s="245"/>
      <c r="C76" s="49" t="s">
        <v>91</v>
      </c>
      <c r="D76" s="22" t="s">
        <v>86</v>
      </c>
      <c r="E76" s="33"/>
      <c r="F76" s="32"/>
      <c r="G76" s="32"/>
      <c r="H76" s="32"/>
      <c r="I76" s="32"/>
      <c r="J76" s="32"/>
      <c r="K76" s="44">
        <v>1812.0416666666665</v>
      </c>
      <c r="L76" s="44">
        <v>1878.4583333333333</v>
      </c>
      <c r="M76" s="44">
        <v>1937.75</v>
      </c>
      <c r="N76" s="44">
        <v>2012.875</v>
      </c>
      <c r="O76" s="44">
        <v>2110.0416666666665</v>
      </c>
      <c r="P76" s="48">
        <v>2226.208333333333</v>
      </c>
      <c r="Q76" s="46">
        <v>2345.333333333333</v>
      </c>
      <c r="R76" s="44">
        <v>2450.375</v>
      </c>
      <c r="S76" s="44">
        <v>2549.208333333333</v>
      </c>
      <c r="T76" s="44">
        <v>2629.25</v>
      </c>
      <c r="U76" s="44">
        <v>2700.4166666666665</v>
      </c>
      <c r="V76" s="44">
        <v>2767.9166666666665</v>
      </c>
      <c r="W76" s="32"/>
      <c r="X76" s="32"/>
      <c r="Y76" s="7"/>
      <c r="Z76" s="32"/>
      <c r="AA76" s="32"/>
      <c r="AB76" s="34"/>
      <c r="AC76" s="33"/>
      <c r="AD76" s="32"/>
      <c r="AE76" s="32"/>
      <c r="AF76" s="32"/>
      <c r="AG76" s="32"/>
      <c r="AH76" s="7"/>
      <c r="AI76" s="32"/>
      <c r="AJ76" s="32"/>
      <c r="AK76" s="32"/>
      <c r="AL76" s="32"/>
      <c r="AM76" s="32"/>
      <c r="AN76" s="42"/>
      <c r="AO76" s="52"/>
    </row>
    <row r="77" spans="1:41" ht="15.75" thickBot="1" x14ac:dyDescent="0.3">
      <c r="A77" s="244"/>
      <c r="B77" s="245"/>
      <c r="C77" s="49">
        <v>92.918000000000006</v>
      </c>
      <c r="D77" s="22" t="s">
        <v>87</v>
      </c>
      <c r="E77" s="37">
        <v>0.68</v>
      </c>
      <c r="F77" s="36">
        <v>0.71</v>
      </c>
      <c r="G77" s="36">
        <v>0.8</v>
      </c>
      <c r="H77" s="36">
        <v>1.05</v>
      </c>
      <c r="I77" s="36">
        <v>1.18</v>
      </c>
      <c r="J77" s="36">
        <v>1.38</v>
      </c>
      <c r="K77" s="32">
        <v>1.2</v>
      </c>
      <c r="L77" s="32">
        <v>1.1399999999999999</v>
      </c>
      <c r="M77" s="32">
        <v>1.1599999999999999</v>
      </c>
      <c r="N77" s="32">
        <v>1.0900000000000001</v>
      </c>
      <c r="O77" s="32">
        <v>0.87</v>
      </c>
      <c r="P77" s="34">
        <v>0.79</v>
      </c>
      <c r="Q77" s="33">
        <v>0.68</v>
      </c>
      <c r="R77" s="32">
        <v>0.71</v>
      </c>
      <c r="S77" s="32">
        <v>0.8</v>
      </c>
      <c r="T77" s="32">
        <v>1.05</v>
      </c>
      <c r="U77" s="32">
        <v>1.18</v>
      </c>
      <c r="V77" s="32">
        <v>1.38</v>
      </c>
      <c r="W77" s="36">
        <v>1.2</v>
      </c>
      <c r="X77" s="36">
        <v>1.1399999999999999</v>
      </c>
      <c r="Y77" s="36">
        <v>1.1599999999999999</v>
      </c>
      <c r="Z77" s="36">
        <v>1.0900000000000001</v>
      </c>
      <c r="AA77" s="36">
        <v>0.87</v>
      </c>
      <c r="AB77" s="35">
        <v>0.79</v>
      </c>
      <c r="AC77" s="33">
        <v>0.68</v>
      </c>
      <c r="AD77" s="7">
        <v>0.71</v>
      </c>
      <c r="AE77" s="32">
        <v>0.8</v>
      </c>
      <c r="AF77" s="32">
        <v>1.05</v>
      </c>
      <c r="AG77" s="32">
        <v>1.18</v>
      </c>
      <c r="AH77" s="32">
        <v>1.38</v>
      </c>
      <c r="AI77" s="32">
        <v>1.2</v>
      </c>
      <c r="AJ77" s="32">
        <v>1.1399999999999999</v>
      </c>
      <c r="AK77" s="32">
        <v>1.1599999999999999</v>
      </c>
      <c r="AL77" s="7">
        <v>1.0900000000000001</v>
      </c>
      <c r="AM77" s="32">
        <v>0.87</v>
      </c>
      <c r="AN77" s="9">
        <v>0.79</v>
      </c>
      <c r="AO77" s="52"/>
    </row>
    <row r="78" spans="1:41" x14ac:dyDescent="0.25">
      <c r="A78" s="244"/>
      <c r="B78" s="245"/>
      <c r="C78" s="5"/>
      <c r="D78" s="22" t="s">
        <v>88</v>
      </c>
      <c r="E78" s="46">
        <v>1254.5336666666658</v>
      </c>
      <c r="F78" s="44">
        <v>1347.4516666666659</v>
      </c>
      <c r="G78" s="44">
        <v>1440.369666666666</v>
      </c>
      <c r="H78" s="44">
        <v>1533.2876666666662</v>
      </c>
      <c r="I78" s="44">
        <v>1626.2056666666663</v>
      </c>
      <c r="J78" s="44">
        <v>1719.1236666666664</v>
      </c>
      <c r="K78" s="44">
        <v>1812.0416666666665</v>
      </c>
      <c r="L78" s="44">
        <v>1878.4583333333333</v>
      </c>
      <c r="M78" s="44">
        <v>1937.75</v>
      </c>
      <c r="N78" s="44">
        <v>2012.875</v>
      </c>
      <c r="O78" s="44">
        <v>2110.0416666666665</v>
      </c>
      <c r="P78" s="48">
        <v>2226.208333333333</v>
      </c>
      <c r="Q78" s="46">
        <v>2345.333333333333</v>
      </c>
      <c r="R78" s="44">
        <v>2450.375</v>
      </c>
      <c r="S78" s="44">
        <v>2549.208333333333</v>
      </c>
      <c r="T78" s="44">
        <v>2629.25</v>
      </c>
      <c r="U78" s="44">
        <v>2700.4166666666665</v>
      </c>
      <c r="V78" s="44">
        <v>2767.9166666666665</v>
      </c>
      <c r="W78" s="44">
        <v>2860.8346666666666</v>
      </c>
      <c r="X78" s="44">
        <v>2953.7526666666668</v>
      </c>
      <c r="Y78" s="44">
        <v>3046.6706666666669</v>
      </c>
      <c r="Z78" s="44">
        <v>3139.588666666667</v>
      </c>
      <c r="AA78" s="44">
        <v>3232.5066666666671</v>
      </c>
      <c r="AB78" s="48">
        <v>3325.4246666666672</v>
      </c>
      <c r="AC78" s="46">
        <v>3418.3426666666674</v>
      </c>
      <c r="AD78" s="44">
        <v>3511.2606666666675</v>
      </c>
      <c r="AE78" s="44">
        <v>3604.1786666666676</v>
      </c>
      <c r="AF78" s="44">
        <v>3697.0966666666677</v>
      </c>
      <c r="AG78" s="44">
        <v>3790.0146666666678</v>
      </c>
      <c r="AH78" s="44">
        <v>3882.932666666668</v>
      </c>
      <c r="AI78" s="44">
        <v>3975.8506666666681</v>
      </c>
      <c r="AJ78" s="44">
        <v>4068.7686666666682</v>
      </c>
      <c r="AK78" s="44">
        <v>4161.6866666666683</v>
      </c>
      <c r="AL78" s="44">
        <v>4254.604666666668</v>
      </c>
      <c r="AM78" s="44">
        <v>4347.5226666666676</v>
      </c>
      <c r="AN78" s="45">
        <v>4440.4406666666673</v>
      </c>
      <c r="AO78" s="52"/>
    </row>
    <row r="79" spans="1:41" x14ac:dyDescent="0.25">
      <c r="A79" s="244"/>
      <c r="B79" s="245"/>
      <c r="C79" s="5"/>
      <c r="D79" s="22" t="s">
        <v>89</v>
      </c>
      <c r="E79" s="33">
        <v>853.08289333333278</v>
      </c>
      <c r="F79" s="32">
        <v>956.6906833333328</v>
      </c>
      <c r="G79" s="32">
        <v>1152.2957333333329</v>
      </c>
      <c r="H79" s="32">
        <v>1609.9520499999994</v>
      </c>
      <c r="I79" s="32">
        <v>1918.9226866666661</v>
      </c>
      <c r="J79" s="32">
        <v>2372.3906599999996</v>
      </c>
      <c r="K79" s="32">
        <v>2174.4499999999998</v>
      </c>
      <c r="L79" s="32">
        <v>2141.4424999999997</v>
      </c>
      <c r="M79" s="32">
        <v>2247.79</v>
      </c>
      <c r="N79" s="32">
        <v>2194.0337500000001</v>
      </c>
      <c r="O79" s="32">
        <v>1835.7362499999999</v>
      </c>
      <c r="P79" s="34">
        <v>1758.7045833333332</v>
      </c>
      <c r="Q79" s="33">
        <v>1594.8266666666666</v>
      </c>
      <c r="R79" s="32">
        <v>1739.7662499999999</v>
      </c>
      <c r="S79" s="32">
        <v>2039.3666666666666</v>
      </c>
      <c r="T79" s="32">
        <v>2760.7125000000001</v>
      </c>
      <c r="U79" s="32">
        <v>3186.4916666666663</v>
      </c>
      <c r="V79" s="32">
        <v>3819.7249999999995</v>
      </c>
      <c r="W79" s="32">
        <v>3433.0016000000001</v>
      </c>
      <c r="X79" s="32">
        <v>3367.2780399999997</v>
      </c>
      <c r="Y79" s="32">
        <v>3534.1379733333333</v>
      </c>
      <c r="Z79" s="32">
        <v>3422.1516466666671</v>
      </c>
      <c r="AA79" s="32">
        <v>2812.2808000000005</v>
      </c>
      <c r="AB79" s="34">
        <v>2627.0854866666673</v>
      </c>
      <c r="AC79" s="33">
        <v>2324.4730133333342</v>
      </c>
      <c r="AD79" s="32">
        <v>2492.9950733333339</v>
      </c>
      <c r="AE79" s="32">
        <v>2883.3429333333343</v>
      </c>
      <c r="AF79" s="32">
        <v>3881.9515000000015</v>
      </c>
      <c r="AG79" s="32">
        <v>4472.2173066666683</v>
      </c>
      <c r="AH79" s="32">
        <v>5358.4470800000017</v>
      </c>
      <c r="AI79" s="32">
        <v>4771.0208000000011</v>
      </c>
      <c r="AJ79" s="32">
        <v>4638.3962800000018</v>
      </c>
      <c r="AK79" s="32">
        <v>4827.5565333333352</v>
      </c>
      <c r="AL79" s="32">
        <v>4637.519086666668</v>
      </c>
      <c r="AM79" s="32">
        <v>3782.344720000001</v>
      </c>
      <c r="AN79" s="42">
        <v>3507.9481266666671</v>
      </c>
      <c r="AO79" s="52"/>
    </row>
    <row r="80" spans="1:41" ht="15.75" thickBot="1" x14ac:dyDescent="0.3">
      <c r="A80" s="244"/>
      <c r="B80" s="245"/>
      <c r="C80" s="5"/>
      <c r="D80" s="23" t="s">
        <v>90</v>
      </c>
      <c r="E80" s="26">
        <v>0.10217428079241961</v>
      </c>
      <c r="F80" s="27">
        <v>-1.9784135928962297E-2</v>
      </c>
      <c r="G80" s="27">
        <v>-0.15890822384428255</v>
      </c>
      <c r="H80" s="27">
        <v>-2.9782608696014163E-5</v>
      </c>
      <c r="I80" s="27">
        <v>-4.5312096185738261E-2</v>
      </c>
      <c r="J80" s="27">
        <v>7.4452291666666476E-2</v>
      </c>
      <c r="K80" s="27">
        <v>-3.4601283226398634E-3</v>
      </c>
      <c r="L80" s="27">
        <v>2.0667912190549013E-4</v>
      </c>
      <c r="M80" s="27">
        <v>2.1355327686134479E-3</v>
      </c>
      <c r="N80" s="27">
        <v>-3.6177338782924368E-3</v>
      </c>
      <c r="O80" s="27">
        <v>-5.5599945828819462E-3</v>
      </c>
      <c r="P80" s="31">
        <v>-4.6946330880966751E-3</v>
      </c>
      <c r="Q80" s="26">
        <v>-6.3385254413292234E-3</v>
      </c>
      <c r="R80" s="27">
        <v>4.4062679700971821E-4</v>
      </c>
      <c r="S80" s="27">
        <v>4.6141215106731822E-3</v>
      </c>
      <c r="T80" s="27">
        <v>2.8014892844170328E-3</v>
      </c>
      <c r="U80" s="27">
        <v>-3.9100760654372201E-3</v>
      </c>
      <c r="V80" s="27">
        <v>3.3425269240870644E-3</v>
      </c>
      <c r="W80" s="27">
        <v>-2.61429401510748E-3</v>
      </c>
      <c r="X80" s="27">
        <v>-1.0206337448559762E-2</v>
      </c>
      <c r="Y80" s="27">
        <v>5.3708399920492943E-2</v>
      </c>
      <c r="Z80" s="27">
        <v>0.13617252545374076</v>
      </c>
      <c r="AA80" s="27">
        <v>2.4883673469387919E-2</v>
      </c>
      <c r="AB80" s="31">
        <v>5.5478299183072434E-2</v>
      </c>
      <c r="AC80" s="14"/>
      <c r="AD80" s="10"/>
      <c r="AE80" s="10"/>
      <c r="AF80" s="10"/>
      <c r="AG80" s="10"/>
      <c r="AH80" s="10"/>
      <c r="AI80" s="10"/>
      <c r="AJ80" s="10"/>
      <c r="AK80" s="10"/>
      <c r="AL80" s="10"/>
      <c r="AM80" s="10"/>
      <c r="AN80" s="11"/>
      <c r="AO80" s="52"/>
    </row>
    <row r="81" spans="1:41" ht="15.75" thickBot="1" x14ac:dyDescent="0.3">
      <c r="A81" s="246"/>
      <c r="B81" s="247"/>
      <c r="C81" s="53"/>
      <c r="D81" s="53"/>
      <c r="E81" s="53"/>
      <c r="F81" s="53"/>
      <c r="G81" s="53"/>
      <c r="H81" s="53"/>
      <c r="I81" s="53"/>
      <c r="J81" s="53"/>
      <c r="K81" s="53"/>
      <c r="L81" s="53"/>
      <c r="M81" s="53"/>
      <c r="N81" s="53"/>
      <c r="O81" s="53"/>
      <c r="P81" s="53"/>
      <c r="Q81" s="53"/>
      <c r="R81" s="53"/>
      <c r="S81" s="53"/>
      <c r="T81" s="53"/>
      <c r="U81" s="53"/>
      <c r="V81" s="53"/>
      <c r="W81" s="53"/>
      <c r="X81" s="53"/>
      <c r="Y81" s="53"/>
      <c r="Z81" s="53"/>
      <c r="AA81" s="53"/>
      <c r="AB81" s="53"/>
      <c r="AC81" s="53"/>
      <c r="AD81" s="53"/>
      <c r="AE81" s="53"/>
      <c r="AF81" s="53"/>
      <c r="AG81" s="53"/>
      <c r="AH81" s="53"/>
      <c r="AI81" s="53"/>
      <c r="AJ81" s="53"/>
      <c r="AK81" s="53"/>
      <c r="AL81" s="53"/>
      <c r="AM81" s="53"/>
      <c r="AN81" s="53"/>
      <c r="AO81" s="54"/>
    </row>
    <row r="82" spans="1:41" x14ac:dyDescent="0.25">
      <c r="A82" s="248"/>
      <c r="B82" s="248"/>
      <c r="C82" s="248"/>
      <c r="D82" s="248"/>
      <c r="E82" s="248"/>
      <c r="F82" s="248"/>
      <c r="G82" s="248"/>
      <c r="H82" s="248"/>
      <c r="I82" s="248"/>
      <c r="J82" s="248"/>
      <c r="K82" s="248"/>
      <c r="L82" s="248"/>
      <c r="M82" s="248"/>
      <c r="N82" s="248"/>
      <c r="O82" s="248"/>
      <c r="P82" s="248"/>
      <c r="Q82" s="248"/>
      <c r="R82" s="248"/>
      <c r="S82" s="248"/>
      <c r="T82" s="248"/>
      <c r="U82" s="248"/>
      <c r="V82" s="248"/>
      <c r="W82" s="248"/>
      <c r="X82" s="248"/>
      <c r="Y82" s="248"/>
      <c r="Z82" s="248"/>
      <c r="AA82" s="248"/>
      <c r="AB82" s="248"/>
      <c r="AC82" s="248"/>
      <c r="AD82" s="248"/>
      <c r="AE82" s="248"/>
      <c r="AF82" s="248"/>
      <c r="AG82" s="248"/>
      <c r="AH82" s="248"/>
      <c r="AI82" s="248"/>
      <c r="AJ82" s="248"/>
      <c r="AK82" s="248"/>
      <c r="AL82" s="248"/>
      <c r="AM82" s="248"/>
      <c r="AN82" s="248"/>
      <c r="AO82" s="248"/>
    </row>
    <row r="83" spans="1:41" ht="15.75" thickBot="1" x14ac:dyDescent="0.3">
      <c r="A83" s="248"/>
      <c r="B83" s="248"/>
      <c r="C83" s="248"/>
      <c r="D83" s="248"/>
      <c r="E83" s="248"/>
      <c r="F83" s="248"/>
      <c r="G83" s="248"/>
      <c r="H83" s="248"/>
      <c r="I83" s="248"/>
      <c r="J83" s="248"/>
      <c r="K83" s="248"/>
      <c r="L83" s="248"/>
      <c r="M83" s="248"/>
      <c r="N83" s="248"/>
      <c r="O83" s="248"/>
      <c r="P83" s="248"/>
      <c r="Q83" s="248"/>
      <c r="R83" s="248"/>
      <c r="S83" s="248"/>
      <c r="T83" s="248"/>
      <c r="U83" s="248"/>
      <c r="V83" s="248"/>
      <c r="W83" s="248"/>
      <c r="X83" s="248"/>
      <c r="Y83" s="248"/>
      <c r="Z83" s="248"/>
      <c r="AA83" s="248"/>
      <c r="AB83" s="248"/>
      <c r="AC83" s="248"/>
      <c r="AD83" s="248"/>
      <c r="AE83" s="248"/>
      <c r="AF83" s="248"/>
      <c r="AG83" s="248"/>
      <c r="AH83" s="248"/>
      <c r="AI83" s="248"/>
      <c r="AJ83" s="248"/>
      <c r="AK83" s="248"/>
      <c r="AL83" s="248"/>
      <c r="AM83" s="248"/>
      <c r="AN83" s="248"/>
      <c r="AO83" s="248"/>
    </row>
    <row r="84" spans="1:41" x14ac:dyDescent="0.25">
      <c r="A84" s="242" t="s">
        <v>98</v>
      </c>
      <c r="B84" s="243"/>
      <c r="C84" s="50"/>
      <c r="D84" s="50"/>
      <c r="E84" s="50"/>
      <c r="F84" s="50"/>
      <c r="G84" s="50"/>
      <c r="H84" s="50"/>
      <c r="I84" s="50"/>
      <c r="J84" s="50"/>
      <c r="K84" s="50"/>
      <c r="L84" s="50"/>
      <c r="M84" s="50"/>
      <c r="N84" s="50"/>
      <c r="O84" s="50"/>
      <c r="P84" s="50"/>
      <c r="Q84" s="50"/>
      <c r="R84" s="50"/>
      <c r="S84" s="50"/>
      <c r="T84" s="50"/>
      <c r="U84" s="50"/>
      <c r="V84" s="50"/>
      <c r="W84" s="50"/>
      <c r="X84" s="50"/>
      <c r="Y84" s="50"/>
      <c r="Z84" s="50"/>
      <c r="AA84" s="50"/>
      <c r="AB84" s="50"/>
      <c r="AC84" s="50"/>
      <c r="AD84" s="50"/>
      <c r="AE84" s="50"/>
      <c r="AF84" s="50"/>
      <c r="AG84" s="50"/>
      <c r="AH84" s="50"/>
      <c r="AI84" s="50"/>
      <c r="AJ84" s="50"/>
      <c r="AK84" s="50"/>
      <c r="AL84" s="50"/>
      <c r="AM84" s="50"/>
      <c r="AN84" s="50"/>
      <c r="AO84" s="51"/>
    </row>
    <row r="85" spans="1:41" x14ac:dyDescent="0.25">
      <c r="A85" s="244"/>
      <c r="B85" s="245"/>
      <c r="C85" s="5"/>
      <c r="D85" s="5"/>
      <c r="E85" s="7" t="s">
        <v>26</v>
      </c>
      <c r="F85" s="7" t="s">
        <v>27</v>
      </c>
      <c r="G85" s="7" t="s">
        <v>28</v>
      </c>
      <c r="H85" s="7" t="s">
        <v>29</v>
      </c>
      <c r="I85" s="7" t="s">
        <v>30</v>
      </c>
      <c r="J85" s="7" t="s">
        <v>31</v>
      </c>
      <c r="K85" s="7" t="s">
        <v>32</v>
      </c>
      <c r="L85" s="7" t="s">
        <v>33</v>
      </c>
      <c r="M85" s="7" t="s">
        <v>34</v>
      </c>
      <c r="N85" s="7" t="s">
        <v>35</v>
      </c>
      <c r="O85" s="7" t="s">
        <v>36</v>
      </c>
      <c r="P85" s="7" t="s">
        <v>37</v>
      </c>
      <c r="Q85" s="7" t="s">
        <v>38</v>
      </c>
      <c r="R85" s="7" t="s">
        <v>39</v>
      </c>
      <c r="S85" s="7" t="s">
        <v>40</v>
      </c>
      <c r="T85" s="7" t="s">
        <v>41</v>
      </c>
      <c r="U85" s="7" t="s">
        <v>42</v>
      </c>
      <c r="V85" s="7" t="s">
        <v>43</v>
      </c>
      <c r="W85" s="7" t="s">
        <v>44</v>
      </c>
      <c r="X85" s="7" t="s">
        <v>45</v>
      </c>
      <c r="Y85" s="7" t="s">
        <v>46</v>
      </c>
      <c r="Z85" s="7" t="s">
        <v>47</v>
      </c>
      <c r="AA85" s="7" t="s">
        <v>48</v>
      </c>
      <c r="AB85" s="7" t="s">
        <v>49</v>
      </c>
      <c r="AC85" s="7" t="s">
        <v>50</v>
      </c>
      <c r="AD85" s="7" t="s">
        <v>51</v>
      </c>
      <c r="AE85" s="7" t="s">
        <v>52</v>
      </c>
      <c r="AF85" s="7" t="s">
        <v>53</v>
      </c>
      <c r="AG85" s="7" t="s">
        <v>54</v>
      </c>
      <c r="AH85" s="7" t="s">
        <v>55</v>
      </c>
      <c r="AI85" s="7" t="s">
        <v>56</v>
      </c>
      <c r="AJ85" s="7" t="s">
        <v>57</v>
      </c>
      <c r="AK85" s="7" t="s">
        <v>58</v>
      </c>
      <c r="AL85" s="7" t="s">
        <v>59</v>
      </c>
      <c r="AM85" s="7" t="s">
        <v>60</v>
      </c>
      <c r="AN85" s="7" t="s">
        <v>61</v>
      </c>
      <c r="AO85" s="52"/>
    </row>
    <row r="86" spans="1:41" ht="15.75" thickBot="1" x14ac:dyDescent="0.3">
      <c r="A86" s="244"/>
      <c r="B86" s="245"/>
      <c r="C86" s="5"/>
      <c r="D86" s="5"/>
      <c r="E86" s="8" t="s">
        <v>62</v>
      </c>
      <c r="F86" s="8" t="s">
        <v>63</v>
      </c>
      <c r="G86" s="8" t="s">
        <v>64</v>
      </c>
      <c r="H86" s="8" t="s">
        <v>65</v>
      </c>
      <c r="I86" s="8" t="s">
        <v>66</v>
      </c>
      <c r="J86" s="8" t="s">
        <v>67</v>
      </c>
      <c r="K86" s="8" t="s">
        <v>68</v>
      </c>
      <c r="L86" s="8" t="s">
        <v>69</v>
      </c>
      <c r="M86" s="8" t="s">
        <v>70</v>
      </c>
      <c r="N86" s="8" t="s">
        <v>71</v>
      </c>
      <c r="O86" s="8" t="s">
        <v>72</v>
      </c>
      <c r="P86" s="8" t="s">
        <v>73</v>
      </c>
      <c r="Q86" s="8" t="s">
        <v>62</v>
      </c>
      <c r="R86" s="8" t="s">
        <v>63</v>
      </c>
      <c r="S86" s="8" t="s">
        <v>64</v>
      </c>
      <c r="T86" s="8" t="s">
        <v>65</v>
      </c>
      <c r="U86" s="8" t="s">
        <v>66</v>
      </c>
      <c r="V86" s="8" t="s">
        <v>67</v>
      </c>
      <c r="W86" s="8" t="s">
        <v>68</v>
      </c>
      <c r="X86" s="8" t="s">
        <v>69</v>
      </c>
      <c r="Y86" s="8" t="s">
        <v>70</v>
      </c>
      <c r="Z86" s="8" t="s">
        <v>71</v>
      </c>
      <c r="AA86" s="8" t="s">
        <v>72</v>
      </c>
      <c r="AB86" s="8" t="s">
        <v>73</v>
      </c>
      <c r="AC86" s="8"/>
      <c r="AD86" s="8"/>
      <c r="AE86" s="8"/>
      <c r="AF86" s="8"/>
      <c r="AG86" s="8"/>
      <c r="AH86" s="8"/>
      <c r="AI86" s="8"/>
      <c r="AJ86" s="8"/>
      <c r="AK86" s="8"/>
      <c r="AL86" s="8"/>
      <c r="AM86" s="8"/>
      <c r="AN86" s="8"/>
      <c r="AO86" s="52"/>
    </row>
    <row r="87" spans="1:41" x14ac:dyDescent="0.25">
      <c r="A87" s="244"/>
      <c r="B87" s="245"/>
      <c r="C87" s="5"/>
      <c r="D87" s="20" t="s">
        <v>0</v>
      </c>
      <c r="E87" s="4" t="s">
        <v>1</v>
      </c>
      <c r="F87" s="3" t="s">
        <v>2</v>
      </c>
      <c r="G87" s="3" t="s">
        <v>3</v>
      </c>
      <c r="H87" s="3" t="s">
        <v>4</v>
      </c>
      <c r="I87" s="3" t="s">
        <v>5</v>
      </c>
      <c r="J87" s="3" t="s">
        <v>6</v>
      </c>
      <c r="K87" s="3" t="s">
        <v>7</v>
      </c>
      <c r="L87" s="3" t="s">
        <v>8</v>
      </c>
      <c r="M87" s="3" t="s">
        <v>9</v>
      </c>
      <c r="N87" s="3" t="s">
        <v>10</v>
      </c>
      <c r="O87" s="3" t="s">
        <v>11</v>
      </c>
      <c r="P87" s="28" t="s">
        <v>12</v>
      </c>
      <c r="Q87" s="4" t="s">
        <v>14</v>
      </c>
      <c r="R87" s="3" t="s">
        <v>15</v>
      </c>
      <c r="S87" s="3" t="s">
        <v>16</v>
      </c>
      <c r="T87" s="3" t="s">
        <v>17</v>
      </c>
      <c r="U87" s="3" t="s">
        <v>18</v>
      </c>
      <c r="V87" s="3" t="s">
        <v>19</v>
      </c>
      <c r="W87" s="3" t="s">
        <v>20</v>
      </c>
      <c r="X87" s="3" t="s">
        <v>21</v>
      </c>
      <c r="Y87" s="3" t="s">
        <v>22</v>
      </c>
      <c r="Z87" s="3" t="s">
        <v>23</v>
      </c>
      <c r="AA87" s="3" t="s">
        <v>24</v>
      </c>
      <c r="AB87" s="28" t="s">
        <v>25</v>
      </c>
      <c r="AC87" s="17" t="s">
        <v>74</v>
      </c>
      <c r="AD87" s="18" t="s">
        <v>75</v>
      </c>
      <c r="AE87" s="18" t="s">
        <v>76</v>
      </c>
      <c r="AF87" s="18" t="s">
        <v>77</v>
      </c>
      <c r="AG87" s="18" t="s">
        <v>78</v>
      </c>
      <c r="AH87" s="18" t="s">
        <v>79</v>
      </c>
      <c r="AI87" s="18" t="s">
        <v>80</v>
      </c>
      <c r="AJ87" s="18" t="s">
        <v>81</v>
      </c>
      <c r="AK87" s="18" t="s">
        <v>82</v>
      </c>
      <c r="AL87" s="18" t="s">
        <v>83</v>
      </c>
      <c r="AM87" s="18" t="s">
        <v>84</v>
      </c>
      <c r="AN87" s="19" t="s">
        <v>85</v>
      </c>
      <c r="AO87" s="52"/>
    </row>
    <row r="88" spans="1:41" ht="15.75" thickBot="1" x14ac:dyDescent="0.3">
      <c r="A88" s="244"/>
      <c r="B88" s="245"/>
      <c r="C88" s="5"/>
      <c r="D88" s="21" t="s">
        <v>13</v>
      </c>
      <c r="E88" s="12">
        <v>114</v>
      </c>
      <c r="F88" s="6">
        <v>138</v>
      </c>
      <c r="G88" s="6">
        <v>187</v>
      </c>
      <c r="H88" s="6">
        <v>212</v>
      </c>
      <c r="I88" s="6">
        <v>256</v>
      </c>
      <c r="J88" s="6">
        <v>273</v>
      </c>
      <c r="K88" s="6">
        <v>262</v>
      </c>
      <c r="L88" s="6">
        <v>250</v>
      </c>
      <c r="M88" s="6">
        <v>256</v>
      </c>
      <c r="N88" s="6">
        <v>273</v>
      </c>
      <c r="O88" s="6">
        <v>262</v>
      </c>
      <c r="P88" s="29">
        <v>250</v>
      </c>
      <c r="Q88" s="12">
        <v>169</v>
      </c>
      <c r="R88" s="6">
        <v>180</v>
      </c>
      <c r="S88" s="6">
        <v>206</v>
      </c>
      <c r="T88" s="6">
        <v>275</v>
      </c>
      <c r="U88" s="6">
        <v>315</v>
      </c>
      <c r="V88" s="6">
        <v>369</v>
      </c>
      <c r="W88" s="6">
        <v>330</v>
      </c>
      <c r="X88" s="6">
        <v>322</v>
      </c>
      <c r="Y88" s="6">
        <v>313</v>
      </c>
      <c r="Z88" s="6">
        <v>278</v>
      </c>
      <c r="AA88" s="6">
        <v>250</v>
      </c>
      <c r="AB88" s="29">
        <v>225</v>
      </c>
      <c r="AC88" s="13"/>
      <c r="AD88" s="7"/>
      <c r="AE88" s="7"/>
      <c r="AF88" s="7"/>
      <c r="AG88" s="7"/>
      <c r="AH88" s="7"/>
      <c r="AI88" s="7"/>
      <c r="AJ88" s="7"/>
      <c r="AK88" s="7"/>
      <c r="AL88" s="7"/>
      <c r="AM88" s="7"/>
      <c r="AN88" s="9"/>
      <c r="AO88" s="52"/>
    </row>
    <row r="89" spans="1:41" ht="15.75" thickBot="1" x14ac:dyDescent="0.3">
      <c r="A89" s="244"/>
      <c r="B89" s="245"/>
      <c r="C89" s="49" t="s">
        <v>91</v>
      </c>
      <c r="D89" s="22" t="s">
        <v>86</v>
      </c>
      <c r="E89" s="33"/>
      <c r="F89" s="32"/>
      <c r="G89" s="32"/>
      <c r="H89" s="32"/>
      <c r="I89" s="32"/>
      <c r="J89" s="32"/>
      <c r="K89" s="44">
        <v>230.04166666666666</v>
      </c>
      <c r="L89" s="44">
        <v>234.08333333333331</v>
      </c>
      <c r="M89" s="44">
        <v>236.625</v>
      </c>
      <c r="N89" s="44">
        <v>240.04166666666666</v>
      </c>
      <c r="O89" s="44">
        <v>245.125</v>
      </c>
      <c r="P89" s="48">
        <v>251.58333333333331</v>
      </c>
      <c r="Q89" s="46">
        <v>258.41666666666663</v>
      </c>
      <c r="R89" s="44">
        <v>264.25</v>
      </c>
      <c r="S89" s="44">
        <v>269.625</v>
      </c>
      <c r="T89" s="44">
        <v>272.20833333333331</v>
      </c>
      <c r="U89" s="44">
        <v>271.91666666666663</v>
      </c>
      <c r="V89" s="44">
        <v>270.375</v>
      </c>
      <c r="W89" s="32"/>
      <c r="X89" s="32"/>
      <c r="Y89" s="7"/>
      <c r="Z89" s="32"/>
      <c r="AA89" s="32"/>
      <c r="AB89" s="34"/>
      <c r="AC89" s="33"/>
      <c r="AD89" s="32"/>
      <c r="AE89" s="32"/>
      <c r="AF89" s="32"/>
      <c r="AG89" s="32"/>
      <c r="AH89" s="7"/>
      <c r="AI89" s="32"/>
      <c r="AJ89" s="32"/>
      <c r="AK89" s="32"/>
      <c r="AL89" s="32"/>
      <c r="AM89" s="32"/>
      <c r="AN89" s="42"/>
      <c r="AO89" s="52"/>
    </row>
    <row r="90" spans="1:41" ht="15.75" thickBot="1" x14ac:dyDescent="0.3">
      <c r="A90" s="244"/>
      <c r="B90" s="245"/>
      <c r="C90" s="49">
        <v>4.3544999999999998</v>
      </c>
      <c r="D90" s="22" t="s">
        <v>87</v>
      </c>
      <c r="E90" s="37">
        <v>0.65</v>
      </c>
      <c r="F90" s="36">
        <v>0.68</v>
      </c>
      <c r="G90" s="36">
        <v>0.76</v>
      </c>
      <c r="H90" s="36">
        <v>1.01</v>
      </c>
      <c r="I90" s="36">
        <v>1.1599999999999999</v>
      </c>
      <c r="J90" s="36">
        <v>1.36</v>
      </c>
      <c r="K90" s="32">
        <v>1.1399999999999999</v>
      </c>
      <c r="L90" s="32">
        <v>1.07</v>
      </c>
      <c r="M90" s="32">
        <v>1.08</v>
      </c>
      <c r="N90" s="32">
        <v>1.1399999999999999</v>
      </c>
      <c r="O90" s="32">
        <v>1.07</v>
      </c>
      <c r="P90" s="34">
        <v>0.99</v>
      </c>
      <c r="Q90" s="33">
        <v>0.65</v>
      </c>
      <c r="R90" s="32">
        <v>0.68</v>
      </c>
      <c r="S90" s="32">
        <v>0.76</v>
      </c>
      <c r="T90" s="32">
        <v>1.01</v>
      </c>
      <c r="U90" s="32">
        <v>1.1599999999999999</v>
      </c>
      <c r="V90" s="32">
        <v>1.36</v>
      </c>
      <c r="W90" s="36">
        <v>1.1399999999999999</v>
      </c>
      <c r="X90" s="36">
        <v>1.07</v>
      </c>
      <c r="Y90" s="36">
        <v>1.08</v>
      </c>
      <c r="Z90" s="36">
        <v>1.1399999999999999</v>
      </c>
      <c r="AA90" s="36">
        <v>1.07</v>
      </c>
      <c r="AB90" s="35">
        <v>0.99</v>
      </c>
      <c r="AC90" s="33">
        <v>0.65</v>
      </c>
      <c r="AD90" s="7">
        <v>0.68</v>
      </c>
      <c r="AE90" s="32">
        <v>0.76</v>
      </c>
      <c r="AF90" s="32">
        <v>1.01</v>
      </c>
      <c r="AG90" s="32">
        <v>1.1599999999999999</v>
      </c>
      <c r="AH90" s="32">
        <v>1.36</v>
      </c>
      <c r="AI90" s="32">
        <v>1.1399999999999999</v>
      </c>
      <c r="AJ90" s="32">
        <v>1.07</v>
      </c>
      <c r="AK90" s="32">
        <v>1.08</v>
      </c>
      <c r="AL90" s="7">
        <v>1.1399999999999999</v>
      </c>
      <c r="AM90" s="32">
        <v>1.07</v>
      </c>
      <c r="AN90" s="9">
        <v>0.99</v>
      </c>
      <c r="AO90" s="52"/>
    </row>
    <row r="91" spans="1:41" x14ac:dyDescent="0.25">
      <c r="A91" s="244"/>
      <c r="B91" s="245"/>
      <c r="C91" s="5"/>
      <c r="D91" s="22" t="s">
        <v>88</v>
      </c>
      <c r="E91" s="46">
        <v>203.91466666666665</v>
      </c>
      <c r="F91" s="44">
        <v>208.26916666666665</v>
      </c>
      <c r="G91" s="44">
        <v>212.62366666666665</v>
      </c>
      <c r="H91" s="44">
        <v>216.97816666666665</v>
      </c>
      <c r="I91" s="44">
        <v>221.33266666666665</v>
      </c>
      <c r="J91" s="44">
        <v>225.68716666666666</v>
      </c>
      <c r="K91" s="44">
        <v>230.04166666666666</v>
      </c>
      <c r="L91" s="44">
        <v>234.08333333333331</v>
      </c>
      <c r="M91" s="44">
        <v>236.625</v>
      </c>
      <c r="N91" s="44">
        <v>240.04166666666666</v>
      </c>
      <c r="O91" s="44">
        <v>245.125</v>
      </c>
      <c r="P91" s="48">
        <v>251.58333333333331</v>
      </c>
      <c r="Q91" s="46">
        <v>258.41666666666663</v>
      </c>
      <c r="R91" s="44">
        <v>264.25</v>
      </c>
      <c r="S91" s="44">
        <v>269.625</v>
      </c>
      <c r="T91" s="44">
        <v>272.20833333333331</v>
      </c>
      <c r="U91" s="44">
        <v>271.91666666666663</v>
      </c>
      <c r="V91" s="44">
        <v>270.375</v>
      </c>
      <c r="W91" s="44">
        <v>274.72949999999997</v>
      </c>
      <c r="X91" s="44">
        <v>279.08399999999995</v>
      </c>
      <c r="Y91" s="44">
        <v>283.43849999999992</v>
      </c>
      <c r="Z91" s="44">
        <v>287.79299999999989</v>
      </c>
      <c r="AA91" s="44">
        <v>292.14749999999987</v>
      </c>
      <c r="AB91" s="48">
        <v>296.50199999999984</v>
      </c>
      <c r="AC91" s="46">
        <v>300.85649999999981</v>
      </c>
      <c r="AD91" s="44">
        <v>305.21099999999979</v>
      </c>
      <c r="AE91" s="44">
        <v>309.56549999999976</v>
      </c>
      <c r="AF91" s="44">
        <v>313.91999999999973</v>
      </c>
      <c r="AG91" s="44">
        <v>318.2744999999997</v>
      </c>
      <c r="AH91" s="44">
        <v>322.62899999999968</v>
      </c>
      <c r="AI91" s="44">
        <v>326.98349999999965</v>
      </c>
      <c r="AJ91" s="44">
        <v>331.33799999999962</v>
      </c>
      <c r="AK91" s="44">
        <v>335.6924999999996</v>
      </c>
      <c r="AL91" s="44">
        <v>340.04699999999957</v>
      </c>
      <c r="AM91" s="44">
        <v>344.40149999999954</v>
      </c>
      <c r="AN91" s="45">
        <v>348.75599999999952</v>
      </c>
      <c r="AO91" s="52"/>
    </row>
    <row r="92" spans="1:41" x14ac:dyDescent="0.25">
      <c r="A92" s="244"/>
      <c r="B92" s="245"/>
      <c r="C92" s="5"/>
      <c r="D92" s="22" t="s">
        <v>89</v>
      </c>
      <c r="E92" s="33">
        <v>132.54453333333333</v>
      </c>
      <c r="F92" s="32">
        <v>141.62303333333332</v>
      </c>
      <c r="G92" s="32">
        <v>161.59398666666667</v>
      </c>
      <c r="H92" s="32">
        <v>219.14794833333332</v>
      </c>
      <c r="I92" s="32">
        <v>256.7458933333333</v>
      </c>
      <c r="J92" s="32">
        <v>306.93454666666668</v>
      </c>
      <c r="K92" s="32">
        <v>262.24749999999995</v>
      </c>
      <c r="L92" s="32">
        <v>250.46916666666667</v>
      </c>
      <c r="M92" s="32">
        <v>255.55500000000001</v>
      </c>
      <c r="N92" s="32">
        <v>273.64749999999998</v>
      </c>
      <c r="O92" s="32">
        <v>262.28375</v>
      </c>
      <c r="P92" s="34">
        <v>249.06749999999997</v>
      </c>
      <c r="Q92" s="33">
        <v>167.9708333333333</v>
      </c>
      <c r="R92" s="32">
        <v>179.69000000000003</v>
      </c>
      <c r="S92" s="32">
        <v>204.91499999999999</v>
      </c>
      <c r="T92" s="32">
        <v>274.93041666666664</v>
      </c>
      <c r="U92" s="32">
        <v>315.42333333333329</v>
      </c>
      <c r="V92" s="32">
        <v>367.71000000000004</v>
      </c>
      <c r="W92" s="32">
        <v>313.19162999999992</v>
      </c>
      <c r="X92" s="32">
        <v>298.61987999999997</v>
      </c>
      <c r="Y92" s="32">
        <v>306.11357999999996</v>
      </c>
      <c r="Z92" s="32">
        <v>328.08401999999984</v>
      </c>
      <c r="AA92" s="32">
        <v>312.59782499999989</v>
      </c>
      <c r="AB92" s="34">
        <v>293.53697999999986</v>
      </c>
      <c r="AC92" s="33">
        <v>195.55672499999989</v>
      </c>
      <c r="AD92" s="32">
        <v>207.54347999999987</v>
      </c>
      <c r="AE92" s="32">
        <v>235.26977999999983</v>
      </c>
      <c r="AF92" s="32">
        <v>317.05919999999975</v>
      </c>
      <c r="AG92" s="32">
        <v>369.19841999999966</v>
      </c>
      <c r="AH92" s="32">
        <v>438.77543999999961</v>
      </c>
      <c r="AI92" s="32">
        <v>372.76118999999954</v>
      </c>
      <c r="AJ92" s="32">
        <v>354.53165999999965</v>
      </c>
      <c r="AK92" s="32">
        <v>362.54789999999957</v>
      </c>
      <c r="AL92" s="32">
        <v>387.65357999999947</v>
      </c>
      <c r="AM92" s="32">
        <v>368.50960499999951</v>
      </c>
      <c r="AN92" s="42">
        <v>345.26843999999954</v>
      </c>
      <c r="AO92" s="52"/>
    </row>
    <row r="93" spans="1:41" ht="15.75" thickBot="1" x14ac:dyDescent="0.3">
      <c r="A93" s="244"/>
      <c r="B93" s="245"/>
      <c r="C93" s="5"/>
      <c r="D93" s="23" t="s">
        <v>90</v>
      </c>
      <c r="E93" s="26">
        <v>0.16267134502923977</v>
      </c>
      <c r="F93" s="27">
        <v>2.6253864734299456E-2</v>
      </c>
      <c r="G93" s="27">
        <v>-0.1358610338680927</v>
      </c>
      <c r="H93" s="27">
        <v>3.3716737421383577E-2</v>
      </c>
      <c r="I93" s="27">
        <v>2.9136458333332005E-3</v>
      </c>
      <c r="J93" s="27">
        <v>0.12430236874236877</v>
      </c>
      <c r="K93" s="27">
        <v>9.4465648854941001E-4</v>
      </c>
      <c r="L93" s="27">
        <v>1.8766666666666652E-3</v>
      </c>
      <c r="M93" s="27">
        <v>-1.7382812499999734E-3</v>
      </c>
      <c r="N93" s="27">
        <v>2.3717948717947969E-3</v>
      </c>
      <c r="O93" s="27">
        <v>1.0830152671755639E-3</v>
      </c>
      <c r="P93" s="31">
        <v>-3.7300000000001321E-3</v>
      </c>
      <c r="Q93" s="26">
        <v>-6.0897435897437693E-3</v>
      </c>
      <c r="R93" s="27">
        <v>-1.7222222222220769E-3</v>
      </c>
      <c r="S93" s="27">
        <v>-5.2669902912621741E-3</v>
      </c>
      <c r="T93" s="27">
        <v>-2.5303030303038297E-4</v>
      </c>
      <c r="U93" s="27">
        <v>1.3439153439152045E-3</v>
      </c>
      <c r="V93" s="27">
        <v>-3.4959349593494948E-3</v>
      </c>
      <c r="W93" s="27">
        <v>-5.0934454545454796E-2</v>
      </c>
      <c r="X93" s="27">
        <v>-7.2609068322981474E-2</v>
      </c>
      <c r="Y93" s="27">
        <v>-2.2001341853035282E-2</v>
      </c>
      <c r="Z93" s="27">
        <v>0.18015834532374042</v>
      </c>
      <c r="AA93" s="27">
        <v>0.25039129999999954</v>
      </c>
      <c r="AB93" s="31">
        <v>0.30460879999999935</v>
      </c>
      <c r="AC93" s="14"/>
      <c r="AD93" s="10"/>
      <c r="AE93" s="10"/>
      <c r="AF93" s="10"/>
      <c r="AG93" s="10"/>
      <c r="AH93" s="10"/>
      <c r="AI93" s="10"/>
      <c r="AJ93" s="10"/>
      <c r="AK93" s="10"/>
      <c r="AL93" s="10"/>
      <c r="AM93" s="10"/>
      <c r="AN93" s="11"/>
      <c r="AO93" s="52"/>
    </row>
    <row r="94" spans="1:41" ht="15.75" thickBot="1" x14ac:dyDescent="0.3">
      <c r="A94" s="246"/>
      <c r="B94" s="247"/>
      <c r="C94" s="53"/>
      <c r="D94" s="53"/>
      <c r="E94" s="53"/>
      <c r="F94" s="53"/>
      <c r="G94" s="53"/>
      <c r="H94" s="53"/>
      <c r="I94" s="53"/>
      <c r="J94" s="53"/>
      <c r="K94" s="53"/>
      <c r="L94" s="53"/>
      <c r="M94" s="53"/>
      <c r="N94" s="53"/>
      <c r="O94" s="53"/>
      <c r="P94" s="53"/>
      <c r="Q94" s="53"/>
      <c r="R94" s="53"/>
      <c r="S94" s="53"/>
      <c r="T94" s="53"/>
      <c r="U94" s="53"/>
      <c r="V94" s="53"/>
      <c r="W94" s="53"/>
      <c r="X94" s="53"/>
      <c r="Y94" s="53"/>
      <c r="Z94" s="53"/>
      <c r="AA94" s="53"/>
      <c r="AB94" s="53"/>
      <c r="AC94" s="53"/>
      <c r="AD94" s="53"/>
      <c r="AE94" s="53"/>
      <c r="AF94" s="53"/>
      <c r="AG94" s="53"/>
      <c r="AH94" s="53"/>
      <c r="AI94" s="53"/>
      <c r="AJ94" s="53"/>
      <c r="AK94" s="53"/>
      <c r="AL94" s="53"/>
      <c r="AM94" s="53"/>
      <c r="AN94" s="53"/>
      <c r="AO94" s="54"/>
    </row>
    <row r="95" spans="1:41" x14ac:dyDescent="0.25">
      <c r="A95" s="248"/>
      <c r="B95" s="248"/>
      <c r="C95" s="248"/>
      <c r="D95" s="248"/>
      <c r="E95" s="248"/>
      <c r="F95" s="248"/>
      <c r="G95" s="248"/>
      <c r="H95" s="248"/>
      <c r="I95" s="248"/>
      <c r="J95" s="248"/>
      <c r="K95" s="248"/>
      <c r="L95" s="248"/>
      <c r="M95" s="248"/>
      <c r="N95" s="248"/>
      <c r="O95" s="248"/>
      <c r="P95" s="248"/>
      <c r="Q95" s="248"/>
      <c r="R95" s="248"/>
      <c r="S95" s="248"/>
      <c r="T95" s="248"/>
      <c r="U95" s="248"/>
      <c r="V95" s="248"/>
      <c r="W95" s="248"/>
      <c r="X95" s="248"/>
      <c r="Y95" s="248"/>
      <c r="Z95" s="248"/>
      <c r="AA95" s="248"/>
      <c r="AB95" s="248"/>
      <c r="AC95" s="248"/>
      <c r="AD95" s="248"/>
      <c r="AE95" s="248"/>
      <c r="AF95" s="248"/>
      <c r="AG95" s="248"/>
      <c r="AH95" s="248"/>
      <c r="AI95" s="248"/>
      <c r="AJ95" s="248"/>
      <c r="AK95" s="248"/>
      <c r="AL95" s="248"/>
      <c r="AM95" s="248"/>
      <c r="AN95" s="248"/>
      <c r="AO95" s="248"/>
    </row>
    <row r="96" spans="1:41" ht="15.75" thickBot="1" x14ac:dyDescent="0.3">
      <c r="A96" s="248"/>
      <c r="B96" s="248"/>
      <c r="C96" s="248"/>
      <c r="D96" s="248"/>
      <c r="E96" s="248"/>
      <c r="F96" s="248"/>
      <c r="G96" s="248"/>
      <c r="H96" s="248"/>
      <c r="I96" s="248"/>
      <c r="J96" s="248"/>
      <c r="K96" s="248"/>
      <c r="L96" s="248"/>
      <c r="M96" s="248"/>
      <c r="N96" s="248"/>
      <c r="O96" s="248"/>
      <c r="P96" s="248"/>
      <c r="Q96" s="248"/>
      <c r="R96" s="248"/>
      <c r="S96" s="248"/>
      <c r="T96" s="248"/>
      <c r="U96" s="248"/>
      <c r="V96" s="248"/>
      <c r="W96" s="248"/>
      <c r="X96" s="248"/>
      <c r="Y96" s="248"/>
      <c r="Z96" s="248"/>
      <c r="AA96" s="248"/>
      <c r="AB96" s="248"/>
      <c r="AC96" s="248"/>
      <c r="AD96" s="248"/>
      <c r="AE96" s="248"/>
      <c r="AF96" s="248"/>
      <c r="AG96" s="248"/>
      <c r="AH96" s="248"/>
      <c r="AI96" s="248"/>
      <c r="AJ96" s="248"/>
      <c r="AK96" s="248"/>
      <c r="AL96" s="248"/>
      <c r="AM96" s="248"/>
      <c r="AN96" s="248"/>
      <c r="AO96" s="248"/>
    </row>
    <row r="97" spans="1:41" x14ac:dyDescent="0.25">
      <c r="A97" s="242" t="s">
        <v>99</v>
      </c>
      <c r="B97" s="243"/>
      <c r="C97" s="50"/>
      <c r="D97" s="50"/>
      <c r="E97" s="50"/>
      <c r="F97" s="50"/>
      <c r="G97" s="50"/>
      <c r="H97" s="50"/>
      <c r="I97" s="50"/>
      <c r="J97" s="50"/>
      <c r="K97" s="50"/>
      <c r="L97" s="50"/>
      <c r="M97" s="50"/>
      <c r="N97" s="50"/>
      <c r="O97" s="50"/>
      <c r="P97" s="50"/>
      <c r="Q97" s="50"/>
      <c r="R97" s="50"/>
      <c r="S97" s="50"/>
      <c r="T97" s="50"/>
      <c r="U97" s="50"/>
      <c r="V97" s="50"/>
      <c r="W97" s="50"/>
      <c r="X97" s="50"/>
      <c r="Y97" s="50"/>
      <c r="Z97" s="50"/>
      <c r="AA97" s="50"/>
      <c r="AB97" s="50"/>
      <c r="AC97" s="50"/>
      <c r="AD97" s="50"/>
      <c r="AE97" s="50"/>
      <c r="AF97" s="50"/>
      <c r="AG97" s="50"/>
      <c r="AH97" s="50"/>
      <c r="AI97" s="50"/>
      <c r="AJ97" s="50"/>
      <c r="AK97" s="50"/>
      <c r="AL97" s="50"/>
      <c r="AM97" s="50"/>
      <c r="AN97" s="50"/>
      <c r="AO97" s="51"/>
    </row>
    <row r="98" spans="1:41" x14ac:dyDescent="0.25">
      <c r="A98" s="244"/>
      <c r="B98" s="245"/>
      <c r="C98" s="5"/>
      <c r="D98" s="5"/>
      <c r="E98" s="7" t="s">
        <v>26</v>
      </c>
      <c r="F98" s="7" t="s">
        <v>27</v>
      </c>
      <c r="G98" s="7" t="s">
        <v>28</v>
      </c>
      <c r="H98" s="7" t="s">
        <v>29</v>
      </c>
      <c r="I98" s="7" t="s">
        <v>30</v>
      </c>
      <c r="J98" s="7" t="s">
        <v>31</v>
      </c>
      <c r="K98" s="7" t="s">
        <v>32</v>
      </c>
      <c r="L98" s="7" t="s">
        <v>33</v>
      </c>
      <c r="M98" s="7" t="s">
        <v>34</v>
      </c>
      <c r="N98" s="7" t="s">
        <v>35</v>
      </c>
      <c r="O98" s="7" t="s">
        <v>36</v>
      </c>
      <c r="P98" s="7" t="s">
        <v>37</v>
      </c>
      <c r="Q98" s="7" t="s">
        <v>38</v>
      </c>
      <c r="R98" s="7" t="s">
        <v>39</v>
      </c>
      <c r="S98" s="7" t="s">
        <v>40</v>
      </c>
      <c r="T98" s="7" t="s">
        <v>41</v>
      </c>
      <c r="U98" s="7" t="s">
        <v>42</v>
      </c>
      <c r="V98" s="7" t="s">
        <v>43</v>
      </c>
      <c r="W98" s="7" t="s">
        <v>44</v>
      </c>
      <c r="X98" s="7" t="s">
        <v>45</v>
      </c>
      <c r="Y98" s="7" t="s">
        <v>46</v>
      </c>
      <c r="Z98" s="7" t="s">
        <v>47</v>
      </c>
      <c r="AA98" s="7" t="s">
        <v>48</v>
      </c>
      <c r="AB98" s="7" t="s">
        <v>49</v>
      </c>
      <c r="AC98" s="7" t="s">
        <v>50</v>
      </c>
      <c r="AD98" s="7" t="s">
        <v>51</v>
      </c>
      <c r="AE98" s="7" t="s">
        <v>52</v>
      </c>
      <c r="AF98" s="7" t="s">
        <v>53</v>
      </c>
      <c r="AG98" s="7" t="s">
        <v>54</v>
      </c>
      <c r="AH98" s="7" t="s">
        <v>55</v>
      </c>
      <c r="AI98" s="7" t="s">
        <v>56</v>
      </c>
      <c r="AJ98" s="7" t="s">
        <v>57</v>
      </c>
      <c r="AK98" s="7" t="s">
        <v>58</v>
      </c>
      <c r="AL98" s="7" t="s">
        <v>59</v>
      </c>
      <c r="AM98" s="7" t="s">
        <v>60</v>
      </c>
      <c r="AN98" s="7" t="s">
        <v>61</v>
      </c>
      <c r="AO98" s="52"/>
    </row>
    <row r="99" spans="1:41" ht="15.75" thickBot="1" x14ac:dyDescent="0.3">
      <c r="A99" s="244"/>
      <c r="B99" s="245"/>
      <c r="C99" s="5"/>
      <c r="D99" s="5"/>
      <c r="E99" s="8" t="s">
        <v>62</v>
      </c>
      <c r="F99" s="8" t="s">
        <v>63</v>
      </c>
      <c r="G99" s="8" t="s">
        <v>64</v>
      </c>
      <c r="H99" s="8" t="s">
        <v>65</v>
      </c>
      <c r="I99" s="8" t="s">
        <v>66</v>
      </c>
      <c r="J99" s="8" t="s">
        <v>67</v>
      </c>
      <c r="K99" s="8" t="s">
        <v>68</v>
      </c>
      <c r="L99" s="8" t="s">
        <v>69</v>
      </c>
      <c r="M99" s="8" t="s">
        <v>70</v>
      </c>
      <c r="N99" s="8" t="s">
        <v>71</v>
      </c>
      <c r="O99" s="8" t="s">
        <v>72</v>
      </c>
      <c r="P99" s="8" t="s">
        <v>73</v>
      </c>
      <c r="Q99" s="8" t="s">
        <v>62</v>
      </c>
      <c r="R99" s="8" t="s">
        <v>63</v>
      </c>
      <c r="S99" s="8" t="s">
        <v>64</v>
      </c>
      <c r="T99" s="8" t="s">
        <v>65</v>
      </c>
      <c r="U99" s="8" t="s">
        <v>66</v>
      </c>
      <c r="V99" s="8" t="s">
        <v>67</v>
      </c>
      <c r="W99" s="8" t="s">
        <v>68</v>
      </c>
      <c r="X99" s="8" t="s">
        <v>69</v>
      </c>
      <c r="Y99" s="8" t="s">
        <v>70</v>
      </c>
      <c r="Z99" s="8" t="s">
        <v>71</v>
      </c>
      <c r="AA99" s="8" t="s">
        <v>72</v>
      </c>
      <c r="AB99" s="8" t="s">
        <v>73</v>
      </c>
      <c r="AC99" s="8"/>
      <c r="AD99" s="8"/>
      <c r="AE99" s="8"/>
      <c r="AF99" s="8"/>
      <c r="AG99" s="8"/>
      <c r="AH99" s="8"/>
      <c r="AI99" s="8"/>
      <c r="AJ99" s="8"/>
      <c r="AK99" s="8"/>
      <c r="AL99" s="8"/>
      <c r="AM99" s="8"/>
      <c r="AN99" s="8"/>
      <c r="AO99" s="52"/>
    </row>
    <row r="100" spans="1:41" x14ac:dyDescent="0.25">
      <c r="A100" s="244"/>
      <c r="B100" s="245"/>
      <c r="C100" s="5"/>
      <c r="D100" s="20" t="s">
        <v>0</v>
      </c>
      <c r="E100" s="4" t="s">
        <v>1</v>
      </c>
      <c r="F100" s="3" t="s">
        <v>2</v>
      </c>
      <c r="G100" s="3" t="s">
        <v>3</v>
      </c>
      <c r="H100" s="3" t="s">
        <v>4</v>
      </c>
      <c r="I100" s="3" t="s">
        <v>5</v>
      </c>
      <c r="J100" s="3" t="s">
        <v>6</v>
      </c>
      <c r="K100" s="3" t="s">
        <v>7</v>
      </c>
      <c r="L100" s="3" t="s">
        <v>8</v>
      </c>
      <c r="M100" s="3" t="s">
        <v>9</v>
      </c>
      <c r="N100" s="3" t="s">
        <v>10</v>
      </c>
      <c r="O100" s="3" t="s">
        <v>11</v>
      </c>
      <c r="P100" s="28" t="s">
        <v>12</v>
      </c>
      <c r="Q100" s="4" t="s">
        <v>14</v>
      </c>
      <c r="R100" s="3" t="s">
        <v>15</v>
      </c>
      <c r="S100" s="3" t="s">
        <v>16</v>
      </c>
      <c r="T100" s="3" t="s">
        <v>17</v>
      </c>
      <c r="U100" s="3" t="s">
        <v>18</v>
      </c>
      <c r="V100" s="3" t="s">
        <v>19</v>
      </c>
      <c r="W100" s="3" t="s">
        <v>20</v>
      </c>
      <c r="X100" s="3" t="s">
        <v>21</v>
      </c>
      <c r="Y100" s="3" t="s">
        <v>22</v>
      </c>
      <c r="Z100" s="3" t="s">
        <v>23</v>
      </c>
      <c r="AA100" s="3" t="s">
        <v>24</v>
      </c>
      <c r="AB100" s="28" t="s">
        <v>25</v>
      </c>
      <c r="AC100" s="17" t="s">
        <v>74</v>
      </c>
      <c r="AD100" s="18" t="s">
        <v>75</v>
      </c>
      <c r="AE100" s="18" t="s">
        <v>76</v>
      </c>
      <c r="AF100" s="18" t="s">
        <v>77</v>
      </c>
      <c r="AG100" s="18" t="s">
        <v>78</v>
      </c>
      <c r="AH100" s="18" t="s">
        <v>79</v>
      </c>
      <c r="AI100" s="18" t="s">
        <v>80</v>
      </c>
      <c r="AJ100" s="18" t="s">
        <v>81</v>
      </c>
      <c r="AK100" s="18" t="s">
        <v>82</v>
      </c>
      <c r="AL100" s="18" t="s">
        <v>83</v>
      </c>
      <c r="AM100" s="18" t="s">
        <v>84</v>
      </c>
      <c r="AN100" s="19" t="s">
        <v>85</v>
      </c>
      <c r="AO100" s="52"/>
    </row>
    <row r="101" spans="1:41" ht="15.75" thickBot="1" x14ac:dyDescent="0.3">
      <c r="A101" s="244"/>
      <c r="B101" s="245"/>
      <c r="C101" s="5"/>
      <c r="D101" s="21"/>
      <c r="E101" s="12">
        <v>37</v>
      </c>
      <c r="F101" s="6">
        <v>46</v>
      </c>
      <c r="G101" s="6">
        <v>65</v>
      </c>
      <c r="H101" s="6">
        <v>76</v>
      </c>
      <c r="I101" s="6">
        <v>95</v>
      </c>
      <c r="J101" s="6">
        <v>104</v>
      </c>
      <c r="K101" s="6">
        <v>102</v>
      </c>
      <c r="L101" s="6">
        <v>100</v>
      </c>
      <c r="M101" s="6">
        <v>104</v>
      </c>
      <c r="N101" s="6">
        <v>102</v>
      </c>
      <c r="O101" s="6">
        <v>86</v>
      </c>
      <c r="P101" s="29">
        <v>82</v>
      </c>
      <c r="Q101" s="12">
        <v>74</v>
      </c>
      <c r="R101" s="6">
        <v>80</v>
      </c>
      <c r="S101" s="6">
        <v>93</v>
      </c>
      <c r="T101" s="6">
        <v>127</v>
      </c>
      <c r="U101" s="6">
        <v>147</v>
      </c>
      <c r="V101" s="6">
        <v>175</v>
      </c>
      <c r="W101" s="6">
        <v>158</v>
      </c>
      <c r="X101" s="6">
        <v>156</v>
      </c>
      <c r="Y101" s="6">
        <v>154</v>
      </c>
      <c r="Z101" s="6">
        <v>138</v>
      </c>
      <c r="AA101" s="6">
        <v>125</v>
      </c>
      <c r="AB101" s="29">
        <v>114</v>
      </c>
      <c r="AC101" s="13"/>
      <c r="AD101" s="7"/>
      <c r="AE101" s="7"/>
      <c r="AF101" s="7"/>
      <c r="AG101" s="7"/>
      <c r="AH101" s="7"/>
      <c r="AI101" s="7"/>
      <c r="AJ101" s="7"/>
      <c r="AK101" s="7"/>
      <c r="AL101" s="7"/>
      <c r="AM101" s="7"/>
      <c r="AN101" s="9"/>
      <c r="AO101" s="52"/>
    </row>
    <row r="102" spans="1:41" ht="15.75" thickBot="1" x14ac:dyDescent="0.3">
      <c r="A102" s="244"/>
      <c r="B102" s="245"/>
      <c r="C102" s="49" t="s">
        <v>91</v>
      </c>
      <c r="D102" s="22" t="s">
        <v>86</v>
      </c>
      <c r="E102" s="33"/>
      <c r="F102" s="32"/>
      <c r="G102" s="32"/>
      <c r="H102" s="32"/>
      <c r="I102" s="32"/>
      <c r="J102" s="32"/>
      <c r="K102" s="44">
        <v>83.25</v>
      </c>
      <c r="L102" s="44">
        <v>85.833333333333329</v>
      </c>
      <c r="M102" s="44">
        <v>87.625</v>
      </c>
      <c r="N102" s="44">
        <v>90.458333333333329</v>
      </c>
      <c r="O102" s="44">
        <v>93.958333333333329</v>
      </c>
      <c r="P102" s="48">
        <v>98.708333333333329</v>
      </c>
      <c r="Q102" s="46">
        <v>107.55208333333333</v>
      </c>
      <c r="R102" s="44">
        <v>112.4097222222222</v>
      </c>
      <c r="S102" s="44">
        <v>116.734375</v>
      </c>
      <c r="T102" s="44">
        <v>120.5190972222222</v>
      </c>
      <c r="U102" s="44">
        <v>124.4565972222222</v>
      </c>
      <c r="V102" s="44">
        <v>127.77951388888887</v>
      </c>
      <c r="W102" s="32"/>
      <c r="X102" s="32"/>
      <c r="Y102" s="7"/>
      <c r="Z102" s="32"/>
      <c r="AA102" s="32"/>
      <c r="AB102" s="34"/>
      <c r="AC102" s="33"/>
      <c r="AD102" s="32"/>
      <c r="AE102" s="32"/>
      <c r="AF102" s="32"/>
      <c r="AG102" s="32"/>
      <c r="AH102" s="7"/>
      <c r="AI102" s="32"/>
      <c r="AJ102" s="32"/>
      <c r="AK102" s="32"/>
      <c r="AL102" s="32"/>
      <c r="AM102" s="32"/>
      <c r="AN102" s="42"/>
      <c r="AO102" s="52"/>
    </row>
    <row r="103" spans="1:41" ht="15.75" thickBot="1" x14ac:dyDescent="0.3">
      <c r="A103" s="244"/>
      <c r="B103" s="245"/>
      <c r="C103" s="49">
        <v>4.4417</v>
      </c>
      <c r="D103" s="22" t="s">
        <v>87</v>
      </c>
      <c r="E103" s="37">
        <v>0.69</v>
      </c>
      <c r="F103" s="36">
        <v>0.71</v>
      </c>
      <c r="G103" s="36">
        <v>0.8</v>
      </c>
      <c r="H103" s="36">
        <v>1.05</v>
      </c>
      <c r="I103" s="36">
        <v>1.18</v>
      </c>
      <c r="J103" s="36">
        <v>1.37</v>
      </c>
      <c r="K103" s="32">
        <v>1.23</v>
      </c>
      <c r="L103" s="32">
        <v>1.17</v>
      </c>
      <c r="M103" s="32">
        <v>1.19</v>
      </c>
      <c r="N103" s="32">
        <v>1.1299999999999999</v>
      </c>
      <c r="O103" s="32">
        <v>0.92</v>
      </c>
      <c r="P103" s="34">
        <v>0.83</v>
      </c>
      <c r="Q103" s="33">
        <v>0.69</v>
      </c>
      <c r="R103" s="32">
        <v>0.71</v>
      </c>
      <c r="S103" s="32">
        <v>0.8</v>
      </c>
      <c r="T103" s="32">
        <v>1.05</v>
      </c>
      <c r="U103" s="32">
        <v>1.18</v>
      </c>
      <c r="V103" s="32">
        <v>1.37</v>
      </c>
      <c r="W103" s="36">
        <v>1.23</v>
      </c>
      <c r="X103" s="36">
        <v>1.17</v>
      </c>
      <c r="Y103" s="36">
        <v>1.19</v>
      </c>
      <c r="Z103" s="36">
        <v>1.1299999999999999</v>
      </c>
      <c r="AA103" s="36">
        <v>0.92</v>
      </c>
      <c r="AB103" s="35">
        <v>0.83</v>
      </c>
      <c r="AC103" s="33">
        <v>0.69</v>
      </c>
      <c r="AD103" s="7">
        <v>0.71</v>
      </c>
      <c r="AE103" s="32">
        <v>0.8</v>
      </c>
      <c r="AF103" s="32">
        <v>1.05</v>
      </c>
      <c r="AG103" s="32">
        <v>1.18</v>
      </c>
      <c r="AH103" s="32">
        <v>1.37</v>
      </c>
      <c r="AI103" s="32">
        <v>1.23</v>
      </c>
      <c r="AJ103" s="32">
        <v>1.17</v>
      </c>
      <c r="AK103" s="32">
        <v>1.19</v>
      </c>
      <c r="AL103" s="7">
        <v>1.1299999999999999</v>
      </c>
      <c r="AM103" s="32">
        <v>0.92</v>
      </c>
      <c r="AN103" s="9">
        <v>0.83</v>
      </c>
      <c r="AO103" s="52"/>
    </row>
    <row r="104" spans="1:41" x14ac:dyDescent="0.25">
      <c r="A104" s="244"/>
      <c r="B104" s="245"/>
      <c r="C104" s="5"/>
      <c r="D104" s="22" t="s">
        <v>88</v>
      </c>
      <c r="E104" s="46">
        <v>56.599800000000016</v>
      </c>
      <c r="F104" s="44">
        <v>61.041500000000013</v>
      </c>
      <c r="G104" s="44">
        <v>65.483200000000011</v>
      </c>
      <c r="H104" s="44">
        <v>69.924900000000008</v>
      </c>
      <c r="I104" s="44">
        <v>74.366600000000005</v>
      </c>
      <c r="J104" s="44">
        <v>78.808300000000003</v>
      </c>
      <c r="K104" s="44">
        <v>83.25</v>
      </c>
      <c r="L104" s="44">
        <v>85.833333333333329</v>
      </c>
      <c r="M104" s="44">
        <v>87.625</v>
      </c>
      <c r="N104" s="44">
        <v>90.458333333333329</v>
      </c>
      <c r="O104" s="44">
        <v>93.958333333333329</v>
      </c>
      <c r="P104" s="48">
        <v>98.708333333333329</v>
      </c>
      <c r="Q104" s="46">
        <v>107.55208333333333</v>
      </c>
      <c r="R104" s="44">
        <v>112.4097222222222</v>
      </c>
      <c r="S104" s="44">
        <v>116.734375</v>
      </c>
      <c r="T104" s="44">
        <v>120.5190972222222</v>
      </c>
      <c r="U104" s="44">
        <v>124.4565972222222</v>
      </c>
      <c r="V104" s="44">
        <v>127.77951388888887</v>
      </c>
      <c r="W104" s="44">
        <v>132.22121388888888</v>
      </c>
      <c r="X104" s="44">
        <v>136.66291388888888</v>
      </c>
      <c r="Y104" s="44">
        <v>141.10461388888888</v>
      </c>
      <c r="Z104" s="44">
        <v>145.54631388888887</v>
      </c>
      <c r="AA104" s="44">
        <v>149.98801388888887</v>
      </c>
      <c r="AB104" s="48">
        <v>154.42971388888887</v>
      </c>
      <c r="AC104" s="46">
        <v>158.87141388888887</v>
      </c>
      <c r="AD104" s="44">
        <v>163.31311388888886</v>
      </c>
      <c r="AE104" s="44">
        <v>167.75481388888886</v>
      </c>
      <c r="AF104" s="44">
        <v>172.19651388888886</v>
      </c>
      <c r="AG104" s="44">
        <v>176.63821388888886</v>
      </c>
      <c r="AH104" s="44">
        <v>181.07991388888885</v>
      </c>
      <c r="AI104" s="44">
        <v>185.52161388888885</v>
      </c>
      <c r="AJ104" s="44">
        <v>189.96331388888885</v>
      </c>
      <c r="AK104" s="44">
        <v>194.40501388888885</v>
      </c>
      <c r="AL104" s="44">
        <v>198.84671388888884</v>
      </c>
      <c r="AM104" s="44">
        <v>203.28841388888884</v>
      </c>
      <c r="AN104" s="45">
        <v>207.73011388888884</v>
      </c>
      <c r="AO104" s="52"/>
    </row>
    <row r="105" spans="1:41" x14ac:dyDescent="0.25">
      <c r="A105" s="244"/>
      <c r="B105" s="245"/>
      <c r="C105" s="5"/>
      <c r="D105" s="22" t="s">
        <v>89</v>
      </c>
      <c r="E105" s="33">
        <v>39.053862000000009</v>
      </c>
      <c r="F105" s="32">
        <v>43.339465000000004</v>
      </c>
      <c r="G105" s="32">
        <v>52.38656000000001</v>
      </c>
      <c r="H105" s="32">
        <v>73.42114500000001</v>
      </c>
      <c r="I105" s="32">
        <v>87.752588000000003</v>
      </c>
      <c r="J105" s="32">
        <v>107.96737100000001</v>
      </c>
      <c r="K105" s="32">
        <v>102.39749999999999</v>
      </c>
      <c r="L105" s="32">
        <v>100.42499999999998</v>
      </c>
      <c r="M105" s="32">
        <v>104.27374999999999</v>
      </c>
      <c r="N105" s="32">
        <v>102.21791666666665</v>
      </c>
      <c r="O105" s="32">
        <v>86.441666666666663</v>
      </c>
      <c r="P105" s="34">
        <v>81.927916666666661</v>
      </c>
      <c r="Q105" s="33">
        <v>74.210937499999986</v>
      </c>
      <c r="R105" s="32">
        <v>79.810902777777756</v>
      </c>
      <c r="S105" s="32">
        <v>93.387500000000003</v>
      </c>
      <c r="T105" s="32">
        <v>126.54505208333332</v>
      </c>
      <c r="U105" s="32">
        <v>146.8587847222222</v>
      </c>
      <c r="V105" s="32">
        <v>175.05793402777778</v>
      </c>
      <c r="W105" s="32">
        <v>162.63209308333333</v>
      </c>
      <c r="X105" s="32">
        <v>159.89560924999998</v>
      </c>
      <c r="Y105" s="32">
        <v>167.91449052777776</v>
      </c>
      <c r="Z105" s="32">
        <v>164.46733469444442</v>
      </c>
      <c r="AA105" s="32">
        <v>137.98897277777778</v>
      </c>
      <c r="AB105" s="34">
        <v>128.17666252777775</v>
      </c>
      <c r="AC105" s="33">
        <v>109.62127558333331</v>
      </c>
      <c r="AD105" s="32">
        <v>115.95231086111109</v>
      </c>
      <c r="AE105" s="32">
        <v>134.20385111111111</v>
      </c>
      <c r="AF105" s="32">
        <v>180.80633958333331</v>
      </c>
      <c r="AG105" s="32">
        <v>208.43309238888884</v>
      </c>
      <c r="AH105" s="32">
        <v>248.07948202777774</v>
      </c>
      <c r="AI105" s="32">
        <v>228.19158508333328</v>
      </c>
      <c r="AJ105" s="32">
        <v>222.25707724999995</v>
      </c>
      <c r="AK105" s="32">
        <v>231.34196652777771</v>
      </c>
      <c r="AL105" s="32">
        <v>224.69678669444437</v>
      </c>
      <c r="AM105" s="32">
        <v>187.02534077777773</v>
      </c>
      <c r="AN105" s="42">
        <v>172.41599452777771</v>
      </c>
      <c r="AO105" s="52"/>
    </row>
    <row r="106" spans="1:41" ht="15.75" thickBot="1" x14ac:dyDescent="0.3">
      <c r="A106" s="244"/>
      <c r="B106" s="245"/>
      <c r="C106" s="5"/>
      <c r="D106" s="23" t="s">
        <v>90</v>
      </c>
      <c r="E106" s="26">
        <v>5.5509783783784038E-2</v>
      </c>
      <c r="F106" s="27">
        <v>-5.7837717391304257E-2</v>
      </c>
      <c r="G106" s="27">
        <v>-0.19405292307692293</v>
      </c>
      <c r="H106" s="27">
        <v>-3.3932302631578815E-2</v>
      </c>
      <c r="I106" s="27">
        <v>-7.6288547368421028E-2</v>
      </c>
      <c r="J106" s="27">
        <v>3.8147798076923214E-2</v>
      </c>
      <c r="K106" s="27">
        <v>3.8970588235293503E-3</v>
      </c>
      <c r="L106" s="27">
        <v>4.2499999999998294E-3</v>
      </c>
      <c r="M106" s="27">
        <v>2.6322115384614674E-3</v>
      </c>
      <c r="N106" s="27">
        <v>2.1364379084966001E-3</v>
      </c>
      <c r="O106" s="27">
        <v>5.1356589147286379E-3</v>
      </c>
      <c r="P106" s="31">
        <v>-8.7906504065047349E-4</v>
      </c>
      <c r="Q106" s="26">
        <v>2.8505067567565646E-3</v>
      </c>
      <c r="R106" s="27">
        <v>-2.3637152777780555E-3</v>
      </c>
      <c r="S106" s="27">
        <v>4.166666666666697E-3</v>
      </c>
      <c r="T106" s="27">
        <v>-3.5822670603675808E-3</v>
      </c>
      <c r="U106" s="27">
        <v>-9.6064814814832177E-4</v>
      </c>
      <c r="V106" s="27">
        <v>3.3105158730157717E-4</v>
      </c>
      <c r="W106" s="27">
        <v>2.9317044831223611E-2</v>
      </c>
      <c r="X106" s="27">
        <v>2.4971854166666529E-2</v>
      </c>
      <c r="Y106" s="27">
        <v>9.035383459595947E-2</v>
      </c>
      <c r="Z106" s="27">
        <v>0.19179228039452476</v>
      </c>
      <c r="AA106" s="27">
        <v>0.10391178222222221</v>
      </c>
      <c r="AB106" s="31">
        <v>0.1243566888401557</v>
      </c>
      <c r="AC106" s="14"/>
      <c r="AD106" s="10"/>
      <c r="AE106" s="10"/>
      <c r="AF106" s="10"/>
      <c r="AG106" s="10"/>
      <c r="AH106" s="10"/>
      <c r="AI106" s="10"/>
      <c r="AJ106" s="10"/>
      <c r="AK106" s="10"/>
      <c r="AL106" s="10"/>
      <c r="AM106" s="10"/>
      <c r="AN106" s="11"/>
      <c r="AO106" s="52"/>
    </row>
    <row r="107" spans="1:41" ht="15.75" thickBot="1" x14ac:dyDescent="0.3">
      <c r="A107" s="246"/>
      <c r="B107" s="247"/>
      <c r="C107" s="53"/>
      <c r="D107" s="53"/>
      <c r="E107" s="53"/>
      <c r="F107" s="53"/>
      <c r="G107" s="53"/>
      <c r="H107" s="53"/>
      <c r="I107" s="53"/>
      <c r="J107" s="53"/>
      <c r="K107" s="53"/>
      <c r="L107" s="53"/>
      <c r="M107" s="53"/>
      <c r="N107" s="53"/>
      <c r="O107" s="53"/>
      <c r="P107" s="53"/>
      <c r="Q107" s="53"/>
      <c r="R107" s="53"/>
      <c r="S107" s="53"/>
      <c r="T107" s="53"/>
      <c r="U107" s="53"/>
      <c r="V107" s="53"/>
      <c r="W107" s="53"/>
      <c r="X107" s="53"/>
      <c r="Y107" s="53"/>
      <c r="Z107" s="53"/>
      <c r="AA107" s="53"/>
      <c r="AB107" s="53"/>
      <c r="AC107" s="53"/>
      <c r="AD107" s="53"/>
      <c r="AE107" s="53"/>
      <c r="AF107" s="53"/>
      <c r="AG107" s="53"/>
      <c r="AH107" s="53"/>
      <c r="AI107" s="53"/>
      <c r="AJ107" s="53"/>
      <c r="AK107" s="53"/>
      <c r="AL107" s="53"/>
      <c r="AM107" s="53"/>
      <c r="AN107" s="53"/>
      <c r="AO107" s="54"/>
    </row>
    <row r="108" spans="1:41" x14ac:dyDescent="0.25">
      <c r="A108" s="248"/>
      <c r="B108" s="248"/>
      <c r="C108" s="248"/>
      <c r="D108" s="248"/>
      <c r="E108" s="248"/>
      <c r="F108" s="248"/>
      <c r="G108" s="248"/>
      <c r="H108" s="248"/>
      <c r="I108" s="248"/>
      <c r="J108" s="248"/>
      <c r="K108" s="248"/>
      <c r="L108" s="248"/>
      <c r="M108" s="248"/>
      <c r="N108" s="248"/>
      <c r="O108" s="248"/>
      <c r="P108" s="248"/>
      <c r="Q108" s="248"/>
      <c r="R108" s="248"/>
      <c r="S108" s="248"/>
      <c r="T108" s="248"/>
      <c r="U108" s="248"/>
      <c r="V108" s="248"/>
      <c r="W108" s="248"/>
      <c r="X108" s="248"/>
      <c r="Y108" s="248"/>
      <c r="Z108" s="248"/>
      <c r="AA108" s="248"/>
      <c r="AB108" s="248"/>
      <c r="AC108" s="248"/>
      <c r="AD108" s="248"/>
      <c r="AE108" s="248"/>
      <c r="AF108" s="248"/>
      <c r="AG108" s="248"/>
      <c r="AH108" s="248"/>
      <c r="AI108" s="248"/>
      <c r="AJ108" s="248"/>
      <c r="AK108" s="248"/>
      <c r="AL108" s="248"/>
      <c r="AM108" s="248"/>
      <c r="AN108" s="248"/>
      <c r="AO108" s="248"/>
    </row>
    <row r="109" spans="1:41" ht="15.75" thickBot="1" x14ac:dyDescent="0.3">
      <c r="A109" s="248"/>
      <c r="B109" s="248"/>
      <c r="C109" s="248"/>
      <c r="D109" s="248"/>
      <c r="E109" s="248"/>
      <c r="F109" s="248"/>
      <c r="G109" s="248"/>
      <c r="H109" s="248"/>
      <c r="I109" s="248"/>
      <c r="J109" s="248"/>
      <c r="K109" s="248"/>
      <c r="L109" s="248"/>
      <c r="M109" s="248"/>
      <c r="N109" s="248"/>
      <c r="O109" s="248"/>
      <c r="P109" s="248"/>
      <c r="Q109" s="248"/>
      <c r="R109" s="248"/>
      <c r="S109" s="248"/>
      <c r="T109" s="248"/>
      <c r="U109" s="248"/>
      <c r="V109" s="248"/>
      <c r="W109" s="248"/>
      <c r="X109" s="248"/>
      <c r="Y109" s="248"/>
      <c r="Z109" s="248"/>
      <c r="AA109" s="248"/>
      <c r="AB109" s="248"/>
      <c r="AC109" s="248"/>
      <c r="AD109" s="248"/>
      <c r="AE109" s="248"/>
      <c r="AF109" s="248"/>
      <c r="AG109" s="248"/>
      <c r="AH109" s="248"/>
      <c r="AI109" s="248"/>
      <c r="AJ109" s="248"/>
      <c r="AK109" s="248"/>
      <c r="AL109" s="248"/>
      <c r="AM109" s="248"/>
      <c r="AN109" s="248"/>
      <c r="AO109" s="248"/>
    </row>
    <row r="110" spans="1:41" x14ac:dyDescent="0.25">
      <c r="A110" s="242" t="s">
        <v>100</v>
      </c>
      <c r="B110" s="243"/>
      <c r="C110" s="50"/>
      <c r="D110" s="50"/>
      <c r="E110" s="50"/>
      <c r="F110" s="50"/>
      <c r="G110" s="50"/>
      <c r="H110" s="50"/>
      <c r="I110" s="50"/>
      <c r="J110" s="50"/>
      <c r="K110" s="50"/>
      <c r="L110" s="50"/>
      <c r="M110" s="50"/>
      <c r="N110" s="50"/>
      <c r="O110" s="50"/>
      <c r="P110" s="50"/>
      <c r="Q110" s="50"/>
      <c r="R110" s="50"/>
      <c r="S110" s="50"/>
      <c r="T110" s="50"/>
      <c r="U110" s="50"/>
      <c r="V110" s="50"/>
      <c r="W110" s="50"/>
      <c r="X110" s="50"/>
      <c r="Y110" s="50"/>
      <c r="Z110" s="50"/>
      <c r="AA110" s="50"/>
      <c r="AB110" s="50"/>
      <c r="AC110" s="50"/>
      <c r="AD110" s="50"/>
      <c r="AE110" s="50"/>
      <c r="AF110" s="50"/>
      <c r="AG110" s="50"/>
      <c r="AH110" s="50"/>
      <c r="AI110" s="50"/>
      <c r="AJ110" s="50"/>
      <c r="AK110" s="50"/>
      <c r="AL110" s="50"/>
      <c r="AM110" s="50"/>
      <c r="AN110" s="50"/>
      <c r="AO110" s="51"/>
    </row>
    <row r="111" spans="1:41" x14ac:dyDescent="0.25">
      <c r="A111" s="244"/>
      <c r="B111" s="245"/>
      <c r="C111" s="5"/>
      <c r="D111" s="5"/>
      <c r="E111" s="7" t="s">
        <v>26</v>
      </c>
      <c r="F111" s="7" t="s">
        <v>27</v>
      </c>
      <c r="G111" s="7" t="s">
        <v>28</v>
      </c>
      <c r="H111" s="7" t="s">
        <v>29</v>
      </c>
      <c r="I111" s="7" t="s">
        <v>30</v>
      </c>
      <c r="J111" s="7" t="s">
        <v>31</v>
      </c>
      <c r="K111" s="7" t="s">
        <v>32</v>
      </c>
      <c r="L111" s="7" t="s">
        <v>33</v>
      </c>
      <c r="M111" s="7" t="s">
        <v>34</v>
      </c>
      <c r="N111" s="7" t="s">
        <v>35</v>
      </c>
      <c r="O111" s="7" t="s">
        <v>36</v>
      </c>
      <c r="P111" s="7" t="s">
        <v>37</v>
      </c>
      <c r="Q111" s="7" t="s">
        <v>38</v>
      </c>
      <c r="R111" s="7" t="s">
        <v>39</v>
      </c>
      <c r="S111" s="7" t="s">
        <v>40</v>
      </c>
      <c r="T111" s="7" t="s">
        <v>41</v>
      </c>
      <c r="U111" s="7" t="s">
        <v>42</v>
      </c>
      <c r="V111" s="7" t="s">
        <v>43</v>
      </c>
      <c r="W111" s="7" t="s">
        <v>44</v>
      </c>
      <c r="X111" s="7" t="s">
        <v>45</v>
      </c>
      <c r="Y111" s="7" t="s">
        <v>46</v>
      </c>
      <c r="Z111" s="7" t="s">
        <v>47</v>
      </c>
      <c r="AA111" s="7" t="s">
        <v>48</v>
      </c>
      <c r="AB111" s="7" t="s">
        <v>49</v>
      </c>
      <c r="AC111" s="7" t="s">
        <v>50</v>
      </c>
      <c r="AD111" s="7" t="s">
        <v>51</v>
      </c>
      <c r="AE111" s="7" t="s">
        <v>52</v>
      </c>
      <c r="AF111" s="7" t="s">
        <v>53</v>
      </c>
      <c r="AG111" s="7" t="s">
        <v>54</v>
      </c>
      <c r="AH111" s="7" t="s">
        <v>55</v>
      </c>
      <c r="AI111" s="7" t="s">
        <v>56</v>
      </c>
      <c r="AJ111" s="7" t="s">
        <v>57</v>
      </c>
      <c r="AK111" s="7" t="s">
        <v>58</v>
      </c>
      <c r="AL111" s="7" t="s">
        <v>59</v>
      </c>
      <c r="AM111" s="7" t="s">
        <v>60</v>
      </c>
      <c r="AN111" s="7" t="s">
        <v>61</v>
      </c>
      <c r="AO111" s="52"/>
    </row>
    <row r="112" spans="1:41" ht="15.75" thickBot="1" x14ac:dyDescent="0.3">
      <c r="A112" s="244"/>
      <c r="B112" s="245"/>
      <c r="C112" s="5"/>
      <c r="D112" s="5"/>
      <c r="E112" s="8" t="s">
        <v>62</v>
      </c>
      <c r="F112" s="8" t="s">
        <v>63</v>
      </c>
      <c r="G112" s="8" t="s">
        <v>64</v>
      </c>
      <c r="H112" s="8" t="s">
        <v>65</v>
      </c>
      <c r="I112" s="8" t="s">
        <v>66</v>
      </c>
      <c r="J112" s="8" t="s">
        <v>67</v>
      </c>
      <c r="K112" s="8" t="s">
        <v>68</v>
      </c>
      <c r="L112" s="8" t="s">
        <v>69</v>
      </c>
      <c r="M112" s="8" t="s">
        <v>70</v>
      </c>
      <c r="N112" s="8" t="s">
        <v>71</v>
      </c>
      <c r="O112" s="8" t="s">
        <v>72</v>
      </c>
      <c r="P112" s="8" t="s">
        <v>73</v>
      </c>
      <c r="Q112" s="8" t="s">
        <v>62</v>
      </c>
      <c r="R112" s="8" t="s">
        <v>63</v>
      </c>
      <c r="S112" s="8" t="s">
        <v>64</v>
      </c>
      <c r="T112" s="8" t="s">
        <v>65</v>
      </c>
      <c r="U112" s="8" t="s">
        <v>66</v>
      </c>
      <c r="V112" s="8" t="s">
        <v>67</v>
      </c>
      <c r="W112" s="8" t="s">
        <v>68</v>
      </c>
      <c r="X112" s="8" t="s">
        <v>69</v>
      </c>
      <c r="Y112" s="8" t="s">
        <v>70</v>
      </c>
      <c r="Z112" s="8" t="s">
        <v>71</v>
      </c>
      <c r="AA112" s="8" t="s">
        <v>72</v>
      </c>
      <c r="AB112" s="8" t="s">
        <v>73</v>
      </c>
      <c r="AC112" s="8"/>
      <c r="AD112" s="8"/>
      <c r="AE112" s="8"/>
      <c r="AF112" s="8"/>
      <c r="AG112" s="8"/>
      <c r="AH112" s="8"/>
      <c r="AI112" s="8"/>
      <c r="AJ112" s="8"/>
      <c r="AK112" s="8"/>
      <c r="AL112" s="8"/>
      <c r="AM112" s="8"/>
      <c r="AN112" s="8"/>
      <c r="AO112" s="52"/>
    </row>
    <row r="113" spans="1:41" x14ac:dyDescent="0.25">
      <c r="A113" s="244"/>
      <c r="B113" s="245"/>
      <c r="C113" s="5"/>
      <c r="D113" s="20" t="s">
        <v>0</v>
      </c>
      <c r="E113" s="4" t="s">
        <v>1</v>
      </c>
      <c r="F113" s="3" t="s">
        <v>2</v>
      </c>
      <c r="G113" s="3" t="s">
        <v>3</v>
      </c>
      <c r="H113" s="3" t="s">
        <v>4</v>
      </c>
      <c r="I113" s="3" t="s">
        <v>5</v>
      </c>
      <c r="J113" s="3" t="s">
        <v>6</v>
      </c>
      <c r="K113" s="3" t="s">
        <v>7</v>
      </c>
      <c r="L113" s="3" t="s">
        <v>8</v>
      </c>
      <c r="M113" s="3" t="s">
        <v>9</v>
      </c>
      <c r="N113" s="3" t="s">
        <v>10</v>
      </c>
      <c r="O113" s="3" t="s">
        <v>11</v>
      </c>
      <c r="P113" s="28" t="s">
        <v>12</v>
      </c>
      <c r="Q113" s="4" t="s">
        <v>14</v>
      </c>
      <c r="R113" s="3" t="s">
        <v>15</v>
      </c>
      <c r="S113" s="3" t="s">
        <v>16</v>
      </c>
      <c r="T113" s="3" t="s">
        <v>17</v>
      </c>
      <c r="U113" s="3" t="s">
        <v>18</v>
      </c>
      <c r="V113" s="3" t="s">
        <v>19</v>
      </c>
      <c r="W113" s="3" t="s">
        <v>20</v>
      </c>
      <c r="X113" s="3" t="s">
        <v>21</v>
      </c>
      <c r="Y113" s="3" t="s">
        <v>22</v>
      </c>
      <c r="Z113" s="3" t="s">
        <v>23</v>
      </c>
      <c r="AA113" s="3" t="s">
        <v>24</v>
      </c>
      <c r="AB113" s="28" t="s">
        <v>25</v>
      </c>
      <c r="AC113" s="17" t="s">
        <v>74</v>
      </c>
      <c r="AD113" s="18" t="s">
        <v>75</v>
      </c>
      <c r="AE113" s="18" t="s">
        <v>76</v>
      </c>
      <c r="AF113" s="18" t="s">
        <v>77</v>
      </c>
      <c r="AG113" s="18" t="s">
        <v>78</v>
      </c>
      <c r="AH113" s="18" t="s">
        <v>79</v>
      </c>
      <c r="AI113" s="18" t="s">
        <v>80</v>
      </c>
      <c r="AJ113" s="18" t="s">
        <v>81</v>
      </c>
      <c r="AK113" s="18" t="s">
        <v>82</v>
      </c>
      <c r="AL113" s="18" t="s">
        <v>83</v>
      </c>
      <c r="AM113" s="18" t="s">
        <v>84</v>
      </c>
      <c r="AN113" s="19" t="s">
        <v>85</v>
      </c>
      <c r="AO113" s="52"/>
    </row>
    <row r="114" spans="1:41" ht="15.75" thickBot="1" x14ac:dyDescent="0.3">
      <c r="A114" s="244"/>
      <c r="B114" s="245"/>
      <c r="C114" s="5"/>
      <c r="D114" s="21" t="s">
        <v>13</v>
      </c>
      <c r="E114" s="12">
        <v>19</v>
      </c>
      <c r="F114" s="6">
        <v>26</v>
      </c>
      <c r="G114" s="6">
        <v>38</v>
      </c>
      <c r="H114" s="6">
        <v>46</v>
      </c>
      <c r="I114" s="6">
        <v>60</v>
      </c>
      <c r="J114" s="6">
        <v>67</v>
      </c>
      <c r="K114" s="6">
        <v>68</v>
      </c>
      <c r="L114" s="6">
        <v>68</v>
      </c>
      <c r="M114" s="6">
        <v>72</v>
      </c>
      <c r="N114" s="6">
        <v>72</v>
      </c>
      <c r="O114" s="6">
        <v>61</v>
      </c>
      <c r="P114" s="29">
        <v>60</v>
      </c>
      <c r="Q114" s="12">
        <v>55</v>
      </c>
      <c r="R114" s="6">
        <v>60</v>
      </c>
      <c r="S114" s="6">
        <v>71</v>
      </c>
      <c r="T114" s="6">
        <v>97</v>
      </c>
      <c r="U114" s="6">
        <v>114</v>
      </c>
      <c r="V114" s="6">
        <v>137</v>
      </c>
      <c r="W114" s="6">
        <v>124</v>
      </c>
      <c r="X114" s="6">
        <v>124</v>
      </c>
      <c r="Y114" s="6">
        <v>123</v>
      </c>
      <c r="Z114" s="6">
        <v>111</v>
      </c>
      <c r="AA114" s="6">
        <v>102</v>
      </c>
      <c r="AB114" s="29">
        <v>93</v>
      </c>
      <c r="AC114" s="13"/>
      <c r="AD114" s="7"/>
      <c r="AE114" s="7"/>
      <c r="AF114" s="7"/>
      <c r="AG114" s="7"/>
      <c r="AH114" s="7"/>
      <c r="AI114" s="7"/>
      <c r="AJ114" s="7"/>
      <c r="AK114" s="7"/>
      <c r="AL114" s="7"/>
      <c r="AM114" s="7"/>
      <c r="AN114" s="9"/>
      <c r="AO114" s="52"/>
    </row>
    <row r="115" spans="1:41" ht="15.75" thickBot="1" x14ac:dyDescent="0.3">
      <c r="A115" s="244"/>
      <c r="B115" s="245"/>
      <c r="C115" s="49" t="s">
        <v>91</v>
      </c>
      <c r="D115" s="22" t="s">
        <v>86</v>
      </c>
      <c r="E115" s="33"/>
      <c r="F115" s="32"/>
      <c r="G115" s="32"/>
      <c r="H115" s="32"/>
      <c r="I115" s="32"/>
      <c r="J115" s="32"/>
      <c r="K115" s="44">
        <v>56.25</v>
      </c>
      <c r="L115" s="44">
        <v>59.166666666666664</v>
      </c>
      <c r="M115" s="44">
        <v>61.958333333333329</v>
      </c>
      <c r="N115" s="44">
        <v>65.458333333333329</v>
      </c>
      <c r="O115" s="44">
        <v>69.833333333333329</v>
      </c>
      <c r="P115" s="48">
        <v>75</v>
      </c>
      <c r="Q115" s="46">
        <v>80.25</v>
      </c>
      <c r="R115" s="44">
        <v>84.916666666666657</v>
      </c>
      <c r="S115" s="44">
        <v>89.375</v>
      </c>
      <c r="T115" s="44">
        <v>93.125</v>
      </c>
      <c r="U115" s="44">
        <v>96.458333333333329</v>
      </c>
      <c r="V115" s="44">
        <v>99.541666666666657</v>
      </c>
      <c r="W115" s="32"/>
      <c r="X115" s="32"/>
      <c r="Y115" s="7"/>
      <c r="Z115" s="32"/>
      <c r="AA115" s="32"/>
      <c r="AB115" s="34"/>
      <c r="AC115" s="33"/>
      <c r="AD115" s="32"/>
      <c r="AE115" s="32"/>
      <c r="AF115" s="32"/>
      <c r="AG115" s="32"/>
      <c r="AH115" s="7"/>
      <c r="AI115" s="32"/>
      <c r="AJ115" s="32"/>
      <c r="AK115" s="32"/>
      <c r="AL115" s="32"/>
      <c r="AM115" s="32"/>
      <c r="AN115" s="42"/>
      <c r="AO115" s="52"/>
    </row>
    <row r="116" spans="1:41" ht="15.75" thickBot="1" x14ac:dyDescent="0.3">
      <c r="A116" s="244"/>
      <c r="B116" s="245"/>
      <c r="C116" s="49">
        <v>4.1961000000000004</v>
      </c>
      <c r="D116" s="22" t="s">
        <v>87</v>
      </c>
      <c r="E116" s="37">
        <v>0.69</v>
      </c>
      <c r="F116" s="36">
        <v>0.71</v>
      </c>
      <c r="G116" s="36">
        <v>0.79</v>
      </c>
      <c r="H116" s="36">
        <v>1.04</v>
      </c>
      <c r="I116" s="36">
        <v>1.18</v>
      </c>
      <c r="J116" s="36">
        <v>1.38</v>
      </c>
      <c r="K116" s="32">
        <v>1.21</v>
      </c>
      <c r="L116" s="32">
        <v>1.1499999999999999</v>
      </c>
      <c r="M116" s="32">
        <v>1.1599999999999999</v>
      </c>
      <c r="N116" s="32">
        <v>1.1000000000000001</v>
      </c>
      <c r="O116" s="32">
        <v>0.87</v>
      </c>
      <c r="P116" s="34">
        <v>0.8</v>
      </c>
      <c r="Q116" s="33">
        <v>0.69</v>
      </c>
      <c r="R116" s="32">
        <v>0.71</v>
      </c>
      <c r="S116" s="32">
        <v>0.79</v>
      </c>
      <c r="T116" s="32">
        <v>1.04</v>
      </c>
      <c r="U116" s="32">
        <v>1.18</v>
      </c>
      <c r="V116" s="32">
        <v>1.38</v>
      </c>
      <c r="W116" s="36">
        <v>1.21</v>
      </c>
      <c r="X116" s="36">
        <v>1.1499999999999999</v>
      </c>
      <c r="Y116" s="36">
        <v>1.1599999999999999</v>
      </c>
      <c r="Z116" s="36">
        <v>1.1000000000000001</v>
      </c>
      <c r="AA116" s="36">
        <v>0.87</v>
      </c>
      <c r="AB116" s="35">
        <v>0.8</v>
      </c>
      <c r="AC116" s="33">
        <v>0.69</v>
      </c>
      <c r="AD116" s="7">
        <v>0.71</v>
      </c>
      <c r="AE116" s="32">
        <v>0.79</v>
      </c>
      <c r="AF116" s="32">
        <v>1.04</v>
      </c>
      <c r="AG116" s="32">
        <v>1.18</v>
      </c>
      <c r="AH116" s="32">
        <v>1.38</v>
      </c>
      <c r="AI116" s="32">
        <v>1.21</v>
      </c>
      <c r="AJ116" s="32">
        <v>1.1499999999999999</v>
      </c>
      <c r="AK116" s="32">
        <v>1.1599999999999999</v>
      </c>
      <c r="AL116" s="7">
        <v>1.1000000000000001</v>
      </c>
      <c r="AM116" s="32">
        <v>0.87</v>
      </c>
      <c r="AN116" s="9">
        <v>0.8</v>
      </c>
      <c r="AO116" s="52"/>
    </row>
    <row r="117" spans="1:41" x14ac:dyDescent="0.25">
      <c r="A117" s="244"/>
      <c r="B117" s="245"/>
      <c r="C117" s="5"/>
      <c r="D117" s="22" t="s">
        <v>88</v>
      </c>
      <c r="E117" s="46">
        <v>31.073399999999992</v>
      </c>
      <c r="F117" s="44">
        <v>35.269499999999994</v>
      </c>
      <c r="G117" s="44">
        <v>39.465599999999995</v>
      </c>
      <c r="H117" s="44">
        <v>43.661699999999996</v>
      </c>
      <c r="I117" s="44">
        <v>47.857799999999997</v>
      </c>
      <c r="J117" s="44">
        <v>52.053899999999999</v>
      </c>
      <c r="K117" s="44">
        <v>56.25</v>
      </c>
      <c r="L117" s="44">
        <v>59.166666666666664</v>
      </c>
      <c r="M117" s="44">
        <v>61.958333333333329</v>
      </c>
      <c r="N117" s="44">
        <v>65.458333333333329</v>
      </c>
      <c r="O117" s="44">
        <v>69.833333333333329</v>
      </c>
      <c r="P117" s="48">
        <v>75</v>
      </c>
      <c r="Q117" s="46">
        <v>80.25</v>
      </c>
      <c r="R117" s="44">
        <v>84.916666666666657</v>
      </c>
      <c r="S117" s="44">
        <v>89.375</v>
      </c>
      <c r="T117" s="44">
        <v>93.125</v>
      </c>
      <c r="U117" s="44">
        <v>96.458333333333329</v>
      </c>
      <c r="V117" s="44">
        <v>99.541666666666657</v>
      </c>
      <c r="W117" s="44">
        <v>103.73776666666666</v>
      </c>
      <c r="X117" s="44">
        <v>103.73776666666666</v>
      </c>
      <c r="Y117" s="44">
        <v>103.73776666666666</v>
      </c>
      <c r="Z117" s="44">
        <v>103.73776666666666</v>
      </c>
      <c r="AA117" s="44">
        <v>103.73776666666666</v>
      </c>
      <c r="AB117" s="48">
        <v>103.73776666666666</v>
      </c>
      <c r="AC117" s="46">
        <v>103.73776666666666</v>
      </c>
      <c r="AD117" s="44">
        <v>103.73776666666666</v>
      </c>
      <c r="AE117" s="44">
        <v>103.73776666666666</v>
      </c>
      <c r="AF117" s="44">
        <v>103.73776666666666</v>
      </c>
      <c r="AG117" s="44">
        <v>103.73776666666666</v>
      </c>
      <c r="AH117" s="44">
        <v>103.73776666666666</v>
      </c>
      <c r="AI117" s="44">
        <v>103.73776666666666</v>
      </c>
      <c r="AJ117" s="44">
        <v>103.73776666666666</v>
      </c>
      <c r="AK117" s="44">
        <v>103.73776666666666</v>
      </c>
      <c r="AL117" s="44">
        <v>103.73776666666666</v>
      </c>
      <c r="AM117" s="44">
        <v>103.73776666666666</v>
      </c>
      <c r="AN117" s="45">
        <v>103.73776666666666</v>
      </c>
      <c r="AO117" s="52"/>
    </row>
    <row r="118" spans="1:41" x14ac:dyDescent="0.25">
      <c r="A118" s="244"/>
      <c r="B118" s="245"/>
      <c r="C118" s="5"/>
      <c r="D118" s="22" t="s">
        <v>89</v>
      </c>
      <c r="E118" s="33">
        <v>21.440645999999994</v>
      </c>
      <c r="F118" s="32">
        <v>25.041344999999993</v>
      </c>
      <c r="G118" s="32">
        <v>31.177823999999998</v>
      </c>
      <c r="H118" s="32">
        <v>45.408167999999996</v>
      </c>
      <c r="I118" s="32">
        <v>56.472203999999991</v>
      </c>
      <c r="J118" s="32">
        <v>71.834381999999991</v>
      </c>
      <c r="K118" s="32">
        <v>68.0625</v>
      </c>
      <c r="L118" s="32">
        <v>68.041666666666657</v>
      </c>
      <c r="M118" s="32">
        <v>71.871666666666655</v>
      </c>
      <c r="N118" s="32">
        <v>72.004166666666663</v>
      </c>
      <c r="O118" s="32">
        <v>60.754999999999995</v>
      </c>
      <c r="P118" s="34">
        <v>60</v>
      </c>
      <c r="Q118" s="33">
        <v>55.372499999999995</v>
      </c>
      <c r="R118" s="32">
        <v>60.290833333333325</v>
      </c>
      <c r="S118" s="32">
        <v>70.606250000000003</v>
      </c>
      <c r="T118" s="32">
        <v>96.850000000000009</v>
      </c>
      <c r="U118" s="32">
        <v>113.82083333333333</v>
      </c>
      <c r="V118" s="32">
        <v>137.36749999999998</v>
      </c>
      <c r="W118" s="32">
        <v>125.52269766666666</v>
      </c>
      <c r="X118" s="32">
        <v>119.29843166666664</v>
      </c>
      <c r="Y118" s="32">
        <v>120.33580933333332</v>
      </c>
      <c r="Z118" s="32">
        <v>114.11154333333333</v>
      </c>
      <c r="AA118" s="32">
        <v>90.251856999999987</v>
      </c>
      <c r="AB118" s="34">
        <v>82.99021333333333</v>
      </c>
      <c r="AC118" s="33">
        <v>71.579058999999987</v>
      </c>
      <c r="AD118" s="32">
        <v>73.65381433333333</v>
      </c>
      <c r="AE118" s="32">
        <v>81.952835666666658</v>
      </c>
      <c r="AF118" s="32">
        <v>107.88727733333333</v>
      </c>
      <c r="AG118" s="32">
        <v>122.41056466666664</v>
      </c>
      <c r="AH118" s="32">
        <v>143.15811799999997</v>
      </c>
      <c r="AI118" s="32">
        <v>125.52269766666666</v>
      </c>
      <c r="AJ118" s="32">
        <v>119.29843166666664</v>
      </c>
      <c r="AK118" s="32">
        <v>120.33580933333332</v>
      </c>
      <c r="AL118" s="32">
        <v>114.11154333333333</v>
      </c>
      <c r="AM118" s="32">
        <v>90.251856999999987</v>
      </c>
      <c r="AN118" s="42">
        <v>82.99021333333333</v>
      </c>
      <c r="AO118" s="52"/>
    </row>
    <row r="119" spans="1:41" ht="15.75" thickBot="1" x14ac:dyDescent="0.3">
      <c r="A119" s="244"/>
      <c r="B119" s="245"/>
      <c r="C119" s="5"/>
      <c r="D119" s="23" t="s">
        <v>90</v>
      </c>
      <c r="E119" s="26">
        <v>0.12845505263157864</v>
      </c>
      <c r="F119" s="27">
        <v>-3.6871346153846435E-2</v>
      </c>
      <c r="G119" s="27">
        <v>-0.17953094736842112</v>
      </c>
      <c r="H119" s="27">
        <v>-1.286591304347834E-2</v>
      </c>
      <c r="I119" s="27">
        <v>-5.8796600000000157E-2</v>
      </c>
      <c r="J119" s="27">
        <v>7.2154955223880463E-2</v>
      </c>
      <c r="K119" s="27">
        <v>9.1911764705882352E-4</v>
      </c>
      <c r="L119" s="27">
        <v>6.1274509803907636E-4</v>
      </c>
      <c r="M119" s="27">
        <v>-1.7824074074075627E-3</v>
      </c>
      <c r="N119" s="27">
        <v>5.7870370370317735E-5</v>
      </c>
      <c r="O119" s="27">
        <v>-4.0163934426230251E-3</v>
      </c>
      <c r="P119" s="31">
        <v>0</v>
      </c>
      <c r="Q119" s="26">
        <v>6.7727272727271847E-3</v>
      </c>
      <c r="R119" s="27">
        <v>4.8472222222220767E-3</v>
      </c>
      <c r="S119" s="27">
        <v>-5.5457746478872836E-3</v>
      </c>
      <c r="T119" s="27">
        <v>-1.5463917525772317E-3</v>
      </c>
      <c r="U119" s="27">
        <v>-1.5716374269006512E-3</v>
      </c>
      <c r="V119" s="27">
        <v>2.6824817518246598E-3</v>
      </c>
      <c r="W119" s="27">
        <v>1.2279819892473055E-2</v>
      </c>
      <c r="X119" s="27">
        <v>-3.7915873655914159E-2</v>
      </c>
      <c r="Y119" s="27">
        <v>-2.166008672086735E-2</v>
      </c>
      <c r="Z119" s="27">
        <v>2.8031921921921891E-2</v>
      </c>
      <c r="AA119" s="27">
        <v>-0.11517787254901973</v>
      </c>
      <c r="AB119" s="31">
        <v>-0.10763211469534054</v>
      </c>
      <c r="AC119" s="14"/>
      <c r="AD119" s="10"/>
      <c r="AE119" s="10"/>
      <c r="AF119" s="10"/>
      <c r="AG119" s="10"/>
      <c r="AH119" s="10"/>
      <c r="AI119" s="10"/>
      <c r="AJ119" s="10"/>
      <c r="AK119" s="10"/>
      <c r="AL119" s="10"/>
      <c r="AM119" s="10"/>
      <c r="AN119" s="11"/>
      <c r="AO119" s="52"/>
    </row>
    <row r="120" spans="1:41" ht="15.75" thickBot="1" x14ac:dyDescent="0.3">
      <c r="A120" s="246"/>
      <c r="B120" s="247"/>
      <c r="C120" s="53"/>
      <c r="D120" s="53"/>
      <c r="E120" s="53"/>
      <c r="F120" s="53"/>
      <c r="G120" s="53"/>
      <c r="H120" s="53"/>
      <c r="I120" s="53"/>
      <c r="J120" s="53"/>
      <c r="K120" s="53"/>
      <c r="L120" s="53"/>
      <c r="M120" s="53"/>
      <c r="N120" s="53"/>
      <c r="O120" s="53"/>
      <c r="P120" s="53"/>
      <c r="Q120" s="53"/>
      <c r="R120" s="53"/>
      <c r="S120" s="53"/>
      <c r="T120" s="53"/>
      <c r="U120" s="53"/>
      <c r="V120" s="53"/>
      <c r="W120" s="53"/>
      <c r="X120" s="53"/>
      <c r="Y120" s="53"/>
      <c r="Z120" s="53"/>
      <c r="AA120" s="53"/>
      <c r="AB120" s="53"/>
      <c r="AC120" s="53"/>
      <c r="AD120" s="53"/>
      <c r="AE120" s="53"/>
      <c r="AF120" s="53"/>
      <c r="AG120" s="53"/>
      <c r="AH120" s="53"/>
      <c r="AI120" s="53"/>
      <c r="AJ120" s="53"/>
      <c r="AK120" s="53"/>
      <c r="AL120" s="53"/>
      <c r="AM120" s="53"/>
      <c r="AN120" s="53"/>
      <c r="AO120" s="54"/>
    </row>
    <row r="121" spans="1:41" x14ac:dyDescent="0.25">
      <c r="A121" s="248"/>
      <c r="B121" s="248"/>
      <c r="C121" s="248"/>
      <c r="D121" s="248"/>
      <c r="E121" s="248"/>
      <c r="F121" s="248"/>
      <c r="G121" s="248"/>
      <c r="H121" s="248"/>
      <c r="I121" s="248"/>
      <c r="J121" s="248"/>
      <c r="K121" s="248"/>
      <c r="L121" s="248"/>
      <c r="M121" s="248"/>
      <c r="N121" s="248"/>
      <c r="O121" s="248"/>
      <c r="P121" s="248"/>
      <c r="Q121" s="248"/>
      <c r="R121" s="248"/>
      <c r="S121" s="248"/>
      <c r="T121" s="248"/>
      <c r="U121" s="248"/>
      <c r="V121" s="248"/>
      <c r="W121" s="248"/>
      <c r="X121" s="248"/>
      <c r="Y121" s="248"/>
      <c r="Z121" s="248"/>
      <c r="AA121" s="248"/>
      <c r="AB121" s="248"/>
      <c r="AC121" s="248"/>
      <c r="AD121" s="248"/>
      <c r="AE121" s="248"/>
      <c r="AF121" s="248"/>
      <c r="AG121" s="248"/>
      <c r="AH121" s="248"/>
      <c r="AI121" s="248"/>
      <c r="AJ121" s="248"/>
      <c r="AK121" s="248"/>
      <c r="AL121" s="248"/>
      <c r="AM121" s="248"/>
      <c r="AN121" s="248"/>
      <c r="AO121" s="248"/>
    </row>
    <row r="122" spans="1:41" ht="15.75" thickBot="1" x14ac:dyDescent="0.3">
      <c r="A122" s="248"/>
      <c r="B122" s="248"/>
      <c r="C122" s="248"/>
      <c r="D122" s="248"/>
      <c r="E122" s="248"/>
      <c r="F122" s="248"/>
      <c r="G122" s="248"/>
      <c r="H122" s="248"/>
      <c r="I122" s="248"/>
      <c r="J122" s="248"/>
      <c r="K122" s="248"/>
      <c r="L122" s="248"/>
      <c r="M122" s="248"/>
      <c r="N122" s="248"/>
      <c r="O122" s="248"/>
      <c r="P122" s="248"/>
      <c r="Q122" s="248"/>
      <c r="R122" s="248"/>
      <c r="S122" s="248"/>
      <c r="T122" s="248"/>
      <c r="U122" s="248"/>
      <c r="V122" s="248"/>
      <c r="W122" s="248"/>
      <c r="X122" s="248"/>
      <c r="Y122" s="248"/>
      <c r="Z122" s="248"/>
      <c r="AA122" s="248"/>
      <c r="AB122" s="248"/>
      <c r="AC122" s="248"/>
      <c r="AD122" s="248"/>
      <c r="AE122" s="248"/>
      <c r="AF122" s="248"/>
      <c r="AG122" s="248"/>
      <c r="AH122" s="248"/>
      <c r="AI122" s="248"/>
      <c r="AJ122" s="248"/>
      <c r="AK122" s="248"/>
      <c r="AL122" s="248"/>
      <c r="AM122" s="248"/>
      <c r="AN122" s="248"/>
      <c r="AO122" s="248"/>
    </row>
    <row r="123" spans="1:41" x14ac:dyDescent="0.25">
      <c r="A123" s="242" t="s">
        <v>101</v>
      </c>
      <c r="B123" s="243"/>
      <c r="C123" s="50"/>
      <c r="D123" s="50"/>
      <c r="E123" s="50"/>
      <c r="F123" s="50"/>
      <c r="G123" s="50"/>
      <c r="H123" s="50"/>
      <c r="I123" s="50"/>
      <c r="J123" s="50"/>
      <c r="K123" s="50"/>
      <c r="L123" s="50"/>
      <c r="M123" s="50"/>
      <c r="N123" s="50"/>
      <c r="O123" s="50"/>
      <c r="P123" s="50"/>
      <c r="Q123" s="50"/>
      <c r="R123" s="50"/>
      <c r="S123" s="50"/>
      <c r="T123" s="50"/>
      <c r="U123" s="50"/>
      <c r="V123" s="50"/>
      <c r="W123" s="50"/>
      <c r="X123" s="50"/>
      <c r="Y123" s="50"/>
      <c r="Z123" s="50"/>
      <c r="AA123" s="50"/>
      <c r="AB123" s="50"/>
      <c r="AC123" s="50"/>
      <c r="AD123" s="50"/>
      <c r="AE123" s="50"/>
      <c r="AF123" s="50"/>
      <c r="AG123" s="50"/>
      <c r="AH123" s="50"/>
      <c r="AI123" s="50"/>
      <c r="AJ123" s="50"/>
      <c r="AK123" s="50"/>
      <c r="AL123" s="50"/>
      <c r="AM123" s="50"/>
      <c r="AN123" s="50"/>
      <c r="AO123" s="51"/>
    </row>
    <row r="124" spans="1:41" x14ac:dyDescent="0.25">
      <c r="A124" s="244"/>
      <c r="B124" s="245"/>
      <c r="C124" s="5"/>
      <c r="D124" s="5"/>
      <c r="E124" s="7" t="s">
        <v>26</v>
      </c>
      <c r="F124" s="7" t="s">
        <v>27</v>
      </c>
      <c r="G124" s="7" t="s">
        <v>28</v>
      </c>
      <c r="H124" s="7" t="s">
        <v>29</v>
      </c>
      <c r="I124" s="7" t="s">
        <v>30</v>
      </c>
      <c r="J124" s="7" t="s">
        <v>31</v>
      </c>
      <c r="K124" s="7" t="s">
        <v>32</v>
      </c>
      <c r="L124" s="7" t="s">
        <v>33</v>
      </c>
      <c r="M124" s="7" t="s">
        <v>34</v>
      </c>
      <c r="N124" s="7" t="s">
        <v>35</v>
      </c>
      <c r="O124" s="7" t="s">
        <v>36</v>
      </c>
      <c r="P124" s="7" t="s">
        <v>37</v>
      </c>
      <c r="Q124" s="7" t="s">
        <v>38</v>
      </c>
      <c r="R124" s="7" t="s">
        <v>39</v>
      </c>
      <c r="S124" s="7" t="s">
        <v>40</v>
      </c>
      <c r="T124" s="7" t="s">
        <v>41</v>
      </c>
      <c r="U124" s="7" t="s">
        <v>42</v>
      </c>
      <c r="V124" s="7" t="s">
        <v>43</v>
      </c>
      <c r="W124" s="7" t="s">
        <v>44</v>
      </c>
      <c r="X124" s="7" t="s">
        <v>45</v>
      </c>
      <c r="Y124" s="7" t="s">
        <v>46</v>
      </c>
      <c r="Z124" s="7" t="s">
        <v>47</v>
      </c>
      <c r="AA124" s="7" t="s">
        <v>48</v>
      </c>
      <c r="AB124" s="7" t="s">
        <v>49</v>
      </c>
      <c r="AC124" s="7" t="s">
        <v>50</v>
      </c>
      <c r="AD124" s="7" t="s">
        <v>51</v>
      </c>
      <c r="AE124" s="7" t="s">
        <v>52</v>
      </c>
      <c r="AF124" s="7" t="s">
        <v>53</v>
      </c>
      <c r="AG124" s="7" t="s">
        <v>54</v>
      </c>
      <c r="AH124" s="7" t="s">
        <v>55</v>
      </c>
      <c r="AI124" s="7" t="s">
        <v>56</v>
      </c>
      <c r="AJ124" s="7" t="s">
        <v>57</v>
      </c>
      <c r="AK124" s="7" t="s">
        <v>58</v>
      </c>
      <c r="AL124" s="7" t="s">
        <v>59</v>
      </c>
      <c r="AM124" s="7" t="s">
        <v>60</v>
      </c>
      <c r="AN124" s="7" t="s">
        <v>61</v>
      </c>
      <c r="AO124" s="52"/>
    </row>
    <row r="125" spans="1:41" ht="15.75" thickBot="1" x14ac:dyDescent="0.3">
      <c r="A125" s="244"/>
      <c r="B125" s="245"/>
      <c r="C125" s="5"/>
      <c r="D125" s="5"/>
      <c r="E125" s="8" t="s">
        <v>62</v>
      </c>
      <c r="F125" s="8" t="s">
        <v>63</v>
      </c>
      <c r="G125" s="8" t="s">
        <v>64</v>
      </c>
      <c r="H125" s="8" t="s">
        <v>65</v>
      </c>
      <c r="I125" s="8" t="s">
        <v>66</v>
      </c>
      <c r="J125" s="8" t="s">
        <v>67</v>
      </c>
      <c r="K125" s="8" t="s">
        <v>68</v>
      </c>
      <c r="L125" s="8" t="s">
        <v>69</v>
      </c>
      <c r="M125" s="8" t="s">
        <v>70</v>
      </c>
      <c r="N125" s="8" t="s">
        <v>71</v>
      </c>
      <c r="O125" s="8" t="s">
        <v>72</v>
      </c>
      <c r="P125" s="8" t="s">
        <v>73</v>
      </c>
      <c r="Q125" s="8" t="s">
        <v>62</v>
      </c>
      <c r="R125" s="8" t="s">
        <v>63</v>
      </c>
      <c r="S125" s="8" t="s">
        <v>64</v>
      </c>
      <c r="T125" s="8" t="s">
        <v>65</v>
      </c>
      <c r="U125" s="8" t="s">
        <v>66</v>
      </c>
      <c r="V125" s="8" t="s">
        <v>67</v>
      </c>
      <c r="W125" s="8" t="s">
        <v>68</v>
      </c>
      <c r="X125" s="8" t="s">
        <v>69</v>
      </c>
      <c r="Y125" s="8" t="s">
        <v>70</v>
      </c>
      <c r="Z125" s="8" t="s">
        <v>71</v>
      </c>
      <c r="AA125" s="8" t="s">
        <v>72</v>
      </c>
      <c r="AB125" s="8" t="s">
        <v>73</v>
      </c>
      <c r="AC125" s="8"/>
      <c r="AD125" s="8"/>
      <c r="AE125" s="8"/>
      <c r="AF125" s="8"/>
      <c r="AG125" s="8"/>
      <c r="AH125" s="8"/>
      <c r="AI125" s="8"/>
      <c r="AJ125" s="8"/>
      <c r="AK125" s="8"/>
      <c r="AL125" s="8"/>
      <c r="AM125" s="8"/>
      <c r="AN125" s="8"/>
      <c r="AO125" s="52"/>
    </row>
    <row r="126" spans="1:41" x14ac:dyDescent="0.25">
      <c r="A126" s="244"/>
      <c r="B126" s="245"/>
      <c r="C126" s="5"/>
      <c r="D126" s="20" t="s">
        <v>0</v>
      </c>
      <c r="E126" s="4" t="s">
        <v>1</v>
      </c>
      <c r="F126" s="3" t="s">
        <v>2</v>
      </c>
      <c r="G126" s="3" t="s">
        <v>3</v>
      </c>
      <c r="H126" s="3" t="s">
        <v>4</v>
      </c>
      <c r="I126" s="3" t="s">
        <v>5</v>
      </c>
      <c r="J126" s="3" t="s">
        <v>6</v>
      </c>
      <c r="K126" s="3" t="s">
        <v>7</v>
      </c>
      <c r="L126" s="3" t="s">
        <v>8</v>
      </c>
      <c r="M126" s="3" t="s">
        <v>9</v>
      </c>
      <c r="N126" s="3" t="s">
        <v>10</v>
      </c>
      <c r="O126" s="3" t="s">
        <v>11</v>
      </c>
      <c r="P126" s="28" t="s">
        <v>12</v>
      </c>
      <c r="Q126" s="4" t="s">
        <v>14</v>
      </c>
      <c r="R126" s="3" t="s">
        <v>15</v>
      </c>
      <c r="S126" s="3" t="s">
        <v>16</v>
      </c>
      <c r="T126" s="3" t="s">
        <v>17</v>
      </c>
      <c r="U126" s="3" t="s">
        <v>18</v>
      </c>
      <c r="V126" s="3" t="s">
        <v>19</v>
      </c>
      <c r="W126" s="3" t="s">
        <v>20</v>
      </c>
      <c r="X126" s="3" t="s">
        <v>21</v>
      </c>
      <c r="Y126" s="3" t="s">
        <v>22</v>
      </c>
      <c r="Z126" s="3" t="s">
        <v>23</v>
      </c>
      <c r="AA126" s="3" t="s">
        <v>24</v>
      </c>
      <c r="AB126" s="28" t="s">
        <v>25</v>
      </c>
      <c r="AC126" s="17" t="s">
        <v>74</v>
      </c>
      <c r="AD126" s="18" t="s">
        <v>75</v>
      </c>
      <c r="AE126" s="18" t="s">
        <v>76</v>
      </c>
      <c r="AF126" s="18" t="s">
        <v>77</v>
      </c>
      <c r="AG126" s="18" t="s">
        <v>78</v>
      </c>
      <c r="AH126" s="18" t="s">
        <v>79</v>
      </c>
      <c r="AI126" s="18" t="s">
        <v>80</v>
      </c>
      <c r="AJ126" s="18" t="s">
        <v>81</v>
      </c>
      <c r="AK126" s="18" t="s">
        <v>82</v>
      </c>
      <c r="AL126" s="18" t="s">
        <v>83</v>
      </c>
      <c r="AM126" s="18" t="s">
        <v>84</v>
      </c>
      <c r="AN126" s="19" t="s">
        <v>85</v>
      </c>
      <c r="AO126" s="52"/>
    </row>
    <row r="127" spans="1:41" ht="15.75" thickBot="1" x14ac:dyDescent="0.3">
      <c r="A127" s="244"/>
      <c r="B127" s="245"/>
      <c r="C127" s="5"/>
      <c r="D127" s="21" t="s">
        <v>13</v>
      </c>
      <c r="E127" s="12">
        <v>6</v>
      </c>
      <c r="F127" s="6">
        <v>8</v>
      </c>
      <c r="G127" s="6">
        <v>13</v>
      </c>
      <c r="H127" s="6">
        <v>16</v>
      </c>
      <c r="I127" s="6">
        <v>22</v>
      </c>
      <c r="J127" s="6">
        <v>26</v>
      </c>
      <c r="K127" s="6">
        <v>26</v>
      </c>
      <c r="L127" s="6">
        <v>27</v>
      </c>
      <c r="M127" s="6">
        <v>29</v>
      </c>
      <c r="N127" s="6">
        <v>29</v>
      </c>
      <c r="O127" s="6">
        <v>25</v>
      </c>
      <c r="P127" s="29">
        <v>25</v>
      </c>
      <c r="Q127" s="12">
        <v>23</v>
      </c>
      <c r="R127" s="6">
        <v>25</v>
      </c>
      <c r="S127" s="6">
        <v>30</v>
      </c>
      <c r="T127" s="6">
        <v>42</v>
      </c>
      <c r="U127" s="6">
        <v>49</v>
      </c>
      <c r="V127" s="6">
        <v>60</v>
      </c>
      <c r="W127" s="6">
        <v>55</v>
      </c>
      <c r="X127" s="6">
        <v>55</v>
      </c>
      <c r="Y127" s="6">
        <v>55</v>
      </c>
      <c r="Z127" s="6">
        <v>49</v>
      </c>
      <c r="AA127" s="6">
        <v>45</v>
      </c>
      <c r="AB127" s="29">
        <v>42</v>
      </c>
      <c r="AC127" s="13"/>
      <c r="AD127" s="7"/>
      <c r="AE127" s="7"/>
      <c r="AF127" s="7"/>
      <c r="AG127" s="7"/>
      <c r="AH127" s="7"/>
      <c r="AI127" s="7"/>
      <c r="AJ127" s="7"/>
      <c r="AK127" s="7"/>
      <c r="AL127" s="7"/>
      <c r="AM127" s="7"/>
      <c r="AN127" s="9"/>
      <c r="AO127" s="52"/>
    </row>
    <row r="128" spans="1:41" ht="15.75" thickBot="1" x14ac:dyDescent="0.3">
      <c r="A128" s="244"/>
      <c r="B128" s="245"/>
      <c r="C128" s="49" t="s">
        <v>91</v>
      </c>
      <c r="D128" s="22" t="s">
        <v>86</v>
      </c>
      <c r="E128" s="33"/>
      <c r="F128" s="32"/>
      <c r="G128" s="32"/>
      <c r="H128" s="32"/>
      <c r="I128" s="32"/>
      <c r="J128" s="32"/>
      <c r="K128" s="44">
        <v>21.708333333333332</v>
      </c>
      <c r="L128" s="44">
        <v>23.125</v>
      </c>
      <c r="M128" s="44">
        <v>24.541666666666664</v>
      </c>
      <c r="N128" s="44">
        <v>26.333333333333332</v>
      </c>
      <c r="O128" s="44">
        <v>28.541666666666664</v>
      </c>
      <c r="P128" s="48">
        <v>31.083333333333332</v>
      </c>
      <c r="Q128" s="46">
        <v>33.708333333333329</v>
      </c>
      <c r="R128" s="44">
        <v>36.083333333333329</v>
      </c>
      <c r="S128" s="44">
        <v>38.333333333333329</v>
      </c>
      <c r="T128" s="44">
        <v>40.25</v>
      </c>
      <c r="U128" s="44">
        <v>41.916666666666664</v>
      </c>
      <c r="V128" s="44">
        <v>43.458333333333329</v>
      </c>
      <c r="W128" s="32"/>
      <c r="X128" s="32"/>
      <c r="Y128" s="7"/>
      <c r="Z128" s="32"/>
      <c r="AA128" s="32"/>
      <c r="AB128" s="34"/>
      <c r="AC128" s="33"/>
      <c r="AD128" s="32"/>
      <c r="AE128" s="32"/>
      <c r="AF128" s="32"/>
      <c r="AG128" s="32"/>
      <c r="AH128" s="7"/>
      <c r="AI128" s="32"/>
      <c r="AJ128" s="32"/>
      <c r="AK128" s="32"/>
      <c r="AL128" s="32"/>
      <c r="AM128" s="32"/>
      <c r="AN128" s="42"/>
      <c r="AO128" s="52"/>
    </row>
    <row r="129" spans="1:41" ht="15.75" thickBot="1" x14ac:dyDescent="0.3">
      <c r="A129" s="244"/>
      <c r="B129" s="245"/>
      <c r="C129" s="49">
        <v>2.1103999999999998</v>
      </c>
      <c r="D129" s="22" t="s">
        <v>87</v>
      </c>
      <c r="E129" s="37">
        <v>0.68</v>
      </c>
      <c r="F129" s="36">
        <v>0.69</v>
      </c>
      <c r="G129" s="36">
        <v>0.78</v>
      </c>
      <c r="H129" s="36">
        <v>1.04</v>
      </c>
      <c r="I129" s="36">
        <v>1.17</v>
      </c>
      <c r="J129" s="36">
        <v>1.38</v>
      </c>
      <c r="K129" s="32">
        <v>1.2</v>
      </c>
      <c r="L129" s="32">
        <v>1.17</v>
      </c>
      <c r="M129" s="32">
        <v>1.18</v>
      </c>
      <c r="N129" s="32">
        <v>1.1000000000000001</v>
      </c>
      <c r="O129" s="32">
        <v>0.88</v>
      </c>
      <c r="P129" s="34">
        <v>0.8</v>
      </c>
      <c r="Q129" s="33">
        <v>0.68</v>
      </c>
      <c r="R129" s="32">
        <v>0.69</v>
      </c>
      <c r="S129" s="32">
        <v>0.78</v>
      </c>
      <c r="T129" s="32">
        <v>1.04</v>
      </c>
      <c r="U129" s="32">
        <v>1.17</v>
      </c>
      <c r="V129" s="32">
        <v>1.38</v>
      </c>
      <c r="W129" s="36">
        <v>1.2</v>
      </c>
      <c r="X129" s="36">
        <v>1.17</v>
      </c>
      <c r="Y129" s="36">
        <v>1.18</v>
      </c>
      <c r="Z129" s="36">
        <v>1.1000000000000001</v>
      </c>
      <c r="AA129" s="36">
        <v>0.88</v>
      </c>
      <c r="AB129" s="35">
        <v>0.8</v>
      </c>
      <c r="AC129" s="33">
        <v>0.68</v>
      </c>
      <c r="AD129" s="7">
        <v>0.69</v>
      </c>
      <c r="AE129" s="32">
        <v>0.78</v>
      </c>
      <c r="AF129" s="32">
        <v>1.04</v>
      </c>
      <c r="AG129" s="32">
        <v>1.17</v>
      </c>
      <c r="AH129" s="32">
        <v>1.38</v>
      </c>
      <c r="AI129" s="32">
        <v>1.2</v>
      </c>
      <c r="AJ129" s="32">
        <v>1.17</v>
      </c>
      <c r="AK129" s="32">
        <v>1.18</v>
      </c>
      <c r="AL129" s="7">
        <v>1.1000000000000001</v>
      </c>
      <c r="AM129" s="32">
        <v>0.88</v>
      </c>
      <c r="AN129" s="9">
        <v>0.8</v>
      </c>
      <c r="AO129" s="52"/>
    </row>
    <row r="130" spans="1:41" x14ac:dyDescent="0.25">
      <c r="A130" s="244"/>
      <c r="B130" s="245"/>
      <c r="C130" s="5"/>
      <c r="D130" s="22" t="s">
        <v>88</v>
      </c>
      <c r="E130" s="46">
        <v>9.045933333333334</v>
      </c>
      <c r="F130" s="44">
        <v>11.156333333333334</v>
      </c>
      <c r="G130" s="44">
        <v>13.266733333333335</v>
      </c>
      <c r="H130" s="44">
        <v>15.377133333333335</v>
      </c>
      <c r="I130" s="44">
        <v>17.487533333333335</v>
      </c>
      <c r="J130" s="44">
        <v>19.597933333333334</v>
      </c>
      <c r="K130" s="44">
        <v>21.708333333333332</v>
      </c>
      <c r="L130" s="44">
        <v>23.125</v>
      </c>
      <c r="M130" s="44">
        <v>24.541666666666664</v>
      </c>
      <c r="N130" s="44">
        <v>26.333333333333332</v>
      </c>
      <c r="O130" s="44">
        <v>28.541666666666664</v>
      </c>
      <c r="P130" s="48">
        <v>31.083333333333332</v>
      </c>
      <c r="Q130" s="46">
        <v>33.708333333333329</v>
      </c>
      <c r="R130" s="44">
        <v>36.083333333333329</v>
      </c>
      <c r="S130" s="44">
        <v>38.333333333333329</v>
      </c>
      <c r="T130" s="44">
        <v>40.25</v>
      </c>
      <c r="U130" s="44">
        <v>41.916666666666664</v>
      </c>
      <c r="V130" s="44">
        <v>43.458333333333329</v>
      </c>
      <c r="W130" s="44">
        <v>45.568733333333327</v>
      </c>
      <c r="X130" s="44">
        <v>47.679133333333326</v>
      </c>
      <c r="Y130" s="44">
        <v>49.789533333333324</v>
      </c>
      <c r="Z130" s="44">
        <v>51.899933333333323</v>
      </c>
      <c r="AA130" s="44">
        <v>54.010333333333321</v>
      </c>
      <c r="AB130" s="48">
        <v>56.12073333333332</v>
      </c>
      <c r="AC130" s="46">
        <v>58.231133333333318</v>
      </c>
      <c r="AD130" s="44">
        <v>60.341533333333317</v>
      </c>
      <c r="AE130" s="44">
        <v>62.451933333333315</v>
      </c>
      <c r="AF130" s="44">
        <v>64.562333333333314</v>
      </c>
      <c r="AG130" s="44">
        <v>66.672733333333312</v>
      </c>
      <c r="AH130" s="44">
        <v>68.783133333333311</v>
      </c>
      <c r="AI130" s="44">
        <v>70.893533333333309</v>
      </c>
      <c r="AJ130" s="44">
        <v>73.003933333333308</v>
      </c>
      <c r="AK130" s="44">
        <v>75.114333333333306</v>
      </c>
      <c r="AL130" s="44">
        <v>77.224733333333305</v>
      </c>
      <c r="AM130" s="44">
        <v>79.335133333333303</v>
      </c>
      <c r="AN130" s="45">
        <v>81.445533333333302</v>
      </c>
      <c r="AO130" s="52"/>
    </row>
    <row r="131" spans="1:41" x14ac:dyDescent="0.25">
      <c r="A131" s="244"/>
      <c r="B131" s="245"/>
      <c r="C131" s="5"/>
      <c r="D131" s="22" t="s">
        <v>89</v>
      </c>
      <c r="E131" s="33">
        <v>6.1512346666666673</v>
      </c>
      <c r="F131" s="32">
        <v>7.69787</v>
      </c>
      <c r="G131" s="32">
        <v>10.348052000000001</v>
      </c>
      <c r="H131" s="32">
        <v>15.99221866666667</v>
      </c>
      <c r="I131" s="32">
        <v>20.460414</v>
      </c>
      <c r="J131" s="32">
        <v>27.045147999999998</v>
      </c>
      <c r="K131" s="32">
        <v>26.049999999999997</v>
      </c>
      <c r="L131" s="32">
        <v>27.056249999999999</v>
      </c>
      <c r="M131" s="32">
        <v>28.959166666666661</v>
      </c>
      <c r="N131" s="32">
        <v>28.966666666666669</v>
      </c>
      <c r="O131" s="32">
        <v>25.116666666666664</v>
      </c>
      <c r="P131" s="34">
        <v>24.866666666666667</v>
      </c>
      <c r="Q131" s="33">
        <v>22.921666666666667</v>
      </c>
      <c r="R131" s="32">
        <v>24.897499999999994</v>
      </c>
      <c r="S131" s="32">
        <v>29.9</v>
      </c>
      <c r="T131" s="32">
        <v>41.86</v>
      </c>
      <c r="U131" s="32">
        <v>49.042499999999997</v>
      </c>
      <c r="V131" s="32">
        <v>59.972499999999989</v>
      </c>
      <c r="W131" s="32">
        <v>54.682479999999991</v>
      </c>
      <c r="X131" s="32">
        <v>55.78458599999999</v>
      </c>
      <c r="Y131" s="32">
        <v>58.751649333333319</v>
      </c>
      <c r="Z131" s="32">
        <v>57.089926666666656</v>
      </c>
      <c r="AA131" s="32">
        <v>47.529093333333321</v>
      </c>
      <c r="AB131" s="34">
        <v>44.896586666666657</v>
      </c>
      <c r="AC131" s="33">
        <v>39.597170666666656</v>
      </c>
      <c r="AD131" s="32">
        <v>41.635657999999985</v>
      </c>
      <c r="AE131" s="32">
        <v>48.712507999999985</v>
      </c>
      <c r="AF131" s="32">
        <v>67.144826666666646</v>
      </c>
      <c r="AG131" s="32">
        <v>78.007097999999971</v>
      </c>
      <c r="AH131" s="32">
        <v>94.920723999999964</v>
      </c>
      <c r="AI131" s="32">
        <v>85.072239999999965</v>
      </c>
      <c r="AJ131" s="32">
        <v>85.41460199999996</v>
      </c>
      <c r="AK131" s="32">
        <v>88.634913333333301</v>
      </c>
      <c r="AL131" s="32">
        <v>84.947206666666645</v>
      </c>
      <c r="AM131" s="32">
        <v>69.814917333333312</v>
      </c>
      <c r="AN131" s="42">
        <v>65.156426666666647</v>
      </c>
      <c r="AO131" s="52"/>
    </row>
    <row r="132" spans="1:41" ht="15.75" thickBot="1" x14ac:dyDescent="0.3">
      <c r="A132" s="244"/>
      <c r="B132" s="245"/>
      <c r="C132" s="5"/>
      <c r="D132" s="23" t="s">
        <v>90</v>
      </c>
      <c r="E132" s="26">
        <v>2.5205777777777882E-2</v>
      </c>
      <c r="F132" s="27">
        <v>-3.7766250000000001E-2</v>
      </c>
      <c r="G132" s="27">
        <v>-0.20399599999999993</v>
      </c>
      <c r="H132" s="27">
        <v>-4.8633333333314432E-4</v>
      </c>
      <c r="I132" s="27">
        <v>-6.9981181818181817E-2</v>
      </c>
      <c r="J132" s="27">
        <v>4.0197999999999907E-2</v>
      </c>
      <c r="K132" s="27">
        <v>1.9230769230768137E-3</v>
      </c>
      <c r="L132" s="27">
        <v>2.0833333333332808E-3</v>
      </c>
      <c r="M132" s="27">
        <v>-1.4080459770116837E-3</v>
      </c>
      <c r="N132" s="27">
        <v>-1.1494252873562566E-3</v>
      </c>
      <c r="O132" s="27">
        <v>4.6666666666665439E-3</v>
      </c>
      <c r="P132" s="31">
        <v>-5.3333333333333141E-3</v>
      </c>
      <c r="Q132" s="26">
        <v>-3.4057971014492673E-3</v>
      </c>
      <c r="R132" s="27">
        <v>-4.1000000000002501E-3</v>
      </c>
      <c r="S132" s="27">
        <v>-3.3333333333333808E-3</v>
      </c>
      <c r="T132" s="27">
        <v>-3.333333333333347E-3</v>
      </c>
      <c r="U132" s="27">
        <v>8.6734693877544644E-4</v>
      </c>
      <c r="V132" s="27">
        <v>-4.5833333333350859E-4</v>
      </c>
      <c r="W132" s="27">
        <v>-5.7730909090910713E-3</v>
      </c>
      <c r="X132" s="27">
        <v>1.4265199999999822E-2</v>
      </c>
      <c r="Y132" s="27">
        <v>6.8211806060605798E-2</v>
      </c>
      <c r="Z132" s="27">
        <v>0.16510054421768686</v>
      </c>
      <c r="AA132" s="27">
        <v>5.6202074074073807E-2</v>
      </c>
      <c r="AB132" s="31">
        <v>6.8966349206348976E-2</v>
      </c>
      <c r="AC132" s="14"/>
      <c r="AD132" s="10"/>
      <c r="AE132" s="10"/>
      <c r="AF132" s="10"/>
      <c r="AG132" s="10"/>
      <c r="AH132" s="10"/>
      <c r="AI132" s="10"/>
      <c r="AJ132" s="10"/>
      <c r="AK132" s="10"/>
      <c r="AL132" s="10"/>
      <c r="AM132" s="10"/>
      <c r="AN132" s="11"/>
      <c r="AO132" s="52"/>
    </row>
    <row r="133" spans="1:41" ht="15.75" thickBot="1" x14ac:dyDescent="0.3">
      <c r="A133" s="246"/>
      <c r="B133" s="247"/>
      <c r="C133" s="53"/>
      <c r="D133" s="53"/>
      <c r="E133" s="53"/>
      <c r="F133" s="53"/>
      <c r="G133" s="53"/>
      <c r="H133" s="53"/>
      <c r="I133" s="53"/>
      <c r="J133" s="53"/>
      <c r="K133" s="53"/>
      <c r="L133" s="53"/>
      <c r="M133" s="53"/>
      <c r="N133" s="53"/>
      <c r="O133" s="53"/>
      <c r="P133" s="53"/>
      <c r="Q133" s="53"/>
      <c r="R133" s="53"/>
      <c r="S133" s="53"/>
      <c r="T133" s="53"/>
      <c r="U133" s="53"/>
      <c r="V133" s="53"/>
      <c r="W133" s="53"/>
      <c r="X133" s="53"/>
      <c r="Y133" s="53"/>
      <c r="Z133" s="53"/>
      <c r="AA133" s="53"/>
      <c r="AB133" s="53"/>
      <c r="AC133" s="53"/>
      <c r="AD133" s="53"/>
      <c r="AE133" s="53"/>
      <c r="AF133" s="53"/>
      <c r="AG133" s="53"/>
      <c r="AH133" s="53"/>
      <c r="AI133" s="53"/>
      <c r="AJ133" s="53"/>
      <c r="AK133" s="53"/>
      <c r="AL133" s="53"/>
      <c r="AM133" s="53"/>
      <c r="AN133" s="53"/>
      <c r="AO133" s="54"/>
    </row>
    <row r="134" spans="1:41" x14ac:dyDescent="0.25">
      <c r="A134" s="248"/>
      <c r="B134" s="248"/>
      <c r="C134" s="248"/>
      <c r="D134" s="248"/>
      <c r="E134" s="248"/>
      <c r="F134" s="248"/>
      <c r="G134" s="248"/>
      <c r="H134" s="248"/>
      <c r="I134" s="248"/>
      <c r="J134" s="248"/>
      <c r="K134" s="248"/>
      <c r="L134" s="248"/>
      <c r="M134" s="248"/>
      <c r="N134" s="248"/>
      <c r="O134" s="248"/>
      <c r="P134" s="248"/>
      <c r="Q134" s="248"/>
      <c r="R134" s="248"/>
      <c r="S134" s="248"/>
      <c r="T134" s="248"/>
      <c r="U134" s="248"/>
      <c r="V134" s="248"/>
      <c r="W134" s="248"/>
      <c r="X134" s="248"/>
      <c r="Y134" s="248"/>
      <c r="Z134" s="248"/>
      <c r="AA134" s="248"/>
      <c r="AB134" s="248"/>
      <c r="AC134" s="248"/>
      <c r="AD134" s="248"/>
      <c r="AE134" s="248"/>
      <c r="AF134" s="248"/>
      <c r="AG134" s="248"/>
      <c r="AH134" s="248"/>
      <c r="AI134" s="248"/>
      <c r="AJ134" s="248"/>
      <c r="AK134" s="248"/>
      <c r="AL134" s="248"/>
      <c r="AM134" s="248"/>
      <c r="AN134" s="248"/>
      <c r="AO134" s="248"/>
    </row>
    <row r="135" spans="1:41" ht="15.75" thickBot="1" x14ac:dyDescent="0.3">
      <c r="A135" s="248"/>
      <c r="B135" s="248"/>
      <c r="C135" s="248"/>
      <c r="D135" s="248"/>
      <c r="E135" s="248"/>
      <c r="F135" s="248"/>
      <c r="G135" s="248"/>
      <c r="H135" s="248"/>
      <c r="I135" s="248"/>
      <c r="J135" s="248"/>
      <c r="K135" s="248"/>
      <c r="L135" s="248"/>
      <c r="M135" s="248"/>
      <c r="N135" s="248"/>
      <c r="O135" s="248"/>
      <c r="P135" s="248"/>
      <c r="Q135" s="248"/>
      <c r="R135" s="248"/>
      <c r="S135" s="248"/>
      <c r="T135" s="248"/>
      <c r="U135" s="248"/>
      <c r="V135" s="248"/>
      <c r="W135" s="248"/>
      <c r="X135" s="248"/>
      <c r="Y135" s="248"/>
      <c r="Z135" s="248"/>
      <c r="AA135" s="248"/>
      <c r="AB135" s="248"/>
      <c r="AC135" s="248"/>
      <c r="AD135" s="248"/>
      <c r="AE135" s="248"/>
      <c r="AF135" s="248"/>
      <c r="AG135" s="248"/>
      <c r="AH135" s="248"/>
      <c r="AI135" s="248"/>
      <c r="AJ135" s="248"/>
      <c r="AK135" s="248"/>
      <c r="AL135" s="248"/>
      <c r="AM135" s="248"/>
      <c r="AN135" s="248"/>
      <c r="AO135" s="248"/>
    </row>
    <row r="136" spans="1:41" x14ac:dyDescent="0.25">
      <c r="A136" s="242" t="s">
        <v>102</v>
      </c>
      <c r="B136" s="243"/>
      <c r="C136" s="50"/>
      <c r="D136" s="50"/>
      <c r="E136" s="50"/>
      <c r="F136" s="50"/>
      <c r="G136" s="50"/>
      <c r="H136" s="50"/>
      <c r="I136" s="50"/>
      <c r="J136" s="50"/>
      <c r="K136" s="50"/>
      <c r="L136" s="50"/>
      <c r="M136" s="50"/>
      <c r="N136" s="50"/>
      <c r="O136" s="50"/>
      <c r="P136" s="50"/>
      <c r="Q136" s="50"/>
      <c r="R136" s="50"/>
      <c r="S136" s="50"/>
      <c r="T136" s="50"/>
      <c r="U136" s="50"/>
      <c r="V136" s="50"/>
      <c r="W136" s="50"/>
      <c r="X136" s="50"/>
      <c r="Y136" s="50"/>
      <c r="Z136" s="50"/>
      <c r="AA136" s="50"/>
      <c r="AB136" s="50"/>
      <c r="AC136" s="50"/>
      <c r="AD136" s="50"/>
      <c r="AE136" s="50"/>
      <c r="AF136" s="50"/>
      <c r="AG136" s="50"/>
      <c r="AH136" s="50"/>
      <c r="AI136" s="50"/>
      <c r="AJ136" s="50"/>
      <c r="AK136" s="50"/>
      <c r="AL136" s="50"/>
      <c r="AM136" s="50"/>
      <c r="AN136" s="50"/>
      <c r="AO136" s="51"/>
    </row>
    <row r="137" spans="1:41" x14ac:dyDescent="0.25">
      <c r="A137" s="244"/>
      <c r="B137" s="245"/>
      <c r="C137" s="5"/>
      <c r="D137" s="5"/>
      <c r="E137" s="7" t="s">
        <v>26</v>
      </c>
      <c r="F137" s="7" t="s">
        <v>27</v>
      </c>
      <c r="G137" s="7" t="s">
        <v>28</v>
      </c>
      <c r="H137" s="7" t="s">
        <v>29</v>
      </c>
      <c r="I137" s="7" t="s">
        <v>30</v>
      </c>
      <c r="J137" s="7" t="s">
        <v>31</v>
      </c>
      <c r="K137" s="7" t="s">
        <v>32</v>
      </c>
      <c r="L137" s="7" t="s">
        <v>33</v>
      </c>
      <c r="M137" s="7" t="s">
        <v>34</v>
      </c>
      <c r="N137" s="7" t="s">
        <v>35</v>
      </c>
      <c r="O137" s="7" t="s">
        <v>36</v>
      </c>
      <c r="P137" s="7" t="s">
        <v>37</v>
      </c>
      <c r="Q137" s="7" t="s">
        <v>38</v>
      </c>
      <c r="R137" s="7" t="s">
        <v>39</v>
      </c>
      <c r="S137" s="7" t="s">
        <v>40</v>
      </c>
      <c r="T137" s="7" t="s">
        <v>41</v>
      </c>
      <c r="U137" s="7" t="s">
        <v>42</v>
      </c>
      <c r="V137" s="7" t="s">
        <v>43</v>
      </c>
      <c r="W137" s="7" t="s">
        <v>44</v>
      </c>
      <c r="X137" s="7" t="s">
        <v>45</v>
      </c>
      <c r="Y137" s="7" t="s">
        <v>46</v>
      </c>
      <c r="Z137" s="7" t="s">
        <v>47</v>
      </c>
      <c r="AA137" s="7" t="s">
        <v>48</v>
      </c>
      <c r="AB137" s="7" t="s">
        <v>49</v>
      </c>
      <c r="AC137" s="7" t="s">
        <v>50</v>
      </c>
      <c r="AD137" s="7" t="s">
        <v>51</v>
      </c>
      <c r="AE137" s="7" t="s">
        <v>52</v>
      </c>
      <c r="AF137" s="7" t="s">
        <v>53</v>
      </c>
      <c r="AG137" s="7" t="s">
        <v>54</v>
      </c>
      <c r="AH137" s="7" t="s">
        <v>55</v>
      </c>
      <c r="AI137" s="7" t="s">
        <v>56</v>
      </c>
      <c r="AJ137" s="7" t="s">
        <v>57</v>
      </c>
      <c r="AK137" s="7" t="s">
        <v>58</v>
      </c>
      <c r="AL137" s="7" t="s">
        <v>59</v>
      </c>
      <c r="AM137" s="7" t="s">
        <v>60</v>
      </c>
      <c r="AN137" s="7" t="s">
        <v>61</v>
      </c>
      <c r="AO137" s="52"/>
    </row>
    <row r="138" spans="1:41" ht="15.75" thickBot="1" x14ac:dyDescent="0.3">
      <c r="A138" s="244"/>
      <c r="B138" s="245"/>
      <c r="C138" s="5"/>
      <c r="D138" s="5"/>
      <c r="E138" s="8" t="s">
        <v>62</v>
      </c>
      <c r="F138" s="8" t="s">
        <v>63</v>
      </c>
      <c r="G138" s="8" t="s">
        <v>64</v>
      </c>
      <c r="H138" s="8" t="s">
        <v>65</v>
      </c>
      <c r="I138" s="8" t="s">
        <v>66</v>
      </c>
      <c r="J138" s="8" t="s">
        <v>67</v>
      </c>
      <c r="K138" s="8" t="s">
        <v>68</v>
      </c>
      <c r="L138" s="8" t="s">
        <v>69</v>
      </c>
      <c r="M138" s="8" t="s">
        <v>70</v>
      </c>
      <c r="N138" s="8" t="s">
        <v>71</v>
      </c>
      <c r="O138" s="8" t="s">
        <v>72</v>
      </c>
      <c r="P138" s="8" t="s">
        <v>73</v>
      </c>
      <c r="Q138" s="8" t="s">
        <v>62</v>
      </c>
      <c r="R138" s="8" t="s">
        <v>63</v>
      </c>
      <c r="S138" s="8" t="s">
        <v>64</v>
      </c>
      <c r="T138" s="8" t="s">
        <v>65</v>
      </c>
      <c r="U138" s="8" t="s">
        <v>66</v>
      </c>
      <c r="V138" s="8" t="s">
        <v>67</v>
      </c>
      <c r="W138" s="8" t="s">
        <v>68</v>
      </c>
      <c r="X138" s="8" t="s">
        <v>69</v>
      </c>
      <c r="Y138" s="8" t="s">
        <v>70</v>
      </c>
      <c r="Z138" s="8" t="s">
        <v>71</v>
      </c>
      <c r="AA138" s="8" t="s">
        <v>72</v>
      </c>
      <c r="AB138" s="8" t="s">
        <v>73</v>
      </c>
      <c r="AC138" s="8"/>
      <c r="AD138" s="8"/>
      <c r="AE138" s="8"/>
      <c r="AF138" s="8"/>
      <c r="AG138" s="8"/>
      <c r="AH138" s="8"/>
      <c r="AI138" s="8"/>
      <c r="AJ138" s="8"/>
      <c r="AK138" s="8"/>
      <c r="AL138" s="8"/>
      <c r="AM138" s="8"/>
      <c r="AN138" s="8"/>
      <c r="AO138" s="52"/>
    </row>
    <row r="139" spans="1:41" x14ac:dyDescent="0.25">
      <c r="A139" s="244"/>
      <c r="B139" s="245"/>
      <c r="C139" s="5"/>
      <c r="D139" s="20" t="s">
        <v>0</v>
      </c>
      <c r="E139" s="4" t="s">
        <v>1</v>
      </c>
      <c r="F139" s="3" t="s">
        <v>2</v>
      </c>
      <c r="G139" s="3" t="s">
        <v>3</v>
      </c>
      <c r="H139" s="3" t="s">
        <v>4</v>
      </c>
      <c r="I139" s="3" t="s">
        <v>5</v>
      </c>
      <c r="J139" s="3" t="s">
        <v>6</v>
      </c>
      <c r="K139" s="3" t="s">
        <v>7</v>
      </c>
      <c r="L139" s="3" t="s">
        <v>8</v>
      </c>
      <c r="M139" s="3" t="s">
        <v>9</v>
      </c>
      <c r="N139" s="3" t="s">
        <v>10</v>
      </c>
      <c r="O139" s="3" t="s">
        <v>11</v>
      </c>
      <c r="P139" s="28" t="s">
        <v>12</v>
      </c>
      <c r="Q139" s="4" t="s">
        <v>14</v>
      </c>
      <c r="R139" s="3" t="s">
        <v>15</v>
      </c>
      <c r="S139" s="3" t="s">
        <v>16</v>
      </c>
      <c r="T139" s="3" t="s">
        <v>17</v>
      </c>
      <c r="U139" s="3" t="s">
        <v>18</v>
      </c>
      <c r="V139" s="3" t="s">
        <v>19</v>
      </c>
      <c r="W139" s="3" t="s">
        <v>20</v>
      </c>
      <c r="X139" s="3" t="s">
        <v>21</v>
      </c>
      <c r="Y139" s="3" t="s">
        <v>22</v>
      </c>
      <c r="Z139" s="3" t="s">
        <v>23</v>
      </c>
      <c r="AA139" s="3" t="s">
        <v>24</v>
      </c>
      <c r="AB139" s="28" t="s">
        <v>25</v>
      </c>
      <c r="AC139" s="17" t="s">
        <v>74</v>
      </c>
      <c r="AD139" s="18" t="s">
        <v>75</v>
      </c>
      <c r="AE139" s="18" t="s">
        <v>76</v>
      </c>
      <c r="AF139" s="18" t="s">
        <v>77</v>
      </c>
      <c r="AG139" s="18" t="s">
        <v>78</v>
      </c>
      <c r="AH139" s="18" t="s">
        <v>79</v>
      </c>
      <c r="AI139" s="18" t="s">
        <v>80</v>
      </c>
      <c r="AJ139" s="18" t="s">
        <v>81</v>
      </c>
      <c r="AK139" s="18" t="s">
        <v>82</v>
      </c>
      <c r="AL139" s="18" t="s">
        <v>83</v>
      </c>
      <c r="AM139" s="18" t="s">
        <v>84</v>
      </c>
      <c r="AN139" s="19" t="s">
        <v>85</v>
      </c>
      <c r="AO139" s="52"/>
    </row>
    <row r="140" spans="1:41" ht="15.75" thickBot="1" x14ac:dyDescent="0.3">
      <c r="A140" s="244"/>
      <c r="B140" s="245"/>
      <c r="C140" s="5"/>
      <c r="D140" s="21" t="s">
        <v>13</v>
      </c>
      <c r="E140" s="12">
        <v>6</v>
      </c>
      <c r="F140" s="6">
        <v>8</v>
      </c>
      <c r="G140" s="6">
        <v>13</v>
      </c>
      <c r="H140" s="6">
        <v>16</v>
      </c>
      <c r="I140" s="6">
        <v>22</v>
      </c>
      <c r="J140" s="6">
        <v>26</v>
      </c>
      <c r="K140" s="6">
        <v>26</v>
      </c>
      <c r="L140" s="6">
        <v>27</v>
      </c>
      <c r="M140" s="6">
        <v>29</v>
      </c>
      <c r="N140" s="6">
        <v>29</v>
      </c>
      <c r="O140" s="6">
        <v>25</v>
      </c>
      <c r="P140" s="29">
        <v>25</v>
      </c>
      <c r="Q140" s="12">
        <v>23</v>
      </c>
      <c r="R140" s="6">
        <v>25</v>
      </c>
      <c r="S140" s="6">
        <v>30</v>
      </c>
      <c r="T140" s="6">
        <v>42</v>
      </c>
      <c r="U140" s="6">
        <v>49</v>
      </c>
      <c r="V140" s="6">
        <v>60</v>
      </c>
      <c r="W140" s="6">
        <v>55</v>
      </c>
      <c r="X140" s="6">
        <v>55</v>
      </c>
      <c r="Y140" s="6">
        <v>55</v>
      </c>
      <c r="Z140" s="6">
        <v>49</v>
      </c>
      <c r="AA140" s="6">
        <v>45</v>
      </c>
      <c r="AB140" s="29">
        <v>42</v>
      </c>
      <c r="AC140" s="13"/>
      <c r="AD140" s="7"/>
      <c r="AE140" s="7"/>
      <c r="AF140" s="7"/>
      <c r="AG140" s="7"/>
      <c r="AH140" s="7"/>
      <c r="AI140" s="7"/>
      <c r="AJ140" s="7"/>
      <c r="AK140" s="7"/>
      <c r="AL140" s="7"/>
      <c r="AM140" s="7"/>
      <c r="AN140" s="9"/>
      <c r="AO140" s="52"/>
    </row>
    <row r="141" spans="1:41" ht="15.75" thickBot="1" x14ac:dyDescent="0.3">
      <c r="A141" s="244"/>
      <c r="B141" s="245"/>
      <c r="C141" s="49" t="s">
        <v>91</v>
      </c>
      <c r="D141" s="22" t="s">
        <v>86</v>
      </c>
      <c r="E141" s="33"/>
      <c r="F141" s="32"/>
      <c r="G141" s="32"/>
      <c r="H141" s="32"/>
      <c r="I141" s="32"/>
      <c r="J141" s="32"/>
      <c r="K141" s="44">
        <v>21.708333333333332</v>
      </c>
      <c r="L141" s="44">
        <v>23.125</v>
      </c>
      <c r="M141" s="44">
        <v>24.541666666666664</v>
      </c>
      <c r="N141" s="44">
        <v>26.333333333333332</v>
      </c>
      <c r="O141" s="44">
        <v>28.541666666666664</v>
      </c>
      <c r="P141" s="48">
        <v>31.083333333333332</v>
      </c>
      <c r="Q141" s="46">
        <v>33.708333333333329</v>
      </c>
      <c r="R141" s="44">
        <v>36.083333333333329</v>
      </c>
      <c r="S141" s="44">
        <v>38.333333333333329</v>
      </c>
      <c r="T141" s="44">
        <v>40.25</v>
      </c>
      <c r="U141" s="44">
        <v>41.916666666666664</v>
      </c>
      <c r="V141" s="44">
        <v>43.458333333333329</v>
      </c>
      <c r="W141" s="32"/>
      <c r="X141" s="32"/>
      <c r="Y141" s="7"/>
      <c r="Z141" s="32"/>
      <c r="AA141" s="32"/>
      <c r="AB141" s="34"/>
      <c r="AC141" s="33"/>
      <c r="AD141" s="32"/>
      <c r="AE141" s="32"/>
      <c r="AF141" s="32"/>
      <c r="AG141" s="32"/>
      <c r="AH141" s="7"/>
      <c r="AI141" s="32"/>
      <c r="AJ141" s="32"/>
      <c r="AK141" s="32"/>
      <c r="AL141" s="32"/>
      <c r="AM141" s="32"/>
      <c r="AN141" s="42"/>
      <c r="AO141" s="52"/>
    </row>
    <row r="142" spans="1:41" ht="15.75" thickBot="1" x14ac:dyDescent="0.3">
      <c r="A142" s="244"/>
      <c r="B142" s="245"/>
      <c r="C142" s="49">
        <v>2.1103999999999998</v>
      </c>
      <c r="D142" s="22" t="s">
        <v>87</v>
      </c>
      <c r="E142" s="37">
        <v>0.68</v>
      </c>
      <c r="F142" s="36">
        <v>0.69</v>
      </c>
      <c r="G142" s="36">
        <v>0.78</v>
      </c>
      <c r="H142" s="36">
        <v>1.04</v>
      </c>
      <c r="I142" s="36">
        <v>1.17</v>
      </c>
      <c r="J142" s="36">
        <v>1.38</v>
      </c>
      <c r="K142" s="32">
        <v>1.2</v>
      </c>
      <c r="L142" s="32">
        <v>1.17</v>
      </c>
      <c r="M142" s="32">
        <v>1.18</v>
      </c>
      <c r="N142" s="32">
        <v>1.1000000000000001</v>
      </c>
      <c r="O142" s="32">
        <v>0.88</v>
      </c>
      <c r="P142" s="34">
        <v>0.8</v>
      </c>
      <c r="Q142" s="33">
        <v>0.68</v>
      </c>
      <c r="R142" s="32">
        <v>0.69</v>
      </c>
      <c r="S142" s="32">
        <v>0.78</v>
      </c>
      <c r="T142" s="32">
        <v>1.04</v>
      </c>
      <c r="U142" s="32">
        <v>1.17</v>
      </c>
      <c r="V142" s="32">
        <v>1.38</v>
      </c>
      <c r="W142" s="36">
        <v>1.2</v>
      </c>
      <c r="X142" s="36">
        <v>1.17</v>
      </c>
      <c r="Y142" s="36">
        <v>1.18</v>
      </c>
      <c r="Z142" s="36">
        <v>1.1000000000000001</v>
      </c>
      <c r="AA142" s="36">
        <v>0.88</v>
      </c>
      <c r="AB142" s="35">
        <v>0.8</v>
      </c>
      <c r="AC142" s="33">
        <v>0.68</v>
      </c>
      <c r="AD142" s="7">
        <v>0.69</v>
      </c>
      <c r="AE142" s="32">
        <v>0.78</v>
      </c>
      <c r="AF142" s="32">
        <v>1.04</v>
      </c>
      <c r="AG142" s="32">
        <v>1.17</v>
      </c>
      <c r="AH142" s="32">
        <v>1.38</v>
      </c>
      <c r="AI142" s="32">
        <v>1.2</v>
      </c>
      <c r="AJ142" s="32">
        <v>1.17</v>
      </c>
      <c r="AK142" s="32">
        <v>1.18</v>
      </c>
      <c r="AL142" s="7">
        <v>1.1000000000000001</v>
      </c>
      <c r="AM142" s="32">
        <v>0.88</v>
      </c>
      <c r="AN142" s="9">
        <v>0.8</v>
      </c>
      <c r="AO142" s="52"/>
    </row>
    <row r="143" spans="1:41" x14ac:dyDescent="0.25">
      <c r="A143" s="244"/>
      <c r="B143" s="245"/>
      <c r="C143" s="5"/>
      <c r="D143" s="22" t="s">
        <v>88</v>
      </c>
      <c r="E143" s="46">
        <v>9.045933333333334</v>
      </c>
      <c r="F143" s="44">
        <v>11.156333333333334</v>
      </c>
      <c r="G143" s="44">
        <v>13.266733333333335</v>
      </c>
      <c r="H143" s="44">
        <v>15.377133333333335</v>
      </c>
      <c r="I143" s="44">
        <v>17.487533333333335</v>
      </c>
      <c r="J143" s="44">
        <v>19.597933333333334</v>
      </c>
      <c r="K143" s="44">
        <v>21.708333333333332</v>
      </c>
      <c r="L143" s="44">
        <v>23.125</v>
      </c>
      <c r="M143" s="44">
        <v>24.541666666666664</v>
      </c>
      <c r="N143" s="44">
        <v>26.333333333333332</v>
      </c>
      <c r="O143" s="44">
        <v>28.541666666666664</v>
      </c>
      <c r="P143" s="48">
        <v>31.083333333333332</v>
      </c>
      <c r="Q143" s="46">
        <v>33.708333333333329</v>
      </c>
      <c r="R143" s="44">
        <v>36.083333333333329</v>
      </c>
      <c r="S143" s="44">
        <v>38.333333333333329</v>
      </c>
      <c r="T143" s="44">
        <v>40.25</v>
      </c>
      <c r="U143" s="44">
        <v>41.916666666666664</v>
      </c>
      <c r="V143" s="44">
        <v>43.458333333333329</v>
      </c>
      <c r="W143" s="44">
        <v>45.568733333333327</v>
      </c>
      <c r="X143" s="44">
        <v>47.679133333333326</v>
      </c>
      <c r="Y143" s="44">
        <v>49.789533333333324</v>
      </c>
      <c r="Z143" s="44">
        <v>51.899933333333323</v>
      </c>
      <c r="AA143" s="44">
        <v>54.010333333333321</v>
      </c>
      <c r="AB143" s="48">
        <v>56.12073333333332</v>
      </c>
      <c r="AC143" s="46">
        <v>58.231133333333318</v>
      </c>
      <c r="AD143" s="44">
        <v>60.341533333333317</v>
      </c>
      <c r="AE143" s="44">
        <v>62.451933333333315</v>
      </c>
      <c r="AF143" s="44">
        <v>64.562333333333314</v>
      </c>
      <c r="AG143" s="44">
        <v>66.672733333333312</v>
      </c>
      <c r="AH143" s="44">
        <v>68.783133333333311</v>
      </c>
      <c r="AI143" s="44">
        <v>70.893533333333309</v>
      </c>
      <c r="AJ143" s="44">
        <v>73.003933333333308</v>
      </c>
      <c r="AK143" s="44">
        <v>75.114333333333306</v>
      </c>
      <c r="AL143" s="44">
        <v>77.224733333333305</v>
      </c>
      <c r="AM143" s="44">
        <v>79.335133333333303</v>
      </c>
      <c r="AN143" s="45">
        <v>81.445533333333302</v>
      </c>
      <c r="AO143" s="52"/>
    </row>
    <row r="144" spans="1:41" x14ac:dyDescent="0.25">
      <c r="A144" s="244"/>
      <c r="B144" s="245"/>
      <c r="C144" s="5"/>
      <c r="D144" s="22" t="s">
        <v>89</v>
      </c>
      <c r="E144" s="33">
        <v>6.1512346666666673</v>
      </c>
      <c r="F144" s="32">
        <v>7.69787</v>
      </c>
      <c r="G144" s="32">
        <v>10.348052000000001</v>
      </c>
      <c r="H144" s="32">
        <v>15.99221866666667</v>
      </c>
      <c r="I144" s="32">
        <v>20.460414</v>
      </c>
      <c r="J144" s="32">
        <v>27.045147999999998</v>
      </c>
      <c r="K144" s="32">
        <v>26.049999999999997</v>
      </c>
      <c r="L144" s="32">
        <v>27.056249999999999</v>
      </c>
      <c r="M144" s="32">
        <v>28.959166666666661</v>
      </c>
      <c r="N144" s="32">
        <v>28.966666666666669</v>
      </c>
      <c r="O144" s="32">
        <v>25.116666666666664</v>
      </c>
      <c r="P144" s="34">
        <v>24.866666666666667</v>
      </c>
      <c r="Q144" s="33">
        <v>22.921666666666667</v>
      </c>
      <c r="R144" s="32">
        <v>24.897499999999994</v>
      </c>
      <c r="S144" s="32">
        <v>29.9</v>
      </c>
      <c r="T144" s="32">
        <v>41.86</v>
      </c>
      <c r="U144" s="32">
        <v>49.042499999999997</v>
      </c>
      <c r="V144" s="32">
        <v>59.972499999999989</v>
      </c>
      <c r="W144" s="32">
        <v>54.682479999999991</v>
      </c>
      <c r="X144" s="32">
        <v>55.78458599999999</v>
      </c>
      <c r="Y144" s="32">
        <v>58.751649333333319</v>
      </c>
      <c r="Z144" s="32">
        <v>57.089926666666656</v>
      </c>
      <c r="AA144" s="32">
        <v>47.529093333333321</v>
      </c>
      <c r="AB144" s="34">
        <v>44.896586666666657</v>
      </c>
      <c r="AC144" s="33">
        <v>39.597170666666656</v>
      </c>
      <c r="AD144" s="32">
        <v>41.635657999999985</v>
      </c>
      <c r="AE144" s="32">
        <v>48.712507999999985</v>
      </c>
      <c r="AF144" s="32">
        <v>67.144826666666646</v>
      </c>
      <c r="AG144" s="32">
        <v>78.007097999999971</v>
      </c>
      <c r="AH144" s="32">
        <v>94.920723999999964</v>
      </c>
      <c r="AI144" s="32">
        <v>85.072239999999965</v>
      </c>
      <c r="AJ144" s="32">
        <v>85.41460199999996</v>
      </c>
      <c r="AK144" s="32">
        <v>88.634913333333301</v>
      </c>
      <c r="AL144" s="32">
        <v>84.947206666666645</v>
      </c>
      <c r="AM144" s="32">
        <v>69.814917333333312</v>
      </c>
      <c r="AN144" s="42">
        <v>65.156426666666647</v>
      </c>
      <c r="AO144" s="52"/>
    </row>
    <row r="145" spans="1:41" ht="15.75" thickBot="1" x14ac:dyDescent="0.3">
      <c r="A145" s="244"/>
      <c r="B145" s="245"/>
      <c r="C145" s="5"/>
      <c r="D145" s="23" t="s">
        <v>90</v>
      </c>
      <c r="E145" s="26">
        <v>2.5205777777777882E-2</v>
      </c>
      <c r="F145" s="27">
        <v>-3.7766250000000001E-2</v>
      </c>
      <c r="G145" s="27">
        <v>-0.20399599999999993</v>
      </c>
      <c r="H145" s="27">
        <v>-4.8633333333314432E-4</v>
      </c>
      <c r="I145" s="27">
        <v>-6.9981181818181817E-2</v>
      </c>
      <c r="J145" s="27">
        <v>4.0197999999999907E-2</v>
      </c>
      <c r="K145" s="27">
        <v>1.9230769230768137E-3</v>
      </c>
      <c r="L145" s="27">
        <v>2.0833333333332808E-3</v>
      </c>
      <c r="M145" s="27">
        <v>-1.4080459770116837E-3</v>
      </c>
      <c r="N145" s="27">
        <v>-1.1494252873562566E-3</v>
      </c>
      <c r="O145" s="27">
        <v>4.6666666666665439E-3</v>
      </c>
      <c r="P145" s="31">
        <v>-5.3333333333333141E-3</v>
      </c>
      <c r="Q145" s="26">
        <v>-3.4057971014492673E-3</v>
      </c>
      <c r="R145" s="27">
        <v>-4.1000000000002501E-3</v>
      </c>
      <c r="S145" s="27">
        <v>-3.3333333333333808E-3</v>
      </c>
      <c r="T145" s="27">
        <v>-3.333333333333347E-3</v>
      </c>
      <c r="U145" s="27">
        <v>8.6734693877544644E-4</v>
      </c>
      <c r="V145" s="27">
        <v>-4.5833333333350859E-4</v>
      </c>
      <c r="W145" s="27">
        <v>-5.7730909090910713E-3</v>
      </c>
      <c r="X145" s="27">
        <v>1.4265199999999822E-2</v>
      </c>
      <c r="Y145" s="27">
        <v>6.8211806060605798E-2</v>
      </c>
      <c r="Z145" s="27">
        <v>0.16510054421768686</v>
      </c>
      <c r="AA145" s="27">
        <v>5.6202074074073807E-2</v>
      </c>
      <c r="AB145" s="31">
        <v>6.8966349206348976E-2</v>
      </c>
      <c r="AC145" s="14"/>
      <c r="AD145" s="10"/>
      <c r="AE145" s="10"/>
      <c r="AF145" s="10"/>
      <c r="AG145" s="10"/>
      <c r="AH145" s="10"/>
      <c r="AI145" s="10"/>
      <c r="AJ145" s="10"/>
      <c r="AK145" s="10"/>
      <c r="AL145" s="10"/>
      <c r="AM145" s="10"/>
      <c r="AN145" s="11"/>
      <c r="AO145" s="52"/>
    </row>
    <row r="146" spans="1:41" ht="15.75" thickBot="1" x14ac:dyDescent="0.3">
      <c r="A146" s="246"/>
      <c r="B146" s="247"/>
      <c r="C146" s="53"/>
      <c r="D146" s="53"/>
      <c r="E146" s="53"/>
      <c r="F146" s="53"/>
      <c r="G146" s="53"/>
      <c r="H146" s="53"/>
      <c r="I146" s="53"/>
      <c r="J146" s="53"/>
      <c r="K146" s="53"/>
      <c r="L146" s="53"/>
      <c r="M146" s="53"/>
      <c r="N146" s="53"/>
      <c r="O146" s="53"/>
      <c r="P146" s="53"/>
      <c r="Q146" s="53"/>
      <c r="R146" s="53"/>
      <c r="S146" s="53"/>
      <c r="T146" s="53"/>
      <c r="U146" s="53"/>
      <c r="V146" s="53"/>
      <c r="W146" s="53"/>
      <c r="X146" s="53"/>
      <c r="Y146" s="53"/>
      <c r="Z146" s="53"/>
      <c r="AA146" s="53"/>
      <c r="AB146" s="53"/>
      <c r="AC146" s="53"/>
      <c r="AD146" s="53"/>
      <c r="AE146" s="53"/>
      <c r="AF146" s="53"/>
      <c r="AG146" s="53"/>
      <c r="AH146" s="53"/>
      <c r="AI146" s="53"/>
      <c r="AJ146" s="53"/>
      <c r="AK146" s="53"/>
      <c r="AL146" s="53"/>
      <c r="AM146" s="53"/>
      <c r="AN146" s="53"/>
      <c r="AO146" s="54"/>
    </row>
    <row r="147" spans="1:41" x14ac:dyDescent="0.25">
      <c r="A147" s="248"/>
      <c r="B147" s="248"/>
      <c r="C147" s="248"/>
      <c r="D147" s="248"/>
      <c r="E147" s="248"/>
      <c r="F147" s="248"/>
      <c r="G147" s="248"/>
      <c r="H147" s="248"/>
      <c r="I147" s="248"/>
      <c r="J147" s="248"/>
      <c r="K147" s="248"/>
      <c r="L147" s="248"/>
      <c r="M147" s="248"/>
      <c r="N147" s="248"/>
      <c r="O147" s="248"/>
      <c r="P147" s="248"/>
      <c r="Q147" s="248"/>
      <c r="R147" s="248"/>
      <c r="S147" s="248"/>
      <c r="T147" s="248"/>
      <c r="U147" s="248"/>
      <c r="V147" s="248"/>
      <c r="W147" s="248"/>
      <c r="X147" s="248"/>
      <c r="Y147" s="248"/>
      <c r="Z147" s="248"/>
      <c r="AA147" s="248"/>
      <c r="AB147" s="248"/>
      <c r="AC147" s="248"/>
      <c r="AD147" s="248"/>
      <c r="AE147" s="248"/>
      <c r="AF147" s="248"/>
      <c r="AG147" s="248"/>
      <c r="AH147" s="248"/>
      <c r="AI147" s="248"/>
      <c r="AJ147" s="248"/>
      <c r="AK147" s="248"/>
      <c r="AL147" s="248"/>
      <c r="AM147" s="248"/>
      <c r="AN147" s="248"/>
      <c r="AO147" s="248"/>
    </row>
    <row r="148" spans="1:41" ht="15.75" thickBot="1" x14ac:dyDescent="0.3">
      <c r="A148" s="248"/>
      <c r="B148" s="248"/>
      <c r="C148" s="248"/>
      <c r="D148" s="248"/>
      <c r="E148" s="248"/>
      <c r="F148" s="248"/>
      <c r="G148" s="248"/>
      <c r="H148" s="248"/>
      <c r="I148" s="248"/>
      <c r="J148" s="248"/>
      <c r="K148" s="248"/>
      <c r="L148" s="248"/>
      <c r="M148" s="248"/>
      <c r="N148" s="248"/>
      <c r="O148" s="248"/>
      <c r="P148" s="248"/>
      <c r="Q148" s="248"/>
      <c r="R148" s="248"/>
      <c r="S148" s="248"/>
      <c r="T148" s="248"/>
      <c r="U148" s="248"/>
      <c r="V148" s="248"/>
      <c r="W148" s="248"/>
      <c r="X148" s="248"/>
      <c r="Y148" s="248"/>
      <c r="Z148" s="248"/>
      <c r="AA148" s="248"/>
      <c r="AB148" s="248"/>
      <c r="AC148" s="248"/>
      <c r="AD148" s="248"/>
      <c r="AE148" s="248"/>
      <c r="AF148" s="248"/>
      <c r="AG148" s="248"/>
      <c r="AH148" s="248"/>
      <c r="AI148" s="248"/>
      <c r="AJ148" s="248"/>
      <c r="AK148" s="248"/>
      <c r="AL148" s="248"/>
      <c r="AM148" s="248"/>
      <c r="AN148" s="248"/>
      <c r="AO148" s="248"/>
    </row>
    <row r="149" spans="1:41" x14ac:dyDescent="0.25">
      <c r="A149" s="242" t="s">
        <v>103</v>
      </c>
      <c r="B149" s="243"/>
      <c r="C149" s="50"/>
      <c r="D149" s="50"/>
      <c r="E149" s="50"/>
      <c r="F149" s="50"/>
      <c r="G149" s="50"/>
      <c r="H149" s="50"/>
      <c r="I149" s="50"/>
      <c r="J149" s="50"/>
      <c r="K149" s="50"/>
      <c r="L149" s="50"/>
      <c r="M149" s="50"/>
      <c r="N149" s="50"/>
      <c r="O149" s="50"/>
      <c r="P149" s="50"/>
      <c r="Q149" s="50"/>
      <c r="R149" s="50"/>
      <c r="S149" s="50"/>
      <c r="T149" s="50"/>
      <c r="U149" s="50"/>
      <c r="V149" s="50"/>
      <c r="W149" s="50"/>
      <c r="X149" s="50"/>
      <c r="Y149" s="50"/>
      <c r="Z149" s="50"/>
      <c r="AA149" s="50"/>
      <c r="AB149" s="50"/>
      <c r="AC149" s="50"/>
      <c r="AD149" s="50"/>
      <c r="AE149" s="50"/>
      <c r="AF149" s="50"/>
      <c r="AG149" s="50"/>
      <c r="AH149" s="50"/>
      <c r="AI149" s="50"/>
      <c r="AJ149" s="50"/>
      <c r="AK149" s="50"/>
      <c r="AL149" s="50"/>
      <c r="AM149" s="50"/>
      <c r="AN149" s="50"/>
      <c r="AO149" s="51"/>
    </row>
    <row r="150" spans="1:41" x14ac:dyDescent="0.25">
      <c r="A150" s="244"/>
      <c r="B150" s="245"/>
      <c r="C150" s="5"/>
      <c r="D150" s="5"/>
      <c r="E150" s="7" t="s">
        <v>26</v>
      </c>
      <c r="F150" s="7" t="s">
        <v>27</v>
      </c>
      <c r="G150" s="7" t="s">
        <v>28</v>
      </c>
      <c r="H150" s="7" t="s">
        <v>29</v>
      </c>
      <c r="I150" s="7" t="s">
        <v>30</v>
      </c>
      <c r="J150" s="7" t="s">
        <v>31</v>
      </c>
      <c r="K150" s="7" t="s">
        <v>32</v>
      </c>
      <c r="L150" s="7" t="s">
        <v>33</v>
      </c>
      <c r="M150" s="7" t="s">
        <v>34</v>
      </c>
      <c r="N150" s="7" t="s">
        <v>35</v>
      </c>
      <c r="O150" s="7" t="s">
        <v>36</v>
      </c>
      <c r="P150" s="7" t="s">
        <v>37</v>
      </c>
      <c r="Q150" s="7" t="s">
        <v>38</v>
      </c>
      <c r="R150" s="7" t="s">
        <v>39</v>
      </c>
      <c r="S150" s="7" t="s">
        <v>40</v>
      </c>
      <c r="T150" s="7" t="s">
        <v>41</v>
      </c>
      <c r="U150" s="7" t="s">
        <v>42</v>
      </c>
      <c r="V150" s="7" t="s">
        <v>43</v>
      </c>
      <c r="W150" s="7" t="s">
        <v>44</v>
      </c>
      <c r="X150" s="7" t="s">
        <v>45</v>
      </c>
      <c r="Y150" s="7" t="s">
        <v>46</v>
      </c>
      <c r="Z150" s="7" t="s">
        <v>47</v>
      </c>
      <c r="AA150" s="7" t="s">
        <v>48</v>
      </c>
      <c r="AB150" s="7" t="s">
        <v>49</v>
      </c>
      <c r="AC150" s="7" t="s">
        <v>50</v>
      </c>
      <c r="AD150" s="7" t="s">
        <v>51</v>
      </c>
      <c r="AE150" s="7" t="s">
        <v>52</v>
      </c>
      <c r="AF150" s="7" t="s">
        <v>53</v>
      </c>
      <c r="AG150" s="7" t="s">
        <v>54</v>
      </c>
      <c r="AH150" s="7" t="s">
        <v>55</v>
      </c>
      <c r="AI150" s="7" t="s">
        <v>56</v>
      </c>
      <c r="AJ150" s="7" t="s">
        <v>57</v>
      </c>
      <c r="AK150" s="7" t="s">
        <v>58</v>
      </c>
      <c r="AL150" s="7" t="s">
        <v>59</v>
      </c>
      <c r="AM150" s="7" t="s">
        <v>60</v>
      </c>
      <c r="AN150" s="7" t="s">
        <v>61</v>
      </c>
      <c r="AO150" s="52"/>
    </row>
    <row r="151" spans="1:41" ht="15.75" thickBot="1" x14ac:dyDescent="0.3">
      <c r="A151" s="244"/>
      <c r="B151" s="245"/>
      <c r="C151" s="5"/>
      <c r="D151" s="5"/>
      <c r="E151" s="8" t="s">
        <v>62</v>
      </c>
      <c r="F151" s="8" t="s">
        <v>63</v>
      </c>
      <c r="G151" s="8" t="s">
        <v>64</v>
      </c>
      <c r="H151" s="8" t="s">
        <v>65</v>
      </c>
      <c r="I151" s="8" t="s">
        <v>66</v>
      </c>
      <c r="J151" s="8" t="s">
        <v>67</v>
      </c>
      <c r="K151" s="8" t="s">
        <v>68</v>
      </c>
      <c r="L151" s="8" t="s">
        <v>69</v>
      </c>
      <c r="M151" s="8" t="s">
        <v>70</v>
      </c>
      <c r="N151" s="8" t="s">
        <v>71</v>
      </c>
      <c r="O151" s="8" t="s">
        <v>72</v>
      </c>
      <c r="P151" s="8" t="s">
        <v>73</v>
      </c>
      <c r="Q151" s="8" t="s">
        <v>62</v>
      </c>
      <c r="R151" s="8" t="s">
        <v>63</v>
      </c>
      <c r="S151" s="8" t="s">
        <v>64</v>
      </c>
      <c r="T151" s="8" t="s">
        <v>65</v>
      </c>
      <c r="U151" s="8" t="s">
        <v>66</v>
      </c>
      <c r="V151" s="8" t="s">
        <v>67</v>
      </c>
      <c r="W151" s="8" t="s">
        <v>68</v>
      </c>
      <c r="X151" s="8" t="s">
        <v>69</v>
      </c>
      <c r="Y151" s="8" t="s">
        <v>70</v>
      </c>
      <c r="Z151" s="8" t="s">
        <v>71</v>
      </c>
      <c r="AA151" s="8" t="s">
        <v>72</v>
      </c>
      <c r="AB151" s="8" t="s">
        <v>73</v>
      </c>
      <c r="AC151" s="8"/>
      <c r="AD151" s="8"/>
      <c r="AE151" s="8"/>
      <c r="AF151" s="8"/>
      <c r="AG151" s="8"/>
      <c r="AH151" s="8"/>
      <c r="AI151" s="8"/>
      <c r="AJ151" s="8"/>
      <c r="AK151" s="8"/>
      <c r="AL151" s="8"/>
      <c r="AM151" s="8"/>
      <c r="AN151" s="8"/>
      <c r="AO151" s="52"/>
    </row>
    <row r="152" spans="1:41" x14ac:dyDescent="0.25">
      <c r="A152" s="244"/>
      <c r="B152" s="245"/>
      <c r="C152" s="5"/>
      <c r="D152" s="20" t="s">
        <v>0</v>
      </c>
      <c r="E152" s="4" t="s">
        <v>1</v>
      </c>
      <c r="F152" s="3" t="s">
        <v>2</v>
      </c>
      <c r="G152" s="3" t="s">
        <v>3</v>
      </c>
      <c r="H152" s="3" t="s">
        <v>4</v>
      </c>
      <c r="I152" s="3" t="s">
        <v>5</v>
      </c>
      <c r="J152" s="3" t="s">
        <v>6</v>
      </c>
      <c r="K152" s="3" t="s">
        <v>7</v>
      </c>
      <c r="L152" s="3" t="s">
        <v>8</v>
      </c>
      <c r="M152" s="3" t="s">
        <v>9</v>
      </c>
      <c r="N152" s="3" t="s">
        <v>10</v>
      </c>
      <c r="O152" s="3" t="s">
        <v>11</v>
      </c>
      <c r="P152" s="28" t="s">
        <v>12</v>
      </c>
      <c r="Q152" s="4" t="s">
        <v>14</v>
      </c>
      <c r="R152" s="3" t="s">
        <v>15</v>
      </c>
      <c r="S152" s="3" t="s">
        <v>16</v>
      </c>
      <c r="T152" s="3" t="s">
        <v>17</v>
      </c>
      <c r="U152" s="3" t="s">
        <v>18</v>
      </c>
      <c r="V152" s="3" t="s">
        <v>19</v>
      </c>
      <c r="W152" s="3" t="s">
        <v>20</v>
      </c>
      <c r="X152" s="3" t="s">
        <v>21</v>
      </c>
      <c r="Y152" s="3" t="s">
        <v>22</v>
      </c>
      <c r="Z152" s="3" t="s">
        <v>23</v>
      </c>
      <c r="AA152" s="3" t="s">
        <v>24</v>
      </c>
      <c r="AB152" s="28" t="s">
        <v>25</v>
      </c>
      <c r="AC152" s="17" t="s">
        <v>74</v>
      </c>
      <c r="AD152" s="18" t="s">
        <v>75</v>
      </c>
      <c r="AE152" s="18" t="s">
        <v>76</v>
      </c>
      <c r="AF152" s="18" t="s">
        <v>77</v>
      </c>
      <c r="AG152" s="18" t="s">
        <v>78</v>
      </c>
      <c r="AH152" s="18" t="s">
        <v>79</v>
      </c>
      <c r="AI152" s="18" t="s">
        <v>80</v>
      </c>
      <c r="AJ152" s="18" t="s">
        <v>81</v>
      </c>
      <c r="AK152" s="18" t="s">
        <v>82</v>
      </c>
      <c r="AL152" s="18" t="s">
        <v>83</v>
      </c>
      <c r="AM152" s="18" t="s">
        <v>84</v>
      </c>
      <c r="AN152" s="19" t="s">
        <v>85</v>
      </c>
      <c r="AO152" s="52"/>
    </row>
    <row r="153" spans="1:41" ht="15.75" thickBot="1" x14ac:dyDescent="0.3">
      <c r="A153" s="244"/>
      <c r="B153" s="245"/>
      <c r="C153" s="5"/>
      <c r="D153" s="21" t="s">
        <v>13</v>
      </c>
      <c r="E153" s="12">
        <v>182</v>
      </c>
      <c r="F153" s="6">
        <v>226</v>
      </c>
      <c r="G153" s="6">
        <v>316</v>
      </c>
      <c r="H153" s="6">
        <v>366</v>
      </c>
      <c r="I153" s="6">
        <v>455</v>
      </c>
      <c r="J153" s="6">
        <v>496</v>
      </c>
      <c r="K153" s="6">
        <v>484</v>
      </c>
      <c r="L153" s="6">
        <v>472</v>
      </c>
      <c r="M153" s="6">
        <v>490</v>
      </c>
      <c r="N153" s="6">
        <v>505</v>
      </c>
      <c r="O153" s="6">
        <v>459</v>
      </c>
      <c r="P153" s="29">
        <v>442</v>
      </c>
      <c r="Q153" s="12">
        <v>344</v>
      </c>
      <c r="R153" s="6">
        <v>370</v>
      </c>
      <c r="S153" s="6">
        <v>430</v>
      </c>
      <c r="T153" s="6">
        <v>583</v>
      </c>
      <c r="U153" s="6">
        <v>674</v>
      </c>
      <c r="V153" s="6">
        <v>801</v>
      </c>
      <c r="W153" s="6">
        <v>722</v>
      </c>
      <c r="X153" s="6">
        <v>712</v>
      </c>
      <c r="Y153" s="6">
        <v>700</v>
      </c>
      <c r="Z153" s="6">
        <v>625</v>
      </c>
      <c r="AA153" s="6">
        <v>567</v>
      </c>
      <c r="AB153" s="29">
        <v>516</v>
      </c>
      <c r="AC153" s="13"/>
      <c r="AD153" s="7"/>
      <c r="AE153" s="7"/>
      <c r="AF153" s="7"/>
      <c r="AG153" s="7"/>
      <c r="AH153" s="7"/>
      <c r="AI153" s="7"/>
      <c r="AJ153" s="7"/>
      <c r="AK153" s="7"/>
      <c r="AL153" s="7"/>
      <c r="AM153" s="7"/>
      <c r="AN153" s="9"/>
      <c r="AO153" s="52"/>
    </row>
    <row r="154" spans="1:41" ht="15.75" thickBot="1" x14ac:dyDescent="0.3">
      <c r="A154" s="244"/>
      <c r="B154" s="245"/>
      <c r="C154" s="49" t="s">
        <v>91</v>
      </c>
      <c r="D154" s="22" t="s">
        <v>86</v>
      </c>
      <c r="E154" s="33"/>
      <c r="F154" s="32"/>
      <c r="G154" s="32"/>
      <c r="H154" s="32"/>
      <c r="I154" s="32"/>
      <c r="J154" s="32"/>
      <c r="K154" s="44">
        <v>414.5</v>
      </c>
      <c r="L154" s="44">
        <v>427.25</v>
      </c>
      <c r="M154" s="44">
        <v>438</v>
      </c>
      <c r="N154" s="44">
        <v>451.79166666666663</v>
      </c>
      <c r="O154" s="44">
        <v>469.95833333333331</v>
      </c>
      <c r="P154" s="48">
        <v>491.79166666666663</v>
      </c>
      <c r="Q154" s="46">
        <v>514.41666666666663</v>
      </c>
      <c r="R154" s="44">
        <v>534.33333333333326</v>
      </c>
      <c r="S154" s="44">
        <v>553.08333333333326</v>
      </c>
      <c r="T154" s="44">
        <v>566.83333333333326</v>
      </c>
      <c r="U154" s="44">
        <v>576.33333333333326</v>
      </c>
      <c r="V154" s="44">
        <v>583.91666666666663</v>
      </c>
      <c r="W154" s="32"/>
      <c r="X154" s="32"/>
      <c r="Y154" s="7"/>
      <c r="Z154" s="32"/>
      <c r="AA154" s="32"/>
      <c r="AB154" s="34"/>
      <c r="AC154" s="33"/>
      <c r="AD154" s="32"/>
      <c r="AE154" s="32"/>
      <c r="AF154" s="32"/>
      <c r="AG154" s="32"/>
      <c r="AH154" s="7"/>
      <c r="AI154" s="32"/>
      <c r="AJ154" s="32"/>
      <c r="AK154" s="32"/>
      <c r="AL154" s="32"/>
      <c r="AM154" s="32"/>
      <c r="AN154" s="42"/>
      <c r="AO154" s="52"/>
    </row>
    <row r="155" spans="1:41" ht="15.75" thickBot="1" x14ac:dyDescent="0.3">
      <c r="A155" s="244"/>
      <c r="B155" s="245"/>
      <c r="C155" s="49">
        <v>16.885999999999999</v>
      </c>
      <c r="D155" s="22" t="s">
        <v>87</v>
      </c>
      <c r="E155" s="37">
        <v>0.67</v>
      </c>
      <c r="F155" s="36">
        <v>0.69</v>
      </c>
      <c r="G155" s="36">
        <v>0.78</v>
      </c>
      <c r="H155" s="36">
        <v>1.03</v>
      </c>
      <c r="I155" s="36">
        <v>1.17</v>
      </c>
      <c r="J155" s="36">
        <v>1.37</v>
      </c>
      <c r="K155" s="32">
        <v>1.17</v>
      </c>
      <c r="L155" s="32">
        <v>1.1000000000000001</v>
      </c>
      <c r="M155" s="32">
        <v>1.1200000000000001</v>
      </c>
      <c r="N155" s="32">
        <v>1.1200000000000001</v>
      </c>
      <c r="O155" s="32">
        <v>0.98</v>
      </c>
      <c r="P155" s="34">
        <v>0.9</v>
      </c>
      <c r="Q155" s="33">
        <v>0.67</v>
      </c>
      <c r="R155" s="32">
        <v>0.69</v>
      </c>
      <c r="S155" s="32">
        <v>0.78</v>
      </c>
      <c r="T155" s="32">
        <v>1.03</v>
      </c>
      <c r="U155" s="32">
        <v>1.17</v>
      </c>
      <c r="V155" s="32">
        <v>1.37</v>
      </c>
      <c r="W155" s="36">
        <v>1.17</v>
      </c>
      <c r="X155" s="36">
        <v>1.1000000000000001</v>
      </c>
      <c r="Y155" s="36">
        <v>1.1200000000000001</v>
      </c>
      <c r="Z155" s="36">
        <v>1.1200000000000001</v>
      </c>
      <c r="AA155" s="36">
        <v>0.98</v>
      </c>
      <c r="AB155" s="35">
        <v>0.9</v>
      </c>
      <c r="AC155" s="33">
        <v>0.67</v>
      </c>
      <c r="AD155" s="7">
        <v>0.69</v>
      </c>
      <c r="AE155" s="32">
        <v>0.78</v>
      </c>
      <c r="AF155" s="32">
        <v>1.03</v>
      </c>
      <c r="AG155" s="32">
        <v>1.17</v>
      </c>
      <c r="AH155" s="32">
        <v>1.37</v>
      </c>
      <c r="AI155" s="32">
        <v>1.17</v>
      </c>
      <c r="AJ155" s="32">
        <v>1.1000000000000001</v>
      </c>
      <c r="AK155" s="32">
        <v>1.1200000000000001</v>
      </c>
      <c r="AL155" s="7">
        <v>1.1200000000000001</v>
      </c>
      <c r="AM155" s="32">
        <v>0.98</v>
      </c>
      <c r="AN155" s="9">
        <v>0.9</v>
      </c>
      <c r="AO155" s="52"/>
    </row>
    <row r="156" spans="1:41" x14ac:dyDescent="0.25">
      <c r="A156" s="244"/>
      <c r="B156" s="245"/>
      <c r="C156" s="5"/>
      <c r="D156" s="22" t="s">
        <v>88</v>
      </c>
      <c r="E156" s="46">
        <v>313.18399999999986</v>
      </c>
      <c r="F156" s="44">
        <v>330.06999999999988</v>
      </c>
      <c r="G156" s="44">
        <v>346.9559999999999</v>
      </c>
      <c r="H156" s="44">
        <v>363.84199999999993</v>
      </c>
      <c r="I156" s="44">
        <v>380.72799999999995</v>
      </c>
      <c r="J156" s="44">
        <v>397.61399999999998</v>
      </c>
      <c r="K156" s="44">
        <v>414.5</v>
      </c>
      <c r="L156" s="44">
        <v>427.25</v>
      </c>
      <c r="M156" s="44">
        <v>438</v>
      </c>
      <c r="N156" s="44">
        <v>451.79166666666663</v>
      </c>
      <c r="O156" s="44">
        <v>469.95833333333331</v>
      </c>
      <c r="P156" s="48">
        <v>491.79166666666663</v>
      </c>
      <c r="Q156" s="46">
        <v>514.41666666666663</v>
      </c>
      <c r="R156" s="44">
        <v>534.33333333333326</v>
      </c>
      <c r="S156" s="44">
        <v>553.08333333333326</v>
      </c>
      <c r="T156" s="44">
        <v>566.83333333333326</v>
      </c>
      <c r="U156" s="44">
        <v>576.33333333333326</v>
      </c>
      <c r="V156" s="44">
        <v>583.91666666666663</v>
      </c>
      <c r="W156" s="44">
        <v>600.8026666666666</v>
      </c>
      <c r="X156" s="44">
        <v>617.68866666666656</v>
      </c>
      <c r="Y156" s="44">
        <v>634.57466666666653</v>
      </c>
      <c r="Z156" s="44">
        <v>651.4606666666665</v>
      </c>
      <c r="AA156" s="44">
        <v>668.34666666666647</v>
      </c>
      <c r="AB156" s="48">
        <v>685.23266666666643</v>
      </c>
      <c r="AC156" s="46">
        <v>702.1186666666664</v>
      </c>
      <c r="AD156" s="44">
        <v>719.00466666666637</v>
      </c>
      <c r="AE156" s="44">
        <v>735.89066666666633</v>
      </c>
      <c r="AF156" s="44">
        <v>752.7766666666663</v>
      </c>
      <c r="AG156" s="44">
        <v>769.66266666666627</v>
      </c>
      <c r="AH156" s="44">
        <v>786.54866666666624</v>
      </c>
      <c r="AI156" s="44">
        <v>803.4346666666662</v>
      </c>
      <c r="AJ156" s="44">
        <v>820.32066666666617</v>
      </c>
      <c r="AK156" s="44">
        <v>837.20666666666614</v>
      </c>
      <c r="AL156" s="44">
        <v>854.0926666666661</v>
      </c>
      <c r="AM156" s="44">
        <v>870.97866666666607</v>
      </c>
      <c r="AN156" s="45">
        <v>887.86466666666604</v>
      </c>
      <c r="AO156" s="52"/>
    </row>
    <row r="157" spans="1:41" x14ac:dyDescent="0.25">
      <c r="A157" s="244"/>
      <c r="B157" s="245"/>
      <c r="C157" s="5"/>
      <c r="D157" s="22" t="s">
        <v>89</v>
      </c>
      <c r="E157" s="33">
        <v>209.83327999999992</v>
      </c>
      <c r="F157" s="32">
        <v>227.74829999999989</v>
      </c>
      <c r="G157" s="32">
        <v>270.62567999999993</v>
      </c>
      <c r="H157" s="32">
        <v>374.75725999999992</v>
      </c>
      <c r="I157" s="32">
        <v>445.45175999999992</v>
      </c>
      <c r="J157" s="32">
        <v>544.73117999999999</v>
      </c>
      <c r="K157" s="32">
        <v>484.96499999999997</v>
      </c>
      <c r="L157" s="32">
        <v>469.97500000000002</v>
      </c>
      <c r="M157" s="32">
        <v>490.56000000000006</v>
      </c>
      <c r="N157" s="32">
        <v>506.00666666666666</v>
      </c>
      <c r="O157" s="32">
        <v>460.55916666666661</v>
      </c>
      <c r="P157" s="34">
        <v>442.61249999999995</v>
      </c>
      <c r="Q157" s="33">
        <v>344.65916666666664</v>
      </c>
      <c r="R157" s="32">
        <v>368.68999999999994</v>
      </c>
      <c r="S157" s="32">
        <v>431.40499999999997</v>
      </c>
      <c r="T157" s="32">
        <v>583.83833333333325</v>
      </c>
      <c r="U157" s="32">
        <v>674.30999999999983</v>
      </c>
      <c r="V157" s="32">
        <v>799.96583333333331</v>
      </c>
      <c r="W157" s="32">
        <v>702.93911999999989</v>
      </c>
      <c r="X157" s="32">
        <v>679.45753333333323</v>
      </c>
      <c r="Y157" s="32">
        <v>710.72362666666663</v>
      </c>
      <c r="Z157" s="32">
        <v>729.63594666666654</v>
      </c>
      <c r="AA157" s="32">
        <v>654.97973333333312</v>
      </c>
      <c r="AB157" s="34">
        <v>616.70939999999985</v>
      </c>
      <c r="AC157" s="33">
        <v>470.41950666666651</v>
      </c>
      <c r="AD157" s="32">
        <v>496.11321999999973</v>
      </c>
      <c r="AE157" s="32">
        <v>573.9947199999998</v>
      </c>
      <c r="AF157" s="32">
        <v>775.35996666666631</v>
      </c>
      <c r="AG157" s="32">
        <v>900.50531999999953</v>
      </c>
      <c r="AH157" s="32">
        <v>1077.5716733333329</v>
      </c>
      <c r="AI157" s="32">
        <v>940.01855999999941</v>
      </c>
      <c r="AJ157" s="32">
        <v>902.35273333333282</v>
      </c>
      <c r="AK157" s="32">
        <v>937.67146666666622</v>
      </c>
      <c r="AL157" s="32">
        <v>956.58378666666613</v>
      </c>
      <c r="AM157" s="32">
        <v>853.55909333333273</v>
      </c>
      <c r="AN157" s="42">
        <v>799.07819999999947</v>
      </c>
      <c r="AO157" s="52"/>
    </row>
    <row r="158" spans="1:41" ht="15.75" thickBot="1" x14ac:dyDescent="0.3">
      <c r="A158" s="244"/>
      <c r="B158" s="245"/>
      <c r="C158" s="5"/>
      <c r="D158" s="23" t="s">
        <v>90</v>
      </c>
      <c r="E158" s="26">
        <v>0.15293010989010944</v>
      </c>
      <c r="F158" s="27">
        <v>7.7358407079641004E-3</v>
      </c>
      <c r="G158" s="27">
        <v>-0.14358962025316477</v>
      </c>
      <c r="H158" s="27">
        <v>2.3926939890710156E-2</v>
      </c>
      <c r="I158" s="27">
        <v>-2.0985142857143028E-2</v>
      </c>
      <c r="J158" s="27">
        <v>9.8248346774193543E-2</v>
      </c>
      <c r="K158" s="27">
        <v>1.9938016528925104E-3</v>
      </c>
      <c r="L158" s="27">
        <v>-4.290254237288087E-3</v>
      </c>
      <c r="M158" s="27">
        <v>1.1428571428572635E-3</v>
      </c>
      <c r="N158" s="27">
        <v>1.9933993399339814E-3</v>
      </c>
      <c r="O158" s="27">
        <v>3.3968772694261719E-3</v>
      </c>
      <c r="P158" s="31">
        <v>1.3857466063347387E-3</v>
      </c>
      <c r="Q158" s="26">
        <v>1.9161821705425454E-3</v>
      </c>
      <c r="R158" s="27">
        <v>-3.5405405405407003E-3</v>
      </c>
      <c r="S158" s="27">
        <v>3.2674418604650528E-3</v>
      </c>
      <c r="T158" s="27">
        <v>1.4379645511719606E-3</v>
      </c>
      <c r="U158" s="27">
        <v>4.5994065281874144E-4</v>
      </c>
      <c r="V158" s="27">
        <v>-1.2910944652518009E-3</v>
      </c>
      <c r="W158" s="27">
        <v>-2.6400110803324255E-2</v>
      </c>
      <c r="X158" s="27">
        <v>-4.5705711610487032E-2</v>
      </c>
      <c r="Y158" s="27">
        <v>1.5319466666666618E-2</v>
      </c>
      <c r="Z158" s="27">
        <v>0.16741751466666646</v>
      </c>
      <c r="AA158" s="27">
        <v>0.15516707818930003</v>
      </c>
      <c r="AB158" s="31">
        <v>0.1951732558139532</v>
      </c>
      <c r="AC158" s="14"/>
      <c r="AD158" s="10"/>
      <c r="AE158" s="10"/>
      <c r="AF158" s="10"/>
      <c r="AG158" s="10"/>
      <c r="AH158" s="10"/>
      <c r="AI158" s="10"/>
      <c r="AJ158" s="10"/>
      <c r="AK158" s="10"/>
      <c r="AL158" s="10"/>
      <c r="AM158" s="10"/>
      <c r="AN158" s="11"/>
      <c r="AO158" s="52"/>
    </row>
    <row r="159" spans="1:41" ht="15.75" thickBot="1" x14ac:dyDescent="0.3">
      <c r="A159" s="246"/>
      <c r="B159" s="247"/>
      <c r="C159" s="53"/>
      <c r="D159" s="53"/>
      <c r="E159" s="53"/>
      <c r="F159" s="53"/>
      <c r="G159" s="53"/>
      <c r="H159" s="53"/>
      <c r="I159" s="53"/>
      <c r="J159" s="53"/>
      <c r="K159" s="53"/>
      <c r="L159" s="53"/>
      <c r="M159" s="53"/>
      <c r="N159" s="53"/>
      <c r="O159" s="53"/>
      <c r="P159" s="53"/>
      <c r="Q159" s="53"/>
      <c r="R159" s="53"/>
      <c r="S159" s="53"/>
      <c r="T159" s="53"/>
      <c r="U159" s="53"/>
      <c r="V159" s="53"/>
      <c r="W159" s="53"/>
      <c r="X159" s="53"/>
      <c r="Y159" s="53"/>
      <c r="Z159" s="53"/>
      <c r="AA159" s="53"/>
      <c r="AB159" s="53"/>
      <c r="AC159" s="53"/>
      <c r="AD159" s="53"/>
      <c r="AE159" s="53"/>
      <c r="AF159" s="53"/>
      <c r="AG159" s="53"/>
      <c r="AH159" s="53"/>
      <c r="AI159" s="53"/>
      <c r="AJ159" s="53"/>
      <c r="AK159" s="53"/>
      <c r="AL159" s="53"/>
      <c r="AM159" s="53"/>
      <c r="AN159" s="53"/>
      <c r="AO159" s="54"/>
    </row>
    <row r="160" spans="1:41" x14ac:dyDescent="0.25">
      <c r="A160" s="248"/>
      <c r="B160" s="248"/>
      <c r="C160" s="248"/>
      <c r="D160" s="248"/>
      <c r="E160" s="248"/>
      <c r="F160" s="248"/>
      <c r="G160" s="248"/>
      <c r="H160" s="248"/>
      <c r="I160" s="248"/>
      <c r="J160" s="248"/>
      <c r="K160" s="248"/>
      <c r="L160" s="248"/>
      <c r="M160" s="248"/>
      <c r="N160" s="248"/>
      <c r="O160" s="248"/>
      <c r="P160" s="248"/>
      <c r="Q160" s="248"/>
      <c r="R160" s="248"/>
      <c r="S160" s="248"/>
      <c r="T160" s="248"/>
      <c r="U160" s="248"/>
      <c r="V160" s="248"/>
      <c r="W160" s="248"/>
      <c r="X160" s="248"/>
      <c r="Y160" s="248"/>
      <c r="Z160" s="248"/>
      <c r="AA160" s="248"/>
      <c r="AB160" s="248"/>
      <c r="AC160" s="248"/>
      <c r="AD160" s="248"/>
      <c r="AE160" s="248"/>
      <c r="AF160" s="248"/>
      <c r="AG160" s="248"/>
      <c r="AH160" s="248"/>
      <c r="AI160" s="248"/>
      <c r="AJ160" s="248"/>
      <c r="AK160" s="248"/>
      <c r="AL160" s="248"/>
      <c r="AM160" s="248"/>
      <c r="AN160" s="248"/>
      <c r="AO160" s="248"/>
    </row>
    <row r="161" spans="1:41" x14ac:dyDescent="0.25">
      <c r="A161" s="248"/>
      <c r="B161" s="248"/>
      <c r="C161" s="248"/>
      <c r="D161" s="248"/>
      <c r="E161" s="248"/>
      <c r="F161" s="248"/>
      <c r="G161" s="248"/>
      <c r="H161" s="248"/>
      <c r="I161" s="248"/>
      <c r="J161" s="248"/>
      <c r="K161" s="248"/>
      <c r="L161" s="248"/>
      <c r="M161" s="248"/>
      <c r="N161" s="248"/>
      <c r="O161" s="248"/>
      <c r="P161" s="248"/>
      <c r="Q161" s="248"/>
      <c r="R161" s="248"/>
      <c r="S161" s="248"/>
      <c r="T161" s="248"/>
      <c r="U161" s="248"/>
      <c r="V161" s="248"/>
      <c r="W161" s="248"/>
      <c r="X161" s="248"/>
      <c r="Y161" s="248"/>
      <c r="Z161" s="248"/>
      <c r="AA161" s="248"/>
      <c r="AB161" s="248"/>
      <c r="AC161" s="248"/>
      <c r="AD161" s="248"/>
      <c r="AE161" s="248"/>
      <c r="AF161" s="248"/>
      <c r="AG161" s="248"/>
      <c r="AH161" s="248"/>
      <c r="AI161" s="248"/>
      <c r="AJ161" s="248"/>
      <c r="AK161" s="248"/>
      <c r="AL161" s="248"/>
      <c r="AM161" s="248"/>
      <c r="AN161" s="248"/>
      <c r="AO161" s="248"/>
    </row>
  </sheetData>
  <mergeCells count="26">
    <mergeCell ref="A30:AO31"/>
    <mergeCell ref="A1:AO3"/>
    <mergeCell ref="A4:AO5"/>
    <mergeCell ref="A6:B16"/>
    <mergeCell ref="A17:AO18"/>
    <mergeCell ref="A19:B29"/>
    <mergeCell ref="A71:B81"/>
    <mergeCell ref="A82:AO83"/>
    <mergeCell ref="A84:B94"/>
    <mergeCell ref="A95:AO96"/>
    <mergeCell ref="A32:B42"/>
    <mergeCell ref="A43:AO44"/>
    <mergeCell ref="A45:B55"/>
    <mergeCell ref="A56:AO57"/>
    <mergeCell ref="A58:B68"/>
    <mergeCell ref="A69:AO70"/>
    <mergeCell ref="A136:B146"/>
    <mergeCell ref="A147:AO148"/>
    <mergeCell ref="A149:B159"/>
    <mergeCell ref="A160:AO161"/>
    <mergeCell ref="A97:B107"/>
    <mergeCell ref="A108:AO109"/>
    <mergeCell ref="A110:B120"/>
    <mergeCell ref="A121:AO122"/>
    <mergeCell ref="A123:B133"/>
    <mergeCell ref="A134:AO13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AN13"/>
  <sheetViews>
    <sheetView workbookViewId="0"/>
  </sheetViews>
  <sheetFormatPr baseColWidth="10" defaultRowHeight="15" x14ac:dyDescent="0.25"/>
  <cols>
    <col min="2" max="2" width="14.85546875" bestFit="1" customWidth="1"/>
    <col min="3" max="11" width="6.42578125" bestFit="1" customWidth="1"/>
    <col min="12" max="14" width="7.42578125" bestFit="1" customWidth="1"/>
    <col min="15" max="23" width="6.42578125" bestFit="1" customWidth="1"/>
    <col min="24" max="26" width="7.42578125" bestFit="1" customWidth="1"/>
    <col min="27" max="27" width="6.42578125" customWidth="1"/>
    <col min="28" max="29" width="6.5703125" customWidth="1"/>
    <col min="30" max="31" width="6.7109375" customWidth="1"/>
    <col min="32" max="32" width="6.5703125" customWidth="1"/>
    <col min="33" max="34" width="6.85546875" customWidth="1"/>
    <col min="35" max="35" width="6.42578125" customWidth="1"/>
    <col min="36" max="37" width="6.7109375" bestFit="1" customWidth="1"/>
    <col min="38" max="38" width="8.140625" customWidth="1"/>
  </cols>
  <sheetData>
    <row r="2" spans="2:40" ht="14.45" x14ac:dyDescent="0.3">
      <c r="B2" s="2"/>
      <c r="C2" s="7" t="s">
        <v>26</v>
      </c>
      <c r="D2" s="7" t="s">
        <v>27</v>
      </c>
      <c r="E2" s="7" t="s">
        <v>28</v>
      </c>
      <c r="F2" s="7" t="s">
        <v>29</v>
      </c>
      <c r="G2" s="7" t="s">
        <v>30</v>
      </c>
      <c r="H2" s="7" t="s">
        <v>31</v>
      </c>
      <c r="I2" s="7" t="s">
        <v>32</v>
      </c>
      <c r="J2" s="7" t="s">
        <v>33</v>
      </c>
      <c r="K2" s="7" t="s">
        <v>34</v>
      </c>
      <c r="L2" s="7" t="s">
        <v>35</v>
      </c>
      <c r="M2" s="7" t="s">
        <v>36</v>
      </c>
      <c r="N2" s="7" t="s">
        <v>37</v>
      </c>
      <c r="O2" s="7" t="s">
        <v>38</v>
      </c>
      <c r="P2" s="7" t="s">
        <v>39</v>
      </c>
      <c r="Q2" s="7" t="s">
        <v>40</v>
      </c>
      <c r="R2" s="7" t="s">
        <v>41</v>
      </c>
      <c r="S2" s="7" t="s">
        <v>42</v>
      </c>
      <c r="T2" s="7" t="s">
        <v>43</v>
      </c>
      <c r="U2" s="7" t="s">
        <v>44</v>
      </c>
      <c r="V2" s="7" t="s">
        <v>45</v>
      </c>
      <c r="W2" s="7" t="s">
        <v>46</v>
      </c>
      <c r="X2" s="7" t="s">
        <v>47</v>
      </c>
      <c r="Y2" s="7" t="s">
        <v>48</v>
      </c>
      <c r="Z2" s="7" t="s">
        <v>49</v>
      </c>
      <c r="AA2" s="7" t="s">
        <v>50</v>
      </c>
      <c r="AB2" s="7" t="s">
        <v>51</v>
      </c>
      <c r="AC2" s="7" t="s">
        <v>52</v>
      </c>
      <c r="AD2" s="7" t="s">
        <v>53</v>
      </c>
      <c r="AE2" s="7" t="s">
        <v>54</v>
      </c>
      <c r="AF2" s="7" t="s">
        <v>55</v>
      </c>
      <c r="AG2" s="7" t="s">
        <v>56</v>
      </c>
      <c r="AH2" s="7" t="s">
        <v>57</v>
      </c>
      <c r="AI2" s="7" t="s">
        <v>58</v>
      </c>
      <c r="AJ2" s="7" t="s">
        <v>59</v>
      </c>
      <c r="AK2" s="7" t="s">
        <v>60</v>
      </c>
      <c r="AL2" s="7" t="s">
        <v>61</v>
      </c>
    </row>
    <row r="3" spans="2:40" thickBot="1" x14ac:dyDescent="0.35">
      <c r="B3" s="2"/>
      <c r="C3" s="8" t="s">
        <v>62</v>
      </c>
      <c r="D3" s="8" t="s">
        <v>63</v>
      </c>
      <c r="E3" s="8" t="s">
        <v>64</v>
      </c>
      <c r="F3" s="8" t="s">
        <v>65</v>
      </c>
      <c r="G3" s="8" t="s">
        <v>66</v>
      </c>
      <c r="H3" s="8" t="s">
        <v>67</v>
      </c>
      <c r="I3" s="8" t="s">
        <v>68</v>
      </c>
      <c r="J3" s="8" t="s">
        <v>69</v>
      </c>
      <c r="K3" s="8" t="s">
        <v>70</v>
      </c>
      <c r="L3" s="8" t="s">
        <v>71</v>
      </c>
      <c r="M3" s="8" t="s">
        <v>72</v>
      </c>
      <c r="N3" s="8" t="s">
        <v>73</v>
      </c>
      <c r="O3" s="8" t="s">
        <v>62</v>
      </c>
      <c r="P3" s="8" t="s">
        <v>63</v>
      </c>
      <c r="Q3" s="8" t="s">
        <v>64</v>
      </c>
      <c r="R3" s="8" t="s">
        <v>65</v>
      </c>
      <c r="S3" s="8" t="s">
        <v>66</v>
      </c>
      <c r="T3" s="8" t="s">
        <v>67</v>
      </c>
      <c r="U3" s="8" t="s">
        <v>68</v>
      </c>
      <c r="V3" s="8" t="s">
        <v>69</v>
      </c>
      <c r="W3" s="8" t="s">
        <v>70</v>
      </c>
      <c r="X3" s="8" t="s">
        <v>71</v>
      </c>
      <c r="Y3" s="8" t="s">
        <v>72</v>
      </c>
      <c r="Z3" s="8" t="s">
        <v>73</v>
      </c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</row>
    <row r="4" spans="2:40" ht="14.45" x14ac:dyDescent="0.3">
      <c r="B4" s="20" t="s">
        <v>0</v>
      </c>
      <c r="C4" s="4" t="s">
        <v>1</v>
      </c>
      <c r="D4" s="3" t="s">
        <v>2</v>
      </c>
      <c r="E4" s="3" t="s">
        <v>3</v>
      </c>
      <c r="F4" s="3" t="s">
        <v>4</v>
      </c>
      <c r="G4" s="3" t="s">
        <v>5</v>
      </c>
      <c r="H4" s="3" t="s">
        <v>6</v>
      </c>
      <c r="I4" s="3" t="s">
        <v>7</v>
      </c>
      <c r="J4" s="3" t="s">
        <v>8</v>
      </c>
      <c r="K4" s="3" t="s">
        <v>9</v>
      </c>
      <c r="L4" s="3" t="s">
        <v>10</v>
      </c>
      <c r="M4" s="3" t="s">
        <v>11</v>
      </c>
      <c r="N4" s="28" t="s">
        <v>12</v>
      </c>
      <c r="O4" s="4" t="s">
        <v>14</v>
      </c>
      <c r="P4" s="3" t="s">
        <v>15</v>
      </c>
      <c r="Q4" s="3" t="s">
        <v>16</v>
      </c>
      <c r="R4" s="3" t="s">
        <v>17</v>
      </c>
      <c r="S4" s="3" t="s">
        <v>18</v>
      </c>
      <c r="T4" s="3" t="s">
        <v>19</v>
      </c>
      <c r="U4" s="3" t="s">
        <v>20</v>
      </c>
      <c r="V4" s="3" t="s">
        <v>21</v>
      </c>
      <c r="W4" s="3" t="s">
        <v>22</v>
      </c>
      <c r="X4" s="3" t="s">
        <v>23</v>
      </c>
      <c r="Y4" s="3" t="s">
        <v>24</v>
      </c>
      <c r="Z4" s="28" t="s">
        <v>25</v>
      </c>
      <c r="AA4" s="17" t="s">
        <v>74</v>
      </c>
      <c r="AB4" s="18" t="s">
        <v>75</v>
      </c>
      <c r="AC4" s="18" t="s">
        <v>76</v>
      </c>
      <c r="AD4" s="18" t="s">
        <v>77</v>
      </c>
      <c r="AE4" s="18" t="s">
        <v>78</v>
      </c>
      <c r="AF4" s="18" t="s">
        <v>79</v>
      </c>
      <c r="AG4" s="18" t="s">
        <v>80</v>
      </c>
      <c r="AH4" s="18" t="s">
        <v>81</v>
      </c>
      <c r="AI4" s="18" t="s">
        <v>82</v>
      </c>
      <c r="AJ4" s="18" t="s">
        <v>83</v>
      </c>
      <c r="AK4" s="18" t="s">
        <v>84</v>
      </c>
      <c r="AL4" s="19" t="s">
        <v>85</v>
      </c>
    </row>
    <row r="5" spans="2:40" ht="14.45" x14ac:dyDescent="0.3">
      <c r="B5" s="21" t="s">
        <v>13</v>
      </c>
      <c r="C5" s="12">
        <v>168</v>
      </c>
      <c r="D5" s="6">
        <v>213</v>
      </c>
      <c r="E5" s="6">
        <v>300</v>
      </c>
      <c r="F5" s="6">
        <v>354</v>
      </c>
      <c r="G5" s="6">
        <v>443</v>
      </c>
      <c r="H5" s="6">
        <v>488</v>
      </c>
      <c r="I5" s="6">
        <v>484</v>
      </c>
      <c r="J5" s="6">
        <v>476</v>
      </c>
      <c r="K5" s="6">
        <v>500</v>
      </c>
      <c r="L5" s="6">
        <v>492</v>
      </c>
      <c r="M5" s="6">
        <v>413</v>
      </c>
      <c r="N5" s="29">
        <v>396</v>
      </c>
      <c r="O5" s="12">
        <v>360</v>
      </c>
      <c r="P5" s="6">
        <v>391</v>
      </c>
      <c r="Q5" s="6">
        <v>457</v>
      </c>
      <c r="R5" s="6">
        <v>621</v>
      </c>
      <c r="S5" s="6">
        <v>722</v>
      </c>
      <c r="T5" s="6">
        <v>860</v>
      </c>
      <c r="U5" s="6">
        <v>778</v>
      </c>
      <c r="V5" s="6">
        <v>770</v>
      </c>
      <c r="W5" s="6">
        <v>760</v>
      </c>
      <c r="X5" s="6">
        <v>683</v>
      </c>
      <c r="Y5" s="6">
        <v>623</v>
      </c>
      <c r="Z5" s="29">
        <v>565</v>
      </c>
      <c r="AA5" s="13"/>
      <c r="AB5" s="7"/>
      <c r="AC5" s="7"/>
      <c r="AD5" s="7"/>
      <c r="AE5" s="7"/>
      <c r="AF5" s="7"/>
      <c r="AG5" s="7"/>
      <c r="AH5" s="7"/>
      <c r="AI5" s="7"/>
      <c r="AJ5" s="7"/>
      <c r="AK5" s="7"/>
      <c r="AL5" s="9"/>
    </row>
    <row r="6" spans="2:40" ht="14.45" x14ac:dyDescent="0.3">
      <c r="B6" s="22" t="s">
        <v>86</v>
      </c>
      <c r="C6" s="33"/>
      <c r="D6" s="32"/>
      <c r="E6" s="32"/>
      <c r="F6" s="32"/>
      <c r="G6" s="32"/>
      <c r="H6" s="32"/>
      <c r="I6" s="44">
        <f>(1/12)*((C5/2)+D5+E5+F5+G5+H5+I5+J5+K5+L5+M5+N5+(O5/2))</f>
        <v>401.91666666666663</v>
      </c>
      <c r="J6" s="44">
        <f t="shared" ref="J6:T6" si="0">(1/12)*((D5/2)+E5+F5+G5+H5+I5+J5+K5+L5+M5+N5+O5+(P5/2))</f>
        <v>417.33333333333331</v>
      </c>
      <c r="K6" s="44">
        <f t="shared" si="0"/>
        <v>431.29166666666663</v>
      </c>
      <c r="L6" s="44">
        <f t="shared" si="0"/>
        <v>448.95833333333331</v>
      </c>
      <c r="M6" s="44">
        <f t="shared" si="0"/>
        <v>471.70833333333331</v>
      </c>
      <c r="N6" s="48">
        <f t="shared" si="0"/>
        <v>498.83333333333331</v>
      </c>
      <c r="O6" s="46">
        <f t="shared" si="0"/>
        <v>526.58333333333326</v>
      </c>
      <c r="P6" s="44">
        <f t="shared" si="0"/>
        <v>551.08333333333326</v>
      </c>
      <c r="Q6" s="44">
        <f t="shared" si="0"/>
        <v>574.16666666666663</v>
      </c>
      <c r="R6" s="44">
        <f t="shared" si="0"/>
        <v>592.95833333333326</v>
      </c>
      <c r="S6" s="44">
        <f t="shared" si="0"/>
        <v>609.66666666666663</v>
      </c>
      <c r="T6" s="44">
        <f t="shared" si="0"/>
        <v>625.45833333333326</v>
      </c>
      <c r="U6" s="32"/>
      <c r="V6" s="32"/>
      <c r="W6" s="7"/>
      <c r="X6" s="32"/>
      <c r="Y6" s="32"/>
      <c r="Z6" s="34"/>
      <c r="AA6" s="33"/>
      <c r="AB6" s="32"/>
      <c r="AC6" s="32"/>
      <c r="AD6" s="32"/>
      <c r="AE6" s="32"/>
      <c r="AF6" s="7"/>
      <c r="AG6" s="32"/>
      <c r="AH6" s="32"/>
      <c r="AI6" s="32"/>
      <c r="AJ6" s="32"/>
      <c r="AK6" s="32"/>
      <c r="AL6" s="42"/>
    </row>
    <row r="7" spans="2:40" ht="14.45" x14ac:dyDescent="0.3">
      <c r="B7" s="22" t="s">
        <v>87</v>
      </c>
      <c r="C7" s="37">
        <v>0.68</v>
      </c>
      <c r="D7" s="36">
        <v>0.71</v>
      </c>
      <c r="E7" s="36">
        <v>0.8</v>
      </c>
      <c r="F7" s="36">
        <v>1.05</v>
      </c>
      <c r="G7" s="36">
        <v>1.18</v>
      </c>
      <c r="H7" s="36">
        <v>1.37</v>
      </c>
      <c r="I7" s="32">
        <f>ROUND(I5/I6,2)</f>
        <v>1.2</v>
      </c>
      <c r="J7" s="32">
        <f t="shared" ref="J7:T7" si="1">ROUND(J5/J6,2)</f>
        <v>1.1399999999999999</v>
      </c>
      <c r="K7" s="32">
        <f t="shared" si="1"/>
        <v>1.1599999999999999</v>
      </c>
      <c r="L7" s="32">
        <f t="shared" si="1"/>
        <v>1.1000000000000001</v>
      </c>
      <c r="M7" s="32">
        <f t="shared" si="1"/>
        <v>0.88</v>
      </c>
      <c r="N7" s="34">
        <f t="shared" si="1"/>
        <v>0.79</v>
      </c>
      <c r="O7" s="33">
        <f t="shared" si="1"/>
        <v>0.68</v>
      </c>
      <c r="P7" s="32">
        <f t="shared" si="1"/>
        <v>0.71</v>
      </c>
      <c r="Q7" s="32">
        <f t="shared" si="1"/>
        <v>0.8</v>
      </c>
      <c r="R7" s="32">
        <f t="shared" si="1"/>
        <v>1.05</v>
      </c>
      <c r="S7" s="32">
        <f t="shared" si="1"/>
        <v>1.18</v>
      </c>
      <c r="T7" s="32">
        <f t="shared" si="1"/>
        <v>1.37</v>
      </c>
      <c r="U7" s="36">
        <v>1.2</v>
      </c>
      <c r="V7" s="36">
        <v>1.1399999999999999</v>
      </c>
      <c r="W7" s="36">
        <v>1.1599999999999999</v>
      </c>
      <c r="X7" s="36">
        <v>1.1000000000000001</v>
      </c>
      <c r="Y7" s="36">
        <v>0.88</v>
      </c>
      <c r="Z7" s="35">
        <v>0.79</v>
      </c>
      <c r="AA7" s="33">
        <v>0.68</v>
      </c>
      <c r="AB7" s="7">
        <v>0.71</v>
      </c>
      <c r="AC7" s="32">
        <v>0.8</v>
      </c>
      <c r="AD7" s="32">
        <v>1.05</v>
      </c>
      <c r="AE7" s="32">
        <v>1.18</v>
      </c>
      <c r="AF7" s="32">
        <v>1.37</v>
      </c>
      <c r="AG7" s="32">
        <v>1.2</v>
      </c>
      <c r="AH7" s="32">
        <v>1.1399999999999999</v>
      </c>
      <c r="AI7" s="32">
        <v>1.1599999999999999</v>
      </c>
      <c r="AJ7" s="7">
        <v>1.1000000000000001</v>
      </c>
      <c r="AK7" s="32">
        <v>0.88</v>
      </c>
      <c r="AL7" s="9">
        <v>0.79</v>
      </c>
    </row>
    <row r="8" spans="2:40" x14ac:dyDescent="0.25">
      <c r="B8" s="22" t="s">
        <v>88</v>
      </c>
      <c r="C8" s="46">
        <f t="shared" ref="C8:G8" si="2">D8-$AN$13</f>
        <v>271.56066666666663</v>
      </c>
      <c r="D8" s="44">
        <f t="shared" si="2"/>
        <v>293.28666666666663</v>
      </c>
      <c r="E8" s="44">
        <f t="shared" si="2"/>
        <v>315.01266666666663</v>
      </c>
      <c r="F8" s="44">
        <f t="shared" si="2"/>
        <v>336.73866666666663</v>
      </c>
      <c r="G8" s="44">
        <f t="shared" si="2"/>
        <v>358.46466666666663</v>
      </c>
      <c r="H8" s="44">
        <f>I8-$AN$13</f>
        <v>380.19066666666663</v>
      </c>
      <c r="I8" s="44">
        <f>I6</f>
        <v>401.91666666666663</v>
      </c>
      <c r="J8" s="44">
        <f t="shared" ref="J8:T8" si="3">J6</f>
        <v>417.33333333333331</v>
      </c>
      <c r="K8" s="44">
        <f t="shared" si="3"/>
        <v>431.29166666666663</v>
      </c>
      <c r="L8" s="44">
        <f t="shared" si="3"/>
        <v>448.95833333333331</v>
      </c>
      <c r="M8" s="44">
        <f t="shared" si="3"/>
        <v>471.70833333333331</v>
      </c>
      <c r="N8" s="48">
        <f t="shared" si="3"/>
        <v>498.83333333333331</v>
      </c>
      <c r="O8" s="46">
        <f t="shared" si="3"/>
        <v>526.58333333333326</v>
      </c>
      <c r="P8" s="44">
        <f t="shared" si="3"/>
        <v>551.08333333333326</v>
      </c>
      <c r="Q8" s="44">
        <f t="shared" si="3"/>
        <v>574.16666666666663</v>
      </c>
      <c r="R8" s="44">
        <f t="shared" si="3"/>
        <v>592.95833333333326</v>
      </c>
      <c r="S8" s="44">
        <f t="shared" si="3"/>
        <v>609.66666666666663</v>
      </c>
      <c r="T8" s="44">
        <f t="shared" si="3"/>
        <v>625.45833333333326</v>
      </c>
      <c r="U8" s="44">
        <f>T8+$AN$13</f>
        <v>647.18433333333326</v>
      </c>
      <c r="V8" s="44">
        <f t="shared" ref="V8:AL8" si="4">U8+$AN$13</f>
        <v>668.91033333333326</v>
      </c>
      <c r="W8" s="44">
        <f t="shared" si="4"/>
        <v>690.63633333333325</v>
      </c>
      <c r="X8" s="44">
        <f t="shared" si="4"/>
        <v>712.36233333333325</v>
      </c>
      <c r="Y8" s="44">
        <f t="shared" si="4"/>
        <v>734.08833333333325</v>
      </c>
      <c r="Z8" s="48">
        <f t="shared" si="4"/>
        <v>755.81433333333325</v>
      </c>
      <c r="AA8" s="46">
        <f t="shared" si="4"/>
        <v>777.54033333333325</v>
      </c>
      <c r="AB8" s="44">
        <f t="shared" si="4"/>
        <v>799.26633333333325</v>
      </c>
      <c r="AC8" s="44">
        <f t="shared" si="4"/>
        <v>820.99233333333325</v>
      </c>
      <c r="AD8" s="44">
        <f t="shared" si="4"/>
        <v>842.71833333333325</v>
      </c>
      <c r="AE8" s="44">
        <f t="shared" si="4"/>
        <v>864.44433333333325</v>
      </c>
      <c r="AF8" s="44">
        <f t="shared" si="4"/>
        <v>886.17033333333325</v>
      </c>
      <c r="AG8" s="44">
        <f t="shared" si="4"/>
        <v>907.89633333333325</v>
      </c>
      <c r="AH8" s="44">
        <f t="shared" si="4"/>
        <v>929.62233333333324</v>
      </c>
      <c r="AI8" s="44">
        <f t="shared" si="4"/>
        <v>951.34833333333324</v>
      </c>
      <c r="AJ8" s="44">
        <f t="shared" si="4"/>
        <v>973.07433333333324</v>
      </c>
      <c r="AK8" s="44">
        <f t="shared" si="4"/>
        <v>994.80033333333324</v>
      </c>
      <c r="AL8" s="45">
        <f t="shared" si="4"/>
        <v>1016.5263333333332</v>
      </c>
    </row>
    <row r="9" spans="2:40" ht="14.45" x14ac:dyDescent="0.3">
      <c r="B9" s="22" t="s">
        <v>89</v>
      </c>
      <c r="C9" s="33">
        <f>C7*C8</f>
        <v>184.66125333333332</v>
      </c>
      <c r="D9" s="32">
        <f t="shared" ref="D9:AL9" si="5">D7*D8</f>
        <v>208.2335333333333</v>
      </c>
      <c r="E9" s="32">
        <f t="shared" si="5"/>
        <v>252.01013333333333</v>
      </c>
      <c r="F9" s="32">
        <f t="shared" si="5"/>
        <v>353.57559999999995</v>
      </c>
      <c r="G9" s="32">
        <f t="shared" si="5"/>
        <v>422.98830666666657</v>
      </c>
      <c r="H9" s="32">
        <f t="shared" si="5"/>
        <v>520.86121333333335</v>
      </c>
      <c r="I9" s="32">
        <f t="shared" si="5"/>
        <v>482.29999999999995</v>
      </c>
      <c r="J9" s="32">
        <f t="shared" si="5"/>
        <v>475.75999999999993</v>
      </c>
      <c r="K9" s="32">
        <f t="shared" si="5"/>
        <v>500.29833333333323</v>
      </c>
      <c r="L9" s="32">
        <f t="shared" si="5"/>
        <v>493.85416666666669</v>
      </c>
      <c r="M9" s="32">
        <f t="shared" si="5"/>
        <v>415.1033333333333</v>
      </c>
      <c r="N9" s="34">
        <f t="shared" si="5"/>
        <v>394.07833333333332</v>
      </c>
      <c r="O9" s="33">
        <f t="shared" si="5"/>
        <v>358.07666666666665</v>
      </c>
      <c r="P9" s="32">
        <f t="shared" si="5"/>
        <v>391.26916666666659</v>
      </c>
      <c r="Q9" s="32">
        <f t="shared" si="5"/>
        <v>459.33333333333331</v>
      </c>
      <c r="R9" s="32">
        <f t="shared" si="5"/>
        <v>622.60624999999993</v>
      </c>
      <c r="S9" s="32">
        <f t="shared" si="5"/>
        <v>719.40666666666664</v>
      </c>
      <c r="T9" s="32">
        <f t="shared" si="5"/>
        <v>856.87791666666658</v>
      </c>
      <c r="U9" s="32">
        <f t="shared" si="5"/>
        <v>776.62119999999993</v>
      </c>
      <c r="V9" s="32">
        <f t="shared" si="5"/>
        <v>762.55777999999987</v>
      </c>
      <c r="W9" s="32">
        <f t="shared" si="5"/>
        <v>801.13814666666656</v>
      </c>
      <c r="X9" s="32">
        <f t="shared" si="5"/>
        <v>783.59856666666667</v>
      </c>
      <c r="Y9" s="32">
        <f t="shared" si="5"/>
        <v>645.99773333333326</v>
      </c>
      <c r="Z9" s="34">
        <f t="shared" si="5"/>
        <v>597.09332333333327</v>
      </c>
      <c r="AA9" s="33">
        <f t="shared" si="5"/>
        <v>528.7274266666667</v>
      </c>
      <c r="AB9" s="32">
        <f t="shared" si="5"/>
        <v>567.47909666666658</v>
      </c>
      <c r="AC9" s="32">
        <f t="shared" si="5"/>
        <v>656.79386666666664</v>
      </c>
      <c r="AD9" s="32">
        <f t="shared" si="5"/>
        <v>884.85424999999998</v>
      </c>
      <c r="AE9" s="32">
        <f t="shared" si="5"/>
        <v>1020.0443133333332</v>
      </c>
      <c r="AF9" s="32">
        <f t="shared" si="5"/>
        <v>1214.0533566666666</v>
      </c>
      <c r="AG9" s="32">
        <f t="shared" si="5"/>
        <v>1089.4755999999998</v>
      </c>
      <c r="AH9" s="32">
        <f t="shared" si="5"/>
        <v>1059.7694599999998</v>
      </c>
      <c r="AI9" s="32">
        <f t="shared" si="5"/>
        <v>1103.5640666666666</v>
      </c>
      <c r="AJ9" s="32">
        <f t="shared" si="5"/>
        <v>1070.3817666666666</v>
      </c>
      <c r="AK9" s="32">
        <f t="shared" si="5"/>
        <v>875.42429333333325</v>
      </c>
      <c r="AL9" s="42">
        <f t="shared" si="5"/>
        <v>803.0558033333333</v>
      </c>
    </row>
    <row r="10" spans="2:40" thickBot="1" x14ac:dyDescent="0.35">
      <c r="B10" s="23" t="s">
        <v>90</v>
      </c>
      <c r="C10" s="26">
        <f>(C9-C5)/C5</f>
        <v>9.9174126984126906E-2</v>
      </c>
      <c r="D10" s="27">
        <f t="shared" ref="D10:Z10" si="6">(D9-D5)/D5</f>
        <v>-2.2377777777777941E-2</v>
      </c>
      <c r="E10" s="27">
        <f t="shared" si="6"/>
        <v>-0.15996622222222223</v>
      </c>
      <c r="F10" s="27">
        <f t="shared" si="6"/>
        <v>-1.1988700564973115E-3</v>
      </c>
      <c r="G10" s="27">
        <f t="shared" si="6"/>
        <v>-4.5173122648608184E-2</v>
      </c>
      <c r="H10" s="27">
        <f t="shared" si="6"/>
        <v>6.7338551912568351E-2</v>
      </c>
      <c r="I10" s="27">
        <f t="shared" si="6"/>
        <v>-3.5123966942149699E-3</v>
      </c>
      <c r="J10" s="27">
        <f t="shared" si="6"/>
        <v>-5.0420168067240746E-4</v>
      </c>
      <c r="K10" s="27">
        <f t="shared" si="6"/>
        <v>5.9666666666646502E-4</v>
      </c>
      <c r="L10" s="27">
        <f t="shared" si="6"/>
        <v>3.7686314363144019E-3</v>
      </c>
      <c r="M10" s="27">
        <f t="shared" si="6"/>
        <v>5.0928167877319517E-3</v>
      </c>
      <c r="N10" s="31">
        <f t="shared" si="6"/>
        <v>-4.8526936026936389E-3</v>
      </c>
      <c r="O10" s="26">
        <f t="shared" si="6"/>
        <v>-5.3425925925926288E-3</v>
      </c>
      <c r="P10" s="27">
        <f t="shared" si="6"/>
        <v>6.8840579710125935E-4</v>
      </c>
      <c r="Q10" s="27">
        <f t="shared" si="6"/>
        <v>5.1057622173595503E-3</v>
      </c>
      <c r="R10" s="27">
        <f t="shared" si="6"/>
        <v>2.5865539452494877E-3</v>
      </c>
      <c r="S10" s="27">
        <f t="shared" si="6"/>
        <v>-3.5918744228993936E-3</v>
      </c>
      <c r="T10" s="27">
        <f t="shared" si="6"/>
        <v>-3.6303294573644435E-3</v>
      </c>
      <c r="U10" s="27">
        <f t="shared" si="6"/>
        <v>-1.7722365038561302E-3</v>
      </c>
      <c r="V10" s="27">
        <f t="shared" si="6"/>
        <v>-9.6652207792209538E-3</v>
      </c>
      <c r="W10" s="27">
        <f t="shared" si="6"/>
        <v>5.4129140350877049E-2</v>
      </c>
      <c r="X10" s="27">
        <f t="shared" si="6"/>
        <v>0.14728926305514886</v>
      </c>
      <c r="Y10" s="27">
        <f t="shared" si="6"/>
        <v>3.6914499732477138E-2</v>
      </c>
      <c r="Z10" s="31">
        <f t="shared" si="6"/>
        <v>5.680234218289075E-2</v>
      </c>
      <c r="AA10" s="14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1"/>
    </row>
    <row r="11" spans="2:40" ht="15.75" thickBot="1" x14ac:dyDescent="0.3"/>
    <row r="12" spans="2:40" ht="15.75" thickBot="1" x14ac:dyDescent="0.3">
      <c r="AN12" s="16" t="s">
        <v>91</v>
      </c>
    </row>
    <row r="13" spans="2:40" ht="15.75" thickBot="1" x14ac:dyDescent="0.3">
      <c r="AN13" s="16">
        <v>21.725999999999999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AN13"/>
  <sheetViews>
    <sheetView workbookViewId="0"/>
  </sheetViews>
  <sheetFormatPr baseColWidth="10" defaultRowHeight="15" x14ac:dyDescent="0.25"/>
  <cols>
    <col min="2" max="2" width="14.85546875" bestFit="1" customWidth="1"/>
    <col min="3" max="11" width="6.42578125" bestFit="1" customWidth="1"/>
    <col min="12" max="14" width="7.42578125" bestFit="1" customWidth="1"/>
    <col min="15" max="23" width="6.42578125" bestFit="1" customWidth="1"/>
    <col min="24" max="26" width="7.42578125" bestFit="1" customWidth="1"/>
    <col min="27" max="27" width="6.7109375" customWidth="1"/>
    <col min="28" max="28" width="7" customWidth="1"/>
    <col min="29" max="29" width="8.140625" customWidth="1"/>
    <col min="30" max="30" width="7.42578125" customWidth="1"/>
    <col min="31" max="31" width="7.5703125" customWidth="1"/>
    <col min="32" max="32" width="7.7109375" customWidth="1"/>
    <col min="33" max="34" width="7.5703125" customWidth="1"/>
    <col min="35" max="36" width="7.42578125" customWidth="1"/>
    <col min="37" max="38" width="7.28515625" customWidth="1"/>
  </cols>
  <sheetData>
    <row r="2" spans="2:40" ht="14.45" x14ac:dyDescent="0.3">
      <c r="B2" s="2"/>
      <c r="C2" s="7" t="s">
        <v>26</v>
      </c>
      <c r="D2" s="7" t="s">
        <v>27</v>
      </c>
      <c r="E2" s="7" t="s">
        <v>28</v>
      </c>
      <c r="F2" s="7" t="s">
        <v>29</v>
      </c>
      <c r="G2" s="7" t="s">
        <v>30</v>
      </c>
      <c r="H2" s="7" t="s">
        <v>31</v>
      </c>
      <c r="I2" s="7" t="s">
        <v>32</v>
      </c>
      <c r="J2" s="7" t="s">
        <v>33</v>
      </c>
      <c r="K2" s="7" t="s">
        <v>34</v>
      </c>
      <c r="L2" s="7" t="s">
        <v>35</v>
      </c>
      <c r="M2" s="7" t="s">
        <v>36</v>
      </c>
      <c r="N2" s="7" t="s">
        <v>37</v>
      </c>
      <c r="O2" s="7" t="s">
        <v>38</v>
      </c>
      <c r="P2" s="7" t="s">
        <v>39</v>
      </c>
      <c r="Q2" s="7" t="s">
        <v>40</v>
      </c>
      <c r="R2" s="7" t="s">
        <v>41</v>
      </c>
      <c r="S2" s="7" t="s">
        <v>42</v>
      </c>
      <c r="T2" s="7" t="s">
        <v>43</v>
      </c>
      <c r="U2" s="7" t="s">
        <v>44</v>
      </c>
      <c r="V2" s="7" t="s">
        <v>45</v>
      </c>
      <c r="W2" s="7" t="s">
        <v>46</v>
      </c>
      <c r="X2" s="7" t="s">
        <v>47</v>
      </c>
      <c r="Y2" s="7" t="s">
        <v>48</v>
      </c>
      <c r="Z2" s="7" t="s">
        <v>49</v>
      </c>
      <c r="AA2" s="7" t="s">
        <v>50</v>
      </c>
      <c r="AB2" s="7" t="s">
        <v>51</v>
      </c>
      <c r="AC2" s="7" t="s">
        <v>52</v>
      </c>
      <c r="AD2" s="7" t="s">
        <v>53</v>
      </c>
      <c r="AE2" s="7" t="s">
        <v>54</v>
      </c>
      <c r="AF2" s="7" t="s">
        <v>55</v>
      </c>
      <c r="AG2" s="7" t="s">
        <v>56</v>
      </c>
      <c r="AH2" s="7" t="s">
        <v>57</v>
      </c>
      <c r="AI2" s="7" t="s">
        <v>58</v>
      </c>
      <c r="AJ2" s="7" t="s">
        <v>59</v>
      </c>
      <c r="AK2" s="7" t="s">
        <v>60</v>
      </c>
      <c r="AL2" s="7" t="s">
        <v>61</v>
      </c>
    </row>
    <row r="3" spans="2:40" thickBot="1" x14ac:dyDescent="0.35">
      <c r="B3" s="2"/>
      <c r="C3" s="8" t="s">
        <v>62</v>
      </c>
      <c r="D3" s="8" t="s">
        <v>63</v>
      </c>
      <c r="E3" s="8" t="s">
        <v>64</v>
      </c>
      <c r="F3" s="8" t="s">
        <v>65</v>
      </c>
      <c r="G3" s="8" t="s">
        <v>66</v>
      </c>
      <c r="H3" s="8" t="s">
        <v>67</v>
      </c>
      <c r="I3" s="8" t="s">
        <v>68</v>
      </c>
      <c r="J3" s="8" t="s">
        <v>69</v>
      </c>
      <c r="K3" s="8" t="s">
        <v>70</v>
      </c>
      <c r="L3" s="8" t="s">
        <v>71</v>
      </c>
      <c r="M3" s="8" t="s">
        <v>72</v>
      </c>
      <c r="N3" s="8" t="s">
        <v>73</v>
      </c>
      <c r="O3" s="8" t="s">
        <v>62</v>
      </c>
      <c r="P3" s="8" t="s">
        <v>63</v>
      </c>
      <c r="Q3" s="8" t="s">
        <v>64</v>
      </c>
      <c r="R3" s="8" t="s">
        <v>65</v>
      </c>
      <c r="S3" s="8" t="s">
        <v>66</v>
      </c>
      <c r="T3" s="8" t="s">
        <v>67</v>
      </c>
      <c r="U3" s="8" t="s">
        <v>68</v>
      </c>
      <c r="V3" s="8" t="s">
        <v>69</v>
      </c>
      <c r="W3" s="8" t="s">
        <v>70</v>
      </c>
      <c r="X3" s="8" t="s">
        <v>71</v>
      </c>
      <c r="Y3" s="8" t="s">
        <v>72</v>
      </c>
      <c r="Z3" s="8" t="s">
        <v>73</v>
      </c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</row>
    <row r="4" spans="2:40" ht="14.45" x14ac:dyDescent="0.3">
      <c r="B4" s="20" t="s">
        <v>0</v>
      </c>
      <c r="C4" s="4" t="s">
        <v>1</v>
      </c>
      <c r="D4" s="3" t="s">
        <v>2</v>
      </c>
      <c r="E4" s="3" t="s">
        <v>3</v>
      </c>
      <c r="F4" s="3" t="s">
        <v>4</v>
      </c>
      <c r="G4" s="3" t="s">
        <v>5</v>
      </c>
      <c r="H4" s="3" t="s">
        <v>6</v>
      </c>
      <c r="I4" s="3" t="s">
        <v>7</v>
      </c>
      <c r="J4" s="3" t="s">
        <v>8</v>
      </c>
      <c r="K4" s="3" t="s">
        <v>9</v>
      </c>
      <c r="L4" s="3" t="s">
        <v>10</v>
      </c>
      <c r="M4" s="3" t="s">
        <v>11</v>
      </c>
      <c r="N4" s="28" t="s">
        <v>12</v>
      </c>
      <c r="O4" s="4" t="s">
        <v>14</v>
      </c>
      <c r="P4" s="3" t="s">
        <v>15</v>
      </c>
      <c r="Q4" s="3" t="s">
        <v>16</v>
      </c>
      <c r="R4" s="3" t="s">
        <v>17</v>
      </c>
      <c r="S4" s="3" t="s">
        <v>18</v>
      </c>
      <c r="T4" s="3" t="s">
        <v>19</v>
      </c>
      <c r="U4" s="3" t="s">
        <v>20</v>
      </c>
      <c r="V4" s="3" t="s">
        <v>21</v>
      </c>
      <c r="W4" s="3" t="s">
        <v>22</v>
      </c>
      <c r="X4" s="3" t="s">
        <v>23</v>
      </c>
      <c r="Y4" s="3" t="s">
        <v>24</v>
      </c>
      <c r="Z4" s="28" t="s">
        <v>25</v>
      </c>
      <c r="AA4" s="17" t="s">
        <v>74</v>
      </c>
      <c r="AB4" s="18" t="s">
        <v>75</v>
      </c>
      <c r="AC4" s="18" t="s">
        <v>76</v>
      </c>
      <c r="AD4" s="18" t="s">
        <v>77</v>
      </c>
      <c r="AE4" s="18" t="s">
        <v>78</v>
      </c>
      <c r="AF4" s="18" t="s">
        <v>79</v>
      </c>
      <c r="AG4" s="18" t="s">
        <v>80</v>
      </c>
      <c r="AH4" s="18" t="s">
        <v>81</v>
      </c>
      <c r="AI4" s="18" t="s">
        <v>82</v>
      </c>
      <c r="AJ4" s="18" t="s">
        <v>83</v>
      </c>
      <c r="AK4" s="18" t="s">
        <v>84</v>
      </c>
      <c r="AL4" s="19" t="s">
        <v>85</v>
      </c>
    </row>
    <row r="5" spans="2:40" ht="14.45" x14ac:dyDescent="0.3">
      <c r="B5" s="21" t="s">
        <v>13</v>
      </c>
      <c r="C5" s="12">
        <v>190</v>
      </c>
      <c r="D5" s="6">
        <v>243</v>
      </c>
      <c r="E5" s="6">
        <v>346</v>
      </c>
      <c r="F5" s="6">
        <v>411</v>
      </c>
      <c r="G5" s="6">
        <v>518</v>
      </c>
      <c r="H5" s="6">
        <v>574</v>
      </c>
      <c r="I5" s="6">
        <v>572</v>
      </c>
      <c r="J5" s="6">
        <v>565</v>
      </c>
      <c r="K5" s="6">
        <v>596</v>
      </c>
      <c r="L5" s="6">
        <v>588</v>
      </c>
      <c r="M5" s="6">
        <v>496</v>
      </c>
      <c r="N5" s="29">
        <v>477</v>
      </c>
      <c r="O5" s="12">
        <v>435</v>
      </c>
      <c r="P5" s="6">
        <v>473</v>
      </c>
      <c r="Q5" s="6">
        <v>554</v>
      </c>
      <c r="R5" s="6">
        <v>754</v>
      </c>
      <c r="S5" s="6">
        <v>879</v>
      </c>
      <c r="T5" s="6">
        <v>1049</v>
      </c>
      <c r="U5" s="6">
        <v>951</v>
      </c>
      <c r="V5" s="6">
        <v>942</v>
      </c>
      <c r="W5" s="6">
        <v>931</v>
      </c>
      <c r="X5" s="6">
        <v>839</v>
      </c>
      <c r="Y5" s="6">
        <v>765</v>
      </c>
      <c r="Z5" s="29">
        <v>696</v>
      </c>
      <c r="AA5" s="13"/>
      <c r="AB5" s="7"/>
      <c r="AC5" s="7"/>
      <c r="AD5" s="7"/>
      <c r="AE5" s="7"/>
      <c r="AF5" s="7"/>
      <c r="AG5" s="7"/>
      <c r="AH5" s="7"/>
      <c r="AI5" s="7"/>
      <c r="AJ5" s="7"/>
      <c r="AK5" s="7"/>
      <c r="AL5" s="9"/>
    </row>
    <row r="6" spans="2:40" ht="14.45" x14ac:dyDescent="0.3">
      <c r="B6" s="22" t="s">
        <v>86</v>
      </c>
      <c r="C6" s="33"/>
      <c r="D6" s="32"/>
      <c r="E6" s="32"/>
      <c r="F6" s="32"/>
      <c r="G6" s="32"/>
      <c r="H6" s="32"/>
      <c r="I6" s="44">
        <f>(1/12)*((C5/2)+D5+E5+F5+G5+H5+I5+J5+K5+L5+M5+N5+(O5/2))</f>
        <v>474.875</v>
      </c>
      <c r="J6" s="44">
        <f t="shared" ref="J6:T6" si="0">(1/12)*((D5/2)+E5+F5+G5+H5+I5+J5+K5+L5+M5+N5+O5+(P5/2))</f>
        <v>494.66666666666663</v>
      </c>
      <c r="K6" s="44">
        <f t="shared" si="0"/>
        <v>512.91666666666663</v>
      </c>
      <c r="L6" s="44">
        <f t="shared" si="0"/>
        <v>535.875</v>
      </c>
      <c r="M6" s="44">
        <f t="shared" si="0"/>
        <v>565.20833333333326</v>
      </c>
      <c r="N6" s="48">
        <f t="shared" si="0"/>
        <v>600.04166666666663</v>
      </c>
      <c r="O6" s="46">
        <f t="shared" si="0"/>
        <v>635.625</v>
      </c>
      <c r="P6" s="44">
        <f t="shared" si="0"/>
        <v>667.125</v>
      </c>
      <c r="Q6" s="44">
        <f t="shared" si="0"/>
        <v>696.79166666666663</v>
      </c>
      <c r="R6" s="44">
        <f t="shared" si="0"/>
        <v>721.20833333333326</v>
      </c>
      <c r="S6" s="44">
        <f t="shared" si="0"/>
        <v>742.875</v>
      </c>
      <c r="T6" s="44">
        <f t="shared" si="0"/>
        <v>763.20833333333326</v>
      </c>
      <c r="U6" s="32"/>
      <c r="V6" s="32"/>
      <c r="W6" s="7"/>
      <c r="X6" s="32"/>
      <c r="Y6" s="32"/>
      <c r="Z6" s="34"/>
      <c r="AA6" s="33"/>
      <c r="AB6" s="32"/>
      <c r="AC6" s="32"/>
      <c r="AD6" s="32"/>
      <c r="AE6" s="32"/>
      <c r="AF6" s="7"/>
      <c r="AG6" s="32"/>
      <c r="AH6" s="32"/>
      <c r="AI6" s="32"/>
      <c r="AJ6" s="32"/>
      <c r="AK6" s="32"/>
      <c r="AL6" s="42"/>
    </row>
    <row r="7" spans="2:40" ht="14.45" x14ac:dyDescent="0.3">
      <c r="B7" s="22" t="s">
        <v>87</v>
      </c>
      <c r="C7" s="37">
        <v>0.68</v>
      </c>
      <c r="D7" s="36">
        <v>0.71</v>
      </c>
      <c r="E7" s="36">
        <v>0.8</v>
      </c>
      <c r="F7" s="36">
        <v>1.05</v>
      </c>
      <c r="G7" s="36">
        <v>1.18</v>
      </c>
      <c r="H7" s="36">
        <v>1.37</v>
      </c>
      <c r="I7" s="32">
        <f>ROUND(I5/I6,2)</f>
        <v>1.2</v>
      </c>
      <c r="J7" s="32">
        <f t="shared" ref="J7:T7" si="1">ROUND(J5/J6,2)</f>
        <v>1.1399999999999999</v>
      </c>
      <c r="K7" s="32">
        <f t="shared" si="1"/>
        <v>1.1599999999999999</v>
      </c>
      <c r="L7" s="32">
        <f t="shared" si="1"/>
        <v>1.1000000000000001</v>
      </c>
      <c r="M7" s="32">
        <f t="shared" si="1"/>
        <v>0.88</v>
      </c>
      <c r="N7" s="34">
        <f t="shared" si="1"/>
        <v>0.79</v>
      </c>
      <c r="O7" s="33">
        <f t="shared" si="1"/>
        <v>0.68</v>
      </c>
      <c r="P7" s="32">
        <f t="shared" si="1"/>
        <v>0.71</v>
      </c>
      <c r="Q7" s="32">
        <f t="shared" si="1"/>
        <v>0.8</v>
      </c>
      <c r="R7" s="32">
        <f t="shared" si="1"/>
        <v>1.05</v>
      </c>
      <c r="S7" s="32">
        <f t="shared" si="1"/>
        <v>1.18</v>
      </c>
      <c r="T7" s="32">
        <f t="shared" si="1"/>
        <v>1.37</v>
      </c>
      <c r="U7" s="36">
        <v>1.2</v>
      </c>
      <c r="V7" s="36">
        <v>1.1399999999999999</v>
      </c>
      <c r="W7" s="36">
        <v>1.1599999999999999</v>
      </c>
      <c r="X7" s="36">
        <v>1.1000000000000001</v>
      </c>
      <c r="Y7" s="36">
        <v>0.88</v>
      </c>
      <c r="Z7" s="35">
        <v>0.79</v>
      </c>
      <c r="AA7" s="33">
        <v>0.68</v>
      </c>
      <c r="AB7" s="7">
        <v>0.71</v>
      </c>
      <c r="AC7" s="32">
        <v>0.8</v>
      </c>
      <c r="AD7" s="32">
        <v>1.05</v>
      </c>
      <c r="AE7" s="32">
        <v>1.18</v>
      </c>
      <c r="AF7" s="32">
        <v>1.37</v>
      </c>
      <c r="AG7" s="32">
        <v>1.2</v>
      </c>
      <c r="AH7" s="32">
        <v>1.1399999999999999</v>
      </c>
      <c r="AI7" s="32">
        <v>1.1599999999999999</v>
      </c>
      <c r="AJ7" s="7">
        <v>1.1000000000000001</v>
      </c>
      <c r="AK7" s="32">
        <v>0.88</v>
      </c>
      <c r="AL7" s="9">
        <v>0.79</v>
      </c>
    </row>
    <row r="8" spans="2:40" x14ac:dyDescent="0.25">
      <c r="B8" s="22" t="s">
        <v>88</v>
      </c>
      <c r="C8" s="46">
        <f t="shared" ref="C8:G8" si="2">D8-$AN$13</f>
        <v>306.84500000000003</v>
      </c>
      <c r="D8" s="44">
        <f t="shared" si="2"/>
        <v>334.85</v>
      </c>
      <c r="E8" s="44">
        <f t="shared" si="2"/>
        <v>362.85500000000002</v>
      </c>
      <c r="F8" s="44">
        <f t="shared" si="2"/>
        <v>390.86</v>
      </c>
      <c r="G8" s="44">
        <f t="shared" si="2"/>
        <v>418.86500000000001</v>
      </c>
      <c r="H8" s="44">
        <f>I8-$AN$13</f>
        <v>446.87</v>
      </c>
      <c r="I8" s="44">
        <f>I6</f>
        <v>474.875</v>
      </c>
      <c r="J8" s="44">
        <f t="shared" ref="J8:T8" si="3">J6</f>
        <v>494.66666666666663</v>
      </c>
      <c r="K8" s="44">
        <f t="shared" si="3"/>
        <v>512.91666666666663</v>
      </c>
      <c r="L8" s="44">
        <f t="shared" si="3"/>
        <v>535.875</v>
      </c>
      <c r="M8" s="44">
        <f t="shared" si="3"/>
        <v>565.20833333333326</v>
      </c>
      <c r="N8" s="48">
        <f t="shared" si="3"/>
        <v>600.04166666666663</v>
      </c>
      <c r="O8" s="46">
        <f t="shared" si="3"/>
        <v>635.625</v>
      </c>
      <c r="P8" s="44">
        <f t="shared" si="3"/>
        <v>667.125</v>
      </c>
      <c r="Q8" s="44">
        <f t="shared" si="3"/>
        <v>696.79166666666663</v>
      </c>
      <c r="R8" s="44">
        <f t="shared" si="3"/>
        <v>721.20833333333326</v>
      </c>
      <c r="S8" s="44">
        <f t="shared" si="3"/>
        <v>742.875</v>
      </c>
      <c r="T8" s="44">
        <f t="shared" si="3"/>
        <v>763.20833333333326</v>
      </c>
      <c r="U8" s="44">
        <f>T8+$AN$13</f>
        <v>791.21333333333325</v>
      </c>
      <c r="V8" s="44">
        <f t="shared" ref="V8:AL8" si="4">U8+$AN$13</f>
        <v>819.21833333333325</v>
      </c>
      <c r="W8" s="44">
        <f t="shared" si="4"/>
        <v>847.22333333333324</v>
      </c>
      <c r="X8" s="44">
        <f t="shared" si="4"/>
        <v>875.22833333333324</v>
      </c>
      <c r="Y8" s="44">
        <f t="shared" si="4"/>
        <v>903.23333333333323</v>
      </c>
      <c r="Z8" s="48">
        <f t="shared" si="4"/>
        <v>931.23833333333323</v>
      </c>
      <c r="AA8" s="46">
        <f t="shared" si="4"/>
        <v>959.24333333333323</v>
      </c>
      <c r="AB8" s="44">
        <f t="shared" si="4"/>
        <v>987.24833333333322</v>
      </c>
      <c r="AC8" s="44">
        <f t="shared" si="4"/>
        <v>1015.2533333333332</v>
      </c>
      <c r="AD8" s="44">
        <f t="shared" si="4"/>
        <v>1043.2583333333332</v>
      </c>
      <c r="AE8" s="44">
        <f t="shared" si="4"/>
        <v>1071.2633333333333</v>
      </c>
      <c r="AF8" s="44">
        <f t="shared" si="4"/>
        <v>1099.2683333333334</v>
      </c>
      <c r="AG8" s="44">
        <f t="shared" si="4"/>
        <v>1127.2733333333335</v>
      </c>
      <c r="AH8" s="44">
        <f t="shared" si="4"/>
        <v>1155.2783333333336</v>
      </c>
      <c r="AI8" s="44">
        <f t="shared" si="4"/>
        <v>1183.2833333333338</v>
      </c>
      <c r="AJ8" s="44">
        <f t="shared" si="4"/>
        <v>1211.2883333333339</v>
      </c>
      <c r="AK8" s="44">
        <f t="shared" si="4"/>
        <v>1239.293333333334</v>
      </c>
      <c r="AL8" s="45">
        <f t="shared" si="4"/>
        <v>1267.2983333333341</v>
      </c>
    </row>
    <row r="9" spans="2:40" ht="14.45" x14ac:dyDescent="0.3">
      <c r="B9" s="22" t="s">
        <v>89</v>
      </c>
      <c r="C9" s="33">
        <f>C7*C8</f>
        <v>208.65460000000004</v>
      </c>
      <c r="D9" s="32">
        <f t="shared" ref="D9:AL9" si="5">D7*D8</f>
        <v>237.74350000000001</v>
      </c>
      <c r="E9" s="32">
        <f t="shared" si="5"/>
        <v>290.28400000000005</v>
      </c>
      <c r="F9" s="32">
        <f t="shared" si="5"/>
        <v>410.40300000000002</v>
      </c>
      <c r="G9" s="32">
        <f t="shared" si="5"/>
        <v>494.26069999999999</v>
      </c>
      <c r="H9" s="32">
        <f t="shared" si="5"/>
        <v>612.21190000000001</v>
      </c>
      <c r="I9" s="32">
        <f t="shared" si="5"/>
        <v>569.85</v>
      </c>
      <c r="J9" s="32">
        <f t="shared" si="5"/>
        <v>563.91999999999996</v>
      </c>
      <c r="K9" s="32">
        <f t="shared" si="5"/>
        <v>594.98333333333323</v>
      </c>
      <c r="L9" s="32">
        <f t="shared" si="5"/>
        <v>589.46250000000009</v>
      </c>
      <c r="M9" s="32">
        <f t="shared" si="5"/>
        <v>497.38333333333327</v>
      </c>
      <c r="N9" s="34">
        <f t="shared" si="5"/>
        <v>474.03291666666667</v>
      </c>
      <c r="O9" s="33">
        <f t="shared" si="5"/>
        <v>432.22500000000002</v>
      </c>
      <c r="P9" s="32">
        <f t="shared" si="5"/>
        <v>473.65875</v>
      </c>
      <c r="Q9" s="32">
        <f t="shared" si="5"/>
        <v>557.43333333333328</v>
      </c>
      <c r="R9" s="32">
        <f t="shared" si="5"/>
        <v>757.26874999999995</v>
      </c>
      <c r="S9" s="32">
        <f t="shared" si="5"/>
        <v>876.59249999999997</v>
      </c>
      <c r="T9" s="32">
        <f t="shared" si="5"/>
        <v>1045.5954166666666</v>
      </c>
      <c r="U9" s="32">
        <f t="shared" si="5"/>
        <v>949.4559999999999</v>
      </c>
      <c r="V9" s="32">
        <f t="shared" si="5"/>
        <v>933.90889999999979</v>
      </c>
      <c r="W9" s="32">
        <f t="shared" si="5"/>
        <v>982.77906666666649</v>
      </c>
      <c r="X9" s="32">
        <f t="shared" si="5"/>
        <v>962.75116666666668</v>
      </c>
      <c r="Y9" s="32">
        <f t="shared" si="5"/>
        <v>794.8453333333332</v>
      </c>
      <c r="Z9" s="34">
        <f t="shared" si="5"/>
        <v>735.6782833333333</v>
      </c>
      <c r="AA9" s="33">
        <f t="shared" si="5"/>
        <v>652.28546666666659</v>
      </c>
      <c r="AB9" s="32">
        <f t="shared" si="5"/>
        <v>700.94631666666658</v>
      </c>
      <c r="AC9" s="32">
        <f t="shared" si="5"/>
        <v>812.20266666666657</v>
      </c>
      <c r="AD9" s="32">
        <f t="shared" si="5"/>
        <v>1095.4212499999999</v>
      </c>
      <c r="AE9" s="32">
        <f t="shared" si="5"/>
        <v>1264.0907333333332</v>
      </c>
      <c r="AF9" s="32">
        <f t="shared" si="5"/>
        <v>1505.997616666667</v>
      </c>
      <c r="AG9" s="32">
        <f t="shared" si="5"/>
        <v>1352.7280000000003</v>
      </c>
      <c r="AH9" s="32">
        <f t="shared" si="5"/>
        <v>1317.0173000000002</v>
      </c>
      <c r="AI9" s="32">
        <f t="shared" si="5"/>
        <v>1372.608666666667</v>
      </c>
      <c r="AJ9" s="32">
        <f t="shared" si="5"/>
        <v>1332.4171666666673</v>
      </c>
      <c r="AK9" s="32">
        <f t="shared" si="5"/>
        <v>1090.5781333333339</v>
      </c>
      <c r="AL9" s="42">
        <f t="shared" si="5"/>
        <v>1001.165683333334</v>
      </c>
    </row>
    <row r="10" spans="2:40" thickBot="1" x14ac:dyDescent="0.35">
      <c r="B10" s="23" t="s">
        <v>90</v>
      </c>
      <c r="C10" s="26">
        <f>(C9-C5)/C5</f>
        <v>9.8182105263158126E-2</v>
      </c>
      <c r="D10" s="27">
        <f t="shared" ref="D10:Z10" si="6">(D9-D5)/D5</f>
        <v>-2.1631687242798306E-2</v>
      </c>
      <c r="E10" s="27">
        <f t="shared" si="6"/>
        <v>-0.16102890173410392</v>
      </c>
      <c r="F10" s="27">
        <f t="shared" si="6"/>
        <v>-1.4525547445254988E-3</v>
      </c>
      <c r="G10" s="27">
        <f t="shared" si="6"/>
        <v>-4.5828764478764508E-2</v>
      </c>
      <c r="H10" s="27">
        <f t="shared" si="6"/>
        <v>6.6571254355400719E-2</v>
      </c>
      <c r="I10" s="27">
        <f t="shared" si="6"/>
        <v>-3.7587412587412189E-3</v>
      </c>
      <c r="J10" s="27">
        <f t="shared" si="6"/>
        <v>-1.9115044247788335E-3</v>
      </c>
      <c r="K10" s="27">
        <f t="shared" si="6"/>
        <v>-1.7058165548100087E-3</v>
      </c>
      <c r="L10" s="27">
        <f t="shared" si="6"/>
        <v>2.4872448979593384E-3</v>
      </c>
      <c r="M10" s="27">
        <f t="shared" si="6"/>
        <v>2.7889784946235258E-3</v>
      </c>
      <c r="N10" s="31">
        <f t="shared" si="6"/>
        <v>-6.2203004891684165E-3</v>
      </c>
      <c r="O10" s="26">
        <f t="shared" si="6"/>
        <v>-6.3793103448275337E-3</v>
      </c>
      <c r="P10" s="27">
        <f t="shared" si="6"/>
        <v>1.3927061310782193E-3</v>
      </c>
      <c r="Q10" s="27">
        <f t="shared" si="6"/>
        <v>6.1973525872441879E-3</v>
      </c>
      <c r="R10" s="27">
        <f t="shared" si="6"/>
        <v>4.3352122015914516E-3</v>
      </c>
      <c r="S10" s="27">
        <f t="shared" si="6"/>
        <v>-2.7389078498293827E-3</v>
      </c>
      <c r="T10" s="27">
        <f t="shared" si="6"/>
        <v>-3.2455513187163473E-3</v>
      </c>
      <c r="U10" s="27">
        <f t="shared" si="6"/>
        <v>-1.6235541535227092E-3</v>
      </c>
      <c r="V10" s="27">
        <f t="shared" si="6"/>
        <v>-8.5892781316350437E-3</v>
      </c>
      <c r="W10" s="27">
        <f t="shared" si="6"/>
        <v>5.5616612960973678E-2</v>
      </c>
      <c r="X10" s="27">
        <f t="shared" si="6"/>
        <v>0.14749841080651571</v>
      </c>
      <c r="Y10" s="27">
        <f t="shared" si="6"/>
        <v>3.9013507625272156E-2</v>
      </c>
      <c r="Z10" s="31">
        <f t="shared" si="6"/>
        <v>5.7009027777777728E-2</v>
      </c>
      <c r="AA10" s="14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1"/>
    </row>
    <row r="11" spans="2:40" ht="15.75" thickBot="1" x14ac:dyDescent="0.3"/>
    <row r="12" spans="2:40" ht="15.75" thickBot="1" x14ac:dyDescent="0.3">
      <c r="AN12" s="16" t="s">
        <v>91</v>
      </c>
    </row>
    <row r="13" spans="2:40" ht="15.75" thickBot="1" x14ac:dyDescent="0.3">
      <c r="AN13" s="16">
        <v>28.004999999999999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AN13"/>
  <sheetViews>
    <sheetView workbookViewId="0"/>
  </sheetViews>
  <sheetFormatPr baseColWidth="10" defaultRowHeight="15" x14ac:dyDescent="0.25"/>
  <cols>
    <col min="2" max="2" width="14.85546875" bestFit="1" customWidth="1"/>
    <col min="3" max="11" width="6.42578125" bestFit="1" customWidth="1"/>
    <col min="12" max="14" width="7.42578125" bestFit="1" customWidth="1"/>
    <col min="15" max="23" width="6.42578125" bestFit="1" customWidth="1"/>
    <col min="24" max="26" width="7.42578125" bestFit="1" customWidth="1"/>
    <col min="27" max="27" width="7.28515625" customWidth="1"/>
    <col min="28" max="28" width="6.7109375" customWidth="1"/>
    <col min="29" max="29" width="7.28515625" customWidth="1"/>
    <col min="30" max="30" width="6.7109375" customWidth="1"/>
    <col min="31" max="33" width="6.5703125" customWidth="1"/>
    <col min="34" max="34" width="6.42578125" customWidth="1"/>
    <col min="35" max="35" width="6.5703125" customWidth="1"/>
    <col min="36" max="38" width="6.7109375" bestFit="1" customWidth="1"/>
  </cols>
  <sheetData>
    <row r="2" spans="2:40" ht="14.45" x14ac:dyDescent="0.3">
      <c r="B2" s="2"/>
      <c r="C2" s="7" t="s">
        <v>26</v>
      </c>
      <c r="D2" s="7" t="s">
        <v>27</v>
      </c>
      <c r="E2" s="7" t="s">
        <v>28</v>
      </c>
      <c r="F2" s="7" t="s">
        <v>29</v>
      </c>
      <c r="G2" s="7" t="s">
        <v>30</v>
      </c>
      <c r="H2" s="7" t="s">
        <v>31</v>
      </c>
      <c r="I2" s="7" t="s">
        <v>32</v>
      </c>
      <c r="J2" s="7" t="s">
        <v>33</v>
      </c>
      <c r="K2" s="7" t="s">
        <v>34</v>
      </c>
      <c r="L2" s="7" t="s">
        <v>35</v>
      </c>
      <c r="M2" s="7" t="s">
        <v>36</v>
      </c>
      <c r="N2" s="7" t="s">
        <v>37</v>
      </c>
      <c r="O2" s="7" t="s">
        <v>38</v>
      </c>
      <c r="P2" s="7" t="s">
        <v>39</v>
      </c>
      <c r="Q2" s="7" t="s">
        <v>40</v>
      </c>
      <c r="R2" s="7" t="s">
        <v>41</v>
      </c>
      <c r="S2" s="7" t="s">
        <v>42</v>
      </c>
      <c r="T2" s="7" t="s">
        <v>43</v>
      </c>
      <c r="U2" s="7" t="s">
        <v>44</v>
      </c>
      <c r="V2" s="7" t="s">
        <v>45</v>
      </c>
      <c r="W2" s="7" t="s">
        <v>46</v>
      </c>
      <c r="X2" s="7" t="s">
        <v>47</v>
      </c>
      <c r="Y2" s="7" t="s">
        <v>48</v>
      </c>
      <c r="Z2" s="7" t="s">
        <v>49</v>
      </c>
      <c r="AA2" s="7" t="s">
        <v>50</v>
      </c>
      <c r="AB2" s="7" t="s">
        <v>51</v>
      </c>
      <c r="AC2" s="7" t="s">
        <v>52</v>
      </c>
      <c r="AD2" s="7" t="s">
        <v>53</v>
      </c>
      <c r="AE2" s="7" t="s">
        <v>54</v>
      </c>
      <c r="AF2" s="7" t="s">
        <v>55</v>
      </c>
      <c r="AG2" s="7" t="s">
        <v>56</v>
      </c>
      <c r="AH2" s="7" t="s">
        <v>57</v>
      </c>
      <c r="AI2" s="7" t="s">
        <v>58</v>
      </c>
      <c r="AJ2" s="7" t="s">
        <v>59</v>
      </c>
      <c r="AK2" s="7" t="s">
        <v>60</v>
      </c>
      <c r="AL2" s="7" t="s">
        <v>61</v>
      </c>
    </row>
    <row r="3" spans="2:40" thickBot="1" x14ac:dyDescent="0.35">
      <c r="B3" s="2"/>
      <c r="C3" s="8" t="s">
        <v>62</v>
      </c>
      <c r="D3" s="8" t="s">
        <v>63</v>
      </c>
      <c r="E3" s="8" t="s">
        <v>64</v>
      </c>
      <c r="F3" s="8" t="s">
        <v>65</v>
      </c>
      <c r="G3" s="8" t="s">
        <v>66</v>
      </c>
      <c r="H3" s="8" t="s">
        <v>67</v>
      </c>
      <c r="I3" s="8" t="s">
        <v>68</v>
      </c>
      <c r="J3" s="8" t="s">
        <v>69</v>
      </c>
      <c r="K3" s="8" t="s">
        <v>70</v>
      </c>
      <c r="L3" s="8" t="s">
        <v>71</v>
      </c>
      <c r="M3" s="8" t="s">
        <v>72</v>
      </c>
      <c r="N3" s="8" t="s">
        <v>73</v>
      </c>
      <c r="O3" s="8" t="s">
        <v>62</v>
      </c>
      <c r="P3" s="8" t="s">
        <v>63</v>
      </c>
      <c r="Q3" s="8" t="s">
        <v>64</v>
      </c>
      <c r="R3" s="8" t="s">
        <v>65</v>
      </c>
      <c r="S3" s="8" t="s">
        <v>66</v>
      </c>
      <c r="T3" s="8" t="s">
        <v>67</v>
      </c>
      <c r="U3" s="8" t="s">
        <v>68</v>
      </c>
      <c r="V3" s="8" t="s">
        <v>69</v>
      </c>
      <c r="W3" s="8" t="s">
        <v>70</v>
      </c>
      <c r="X3" s="8" t="s">
        <v>71</v>
      </c>
      <c r="Y3" s="8" t="s">
        <v>72</v>
      </c>
      <c r="Z3" s="8" t="s">
        <v>73</v>
      </c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</row>
    <row r="4" spans="2:40" ht="14.45" x14ac:dyDescent="0.3">
      <c r="B4" s="20" t="s">
        <v>0</v>
      </c>
      <c r="C4" s="4" t="s">
        <v>1</v>
      </c>
      <c r="D4" s="3" t="s">
        <v>2</v>
      </c>
      <c r="E4" s="3" t="s">
        <v>3</v>
      </c>
      <c r="F4" s="3" t="s">
        <v>4</v>
      </c>
      <c r="G4" s="3" t="s">
        <v>5</v>
      </c>
      <c r="H4" s="3" t="s">
        <v>6</v>
      </c>
      <c r="I4" s="3" t="s">
        <v>7</v>
      </c>
      <c r="J4" s="3" t="s">
        <v>8</v>
      </c>
      <c r="K4" s="3" t="s">
        <v>9</v>
      </c>
      <c r="L4" s="3" t="s">
        <v>10</v>
      </c>
      <c r="M4" s="3" t="s">
        <v>11</v>
      </c>
      <c r="N4" s="28" t="s">
        <v>12</v>
      </c>
      <c r="O4" s="4" t="s">
        <v>14</v>
      </c>
      <c r="P4" s="3" t="s">
        <v>15</v>
      </c>
      <c r="Q4" s="3" t="s">
        <v>16</v>
      </c>
      <c r="R4" s="3" t="s">
        <v>17</v>
      </c>
      <c r="S4" s="3" t="s">
        <v>18</v>
      </c>
      <c r="T4" s="3" t="s">
        <v>19</v>
      </c>
      <c r="U4" s="3" t="s">
        <v>20</v>
      </c>
      <c r="V4" s="3" t="s">
        <v>21</v>
      </c>
      <c r="W4" s="3" t="s">
        <v>22</v>
      </c>
      <c r="X4" s="3" t="s">
        <v>23</v>
      </c>
      <c r="Y4" s="3" t="s">
        <v>24</v>
      </c>
      <c r="Z4" s="28" t="s">
        <v>25</v>
      </c>
      <c r="AA4" s="17" t="s">
        <v>74</v>
      </c>
      <c r="AB4" s="18" t="s">
        <v>75</v>
      </c>
      <c r="AC4" s="18" t="s">
        <v>76</v>
      </c>
      <c r="AD4" s="18" t="s">
        <v>77</v>
      </c>
      <c r="AE4" s="18" t="s">
        <v>78</v>
      </c>
      <c r="AF4" s="18" t="s">
        <v>79</v>
      </c>
      <c r="AG4" s="18" t="s">
        <v>80</v>
      </c>
      <c r="AH4" s="18" t="s">
        <v>81</v>
      </c>
      <c r="AI4" s="18" t="s">
        <v>82</v>
      </c>
      <c r="AJ4" s="18" t="s">
        <v>83</v>
      </c>
      <c r="AK4" s="18" t="s">
        <v>84</v>
      </c>
      <c r="AL4" s="19" t="s">
        <v>85</v>
      </c>
    </row>
    <row r="5" spans="2:40" ht="14.45" x14ac:dyDescent="0.3">
      <c r="B5" s="21" t="s">
        <v>13</v>
      </c>
      <c r="C5" s="12">
        <v>192</v>
      </c>
      <c r="D5" s="6">
        <v>233</v>
      </c>
      <c r="E5" s="6">
        <v>316</v>
      </c>
      <c r="F5" s="6">
        <v>360</v>
      </c>
      <c r="G5" s="6">
        <v>437</v>
      </c>
      <c r="H5" s="6">
        <v>468</v>
      </c>
      <c r="I5" s="6">
        <v>451</v>
      </c>
      <c r="J5" s="6">
        <v>433</v>
      </c>
      <c r="K5" s="6">
        <v>444</v>
      </c>
      <c r="L5" s="6">
        <v>428</v>
      </c>
      <c r="M5" s="6">
        <v>352</v>
      </c>
      <c r="N5" s="29">
        <v>331</v>
      </c>
      <c r="O5" s="12">
        <v>296</v>
      </c>
      <c r="P5" s="6">
        <v>316</v>
      </c>
      <c r="Q5" s="6">
        <v>364</v>
      </c>
      <c r="R5" s="6">
        <v>487</v>
      </c>
      <c r="S5" s="6">
        <v>559</v>
      </c>
      <c r="T5" s="6">
        <v>657</v>
      </c>
      <c r="U5" s="6">
        <v>588</v>
      </c>
      <c r="V5" s="6">
        <v>575</v>
      </c>
      <c r="W5" s="6">
        <v>561</v>
      </c>
      <c r="X5" s="6">
        <v>499</v>
      </c>
      <c r="Y5" s="6">
        <v>450</v>
      </c>
      <c r="Z5" s="29">
        <v>405</v>
      </c>
      <c r="AA5" s="13"/>
      <c r="AB5" s="7"/>
      <c r="AC5" s="7"/>
      <c r="AD5" s="7"/>
      <c r="AE5" s="7"/>
      <c r="AF5" s="7"/>
      <c r="AG5" s="7"/>
      <c r="AH5" s="7"/>
      <c r="AI5" s="7"/>
      <c r="AJ5" s="7"/>
      <c r="AK5" s="7"/>
      <c r="AL5" s="9"/>
    </row>
    <row r="6" spans="2:40" ht="14.45" x14ac:dyDescent="0.3">
      <c r="B6" s="22" t="s">
        <v>86</v>
      </c>
      <c r="C6" s="33"/>
      <c r="D6" s="32"/>
      <c r="E6" s="32"/>
      <c r="F6" s="32"/>
      <c r="G6" s="32"/>
      <c r="H6" s="32"/>
      <c r="I6" s="44">
        <f>(1/12)*((C5/2)+D5+E5+F5+G5+H5+I5+J5+K5+L5+M5+N5+(O5/2))</f>
        <v>374.75</v>
      </c>
      <c r="J6" s="44">
        <f t="shared" ref="J6:T6" si="0">(1/12)*((D5/2)+E5+F5+G5+H5+I5+J5+K5+L5+M5+N5+O5+(P5/2))</f>
        <v>382.54166666666663</v>
      </c>
      <c r="K6" s="44">
        <f t="shared" si="0"/>
        <v>388</v>
      </c>
      <c r="L6" s="44">
        <f t="shared" si="0"/>
        <v>395.29166666666663</v>
      </c>
      <c r="M6" s="44">
        <f t="shared" si="0"/>
        <v>405.66666666666663</v>
      </c>
      <c r="N6" s="48">
        <f t="shared" si="0"/>
        <v>418.625</v>
      </c>
      <c r="O6" s="46">
        <f t="shared" si="0"/>
        <v>432.20833333333331</v>
      </c>
      <c r="P6" s="44">
        <f t="shared" si="0"/>
        <v>443.83333333333331</v>
      </c>
      <c r="Q6" s="44">
        <f t="shared" si="0"/>
        <v>454.625</v>
      </c>
      <c r="R6" s="44">
        <f t="shared" si="0"/>
        <v>462.45833333333331</v>
      </c>
      <c r="S6" s="44">
        <f t="shared" si="0"/>
        <v>469.5</v>
      </c>
      <c r="T6" s="44">
        <f t="shared" si="0"/>
        <v>476.66666666666663</v>
      </c>
      <c r="U6" s="32"/>
      <c r="V6" s="32"/>
      <c r="W6" s="7"/>
      <c r="X6" s="32"/>
      <c r="Y6" s="32"/>
      <c r="Z6" s="34"/>
      <c r="AA6" s="33"/>
      <c r="AB6" s="32"/>
      <c r="AC6" s="32"/>
      <c r="AD6" s="32"/>
      <c r="AE6" s="32"/>
      <c r="AF6" s="7"/>
      <c r="AG6" s="32"/>
      <c r="AH6" s="32"/>
      <c r="AI6" s="32"/>
      <c r="AJ6" s="32"/>
      <c r="AK6" s="32"/>
      <c r="AL6" s="42"/>
    </row>
    <row r="7" spans="2:40" ht="14.45" x14ac:dyDescent="0.3">
      <c r="B7" s="22" t="s">
        <v>87</v>
      </c>
      <c r="C7" s="37">
        <v>0.68</v>
      </c>
      <c r="D7" s="36">
        <v>0.71</v>
      </c>
      <c r="E7" s="36">
        <v>0.8</v>
      </c>
      <c r="F7" s="36">
        <v>1.05</v>
      </c>
      <c r="G7" s="36">
        <v>1.19</v>
      </c>
      <c r="H7" s="36">
        <v>1.38</v>
      </c>
      <c r="I7" s="32">
        <f>ROUND(I5/I6,2)</f>
        <v>1.2</v>
      </c>
      <c r="J7" s="32">
        <f t="shared" ref="J7:T7" si="1">ROUND(J5/J6,2)</f>
        <v>1.1299999999999999</v>
      </c>
      <c r="K7" s="32">
        <f t="shared" si="1"/>
        <v>1.1399999999999999</v>
      </c>
      <c r="L7" s="32">
        <f t="shared" si="1"/>
        <v>1.08</v>
      </c>
      <c r="M7" s="32">
        <f t="shared" si="1"/>
        <v>0.87</v>
      </c>
      <c r="N7" s="34">
        <f t="shared" si="1"/>
        <v>0.79</v>
      </c>
      <c r="O7" s="33">
        <f t="shared" si="1"/>
        <v>0.68</v>
      </c>
      <c r="P7" s="32">
        <f t="shared" si="1"/>
        <v>0.71</v>
      </c>
      <c r="Q7" s="32">
        <f t="shared" si="1"/>
        <v>0.8</v>
      </c>
      <c r="R7" s="32">
        <f t="shared" si="1"/>
        <v>1.05</v>
      </c>
      <c r="S7" s="32">
        <f t="shared" si="1"/>
        <v>1.19</v>
      </c>
      <c r="T7" s="32">
        <f t="shared" si="1"/>
        <v>1.38</v>
      </c>
      <c r="U7" s="36">
        <v>1.2</v>
      </c>
      <c r="V7" s="36">
        <v>1.1299999999999999</v>
      </c>
      <c r="W7" s="36">
        <v>1.1399999999999999</v>
      </c>
      <c r="X7" s="36">
        <v>1.08</v>
      </c>
      <c r="Y7" s="36">
        <v>0.87</v>
      </c>
      <c r="Z7" s="35">
        <v>0.79</v>
      </c>
      <c r="AA7" s="33">
        <v>0.68</v>
      </c>
      <c r="AB7" s="7">
        <v>0.71</v>
      </c>
      <c r="AC7" s="32">
        <v>0.8</v>
      </c>
      <c r="AD7" s="32">
        <v>1.05</v>
      </c>
      <c r="AE7" s="32">
        <v>1.19</v>
      </c>
      <c r="AF7" s="32">
        <v>1.38</v>
      </c>
      <c r="AG7" s="32">
        <v>1.2</v>
      </c>
      <c r="AH7" s="32">
        <v>1.1299999999999999</v>
      </c>
      <c r="AI7" s="32">
        <v>1.1399999999999999</v>
      </c>
      <c r="AJ7" s="7">
        <v>1.08</v>
      </c>
      <c r="AK7" s="32">
        <v>0.87</v>
      </c>
      <c r="AL7" s="9">
        <v>0.79</v>
      </c>
    </row>
    <row r="8" spans="2:40" x14ac:dyDescent="0.25">
      <c r="B8" s="22" t="s">
        <v>88</v>
      </c>
      <c r="C8" s="46">
        <f t="shared" ref="C8:G8" si="2">D8-$AN$13</f>
        <v>314.96659999999986</v>
      </c>
      <c r="D8" s="44">
        <f t="shared" si="2"/>
        <v>324.93049999999988</v>
      </c>
      <c r="E8" s="44">
        <f t="shared" si="2"/>
        <v>334.89439999999991</v>
      </c>
      <c r="F8" s="44">
        <f t="shared" si="2"/>
        <v>344.85829999999993</v>
      </c>
      <c r="G8" s="44">
        <f t="shared" si="2"/>
        <v>354.82219999999995</v>
      </c>
      <c r="H8" s="44">
        <f>I8-$AN$13</f>
        <v>364.78609999999998</v>
      </c>
      <c r="I8" s="44">
        <f>I6</f>
        <v>374.75</v>
      </c>
      <c r="J8" s="44">
        <f t="shared" ref="J8:T8" si="3">J6</f>
        <v>382.54166666666663</v>
      </c>
      <c r="K8" s="44">
        <f t="shared" si="3"/>
        <v>388</v>
      </c>
      <c r="L8" s="44">
        <f t="shared" si="3"/>
        <v>395.29166666666663</v>
      </c>
      <c r="M8" s="44">
        <f t="shared" si="3"/>
        <v>405.66666666666663</v>
      </c>
      <c r="N8" s="48">
        <f t="shared" si="3"/>
        <v>418.625</v>
      </c>
      <c r="O8" s="46">
        <f t="shared" si="3"/>
        <v>432.20833333333331</v>
      </c>
      <c r="P8" s="44">
        <f t="shared" si="3"/>
        <v>443.83333333333331</v>
      </c>
      <c r="Q8" s="44">
        <f t="shared" si="3"/>
        <v>454.625</v>
      </c>
      <c r="R8" s="44">
        <f t="shared" si="3"/>
        <v>462.45833333333331</v>
      </c>
      <c r="S8" s="44">
        <f t="shared" si="3"/>
        <v>469.5</v>
      </c>
      <c r="T8" s="44">
        <f t="shared" si="3"/>
        <v>476.66666666666663</v>
      </c>
      <c r="U8" s="44">
        <f>T8+$AN$13</f>
        <v>486.63056666666665</v>
      </c>
      <c r="V8" s="44">
        <f t="shared" ref="V8:AL8" si="4">U8+$AN$13</f>
        <v>496.59446666666668</v>
      </c>
      <c r="W8" s="44">
        <f t="shared" si="4"/>
        <v>506.5583666666667</v>
      </c>
      <c r="X8" s="44">
        <f t="shared" si="4"/>
        <v>516.52226666666672</v>
      </c>
      <c r="Y8" s="44">
        <f t="shared" si="4"/>
        <v>526.48616666666669</v>
      </c>
      <c r="Z8" s="48">
        <f t="shared" si="4"/>
        <v>536.45006666666666</v>
      </c>
      <c r="AA8" s="46">
        <f t="shared" si="4"/>
        <v>546.41396666666662</v>
      </c>
      <c r="AB8" s="44">
        <f t="shared" si="4"/>
        <v>556.37786666666659</v>
      </c>
      <c r="AC8" s="44">
        <f t="shared" si="4"/>
        <v>566.34176666666656</v>
      </c>
      <c r="AD8" s="44">
        <f t="shared" si="4"/>
        <v>576.30566666666653</v>
      </c>
      <c r="AE8" s="44">
        <f t="shared" si="4"/>
        <v>586.26956666666649</v>
      </c>
      <c r="AF8" s="44">
        <f t="shared" si="4"/>
        <v>596.23346666666646</v>
      </c>
      <c r="AG8" s="44">
        <f t="shared" si="4"/>
        <v>606.19736666666643</v>
      </c>
      <c r="AH8" s="44">
        <f t="shared" si="4"/>
        <v>616.16126666666639</v>
      </c>
      <c r="AI8" s="44">
        <f t="shared" si="4"/>
        <v>626.12516666666636</v>
      </c>
      <c r="AJ8" s="44">
        <f t="shared" si="4"/>
        <v>636.08906666666633</v>
      </c>
      <c r="AK8" s="44">
        <f t="shared" si="4"/>
        <v>646.05296666666629</v>
      </c>
      <c r="AL8" s="45">
        <f t="shared" si="4"/>
        <v>656.01686666666626</v>
      </c>
    </row>
    <row r="9" spans="2:40" ht="14.45" x14ac:dyDescent="0.3">
      <c r="B9" s="22" t="s">
        <v>89</v>
      </c>
      <c r="C9" s="33">
        <f>C7*C8</f>
        <v>214.17728799999992</v>
      </c>
      <c r="D9" s="32">
        <f t="shared" ref="D9:AL9" si="5">D7*D8</f>
        <v>230.7006549999999</v>
      </c>
      <c r="E9" s="32">
        <f t="shared" si="5"/>
        <v>267.91551999999996</v>
      </c>
      <c r="F9" s="32">
        <f t="shared" si="5"/>
        <v>362.10121499999997</v>
      </c>
      <c r="G9" s="32">
        <f t="shared" si="5"/>
        <v>422.23841799999991</v>
      </c>
      <c r="H9" s="32">
        <f t="shared" si="5"/>
        <v>503.40481799999992</v>
      </c>
      <c r="I9" s="32">
        <f t="shared" si="5"/>
        <v>449.7</v>
      </c>
      <c r="J9" s="32">
        <f t="shared" si="5"/>
        <v>432.27208333333323</v>
      </c>
      <c r="K9" s="32">
        <f t="shared" si="5"/>
        <v>442.31999999999994</v>
      </c>
      <c r="L9" s="32">
        <f t="shared" si="5"/>
        <v>426.91499999999996</v>
      </c>
      <c r="M9" s="32">
        <f t="shared" si="5"/>
        <v>352.92999999999995</v>
      </c>
      <c r="N9" s="34">
        <f t="shared" si="5"/>
        <v>330.71375</v>
      </c>
      <c r="O9" s="33">
        <f t="shared" si="5"/>
        <v>293.9016666666667</v>
      </c>
      <c r="P9" s="32">
        <f t="shared" si="5"/>
        <v>315.12166666666661</v>
      </c>
      <c r="Q9" s="32">
        <f t="shared" si="5"/>
        <v>363.70000000000005</v>
      </c>
      <c r="R9" s="32">
        <f t="shared" si="5"/>
        <v>485.58125000000001</v>
      </c>
      <c r="S9" s="32">
        <f t="shared" si="5"/>
        <v>558.70499999999993</v>
      </c>
      <c r="T9" s="32">
        <f t="shared" si="5"/>
        <v>657.79999999999984</v>
      </c>
      <c r="U9" s="32">
        <f t="shared" si="5"/>
        <v>583.95668000000001</v>
      </c>
      <c r="V9" s="32">
        <f t="shared" si="5"/>
        <v>561.15174733333333</v>
      </c>
      <c r="W9" s="32">
        <f t="shared" si="5"/>
        <v>577.47653800000001</v>
      </c>
      <c r="X9" s="32">
        <f t="shared" si="5"/>
        <v>557.84404800000004</v>
      </c>
      <c r="Y9" s="32">
        <f t="shared" si="5"/>
        <v>458.04296500000004</v>
      </c>
      <c r="Z9" s="34">
        <f t="shared" si="5"/>
        <v>423.79555266666665</v>
      </c>
      <c r="AA9" s="33">
        <f t="shared" si="5"/>
        <v>371.56149733333331</v>
      </c>
      <c r="AB9" s="32">
        <f t="shared" si="5"/>
        <v>395.02828533333326</v>
      </c>
      <c r="AC9" s="32">
        <f t="shared" si="5"/>
        <v>453.07341333333329</v>
      </c>
      <c r="AD9" s="32">
        <f t="shared" si="5"/>
        <v>605.12094999999988</v>
      </c>
      <c r="AE9" s="32">
        <f t="shared" si="5"/>
        <v>697.66078433333314</v>
      </c>
      <c r="AF9" s="32">
        <f t="shared" si="5"/>
        <v>822.80218399999967</v>
      </c>
      <c r="AG9" s="32">
        <f t="shared" si="5"/>
        <v>727.43683999999973</v>
      </c>
      <c r="AH9" s="32">
        <f t="shared" si="5"/>
        <v>696.26223133333292</v>
      </c>
      <c r="AI9" s="32">
        <f t="shared" si="5"/>
        <v>713.78268999999955</v>
      </c>
      <c r="AJ9" s="32">
        <f t="shared" si="5"/>
        <v>686.97619199999963</v>
      </c>
      <c r="AK9" s="32">
        <f t="shared" si="5"/>
        <v>562.06608099999971</v>
      </c>
      <c r="AL9" s="42">
        <f t="shared" si="5"/>
        <v>518.25332466666634</v>
      </c>
    </row>
    <row r="10" spans="2:40" thickBot="1" x14ac:dyDescent="0.35">
      <c r="B10" s="23" t="s">
        <v>90</v>
      </c>
      <c r="C10" s="26">
        <f>(C9-C5)/C5</f>
        <v>0.11550670833333292</v>
      </c>
      <c r="D10" s="27">
        <f t="shared" ref="D10:Z10" si="6">(D9-D5)/D5</f>
        <v>-9.8684334763952872E-3</v>
      </c>
      <c r="E10" s="27">
        <f t="shared" si="6"/>
        <v>-0.15216607594936721</v>
      </c>
      <c r="F10" s="27">
        <f t="shared" si="6"/>
        <v>5.8367083333332442E-3</v>
      </c>
      <c r="G10" s="27">
        <f t="shared" si="6"/>
        <v>-3.3779363844393798E-2</v>
      </c>
      <c r="H10" s="27">
        <f t="shared" si="6"/>
        <v>7.565132051282035E-2</v>
      </c>
      <c r="I10" s="27">
        <f t="shared" si="6"/>
        <v>-2.8824833702882735E-3</v>
      </c>
      <c r="J10" s="27">
        <f t="shared" si="6"/>
        <v>-1.681100846805478E-3</v>
      </c>
      <c r="K10" s="27">
        <f t="shared" si="6"/>
        <v>-3.7837837837839273E-3</v>
      </c>
      <c r="L10" s="27">
        <f t="shared" si="6"/>
        <v>-2.5350467289720477E-3</v>
      </c>
      <c r="M10" s="27">
        <f t="shared" si="6"/>
        <v>2.6420454545453124E-3</v>
      </c>
      <c r="N10" s="31">
        <f t="shared" si="6"/>
        <v>-8.6480362537762982E-4</v>
      </c>
      <c r="O10" s="26">
        <f t="shared" si="6"/>
        <v>-7.0889639639638543E-3</v>
      </c>
      <c r="P10" s="27">
        <f t="shared" si="6"/>
        <v>-2.7795358649790733E-3</v>
      </c>
      <c r="Q10" s="27">
        <f t="shared" si="6"/>
        <v>-8.2417582417569928E-4</v>
      </c>
      <c r="R10" s="27">
        <f t="shared" si="6"/>
        <v>-2.913244353182728E-3</v>
      </c>
      <c r="S10" s="27">
        <f t="shared" si="6"/>
        <v>-5.2772808586775094E-4</v>
      </c>
      <c r="T10" s="27">
        <f t="shared" si="6"/>
        <v>1.2176560121763178E-3</v>
      </c>
      <c r="U10" s="27">
        <f t="shared" si="6"/>
        <v>-6.8763945578231194E-3</v>
      </c>
      <c r="V10" s="27">
        <f t="shared" si="6"/>
        <v>-2.408391768115942E-2</v>
      </c>
      <c r="W10" s="27">
        <f t="shared" si="6"/>
        <v>2.9369942959001791E-2</v>
      </c>
      <c r="X10" s="27">
        <f t="shared" si="6"/>
        <v>0.11792394388777563</v>
      </c>
      <c r="Y10" s="27">
        <f t="shared" si="6"/>
        <v>1.7873255555555641E-2</v>
      </c>
      <c r="Z10" s="31">
        <f t="shared" si="6"/>
        <v>4.6408772016460868E-2</v>
      </c>
      <c r="AA10" s="14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1"/>
    </row>
    <row r="11" spans="2:40" ht="15.75" thickBot="1" x14ac:dyDescent="0.3"/>
    <row r="12" spans="2:40" ht="15.75" thickBot="1" x14ac:dyDescent="0.3">
      <c r="AN12" s="16" t="s">
        <v>91</v>
      </c>
    </row>
    <row r="13" spans="2:40" ht="15.75" thickBot="1" x14ac:dyDescent="0.3">
      <c r="AN13" s="16">
        <v>9.9639000000000006</v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AN13"/>
  <sheetViews>
    <sheetView workbookViewId="0"/>
  </sheetViews>
  <sheetFormatPr baseColWidth="10" defaultRowHeight="15" x14ac:dyDescent="0.25"/>
  <cols>
    <col min="2" max="2" width="14.85546875" bestFit="1" customWidth="1"/>
    <col min="3" max="11" width="6.42578125" bestFit="1" customWidth="1"/>
    <col min="12" max="14" width="7.42578125" bestFit="1" customWidth="1"/>
    <col min="15" max="23" width="6.42578125" bestFit="1" customWidth="1"/>
    <col min="24" max="26" width="7.42578125" bestFit="1" customWidth="1"/>
    <col min="27" max="27" width="6.7109375" customWidth="1"/>
    <col min="28" max="28" width="7" customWidth="1"/>
    <col min="29" max="29" width="6.5703125" customWidth="1"/>
    <col min="30" max="30" width="6.85546875" customWidth="1"/>
    <col min="31" max="31" width="6.42578125" customWidth="1"/>
    <col min="32" max="32" width="6.85546875" customWidth="1"/>
    <col min="33" max="33" width="6.7109375" customWidth="1"/>
    <col min="34" max="34" width="7" customWidth="1"/>
    <col min="35" max="35" width="6.5703125" customWidth="1"/>
    <col min="36" max="38" width="6.7109375" bestFit="1" customWidth="1"/>
  </cols>
  <sheetData>
    <row r="2" spans="2:40" ht="14.45" x14ac:dyDescent="0.3">
      <c r="B2" s="2"/>
      <c r="C2" s="7" t="s">
        <v>26</v>
      </c>
      <c r="D2" s="7" t="s">
        <v>27</v>
      </c>
      <c r="E2" s="7" t="s">
        <v>28</v>
      </c>
      <c r="F2" s="7" t="s">
        <v>29</v>
      </c>
      <c r="G2" s="7" t="s">
        <v>30</v>
      </c>
      <c r="H2" s="7" t="s">
        <v>31</v>
      </c>
      <c r="I2" s="7" t="s">
        <v>32</v>
      </c>
      <c r="J2" s="7" t="s">
        <v>33</v>
      </c>
      <c r="K2" s="7" t="s">
        <v>34</v>
      </c>
      <c r="L2" s="7" t="s">
        <v>35</v>
      </c>
      <c r="M2" s="7" t="s">
        <v>36</v>
      </c>
      <c r="N2" s="7" t="s">
        <v>37</v>
      </c>
      <c r="O2" s="7" t="s">
        <v>38</v>
      </c>
      <c r="P2" s="7" t="s">
        <v>39</v>
      </c>
      <c r="Q2" s="7" t="s">
        <v>40</v>
      </c>
      <c r="R2" s="7" t="s">
        <v>41</v>
      </c>
      <c r="S2" s="7" t="s">
        <v>42</v>
      </c>
      <c r="T2" s="7" t="s">
        <v>43</v>
      </c>
      <c r="U2" s="7" t="s">
        <v>44</v>
      </c>
      <c r="V2" s="7" t="s">
        <v>45</v>
      </c>
      <c r="W2" s="7" t="s">
        <v>46</v>
      </c>
      <c r="X2" s="7" t="s">
        <v>47</v>
      </c>
      <c r="Y2" s="7" t="s">
        <v>48</v>
      </c>
      <c r="Z2" s="7" t="s">
        <v>49</v>
      </c>
      <c r="AA2" s="7" t="s">
        <v>50</v>
      </c>
      <c r="AB2" s="7" t="s">
        <v>51</v>
      </c>
      <c r="AC2" s="7" t="s">
        <v>52</v>
      </c>
      <c r="AD2" s="7" t="s">
        <v>53</v>
      </c>
      <c r="AE2" s="7" t="s">
        <v>54</v>
      </c>
      <c r="AF2" s="7" t="s">
        <v>55</v>
      </c>
      <c r="AG2" s="7" t="s">
        <v>56</v>
      </c>
      <c r="AH2" s="7" t="s">
        <v>57</v>
      </c>
      <c r="AI2" s="7" t="s">
        <v>58</v>
      </c>
      <c r="AJ2" s="7" t="s">
        <v>59</v>
      </c>
      <c r="AK2" s="7" t="s">
        <v>60</v>
      </c>
      <c r="AL2" s="7" t="s">
        <v>61</v>
      </c>
    </row>
    <row r="3" spans="2:40" thickBot="1" x14ac:dyDescent="0.35">
      <c r="B3" s="2"/>
      <c r="C3" s="8" t="s">
        <v>62</v>
      </c>
      <c r="D3" s="8" t="s">
        <v>63</v>
      </c>
      <c r="E3" s="8" t="s">
        <v>64</v>
      </c>
      <c r="F3" s="8" t="s">
        <v>65</v>
      </c>
      <c r="G3" s="8" t="s">
        <v>66</v>
      </c>
      <c r="H3" s="8" t="s">
        <v>67</v>
      </c>
      <c r="I3" s="8" t="s">
        <v>68</v>
      </c>
      <c r="J3" s="8" t="s">
        <v>69</v>
      </c>
      <c r="K3" s="8" t="s">
        <v>70</v>
      </c>
      <c r="L3" s="8" t="s">
        <v>71</v>
      </c>
      <c r="M3" s="8" t="s">
        <v>72</v>
      </c>
      <c r="N3" s="8" t="s">
        <v>73</v>
      </c>
      <c r="O3" s="8" t="s">
        <v>62</v>
      </c>
      <c r="P3" s="8" t="s">
        <v>63</v>
      </c>
      <c r="Q3" s="8" t="s">
        <v>64</v>
      </c>
      <c r="R3" s="8" t="s">
        <v>65</v>
      </c>
      <c r="S3" s="8" t="s">
        <v>66</v>
      </c>
      <c r="T3" s="8" t="s">
        <v>67</v>
      </c>
      <c r="U3" s="8" t="s">
        <v>68</v>
      </c>
      <c r="V3" s="8" t="s">
        <v>69</v>
      </c>
      <c r="W3" s="8" t="s">
        <v>70</v>
      </c>
      <c r="X3" s="8" t="s">
        <v>71</v>
      </c>
      <c r="Y3" s="8" t="s">
        <v>72</v>
      </c>
      <c r="Z3" s="8" t="s">
        <v>73</v>
      </c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</row>
    <row r="4" spans="2:40" ht="14.45" x14ac:dyDescent="0.3">
      <c r="B4" s="20" t="s">
        <v>0</v>
      </c>
      <c r="C4" s="4" t="s">
        <v>1</v>
      </c>
      <c r="D4" s="3" t="s">
        <v>2</v>
      </c>
      <c r="E4" s="3" t="s">
        <v>3</v>
      </c>
      <c r="F4" s="3" t="s">
        <v>4</v>
      </c>
      <c r="G4" s="3" t="s">
        <v>5</v>
      </c>
      <c r="H4" s="3" t="s">
        <v>6</v>
      </c>
      <c r="I4" s="3" t="s">
        <v>7</v>
      </c>
      <c r="J4" s="3" t="s">
        <v>8</v>
      </c>
      <c r="K4" s="3" t="s">
        <v>9</v>
      </c>
      <c r="L4" s="3" t="s">
        <v>10</v>
      </c>
      <c r="M4" s="3" t="s">
        <v>11</v>
      </c>
      <c r="N4" s="28" t="s">
        <v>12</v>
      </c>
      <c r="O4" s="4" t="s">
        <v>14</v>
      </c>
      <c r="P4" s="3" t="s">
        <v>15</v>
      </c>
      <c r="Q4" s="3" t="s">
        <v>16</v>
      </c>
      <c r="R4" s="3" t="s">
        <v>17</v>
      </c>
      <c r="S4" s="3" t="s">
        <v>18</v>
      </c>
      <c r="T4" s="3" t="s">
        <v>19</v>
      </c>
      <c r="U4" s="3" t="s">
        <v>20</v>
      </c>
      <c r="V4" s="3" t="s">
        <v>21</v>
      </c>
      <c r="W4" s="3" t="s">
        <v>22</v>
      </c>
      <c r="X4" s="3" t="s">
        <v>23</v>
      </c>
      <c r="Y4" s="3" t="s">
        <v>24</v>
      </c>
      <c r="Z4" s="28" t="s">
        <v>25</v>
      </c>
      <c r="AA4" s="17" t="s">
        <v>74</v>
      </c>
      <c r="AB4" s="18" t="s">
        <v>75</v>
      </c>
      <c r="AC4" s="18" t="s">
        <v>76</v>
      </c>
      <c r="AD4" s="18" t="s">
        <v>77</v>
      </c>
      <c r="AE4" s="18" t="s">
        <v>78</v>
      </c>
      <c r="AF4" s="18" t="s">
        <v>79</v>
      </c>
      <c r="AG4" s="18" t="s">
        <v>80</v>
      </c>
      <c r="AH4" s="18" t="s">
        <v>81</v>
      </c>
      <c r="AI4" s="18" t="s">
        <v>82</v>
      </c>
      <c r="AJ4" s="18" t="s">
        <v>83</v>
      </c>
      <c r="AK4" s="18" t="s">
        <v>84</v>
      </c>
      <c r="AL4" s="19" t="s">
        <v>85</v>
      </c>
    </row>
    <row r="5" spans="2:40" ht="14.45" x14ac:dyDescent="0.3">
      <c r="B5" s="21" t="s">
        <v>13</v>
      </c>
      <c r="C5" s="12">
        <v>125</v>
      </c>
      <c r="D5" s="6">
        <v>156</v>
      </c>
      <c r="E5" s="6">
        <v>216</v>
      </c>
      <c r="F5" s="6">
        <v>252</v>
      </c>
      <c r="G5" s="6">
        <v>312</v>
      </c>
      <c r="H5" s="6">
        <v>340</v>
      </c>
      <c r="I5" s="6">
        <v>334</v>
      </c>
      <c r="J5" s="6">
        <v>326</v>
      </c>
      <c r="K5" s="6">
        <v>339</v>
      </c>
      <c r="L5" s="6">
        <v>331</v>
      </c>
      <c r="M5" s="6">
        <v>276</v>
      </c>
      <c r="N5" s="29">
        <v>263</v>
      </c>
      <c r="O5" s="12">
        <v>238</v>
      </c>
      <c r="P5" s="6">
        <v>257</v>
      </c>
      <c r="Q5" s="6">
        <v>299</v>
      </c>
      <c r="R5" s="6">
        <v>404</v>
      </c>
      <c r="S5" s="6">
        <v>468</v>
      </c>
      <c r="T5" s="6">
        <v>556</v>
      </c>
      <c r="U5" s="6">
        <v>501</v>
      </c>
      <c r="V5" s="6">
        <v>494</v>
      </c>
      <c r="W5" s="6">
        <v>486</v>
      </c>
      <c r="X5" s="6">
        <v>435</v>
      </c>
      <c r="Y5" s="6">
        <v>396</v>
      </c>
      <c r="Z5" s="29">
        <v>358</v>
      </c>
      <c r="AA5" s="13"/>
      <c r="AB5" s="7"/>
      <c r="AC5" s="7"/>
      <c r="AD5" s="7"/>
      <c r="AE5" s="7"/>
      <c r="AF5" s="7"/>
      <c r="AG5" s="7"/>
      <c r="AH5" s="7"/>
      <c r="AI5" s="7"/>
      <c r="AJ5" s="7"/>
      <c r="AK5" s="7"/>
      <c r="AL5" s="9"/>
    </row>
    <row r="6" spans="2:40" ht="14.45" x14ac:dyDescent="0.3">
      <c r="B6" s="22" t="s">
        <v>86</v>
      </c>
      <c r="C6" s="33"/>
      <c r="D6" s="32"/>
      <c r="E6" s="32"/>
      <c r="F6" s="32"/>
      <c r="G6" s="32"/>
      <c r="H6" s="32"/>
      <c r="I6" s="44">
        <f>(1/12)*((C5/2)+D5+E5+F5+G5+H5+I5+J5+K5+L5+M5+N5+(O5/2))</f>
        <v>277.20833333333331</v>
      </c>
      <c r="J6" s="44">
        <f t="shared" ref="J6:T6" si="0">(1/12)*((D5/2)+E5+F5+G5+H5+I5+J5+K5+L5+M5+N5+O5+(P5/2))</f>
        <v>286.125</v>
      </c>
      <c r="K6" s="44">
        <f t="shared" si="0"/>
        <v>293.79166666666663</v>
      </c>
      <c r="L6" s="44">
        <f t="shared" si="0"/>
        <v>303.58333333333331</v>
      </c>
      <c r="M6" s="44">
        <f t="shared" si="0"/>
        <v>316.41666666666663</v>
      </c>
      <c r="N6" s="48">
        <f t="shared" si="0"/>
        <v>331.91666666666663</v>
      </c>
      <c r="O6" s="46">
        <f t="shared" si="0"/>
        <v>347.875</v>
      </c>
      <c r="P6" s="44">
        <f t="shared" si="0"/>
        <v>361.83333333333331</v>
      </c>
      <c r="Q6" s="44">
        <f t="shared" si="0"/>
        <v>374.95833333333331</v>
      </c>
      <c r="R6" s="44">
        <f t="shared" si="0"/>
        <v>385.41666666666663</v>
      </c>
      <c r="S6" s="44">
        <f t="shared" si="0"/>
        <v>394.75</v>
      </c>
      <c r="T6" s="44">
        <f t="shared" si="0"/>
        <v>403.70833333333331</v>
      </c>
      <c r="U6" s="32"/>
      <c r="V6" s="32"/>
      <c r="W6" s="7"/>
      <c r="X6" s="32"/>
      <c r="Y6" s="32"/>
      <c r="Z6" s="34"/>
      <c r="AA6" s="33"/>
      <c r="AB6" s="32"/>
      <c r="AC6" s="32"/>
      <c r="AD6" s="32"/>
      <c r="AE6" s="32"/>
      <c r="AF6" s="7"/>
      <c r="AG6" s="32"/>
      <c r="AH6" s="32"/>
      <c r="AI6" s="32"/>
      <c r="AJ6" s="32"/>
      <c r="AK6" s="32"/>
      <c r="AL6" s="42"/>
    </row>
    <row r="7" spans="2:40" ht="14.45" x14ac:dyDescent="0.3">
      <c r="B7" s="22" t="s">
        <v>87</v>
      </c>
      <c r="C7" s="37">
        <v>0.68</v>
      </c>
      <c r="D7" s="36">
        <v>0.71</v>
      </c>
      <c r="E7" s="36">
        <v>0.8</v>
      </c>
      <c r="F7" s="36">
        <v>1.05</v>
      </c>
      <c r="G7" s="36">
        <v>1.19</v>
      </c>
      <c r="H7" s="36">
        <v>1.38</v>
      </c>
      <c r="I7" s="32">
        <f>ROUND(I5/I6,2)</f>
        <v>1.2</v>
      </c>
      <c r="J7" s="32">
        <f t="shared" ref="J7:T7" si="1">ROUND(J5/J6,2)</f>
        <v>1.1399999999999999</v>
      </c>
      <c r="K7" s="32">
        <f t="shared" si="1"/>
        <v>1.1499999999999999</v>
      </c>
      <c r="L7" s="32">
        <f t="shared" si="1"/>
        <v>1.0900000000000001</v>
      </c>
      <c r="M7" s="32">
        <f t="shared" si="1"/>
        <v>0.87</v>
      </c>
      <c r="N7" s="34">
        <f t="shared" si="1"/>
        <v>0.79</v>
      </c>
      <c r="O7" s="33">
        <f t="shared" si="1"/>
        <v>0.68</v>
      </c>
      <c r="P7" s="32">
        <f t="shared" si="1"/>
        <v>0.71</v>
      </c>
      <c r="Q7" s="32">
        <f t="shared" si="1"/>
        <v>0.8</v>
      </c>
      <c r="R7" s="32">
        <f t="shared" si="1"/>
        <v>1.05</v>
      </c>
      <c r="S7" s="32">
        <f t="shared" si="1"/>
        <v>1.19</v>
      </c>
      <c r="T7" s="32">
        <f t="shared" si="1"/>
        <v>1.38</v>
      </c>
      <c r="U7" s="36">
        <v>1.2</v>
      </c>
      <c r="V7" s="36">
        <v>1.1399999999999999</v>
      </c>
      <c r="W7" s="36">
        <v>1.1499999999999999</v>
      </c>
      <c r="X7" s="36">
        <v>1.0900000000000001</v>
      </c>
      <c r="Y7" s="36">
        <v>0.87</v>
      </c>
      <c r="Z7" s="35">
        <v>0.79</v>
      </c>
      <c r="AA7" s="33">
        <v>0.68</v>
      </c>
      <c r="AB7" s="7">
        <v>0.71</v>
      </c>
      <c r="AC7" s="32">
        <v>0.8</v>
      </c>
      <c r="AD7" s="32">
        <v>1.05</v>
      </c>
      <c r="AE7" s="32">
        <v>1.19</v>
      </c>
      <c r="AF7" s="32">
        <v>1.38</v>
      </c>
      <c r="AG7" s="32">
        <v>1.2</v>
      </c>
      <c r="AH7" s="32">
        <v>1.1399999999999999</v>
      </c>
      <c r="AI7" s="32">
        <v>1.1499999999999999</v>
      </c>
      <c r="AJ7" s="7">
        <v>1.0900000000000001</v>
      </c>
      <c r="AK7" s="32">
        <v>0.87</v>
      </c>
      <c r="AL7" s="9">
        <v>0.79</v>
      </c>
    </row>
    <row r="8" spans="2:40" x14ac:dyDescent="0.25">
      <c r="B8" s="22" t="s">
        <v>88</v>
      </c>
      <c r="C8" s="46">
        <f t="shared" ref="C8:G8" si="2">D8-$AN$13</f>
        <v>203.37233333333327</v>
      </c>
      <c r="D8" s="44">
        <f t="shared" si="2"/>
        <v>215.67833333333328</v>
      </c>
      <c r="E8" s="44">
        <f t="shared" si="2"/>
        <v>227.9843333333333</v>
      </c>
      <c r="F8" s="44">
        <f t="shared" si="2"/>
        <v>240.29033333333331</v>
      </c>
      <c r="G8" s="44">
        <f t="shared" si="2"/>
        <v>252.59633333333332</v>
      </c>
      <c r="H8" s="44">
        <f>I8-$AN$13</f>
        <v>264.90233333333333</v>
      </c>
      <c r="I8" s="44">
        <f>I6</f>
        <v>277.20833333333331</v>
      </c>
      <c r="J8" s="44">
        <f t="shared" ref="J8:T8" si="3">J6</f>
        <v>286.125</v>
      </c>
      <c r="K8" s="44">
        <f t="shared" si="3"/>
        <v>293.79166666666663</v>
      </c>
      <c r="L8" s="44">
        <f t="shared" si="3"/>
        <v>303.58333333333331</v>
      </c>
      <c r="M8" s="44">
        <f t="shared" si="3"/>
        <v>316.41666666666663</v>
      </c>
      <c r="N8" s="48">
        <f t="shared" si="3"/>
        <v>331.91666666666663</v>
      </c>
      <c r="O8" s="46">
        <f t="shared" si="3"/>
        <v>347.875</v>
      </c>
      <c r="P8" s="44">
        <f t="shared" si="3"/>
        <v>361.83333333333331</v>
      </c>
      <c r="Q8" s="44">
        <f t="shared" si="3"/>
        <v>374.95833333333331</v>
      </c>
      <c r="R8" s="44">
        <f t="shared" si="3"/>
        <v>385.41666666666663</v>
      </c>
      <c r="S8" s="44">
        <f t="shared" si="3"/>
        <v>394.75</v>
      </c>
      <c r="T8" s="44">
        <f t="shared" si="3"/>
        <v>403.70833333333331</v>
      </c>
      <c r="U8" s="44">
        <f>T8+$AN$13</f>
        <v>416.0143333333333</v>
      </c>
      <c r="V8" s="44">
        <f t="shared" ref="V8:AL8" si="4">U8+$AN$13</f>
        <v>428.32033333333328</v>
      </c>
      <c r="W8" s="44">
        <f t="shared" si="4"/>
        <v>440.62633333333326</v>
      </c>
      <c r="X8" s="44">
        <f t="shared" si="4"/>
        <v>452.93233333333325</v>
      </c>
      <c r="Y8" s="44">
        <f t="shared" si="4"/>
        <v>465.23833333333323</v>
      </c>
      <c r="Z8" s="48">
        <f t="shared" si="4"/>
        <v>477.54433333333321</v>
      </c>
      <c r="AA8" s="46">
        <f t="shared" si="4"/>
        <v>489.8503333333332</v>
      </c>
      <c r="AB8" s="44">
        <f t="shared" si="4"/>
        <v>502.15633333333318</v>
      </c>
      <c r="AC8" s="44">
        <f t="shared" si="4"/>
        <v>514.46233333333316</v>
      </c>
      <c r="AD8" s="44">
        <f t="shared" si="4"/>
        <v>526.7683333333332</v>
      </c>
      <c r="AE8" s="44">
        <f t="shared" si="4"/>
        <v>539.07433333333324</v>
      </c>
      <c r="AF8" s="44">
        <f t="shared" si="4"/>
        <v>551.38033333333328</v>
      </c>
      <c r="AG8" s="44">
        <f t="shared" si="4"/>
        <v>563.68633333333332</v>
      </c>
      <c r="AH8" s="44">
        <f t="shared" si="4"/>
        <v>575.99233333333336</v>
      </c>
      <c r="AI8" s="44">
        <f t="shared" si="4"/>
        <v>588.2983333333334</v>
      </c>
      <c r="AJ8" s="44">
        <f t="shared" si="4"/>
        <v>600.60433333333344</v>
      </c>
      <c r="AK8" s="44">
        <f t="shared" si="4"/>
        <v>612.91033333333348</v>
      </c>
      <c r="AL8" s="45">
        <f t="shared" si="4"/>
        <v>625.21633333333352</v>
      </c>
    </row>
    <row r="9" spans="2:40" ht="14.45" x14ac:dyDescent="0.3">
      <c r="B9" s="22" t="s">
        <v>89</v>
      </c>
      <c r="C9" s="33">
        <f>C7*C8</f>
        <v>138.29318666666663</v>
      </c>
      <c r="D9" s="32">
        <f t="shared" ref="D9:AL9" si="5">D7*D8</f>
        <v>153.13161666666662</v>
      </c>
      <c r="E9" s="32">
        <f t="shared" si="5"/>
        <v>182.38746666666665</v>
      </c>
      <c r="F9" s="32">
        <f t="shared" si="5"/>
        <v>252.30484999999999</v>
      </c>
      <c r="G9" s="32">
        <f t="shared" si="5"/>
        <v>300.58963666666665</v>
      </c>
      <c r="H9" s="32">
        <f t="shared" si="5"/>
        <v>365.56521999999995</v>
      </c>
      <c r="I9" s="32">
        <f t="shared" si="5"/>
        <v>332.65</v>
      </c>
      <c r="J9" s="32">
        <f t="shared" si="5"/>
        <v>326.18249999999995</v>
      </c>
      <c r="K9" s="32">
        <f t="shared" si="5"/>
        <v>337.86041666666659</v>
      </c>
      <c r="L9" s="32">
        <f t="shared" si="5"/>
        <v>330.90583333333336</v>
      </c>
      <c r="M9" s="32">
        <f t="shared" si="5"/>
        <v>275.28249999999997</v>
      </c>
      <c r="N9" s="34">
        <f t="shared" si="5"/>
        <v>262.21416666666664</v>
      </c>
      <c r="O9" s="33">
        <f t="shared" si="5"/>
        <v>236.55500000000001</v>
      </c>
      <c r="P9" s="32">
        <f t="shared" si="5"/>
        <v>256.90166666666664</v>
      </c>
      <c r="Q9" s="32">
        <f t="shared" si="5"/>
        <v>299.96666666666664</v>
      </c>
      <c r="R9" s="32">
        <f t="shared" si="5"/>
        <v>404.6875</v>
      </c>
      <c r="S9" s="32">
        <f t="shared" si="5"/>
        <v>469.7525</v>
      </c>
      <c r="T9" s="32">
        <f t="shared" si="5"/>
        <v>557.11749999999995</v>
      </c>
      <c r="U9" s="32">
        <f t="shared" si="5"/>
        <v>499.21719999999993</v>
      </c>
      <c r="V9" s="32">
        <f t="shared" si="5"/>
        <v>488.28517999999991</v>
      </c>
      <c r="W9" s="32">
        <f t="shared" si="5"/>
        <v>506.72028333333321</v>
      </c>
      <c r="X9" s="32">
        <f t="shared" si="5"/>
        <v>493.69624333333326</v>
      </c>
      <c r="Y9" s="32">
        <f t="shared" si="5"/>
        <v>404.75734999999992</v>
      </c>
      <c r="Z9" s="34">
        <f t="shared" si="5"/>
        <v>377.26002333333327</v>
      </c>
      <c r="AA9" s="33">
        <f t="shared" si="5"/>
        <v>333.09822666666662</v>
      </c>
      <c r="AB9" s="32">
        <f t="shared" si="5"/>
        <v>356.53099666666657</v>
      </c>
      <c r="AC9" s="32">
        <f t="shared" si="5"/>
        <v>411.56986666666654</v>
      </c>
      <c r="AD9" s="32">
        <f t="shared" si="5"/>
        <v>553.10674999999992</v>
      </c>
      <c r="AE9" s="32">
        <f t="shared" si="5"/>
        <v>641.49845666666658</v>
      </c>
      <c r="AF9" s="32">
        <f t="shared" si="5"/>
        <v>760.90485999999987</v>
      </c>
      <c r="AG9" s="32">
        <f t="shared" si="5"/>
        <v>676.42359999999996</v>
      </c>
      <c r="AH9" s="32">
        <f t="shared" si="5"/>
        <v>656.63126</v>
      </c>
      <c r="AI9" s="32">
        <f t="shared" si="5"/>
        <v>676.54308333333336</v>
      </c>
      <c r="AJ9" s="32">
        <f t="shared" si="5"/>
        <v>654.65872333333346</v>
      </c>
      <c r="AK9" s="32">
        <f t="shared" si="5"/>
        <v>533.23199000000011</v>
      </c>
      <c r="AL9" s="42">
        <f t="shared" si="5"/>
        <v>493.92090333333351</v>
      </c>
    </row>
    <row r="10" spans="2:40" thickBot="1" x14ac:dyDescent="0.35">
      <c r="B10" s="23" t="s">
        <v>90</v>
      </c>
      <c r="C10" s="26">
        <f>(C9-C5)/C5</f>
        <v>0.10634549333333303</v>
      </c>
      <c r="D10" s="27">
        <f t="shared" ref="D10:Z10" si="6">(D9-D5)/D5</f>
        <v>-1.8387072649572973E-2</v>
      </c>
      <c r="E10" s="27">
        <f t="shared" si="6"/>
        <v>-0.15561358024691363</v>
      </c>
      <c r="F10" s="27">
        <f t="shared" si="6"/>
        <v>1.2097222222221731E-3</v>
      </c>
      <c r="G10" s="27">
        <f t="shared" si="6"/>
        <v>-3.6571677350427406E-2</v>
      </c>
      <c r="H10" s="27">
        <f t="shared" si="6"/>
        <v>7.5191823529411631E-2</v>
      </c>
      <c r="I10" s="27">
        <f t="shared" si="6"/>
        <v>-4.0419161676647384E-3</v>
      </c>
      <c r="J10" s="27">
        <f t="shared" si="6"/>
        <v>5.5981595092008494E-4</v>
      </c>
      <c r="K10" s="27">
        <f t="shared" si="6"/>
        <v>-3.3616027531958859E-3</v>
      </c>
      <c r="L10" s="27">
        <f t="shared" si="6"/>
        <v>-2.8449144008047694E-4</v>
      </c>
      <c r="M10" s="27">
        <f t="shared" si="6"/>
        <v>-2.5996376811595273E-3</v>
      </c>
      <c r="N10" s="31">
        <f t="shared" si="6"/>
        <v>-2.987959442332158E-3</v>
      </c>
      <c r="O10" s="26">
        <f t="shared" si="6"/>
        <v>-6.0714285714285427E-3</v>
      </c>
      <c r="P10" s="27">
        <f t="shared" si="6"/>
        <v>-3.8261997405975717E-4</v>
      </c>
      <c r="Q10" s="27">
        <f t="shared" si="6"/>
        <v>3.2329988851727094E-3</v>
      </c>
      <c r="R10" s="27">
        <f t="shared" si="6"/>
        <v>1.7017326732673267E-3</v>
      </c>
      <c r="S10" s="27">
        <f t="shared" si="6"/>
        <v>3.7446581196581147E-3</v>
      </c>
      <c r="T10" s="27">
        <f t="shared" si="6"/>
        <v>2.0098920863308454E-3</v>
      </c>
      <c r="U10" s="27">
        <f t="shared" si="6"/>
        <v>-3.5584830339322666E-3</v>
      </c>
      <c r="V10" s="27">
        <f t="shared" si="6"/>
        <v>-1.1568461538461717E-2</v>
      </c>
      <c r="W10" s="27">
        <f t="shared" si="6"/>
        <v>4.2634327846364638E-2</v>
      </c>
      <c r="X10" s="27">
        <f t="shared" si="6"/>
        <v>0.13493389272030634</v>
      </c>
      <c r="Y10" s="27">
        <f t="shared" si="6"/>
        <v>2.2114520202019993E-2</v>
      </c>
      <c r="Z10" s="31">
        <f t="shared" si="6"/>
        <v>5.3798947858472806E-2</v>
      </c>
      <c r="AA10" s="14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1"/>
    </row>
    <row r="11" spans="2:40" ht="15.75" thickBot="1" x14ac:dyDescent="0.3"/>
    <row r="12" spans="2:40" ht="15.75" thickBot="1" x14ac:dyDescent="0.3">
      <c r="AN12" s="16" t="s">
        <v>91</v>
      </c>
    </row>
    <row r="13" spans="2:40" ht="15.75" thickBot="1" x14ac:dyDescent="0.3">
      <c r="AN13" s="16">
        <v>12.305999999999999</v>
      </c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AN13"/>
  <sheetViews>
    <sheetView workbookViewId="0"/>
  </sheetViews>
  <sheetFormatPr baseColWidth="10" defaultRowHeight="15" x14ac:dyDescent="0.25"/>
  <cols>
    <col min="2" max="2" width="14.85546875" bestFit="1" customWidth="1"/>
    <col min="3" max="11" width="6.42578125" bestFit="1" customWidth="1"/>
    <col min="12" max="14" width="7.42578125" bestFit="1" customWidth="1"/>
    <col min="15" max="23" width="6.42578125" bestFit="1" customWidth="1"/>
    <col min="24" max="26" width="7.42578125" bestFit="1" customWidth="1"/>
    <col min="27" max="28" width="6.85546875" customWidth="1"/>
    <col min="29" max="29" width="6.7109375" customWidth="1"/>
    <col min="30" max="30" width="6.28515625" customWidth="1"/>
    <col min="31" max="31" width="6.42578125" customWidth="1"/>
    <col min="32" max="34" width="6.7109375" customWidth="1"/>
    <col min="35" max="35" width="6.28515625" customWidth="1"/>
    <col min="36" max="38" width="6.7109375" bestFit="1" customWidth="1"/>
  </cols>
  <sheetData>
    <row r="2" spans="2:40" ht="14.45" x14ac:dyDescent="0.3">
      <c r="B2" s="2"/>
      <c r="C2" s="7" t="s">
        <v>26</v>
      </c>
      <c r="D2" s="7" t="s">
        <v>27</v>
      </c>
      <c r="E2" s="7" t="s">
        <v>28</v>
      </c>
      <c r="F2" s="7" t="s">
        <v>29</v>
      </c>
      <c r="G2" s="7" t="s">
        <v>30</v>
      </c>
      <c r="H2" s="7" t="s">
        <v>31</v>
      </c>
      <c r="I2" s="7" t="s">
        <v>32</v>
      </c>
      <c r="J2" s="7" t="s">
        <v>33</v>
      </c>
      <c r="K2" s="7" t="s">
        <v>34</v>
      </c>
      <c r="L2" s="7" t="s">
        <v>35</v>
      </c>
      <c r="M2" s="7" t="s">
        <v>36</v>
      </c>
      <c r="N2" s="7" t="s">
        <v>37</v>
      </c>
      <c r="O2" s="7" t="s">
        <v>38</v>
      </c>
      <c r="P2" s="7" t="s">
        <v>39</v>
      </c>
      <c r="Q2" s="7" t="s">
        <v>40</v>
      </c>
      <c r="R2" s="7" t="s">
        <v>41</v>
      </c>
      <c r="S2" s="7" t="s">
        <v>42</v>
      </c>
      <c r="T2" s="7" t="s">
        <v>43</v>
      </c>
      <c r="U2" s="7" t="s">
        <v>44</v>
      </c>
      <c r="V2" s="7" t="s">
        <v>45</v>
      </c>
      <c r="W2" s="7" t="s">
        <v>46</v>
      </c>
      <c r="X2" s="7" t="s">
        <v>47</v>
      </c>
      <c r="Y2" s="7" t="s">
        <v>48</v>
      </c>
      <c r="Z2" s="7" t="s">
        <v>49</v>
      </c>
      <c r="AA2" s="7" t="s">
        <v>50</v>
      </c>
      <c r="AB2" s="7" t="s">
        <v>51</v>
      </c>
      <c r="AC2" s="7" t="s">
        <v>52</v>
      </c>
      <c r="AD2" s="7" t="s">
        <v>53</v>
      </c>
      <c r="AE2" s="7" t="s">
        <v>54</v>
      </c>
      <c r="AF2" s="7" t="s">
        <v>55</v>
      </c>
      <c r="AG2" s="7" t="s">
        <v>56</v>
      </c>
      <c r="AH2" s="7" t="s">
        <v>57</v>
      </c>
      <c r="AI2" s="7" t="s">
        <v>58</v>
      </c>
      <c r="AJ2" s="7" t="s">
        <v>59</v>
      </c>
      <c r="AK2" s="7" t="s">
        <v>60</v>
      </c>
      <c r="AL2" s="7" t="s">
        <v>61</v>
      </c>
    </row>
    <row r="3" spans="2:40" thickBot="1" x14ac:dyDescent="0.35">
      <c r="B3" s="2"/>
      <c r="C3" s="8" t="s">
        <v>62</v>
      </c>
      <c r="D3" s="8" t="s">
        <v>63</v>
      </c>
      <c r="E3" s="8" t="s">
        <v>64</v>
      </c>
      <c r="F3" s="8" t="s">
        <v>65</v>
      </c>
      <c r="G3" s="8" t="s">
        <v>66</v>
      </c>
      <c r="H3" s="8" t="s">
        <v>67</v>
      </c>
      <c r="I3" s="8" t="s">
        <v>68</v>
      </c>
      <c r="J3" s="8" t="s">
        <v>69</v>
      </c>
      <c r="K3" s="8" t="s">
        <v>70</v>
      </c>
      <c r="L3" s="8" t="s">
        <v>71</v>
      </c>
      <c r="M3" s="8" t="s">
        <v>72</v>
      </c>
      <c r="N3" s="8" t="s">
        <v>73</v>
      </c>
      <c r="O3" s="8" t="s">
        <v>62</v>
      </c>
      <c r="P3" s="8" t="s">
        <v>63</v>
      </c>
      <c r="Q3" s="8" t="s">
        <v>64</v>
      </c>
      <c r="R3" s="8" t="s">
        <v>65</v>
      </c>
      <c r="S3" s="8" t="s">
        <v>66</v>
      </c>
      <c r="T3" s="8" t="s">
        <v>67</v>
      </c>
      <c r="U3" s="8" t="s">
        <v>68</v>
      </c>
      <c r="V3" s="8" t="s">
        <v>69</v>
      </c>
      <c r="W3" s="8" t="s">
        <v>70</v>
      </c>
      <c r="X3" s="8" t="s">
        <v>71</v>
      </c>
      <c r="Y3" s="8" t="s">
        <v>72</v>
      </c>
      <c r="Z3" s="8" t="s">
        <v>73</v>
      </c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</row>
    <row r="4" spans="2:40" ht="14.45" x14ac:dyDescent="0.3">
      <c r="B4" s="20" t="s">
        <v>0</v>
      </c>
      <c r="C4" s="4" t="s">
        <v>1</v>
      </c>
      <c r="D4" s="3" t="s">
        <v>2</v>
      </c>
      <c r="E4" s="3" t="s">
        <v>3</v>
      </c>
      <c r="F4" s="3" t="s">
        <v>4</v>
      </c>
      <c r="G4" s="3" t="s">
        <v>5</v>
      </c>
      <c r="H4" s="3" t="s">
        <v>6</v>
      </c>
      <c r="I4" s="3" t="s">
        <v>7</v>
      </c>
      <c r="J4" s="3" t="s">
        <v>8</v>
      </c>
      <c r="K4" s="3" t="s">
        <v>9</v>
      </c>
      <c r="L4" s="3" t="s">
        <v>10</v>
      </c>
      <c r="M4" s="3" t="s">
        <v>11</v>
      </c>
      <c r="N4" s="28" t="s">
        <v>12</v>
      </c>
      <c r="O4" s="4" t="s">
        <v>14</v>
      </c>
      <c r="P4" s="3" t="s">
        <v>15</v>
      </c>
      <c r="Q4" s="3" t="s">
        <v>16</v>
      </c>
      <c r="R4" s="3" t="s">
        <v>17</v>
      </c>
      <c r="S4" s="3" t="s">
        <v>18</v>
      </c>
      <c r="T4" s="3" t="s">
        <v>19</v>
      </c>
      <c r="U4" s="3" t="s">
        <v>20</v>
      </c>
      <c r="V4" s="3" t="s">
        <v>21</v>
      </c>
      <c r="W4" s="3" t="s">
        <v>22</v>
      </c>
      <c r="X4" s="3" t="s">
        <v>23</v>
      </c>
      <c r="Y4" s="3" t="s">
        <v>24</v>
      </c>
      <c r="Z4" s="28" t="s">
        <v>25</v>
      </c>
      <c r="AA4" s="17" t="s">
        <v>74</v>
      </c>
      <c r="AB4" s="18" t="s">
        <v>75</v>
      </c>
      <c r="AC4" s="18" t="s">
        <v>76</v>
      </c>
      <c r="AD4" s="18" t="s">
        <v>77</v>
      </c>
      <c r="AE4" s="18" t="s">
        <v>78</v>
      </c>
      <c r="AF4" s="18" t="s">
        <v>79</v>
      </c>
      <c r="AG4" s="18" t="s">
        <v>80</v>
      </c>
      <c r="AH4" s="18" t="s">
        <v>81</v>
      </c>
      <c r="AI4" s="18" t="s">
        <v>82</v>
      </c>
      <c r="AJ4" s="18" t="s">
        <v>83</v>
      </c>
      <c r="AK4" s="18" t="s">
        <v>84</v>
      </c>
      <c r="AL4" s="19" t="s">
        <v>85</v>
      </c>
    </row>
    <row r="5" spans="2:40" ht="14.45" x14ac:dyDescent="0.3">
      <c r="B5" s="21" t="s">
        <v>13</v>
      </c>
      <c r="C5" s="12">
        <v>99</v>
      </c>
      <c r="D5" s="6">
        <v>131</v>
      </c>
      <c r="E5" s="6">
        <v>192</v>
      </c>
      <c r="F5" s="6">
        <v>233</v>
      </c>
      <c r="G5" s="6">
        <v>300</v>
      </c>
      <c r="H5" s="6">
        <v>338</v>
      </c>
      <c r="I5" s="6">
        <v>341</v>
      </c>
      <c r="J5" s="6">
        <v>341</v>
      </c>
      <c r="K5" s="6">
        <v>364</v>
      </c>
      <c r="L5" s="6">
        <v>363</v>
      </c>
      <c r="M5" s="6">
        <v>309</v>
      </c>
      <c r="N5" s="29">
        <v>300</v>
      </c>
      <c r="O5" s="12">
        <v>276</v>
      </c>
      <c r="P5" s="6">
        <v>302</v>
      </c>
      <c r="Q5" s="6">
        <v>356</v>
      </c>
      <c r="R5" s="6">
        <v>487</v>
      </c>
      <c r="S5" s="6">
        <v>571</v>
      </c>
      <c r="T5" s="6">
        <v>685</v>
      </c>
      <c r="U5" s="6">
        <v>624</v>
      </c>
      <c r="V5" s="6">
        <v>621</v>
      </c>
      <c r="W5" s="6">
        <v>616</v>
      </c>
      <c r="X5" s="6">
        <v>556</v>
      </c>
      <c r="Y5" s="6">
        <v>510</v>
      </c>
      <c r="Z5" s="29">
        <v>465</v>
      </c>
      <c r="AA5" s="13"/>
      <c r="AB5" s="7"/>
      <c r="AC5" s="7"/>
      <c r="AD5" s="7"/>
      <c r="AE5" s="7"/>
      <c r="AF5" s="7"/>
      <c r="AG5" s="7"/>
      <c r="AH5" s="7"/>
      <c r="AI5" s="7"/>
      <c r="AJ5" s="7"/>
      <c r="AK5" s="7"/>
      <c r="AL5" s="9"/>
    </row>
    <row r="6" spans="2:40" ht="14.45" x14ac:dyDescent="0.3">
      <c r="B6" s="22" t="s">
        <v>86</v>
      </c>
      <c r="C6" s="33"/>
      <c r="D6" s="32"/>
      <c r="E6" s="32"/>
      <c r="F6" s="32"/>
      <c r="G6" s="32"/>
      <c r="H6" s="32"/>
      <c r="I6" s="44">
        <f>(1/12)*((C5/2)+D5+E5+F5+G5+H5+I5+J5+K5+L5+M5+N5+(O5/2))</f>
        <v>283.29166666666663</v>
      </c>
      <c r="J6" s="44">
        <f t="shared" ref="J6:T6" si="0">(1/12)*((D5/2)+E5+F5+G5+H5+I5+J5+K5+L5+M5+N5+O5+(P5/2))</f>
        <v>297.79166666666663</v>
      </c>
      <c r="K6" s="44">
        <f t="shared" si="0"/>
        <v>311.75</v>
      </c>
      <c r="L6" s="44">
        <f t="shared" si="0"/>
        <v>329.16666666666663</v>
      </c>
      <c r="M6" s="44">
        <f t="shared" si="0"/>
        <v>351.04166666666663</v>
      </c>
      <c r="N6" s="48">
        <f t="shared" si="0"/>
        <v>376.79166666666663</v>
      </c>
      <c r="O6" s="46">
        <f t="shared" si="0"/>
        <v>403.04166666666663</v>
      </c>
      <c r="P6" s="44">
        <f t="shared" si="0"/>
        <v>426.5</v>
      </c>
      <c r="Q6" s="44">
        <f t="shared" si="0"/>
        <v>448.66666666666663</v>
      </c>
      <c r="R6" s="44">
        <f t="shared" si="0"/>
        <v>467.20833333333331</v>
      </c>
      <c r="S6" s="44">
        <f t="shared" si="0"/>
        <v>483.625</v>
      </c>
      <c r="T6" s="44">
        <f t="shared" si="0"/>
        <v>498.875</v>
      </c>
      <c r="U6" s="32"/>
      <c r="V6" s="32"/>
      <c r="W6" s="7"/>
      <c r="X6" s="32"/>
      <c r="Y6" s="32"/>
      <c r="Z6" s="34"/>
      <c r="AA6" s="33"/>
      <c r="AB6" s="32"/>
      <c r="AC6" s="32"/>
      <c r="AD6" s="32"/>
      <c r="AE6" s="32"/>
      <c r="AF6" s="7"/>
      <c r="AG6" s="32"/>
      <c r="AH6" s="32"/>
      <c r="AI6" s="32"/>
      <c r="AJ6" s="32"/>
      <c r="AK6" s="32"/>
      <c r="AL6" s="42"/>
    </row>
    <row r="7" spans="2:40" ht="14.45" x14ac:dyDescent="0.3">
      <c r="B7" s="22" t="s">
        <v>87</v>
      </c>
      <c r="C7" s="37">
        <v>0.68</v>
      </c>
      <c r="D7" s="36">
        <v>0.71</v>
      </c>
      <c r="E7" s="36">
        <v>0.79</v>
      </c>
      <c r="F7" s="36">
        <v>1.04</v>
      </c>
      <c r="G7" s="36">
        <v>1.18</v>
      </c>
      <c r="H7" s="36">
        <v>1.37</v>
      </c>
      <c r="I7" s="32">
        <f>ROUND(I5/I6,2)</f>
        <v>1.2</v>
      </c>
      <c r="J7" s="32">
        <f t="shared" ref="J7:T7" si="1">ROUND(J5/J6,2)</f>
        <v>1.1499999999999999</v>
      </c>
      <c r="K7" s="32">
        <f t="shared" si="1"/>
        <v>1.17</v>
      </c>
      <c r="L7" s="32">
        <f t="shared" si="1"/>
        <v>1.1000000000000001</v>
      </c>
      <c r="M7" s="32">
        <f t="shared" si="1"/>
        <v>0.88</v>
      </c>
      <c r="N7" s="34">
        <f t="shared" si="1"/>
        <v>0.8</v>
      </c>
      <c r="O7" s="33">
        <f t="shared" si="1"/>
        <v>0.68</v>
      </c>
      <c r="P7" s="32">
        <f t="shared" si="1"/>
        <v>0.71</v>
      </c>
      <c r="Q7" s="32">
        <f t="shared" si="1"/>
        <v>0.79</v>
      </c>
      <c r="R7" s="32">
        <f t="shared" si="1"/>
        <v>1.04</v>
      </c>
      <c r="S7" s="32">
        <f t="shared" si="1"/>
        <v>1.18</v>
      </c>
      <c r="T7" s="32">
        <f t="shared" si="1"/>
        <v>1.37</v>
      </c>
      <c r="U7" s="36">
        <v>1.2</v>
      </c>
      <c r="V7" s="36">
        <v>1.1499999999999999</v>
      </c>
      <c r="W7" s="36">
        <v>1.17</v>
      </c>
      <c r="X7" s="36">
        <v>1.1000000000000001</v>
      </c>
      <c r="Y7" s="36">
        <v>0.88</v>
      </c>
      <c r="Z7" s="35">
        <v>0.8</v>
      </c>
      <c r="AA7" s="33">
        <v>0.68</v>
      </c>
      <c r="AB7" s="7">
        <v>0.71</v>
      </c>
      <c r="AC7" s="32">
        <v>0.79</v>
      </c>
      <c r="AD7" s="32">
        <v>1.04</v>
      </c>
      <c r="AE7" s="32">
        <v>1.18</v>
      </c>
      <c r="AF7" s="32">
        <v>1.37</v>
      </c>
      <c r="AG7" s="32">
        <v>1.2</v>
      </c>
      <c r="AH7" s="32">
        <v>1.1499999999999999</v>
      </c>
      <c r="AI7" s="32">
        <v>1.17</v>
      </c>
      <c r="AJ7" s="7">
        <v>1.1000000000000001</v>
      </c>
      <c r="AK7" s="32">
        <v>0.88</v>
      </c>
      <c r="AL7" s="9">
        <v>0.8</v>
      </c>
    </row>
    <row r="8" spans="2:40" x14ac:dyDescent="0.25">
      <c r="B8" s="22" t="s">
        <v>88</v>
      </c>
      <c r="C8" s="46">
        <f t="shared" ref="C8:G8" si="2">D8-$AN$13</f>
        <v>157.78966666666659</v>
      </c>
      <c r="D8" s="44">
        <f t="shared" si="2"/>
        <v>178.70666666666659</v>
      </c>
      <c r="E8" s="44">
        <f t="shared" si="2"/>
        <v>199.62366666666659</v>
      </c>
      <c r="F8" s="44">
        <f t="shared" si="2"/>
        <v>220.5406666666666</v>
      </c>
      <c r="G8" s="44">
        <f t="shared" si="2"/>
        <v>241.4576666666666</v>
      </c>
      <c r="H8" s="44">
        <f>I8-$AN$13</f>
        <v>262.3746666666666</v>
      </c>
      <c r="I8" s="44">
        <f>I6</f>
        <v>283.29166666666663</v>
      </c>
      <c r="J8" s="44">
        <f t="shared" ref="J8:T8" si="3">J6</f>
        <v>297.79166666666663</v>
      </c>
      <c r="K8" s="44">
        <f t="shared" si="3"/>
        <v>311.75</v>
      </c>
      <c r="L8" s="44">
        <f t="shared" si="3"/>
        <v>329.16666666666663</v>
      </c>
      <c r="M8" s="44">
        <f t="shared" si="3"/>
        <v>351.04166666666663</v>
      </c>
      <c r="N8" s="48">
        <f t="shared" si="3"/>
        <v>376.79166666666663</v>
      </c>
      <c r="O8" s="46">
        <f t="shared" si="3"/>
        <v>403.04166666666663</v>
      </c>
      <c r="P8" s="44">
        <f t="shared" si="3"/>
        <v>426.5</v>
      </c>
      <c r="Q8" s="44">
        <f t="shared" si="3"/>
        <v>448.66666666666663</v>
      </c>
      <c r="R8" s="44">
        <f t="shared" si="3"/>
        <v>467.20833333333331</v>
      </c>
      <c r="S8" s="44">
        <f t="shared" si="3"/>
        <v>483.625</v>
      </c>
      <c r="T8" s="44">
        <f t="shared" si="3"/>
        <v>498.875</v>
      </c>
      <c r="U8" s="44">
        <f>T8+$AN$13</f>
        <v>519.79200000000003</v>
      </c>
      <c r="V8" s="44">
        <f t="shared" ref="V8:AL8" si="4">U8+$AN$13</f>
        <v>540.70900000000006</v>
      </c>
      <c r="W8" s="44">
        <f t="shared" si="4"/>
        <v>561.62600000000009</v>
      </c>
      <c r="X8" s="44">
        <f t="shared" si="4"/>
        <v>582.54300000000012</v>
      </c>
      <c r="Y8" s="44">
        <f t="shared" si="4"/>
        <v>603.46000000000015</v>
      </c>
      <c r="Z8" s="48">
        <f t="shared" si="4"/>
        <v>624.37700000000018</v>
      </c>
      <c r="AA8" s="46">
        <f t="shared" si="4"/>
        <v>645.29400000000021</v>
      </c>
      <c r="AB8" s="44">
        <f t="shared" si="4"/>
        <v>666.21100000000024</v>
      </c>
      <c r="AC8" s="44">
        <f t="shared" si="4"/>
        <v>687.12800000000027</v>
      </c>
      <c r="AD8" s="44">
        <f t="shared" si="4"/>
        <v>708.0450000000003</v>
      </c>
      <c r="AE8" s="44">
        <f t="shared" si="4"/>
        <v>728.96200000000033</v>
      </c>
      <c r="AF8" s="44">
        <f t="shared" si="4"/>
        <v>749.87900000000036</v>
      </c>
      <c r="AG8" s="44">
        <f t="shared" si="4"/>
        <v>770.79600000000039</v>
      </c>
      <c r="AH8" s="44">
        <f t="shared" si="4"/>
        <v>791.71300000000042</v>
      </c>
      <c r="AI8" s="44">
        <f t="shared" si="4"/>
        <v>812.63000000000045</v>
      </c>
      <c r="AJ8" s="44">
        <f t="shared" si="4"/>
        <v>833.54700000000048</v>
      </c>
      <c r="AK8" s="44">
        <f t="shared" si="4"/>
        <v>854.46400000000051</v>
      </c>
      <c r="AL8" s="45">
        <f t="shared" si="4"/>
        <v>875.38100000000054</v>
      </c>
    </row>
    <row r="9" spans="2:40" ht="14.45" x14ac:dyDescent="0.3">
      <c r="B9" s="22" t="s">
        <v>89</v>
      </c>
      <c r="C9" s="33">
        <f>C7*C8</f>
        <v>107.29697333333328</v>
      </c>
      <c r="D9" s="32">
        <f t="shared" ref="D9:AL9" si="5">D7*D8</f>
        <v>126.88173333333327</v>
      </c>
      <c r="E9" s="32">
        <f t="shared" si="5"/>
        <v>157.70269666666661</v>
      </c>
      <c r="F9" s="32">
        <f t="shared" si="5"/>
        <v>229.36229333333327</v>
      </c>
      <c r="G9" s="32">
        <f t="shared" si="5"/>
        <v>284.92004666666656</v>
      </c>
      <c r="H9" s="32">
        <f t="shared" si="5"/>
        <v>359.45329333333325</v>
      </c>
      <c r="I9" s="32">
        <f t="shared" si="5"/>
        <v>339.94999999999993</v>
      </c>
      <c r="J9" s="32">
        <f t="shared" si="5"/>
        <v>342.46041666666662</v>
      </c>
      <c r="K9" s="32">
        <f t="shared" si="5"/>
        <v>364.7475</v>
      </c>
      <c r="L9" s="32">
        <f t="shared" si="5"/>
        <v>362.08333333333331</v>
      </c>
      <c r="M9" s="32">
        <f t="shared" si="5"/>
        <v>308.91666666666663</v>
      </c>
      <c r="N9" s="34">
        <f t="shared" si="5"/>
        <v>301.43333333333334</v>
      </c>
      <c r="O9" s="33">
        <f t="shared" si="5"/>
        <v>274.06833333333333</v>
      </c>
      <c r="P9" s="32">
        <f t="shared" si="5"/>
        <v>302.815</v>
      </c>
      <c r="Q9" s="32">
        <f t="shared" si="5"/>
        <v>354.44666666666666</v>
      </c>
      <c r="R9" s="32">
        <f t="shared" si="5"/>
        <v>485.89666666666665</v>
      </c>
      <c r="S9" s="32">
        <f t="shared" si="5"/>
        <v>570.67750000000001</v>
      </c>
      <c r="T9" s="32">
        <f t="shared" si="5"/>
        <v>683.45875000000001</v>
      </c>
      <c r="U9" s="32">
        <f t="shared" si="5"/>
        <v>623.75040000000001</v>
      </c>
      <c r="V9" s="32">
        <f t="shared" si="5"/>
        <v>621.81534999999997</v>
      </c>
      <c r="W9" s="32">
        <f t="shared" si="5"/>
        <v>657.10242000000005</v>
      </c>
      <c r="X9" s="32">
        <f t="shared" si="5"/>
        <v>640.79730000000018</v>
      </c>
      <c r="Y9" s="32">
        <f t="shared" si="5"/>
        <v>531.04480000000012</v>
      </c>
      <c r="Z9" s="34">
        <f t="shared" si="5"/>
        <v>499.50160000000017</v>
      </c>
      <c r="AA9" s="33">
        <f t="shared" si="5"/>
        <v>438.79992000000016</v>
      </c>
      <c r="AB9" s="32">
        <f t="shared" si="5"/>
        <v>473.00981000000013</v>
      </c>
      <c r="AC9" s="32">
        <f t="shared" si="5"/>
        <v>542.83112000000028</v>
      </c>
      <c r="AD9" s="32">
        <f t="shared" si="5"/>
        <v>736.36680000000035</v>
      </c>
      <c r="AE9" s="32">
        <f t="shared" si="5"/>
        <v>860.17516000000035</v>
      </c>
      <c r="AF9" s="32">
        <f t="shared" si="5"/>
        <v>1027.3342300000006</v>
      </c>
      <c r="AG9" s="32">
        <f t="shared" si="5"/>
        <v>924.95520000000045</v>
      </c>
      <c r="AH9" s="32">
        <f t="shared" si="5"/>
        <v>910.46995000000038</v>
      </c>
      <c r="AI9" s="32">
        <f t="shared" si="5"/>
        <v>950.77710000000047</v>
      </c>
      <c r="AJ9" s="32">
        <f t="shared" si="5"/>
        <v>916.90170000000057</v>
      </c>
      <c r="AK9" s="32">
        <f t="shared" si="5"/>
        <v>751.92832000000044</v>
      </c>
      <c r="AL9" s="42">
        <f t="shared" si="5"/>
        <v>700.30480000000045</v>
      </c>
    </row>
    <row r="10" spans="2:40" thickBot="1" x14ac:dyDescent="0.35">
      <c r="B10" s="23" t="s">
        <v>90</v>
      </c>
      <c r="C10" s="26">
        <f>(C9-C5)/C5</f>
        <v>8.3807811447810951E-2</v>
      </c>
      <c r="D10" s="27">
        <f t="shared" ref="D10:Z10" si="6">(D9-D5)/D5</f>
        <v>-3.1437150127226927E-2</v>
      </c>
      <c r="E10" s="27">
        <f t="shared" si="6"/>
        <v>-0.17863178819444472</v>
      </c>
      <c r="F10" s="27">
        <f t="shared" si="6"/>
        <v>-1.5612474964234895E-2</v>
      </c>
      <c r="G10" s="27">
        <f t="shared" si="6"/>
        <v>-5.0266511111111453E-2</v>
      </c>
      <c r="H10" s="27">
        <f t="shared" si="6"/>
        <v>6.3471282051281802E-2</v>
      </c>
      <c r="I10" s="27">
        <f t="shared" si="6"/>
        <v>-3.0791788856306987E-3</v>
      </c>
      <c r="J10" s="27">
        <f t="shared" si="6"/>
        <v>4.2827468230692591E-3</v>
      </c>
      <c r="K10" s="27">
        <f t="shared" si="6"/>
        <v>2.053571428571435E-3</v>
      </c>
      <c r="L10" s="27">
        <f t="shared" si="6"/>
        <v>-2.5252525252525775E-3</v>
      </c>
      <c r="M10" s="27">
        <f t="shared" si="6"/>
        <v>-2.6968716289116904E-4</v>
      </c>
      <c r="N10" s="31">
        <f t="shared" si="6"/>
        <v>4.7777777777777905E-3</v>
      </c>
      <c r="O10" s="26">
        <f t="shared" si="6"/>
        <v>-6.9987922705314204E-3</v>
      </c>
      <c r="P10" s="27">
        <f t="shared" si="6"/>
        <v>2.6986754966887342E-3</v>
      </c>
      <c r="Q10" s="27">
        <f t="shared" si="6"/>
        <v>-4.3632958801498364E-3</v>
      </c>
      <c r="R10" s="27">
        <f t="shared" si="6"/>
        <v>-2.2655715263518541E-3</v>
      </c>
      <c r="S10" s="27">
        <f t="shared" si="6"/>
        <v>-5.6479859894919594E-4</v>
      </c>
      <c r="T10" s="27">
        <f t="shared" si="6"/>
        <v>-2.2499999999999868E-3</v>
      </c>
      <c r="U10" s="27">
        <f t="shared" si="6"/>
        <v>-3.9999999999997871E-4</v>
      </c>
      <c r="V10" s="27">
        <f t="shared" si="6"/>
        <v>1.3129629629629093E-3</v>
      </c>
      <c r="W10" s="27">
        <f t="shared" si="6"/>
        <v>6.6724707792207877E-2</v>
      </c>
      <c r="X10" s="27">
        <f t="shared" si="6"/>
        <v>0.15251312949640319</v>
      </c>
      <c r="Y10" s="27">
        <f t="shared" si="6"/>
        <v>4.1264313725490435E-2</v>
      </c>
      <c r="Z10" s="31">
        <f t="shared" si="6"/>
        <v>7.4196989247312189E-2</v>
      </c>
      <c r="AA10" s="14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1"/>
    </row>
    <row r="11" spans="2:40" ht="15.75" thickBot="1" x14ac:dyDescent="0.3"/>
    <row r="12" spans="2:40" ht="15.75" thickBot="1" x14ac:dyDescent="0.3">
      <c r="AN12" s="16" t="s">
        <v>91</v>
      </c>
    </row>
    <row r="13" spans="2:40" ht="15.75" thickBot="1" x14ac:dyDescent="0.3">
      <c r="AN13" s="16">
        <v>20.917000000000002</v>
      </c>
    </row>
  </sheetData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AN13"/>
  <sheetViews>
    <sheetView workbookViewId="0"/>
  </sheetViews>
  <sheetFormatPr baseColWidth="10" defaultRowHeight="15" x14ac:dyDescent="0.25"/>
  <cols>
    <col min="2" max="2" width="14.85546875" bestFit="1" customWidth="1"/>
    <col min="3" max="5" width="7.42578125" customWidth="1"/>
    <col min="6" max="6" width="7.5703125" customWidth="1"/>
    <col min="7" max="7" width="7.7109375" customWidth="1"/>
    <col min="8" max="9" width="7.42578125" bestFit="1" customWidth="1"/>
    <col min="10" max="10" width="7.7109375" customWidth="1"/>
    <col min="11" max="11" width="8" customWidth="1"/>
    <col min="12" max="14" width="7.42578125" bestFit="1" customWidth="1"/>
    <col min="15" max="15" width="7.7109375" customWidth="1"/>
    <col min="16" max="16" width="7.5703125" customWidth="1"/>
    <col min="17" max="17" width="7.42578125" customWidth="1"/>
    <col min="18" max="18" width="7.5703125" customWidth="1"/>
    <col min="19" max="19" width="7.85546875" customWidth="1"/>
    <col min="20" max="20" width="7.42578125" customWidth="1"/>
    <col min="21" max="21" width="7.42578125" bestFit="1" customWidth="1"/>
    <col min="22" max="22" width="7.28515625" customWidth="1"/>
    <col min="23" max="23" width="7.42578125" customWidth="1"/>
    <col min="24" max="26" width="7.42578125" bestFit="1" customWidth="1"/>
    <col min="27" max="27" width="7.28515625" customWidth="1"/>
    <col min="28" max="28" width="7.42578125" customWidth="1"/>
    <col min="29" max="29" width="7.28515625" customWidth="1"/>
    <col min="30" max="30" width="7.7109375" customWidth="1"/>
    <col min="31" max="31" width="7.5703125" customWidth="1"/>
    <col min="32" max="33" width="7.7109375" customWidth="1"/>
    <col min="34" max="35" width="7.28515625" customWidth="1"/>
    <col min="36" max="36" width="8.140625" customWidth="1"/>
    <col min="37" max="38" width="8.28515625" customWidth="1"/>
  </cols>
  <sheetData>
    <row r="2" spans="2:40" ht="14.45" x14ac:dyDescent="0.3">
      <c r="B2" s="2"/>
      <c r="C2" s="7" t="s">
        <v>26</v>
      </c>
      <c r="D2" s="7" t="s">
        <v>27</v>
      </c>
      <c r="E2" s="7" t="s">
        <v>28</v>
      </c>
      <c r="F2" s="7" t="s">
        <v>29</v>
      </c>
      <c r="G2" s="7" t="s">
        <v>30</v>
      </c>
      <c r="H2" s="7" t="s">
        <v>31</v>
      </c>
      <c r="I2" s="7" t="s">
        <v>32</v>
      </c>
      <c r="J2" s="7" t="s">
        <v>33</v>
      </c>
      <c r="K2" s="7" t="s">
        <v>34</v>
      </c>
      <c r="L2" s="7" t="s">
        <v>35</v>
      </c>
      <c r="M2" s="7" t="s">
        <v>36</v>
      </c>
      <c r="N2" s="7" t="s">
        <v>37</v>
      </c>
      <c r="O2" s="7" t="s">
        <v>38</v>
      </c>
      <c r="P2" s="7" t="s">
        <v>39</v>
      </c>
      <c r="Q2" s="7" t="s">
        <v>40</v>
      </c>
      <c r="R2" s="7" t="s">
        <v>41</v>
      </c>
      <c r="S2" s="7" t="s">
        <v>42</v>
      </c>
      <c r="T2" s="7" t="s">
        <v>43</v>
      </c>
      <c r="U2" s="7" t="s">
        <v>44</v>
      </c>
      <c r="V2" s="7" t="s">
        <v>45</v>
      </c>
      <c r="W2" s="7" t="s">
        <v>46</v>
      </c>
      <c r="X2" s="7" t="s">
        <v>47</v>
      </c>
      <c r="Y2" s="7" t="s">
        <v>48</v>
      </c>
      <c r="Z2" s="7" t="s">
        <v>49</v>
      </c>
      <c r="AA2" s="7" t="s">
        <v>50</v>
      </c>
      <c r="AB2" s="7" t="s">
        <v>51</v>
      </c>
      <c r="AC2" s="7" t="s">
        <v>52</v>
      </c>
      <c r="AD2" s="7" t="s">
        <v>53</v>
      </c>
      <c r="AE2" s="7" t="s">
        <v>54</v>
      </c>
      <c r="AF2" s="7" t="s">
        <v>55</v>
      </c>
      <c r="AG2" s="7" t="s">
        <v>56</v>
      </c>
      <c r="AH2" s="7" t="s">
        <v>57</v>
      </c>
      <c r="AI2" s="7" t="s">
        <v>58</v>
      </c>
      <c r="AJ2" s="7" t="s">
        <v>59</v>
      </c>
      <c r="AK2" s="7" t="s">
        <v>60</v>
      </c>
      <c r="AL2" s="7" t="s">
        <v>61</v>
      </c>
    </row>
    <row r="3" spans="2:40" thickBot="1" x14ac:dyDescent="0.35">
      <c r="B3" s="2"/>
      <c r="C3" s="8" t="s">
        <v>62</v>
      </c>
      <c r="D3" s="8" t="s">
        <v>63</v>
      </c>
      <c r="E3" s="8" t="s">
        <v>64</v>
      </c>
      <c r="F3" s="8" t="s">
        <v>65</v>
      </c>
      <c r="G3" s="8" t="s">
        <v>66</v>
      </c>
      <c r="H3" s="8" t="s">
        <v>67</v>
      </c>
      <c r="I3" s="8" t="s">
        <v>68</v>
      </c>
      <c r="J3" s="8" t="s">
        <v>69</v>
      </c>
      <c r="K3" s="8" t="s">
        <v>70</v>
      </c>
      <c r="L3" s="8" t="s">
        <v>71</v>
      </c>
      <c r="M3" s="8" t="s">
        <v>72</v>
      </c>
      <c r="N3" s="8" t="s">
        <v>73</v>
      </c>
      <c r="O3" s="8" t="s">
        <v>62</v>
      </c>
      <c r="P3" s="8" t="s">
        <v>63</v>
      </c>
      <c r="Q3" s="8" t="s">
        <v>64</v>
      </c>
      <c r="R3" s="8" t="s">
        <v>65</v>
      </c>
      <c r="S3" s="8" t="s">
        <v>66</v>
      </c>
      <c r="T3" s="8" t="s">
        <v>67</v>
      </c>
      <c r="U3" s="8" t="s">
        <v>68</v>
      </c>
      <c r="V3" s="8" t="s">
        <v>69</v>
      </c>
      <c r="W3" s="8" t="s">
        <v>70</v>
      </c>
      <c r="X3" s="8" t="s">
        <v>71</v>
      </c>
      <c r="Y3" s="8" t="s">
        <v>72</v>
      </c>
      <c r="Z3" s="8" t="s">
        <v>73</v>
      </c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</row>
    <row r="4" spans="2:40" ht="14.45" x14ac:dyDescent="0.3">
      <c r="B4" s="20" t="s">
        <v>0</v>
      </c>
      <c r="C4" s="4" t="s">
        <v>1</v>
      </c>
      <c r="D4" s="3" t="s">
        <v>2</v>
      </c>
      <c r="E4" s="3" t="s">
        <v>3</v>
      </c>
      <c r="F4" s="3" t="s">
        <v>4</v>
      </c>
      <c r="G4" s="3" t="s">
        <v>5</v>
      </c>
      <c r="H4" s="3" t="s">
        <v>6</v>
      </c>
      <c r="I4" s="3" t="s">
        <v>7</v>
      </c>
      <c r="J4" s="3" t="s">
        <v>8</v>
      </c>
      <c r="K4" s="3" t="s">
        <v>9</v>
      </c>
      <c r="L4" s="3" t="s">
        <v>10</v>
      </c>
      <c r="M4" s="3" t="s">
        <v>11</v>
      </c>
      <c r="N4" s="28" t="s">
        <v>12</v>
      </c>
      <c r="O4" s="4" t="s">
        <v>14</v>
      </c>
      <c r="P4" s="3" t="s">
        <v>15</v>
      </c>
      <c r="Q4" s="3" t="s">
        <v>16</v>
      </c>
      <c r="R4" s="3" t="s">
        <v>17</v>
      </c>
      <c r="S4" s="3" t="s">
        <v>18</v>
      </c>
      <c r="T4" s="3" t="s">
        <v>19</v>
      </c>
      <c r="U4" s="3" t="s">
        <v>20</v>
      </c>
      <c r="V4" s="3" t="s">
        <v>21</v>
      </c>
      <c r="W4" s="3" t="s">
        <v>22</v>
      </c>
      <c r="X4" s="3" t="s">
        <v>23</v>
      </c>
      <c r="Y4" s="3" t="s">
        <v>24</v>
      </c>
      <c r="Z4" s="28" t="s">
        <v>25</v>
      </c>
      <c r="AA4" s="17" t="s">
        <v>74</v>
      </c>
      <c r="AB4" s="18" t="s">
        <v>75</v>
      </c>
      <c r="AC4" s="18" t="s">
        <v>76</v>
      </c>
      <c r="AD4" s="18" t="s">
        <v>77</v>
      </c>
      <c r="AE4" s="18" t="s">
        <v>78</v>
      </c>
      <c r="AF4" s="18" t="s">
        <v>79</v>
      </c>
      <c r="AG4" s="18" t="s">
        <v>80</v>
      </c>
      <c r="AH4" s="18" t="s">
        <v>81</v>
      </c>
      <c r="AI4" s="18" t="s">
        <v>82</v>
      </c>
      <c r="AJ4" s="18" t="s">
        <v>83</v>
      </c>
      <c r="AK4" s="18" t="s">
        <v>84</v>
      </c>
      <c r="AL4" s="19" t="s">
        <v>85</v>
      </c>
    </row>
    <row r="5" spans="2:40" ht="14.45" x14ac:dyDescent="0.3">
      <c r="B5" s="21" t="s">
        <v>13</v>
      </c>
      <c r="C5" s="12">
        <f>'P1_Entrepôt 1'!C5+'P1_Entrepôt 2'!C5+'P1_Entrepôt 3'!C5+'P1_Entrepôt 4'!C5+'P1_Entrepôt 5'!C5</f>
        <v>774</v>
      </c>
      <c r="D5" s="6">
        <f>'P1_Entrepôt 1'!D5+'P1_Entrepôt 2'!D5+'P1_Entrepôt 3'!D5+'P1_Entrepôt 4'!D5+'P1_Entrepôt 5'!D5</f>
        <v>976</v>
      </c>
      <c r="E5" s="6">
        <f>'P1_Entrepôt 1'!E5+'P1_Entrepôt 2'!E5+'P1_Entrepôt 3'!E5+'P1_Entrepôt 4'!E5+'P1_Entrepôt 5'!E5</f>
        <v>1370</v>
      </c>
      <c r="F5" s="6">
        <f>'P1_Entrepôt 1'!F5+'P1_Entrepôt 2'!F5+'P1_Entrepôt 3'!F5+'P1_Entrepôt 4'!F5+'P1_Entrepôt 5'!F5</f>
        <v>1610</v>
      </c>
      <c r="G5" s="6">
        <f>'P1_Entrepôt 1'!G5+'P1_Entrepôt 2'!G5+'P1_Entrepôt 3'!G5+'P1_Entrepôt 4'!G5+'P1_Entrepôt 5'!G5</f>
        <v>2010</v>
      </c>
      <c r="H5" s="6">
        <f>'P1_Entrepôt 1'!H5+'P1_Entrepôt 2'!H5+'P1_Entrepôt 3'!H5+'P1_Entrepôt 4'!H5+'P1_Entrepôt 5'!H5</f>
        <v>2208</v>
      </c>
      <c r="I5" s="6">
        <f>'P1_Entrepôt 1'!I5+'P1_Entrepôt 2'!I5+'P1_Entrepôt 3'!I5+'P1_Entrepôt 4'!I5+'P1_Entrepôt 5'!I5</f>
        <v>2182</v>
      </c>
      <c r="J5" s="6">
        <f>'P1_Entrepôt 1'!J5+'P1_Entrepôt 2'!J5+'P1_Entrepôt 3'!J5+'P1_Entrepôt 4'!J5+'P1_Entrepôt 5'!J5</f>
        <v>2141</v>
      </c>
      <c r="K5" s="6">
        <f>'P1_Entrepôt 1'!K5+'P1_Entrepôt 2'!K5+'P1_Entrepôt 3'!K5+'P1_Entrepôt 4'!K5+'P1_Entrepôt 5'!K5</f>
        <v>2243</v>
      </c>
      <c r="L5" s="6">
        <f>'P1_Entrepôt 1'!L5+'P1_Entrepôt 2'!L5+'P1_Entrepôt 3'!L5+'P1_Entrepôt 4'!L5+'P1_Entrepôt 5'!L5</f>
        <v>2202</v>
      </c>
      <c r="M5" s="6">
        <f>'P1_Entrepôt 1'!M5+'P1_Entrepôt 2'!M5+'P1_Entrepôt 3'!M5+'P1_Entrepôt 4'!M5+'P1_Entrepôt 5'!M5</f>
        <v>1846</v>
      </c>
      <c r="N5" s="29">
        <f>'P1_Entrepôt 1'!N5+'P1_Entrepôt 2'!N5+'P1_Entrepôt 3'!N5+'P1_Entrepôt 4'!N5+'P1_Entrepôt 5'!N5</f>
        <v>1767</v>
      </c>
      <c r="O5" s="12">
        <f>'P1_Entrepôt 1'!O5+'P1_Entrepôt 2'!O5+'P1_Entrepôt 3'!O5+'P1_Entrepôt 4'!O5+'P1_Entrepôt 5'!O5</f>
        <v>1605</v>
      </c>
      <c r="P5" s="6">
        <f>'P1_Entrepôt 1'!P5+'P1_Entrepôt 2'!P5+'P1_Entrepôt 3'!P5+'P1_Entrepôt 4'!P5+'P1_Entrepôt 5'!P5</f>
        <v>1739</v>
      </c>
      <c r="Q5" s="6">
        <f>'P1_Entrepôt 1'!Q5+'P1_Entrepôt 2'!Q5+'P1_Entrepôt 3'!Q5+'P1_Entrepôt 4'!Q5+'P1_Entrepôt 5'!Q5</f>
        <v>2030</v>
      </c>
      <c r="R5" s="6">
        <f>'P1_Entrepôt 1'!R5+'P1_Entrepôt 2'!R5+'P1_Entrepôt 3'!R5+'P1_Entrepôt 4'!R5+'P1_Entrepôt 5'!R5</f>
        <v>2753</v>
      </c>
      <c r="S5" s="6">
        <f>'P1_Entrepôt 1'!S5+'P1_Entrepôt 2'!S5+'P1_Entrepôt 3'!S5+'P1_Entrepôt 4'!S5+'P1_Entrepôt 5'!S5</f>
        <v>3199</v>
      </c>
      <c r="T5" s="6">
        <f>'P1_Entrepôt 1'!T5+'P1_Entrepôt 2'!T5+'P1_Entrepôt 3'!T5+'P1_Entrepôt 4'!T5+'P1_Entrepôt 5'!T5</f>
        <v>3807</v>
      </c>
      <c r="U5" s="6">
        <f>'P1_Entrepôt 1'!U5+'P1_Entrepôt 2'!U5+'P1_Entrepôt 3'!U5+'P1_Entrepôt 4'!U5+'P1_Entrepôt 5'!U5</f>
        <v>3442</v>
      </c>
      <c r="V5" s="6">
        <f>'P1_Entrepôt 1'!V5+'P1_Entrepôt 2'!V5+'P1_Entrepôt 3'!V5+'P1_Entrepôt 4'!V5+'P1_Entrepôt 5'!V5</f>
        <v>3402</v>
      </c>
      <c r="W5" s="6">
        <f>'P1_Entrepôt 1'!W5+'P1_Entrepôt 2'!W5+'P1_Entrepôt 3'!W5+'P1_Entrepôt 4'!W5+'P1_Entrepôt 5'!W5</f>
        <v>3354</v>
      </c>
      <c r="X5" s="6">
        <f>'P1_Entrepôt 1'!X5+'P1_Entrepôt 2'!X5+'P1_Entrepôt 3'!X5+'P1_Entrepôt 4'!X5+'P1_Entrepôt 5'!X5</f>
        <v>3012</v>
      </c>
      <c r="Y5" s="6">
        <f>'P1_Entrepôt 1'!Y5+'P1_Entrepôt 2'!Y5+'P1_Entrepôt 3'!Y5+'P1_Entrepôt 4'!Y5+'P1_Entrepôt 5'!Y5</f>
        <v>2744</v>
      </c>
      <c r="Z5" s="29">
        <f>'P1_Entrepôt 1'!Z5+'P1_Entrepôt 2'!Z5+'P1_Entrepôt 3'!Z5+'P1_Entrepôt 4'!Z5+'P1_Entrepôt 5'!Z5</f>
        <v>2489</v>
      </c>
      <c r="AA5" s="13"/>
      <c r="AB5" s="7"/>
      <c r="AC5" s="7"/>
      <c r="AD5" s="7"/>
      <c r="AE5" s="7"/>
      <c r="AF5" s="7"/>
      <c r="AG5" s="7"/>
      <c r="AH5" s="7"/>
      <c r="AI5" s="7"/>
      <c r="AJ5" s="7"/>
      <c r="AK5" s="7"/>
      <c r="AL5" s="9"/>
    </row>
    <row r="6" spans="2:40" ht="14.45" x14ac:dyDescent="0.3">
      <c r="B6" s="22" t="s">
        <v>86</v>
      </c>
      <c r="C6" s="33"/>
      <c r="D6" s="32"/>
      <c r="E6" s="32"/>
      <c r="F6" s="32"/>
      <c r="G6" s="32"/>
      <c r="H6" s="32"/>
      <c r="I6" s="44">
        <f>(1/12)*((C5/2)+D5+E5+F5+G5+H5+I5+J5+K5+L5+M5+N5+(O5/2))</f>
        <v>1812.0416666666665</v>
      </c>
      <c r="J6" s="44">
        <f t="shared" ref="J6:T6" si="0">(1/12)*((D5/2)+E5+F5+G5+H5+I5+J5+K5+L5+M5+N5+O5+(P5/2))</f>
        <v>1878.4583333333333</v>
      </c>
      <c r="K6" s="44">
        <f t="shared" si="0"/>
        <v>1937.75</v>
      </c>
      <c r="L6" s="44">
        <f t="shared" si="0"/>
        <v>2012.875</v>
      </c>
      <c r="M6" s="44">
        <f t="shared" si="0"/>
        <v>2110.0416666666665</v>
      </c>
      <c r="N6" s="48">
        <f t="shared" si="0"/>
        <v>2226.208333333333</v>
      </c>
      <c r="O6" s="46">
        <f t="shared" si="0"/>
        <v>2345.333333333333</v>
      </c>
      <c r="P6" s="44">
        <f t="shared" si="0"/>
        <v>2450.375</v>
      </c>
      <c r="Q6" s="44">
        <f t="shared" si="0"/>
        <v>2549.208333333333</v>
      </c>
      <c r="R6" s="44">
        <f t="shared" si="0"/>
        <v>2629.25</v>
      </c>
      <c r="S6" s="44">
        <f t="shared" si="0"/>
        <v>2700.4166666666665</v>
      </c>
      <c r="T6" s="44">
        <f t="shared" si="0"/>
        <v>2767.9166666666665</v>
      </c>
      <c r="U6" s="32"/>
      <c r="V6" s="32"/>
      <c r="W6" s="7"/>
      <c r="X6" s="32"/>
      <c r="Y6" s="32"/>
      <c r="Z6" s="34"/>
      <c r="AA6" s="33"/>
      <c r="AB6" s="32"/>
      <c r="AC6" s="32"/>
      <c r="AD6" s="32"/>
      <c r="AE6" s="32"/>
      <c r="AF6" s="7"/>
      <c r="AG6" s="32"/>
      <c r="AH6" s="32"/>
      <c r="AI6" s="32"/>
      <c r="AJ6" s="32"/>
      <c r="AK6" s="32"/>
      <c r="AL6" s="42"/>
    </row>
    <row r="7" spans="2:40" ht="14.45" x14ac:dyDescent="0.3">
      <c r="B7" s="22" t="s">
        <v>87</v>
      </c>
      <c r="C7" s="37">
        <v>0.68</v>
      </c>
      <c r="D7" s="36">
        <v>0.71</v>
      </c>
      <c r="E7" s="36">
        <v>0.8</v>
      </c>
      <c r="F7" s="36">
        <v>1.05</v>
      </c>
      <c r="G7" s="36">
        <v>1.18</v>
      </c>
      <c r="H7" s="36">
        <v>1.38</v>
      </c>
      <c r="I7" s="32">
        <f>ROUND(I5/I6,2)</f>
        <v>1.2</v>
      </c>
      <c r="J7" s="32">
        <f t="shared" ref="J7:T7" si="1">ROUND(J5/J6,2)</f>
        <v>1.1399999999999999</v>
      </c>
      <c r="K7" s="32">
        <f t="shared" si="1"/>
        <v>1.1599999999999999</v>
      </c>
      <c r="L7" s="32">
        <f t="shared" si="1"/>
        <v>1.0900000000000001</v>
      </c>
      <c r="M7" s="32">
        <f t="shared" si="1"/>
        <v>0.87</v>
      </c>
      <c r="N7" s="34">
        <f t="shared" si="1"/>
        <v>0.79</v>
      </c>
      <c r="O7" s="33">
        <f t="shared" si="1"/>
        <v>0.68</v>
      </c>
      <c r="P7" s="32">
        <f t="shared" si="1"/>
        <v>0.71</v>
      </c>
      <c r="Q7" s="32">
        <f t="shared" si="1"/>
        <v>0.8</v>
      </c>
      <c r="R7" s="32">
        <f t="shared" si="1"/>
        <v>1.05</v>
      </c>
      <c r="S7" s="32">
        <f t="shared" si="1"/>
        <v>1.18</v>
      </c>
      <c r="T7" s="32">
        <f t="shared" si="1"/>
        <v>1.38</v>
      </c>
      <c r="U7" s="36">
        <v>1.2</v>
      </c>
      <c r="V7" s="36">
        <v>1.1399999999999999</v>
      </c>
      <c r="W7" s="36">
        <v>1.1599999999999999</v>
      </c>
      <c r="X7" s="36">
        <v>1.0900000000000001</v>
      </c>
      <c r="Y7" s="36">
        <v>0.87</v>
      </c>
      <c r="Z7" s="35">
        <v>0.79</v>
      </c>
      <c r="AA7" s="33">
        <v>0.68</v>
      </c>
      <c r="AB7" s="7">
        <v>0.71</v>
      </c>
      <c r="AC7" s="32">
        <v>0.8</v>
      </c>
      <c r="AD7" s="32">
        <v>1.05</v>
      </c>
      <c r="AE7" s="32">
        <v>1.18</v>
      </c>
      <c r="AF7" s="32">
        <v>1.38</v>
      </c>
      <c r="AG7" s="32">
        <v>1.2</v>
      </c>
      <c r="AH7" s="32">
        <v>1.1399999999999999</v>
      </c>
      <c r="AI7" s="32">
        <v>1.1599999999999999</v>
      </c>
      <c r="AJ7" s="7">
        <v>1.0900000000000001</v>
      </c>
      <c r="AK7" s="32">
        <v>0.87</v>
      </c>
      <c r="AL7" s="9">
        <v>0.79</v>
      </c>
    </row>
    <row r="8" spans="2:40" x14ac:dyDescent="0.25">
      <c r="B8" s="22" t="s">
        <v>88</v>
      </c>
      <c r="C8" s="46">
        <f t="shared" ref="C8:G8" si="2">D8-$AN$13</f>
        <v>1254.5336666666658</v>
      </c>
      <c r="D8" s="44">
        <f t="shared" si="2"/>
        <v>1347.4516666666659</v>
      </c>
      <c r="E8" s="44">
        <f t="shared" si="2"/>
        <v>1440.369666666666</v>
      </c>
      <c r="F8" s="44">
        <f t="shared" si="2"/>
        <v>1533.2876666666662</v>
      </c>
      <c r="G8" s="44">
        <f t="shared" si="2"/>
        <v>1626.2056666666663</v>
      </c>
      <c r="H8" s="44">
        <f>I8-$AN$13</f>
        <v>1719.1236666666664</v>
      </c>
      <c r="I8" s="44">
        <f>I6</f>
        <v>1812.0416666666665</v>
      </c>
      <c r="J8" s="44">
        <f t="shared" ref="J8:T8" si="3">J6</f>
        <v>1878.4583333333333</v>
      </c>
      <c r="K8" s="44">
        <f t="shared" si="3"/>
        <v>1937.75</v>
      </c>
      <c r="L8" s="44">
        <f t="shared" si="3"/>
        <v>2012.875</v>
      </c>
      <c r="M8" s="44">
        <f t="shared" si="3"/>
        <v>2110.0416666666665</v>
      </c>
      <c r="N8" s="48">
        <f t="shared" si="3"/>
        <v>2226.208333333333</v>
      </c>
      <c r="O8" s="46">
        <f t="shared" si="3"/>
        <v>2345.333333333333</v>
      </c>
      <c r="P8" s="44">
        <f t="shared" si="3"/>
        <v>2450.375</v>
      </c>
      <c r="Q8" s="44">
        <f t="shared" si="3"/>
        <v>2549.208333333333</v>
      </c>
      <c r="R8" s="44">
        <f t="shared" si="3"/>
        <v>2629.25</v>
      </c>
      <c r="S8" s="44">
        <f t="shared" si="3"/>
        <v>2700.4166666666665</v>
      </c>
      <c r="T8" s="44">
        <f t="shared" si="3"/>
        <v>2767.9166666666665</v>
      </c>
      <c r="U8" s="44">
        <f>T8+$AN$13</f>
        <v>2860.8346666666666</v>
      </c>
      <c r="V8" s="44">
        <f t="shared" ref="V8:AL8" si="4">U8+$AN$13</f>
        <v>2953.7526666666668</v>
      </c>
      <c r="W8" s="44">
        <f t="shared" si="4"/>
        <v>3046.6706666666669</v>
      </c>
      <c r="X8" s="44">
        <f t="shared" si="4"/>
        <v>3139.588666666667</v>
      </c>
      <c r="Y8" s="44">
        <f t="shared" si="4"/>
        <v>3232.5066666666671</v>
      </c>
      <c r="Z8" s="48">
        <f t="shared" si="4"/>
        <v>3325.4246666666672</v>
      </c>
      <c r="AA8" s="46">
        <f t="shared" si="4"/>
        <v>3418.3426666666674</v>
      </c>
      <c r="AB8" s="44">
        <f t="shared" si="4"/>
        <v>3511.2606666666675</v>
      </c>
      <c r="AC8" s="44">
        <f t="shared" si="4"/>
        <v>3604.1786666666676</v>
      </c>
      <c r="AD8" s="44">
        <f t="shared" si="4"/>
        <v>3697.0966666666677</v>
      </c>
      <c r="AE8" s="44">
        <f t="shared" si="4"/>
        <v>3790.0146666666678</v>
      </c>
      <c r="AF8" s="44">
        <f t="shared" si="4"/>
        <v>3882.932666666668</v>
      </c>
      <c r="AG8" s="44">
        <f t="shared" si="4"/>
        <v>3975.8506666666681</v>
      </c>
      <c r="AH8" s="44">
        <f t="shared" si="4"/>
        <v>4068.7686666666682</v>
      </c>
      <c r="AI8" s="44">
        <f t="shared" si="4"/>
        <v>4161.6866666666683</v>
      </c>
      <c r="AJ8" s="44">
        <f t="shared" si="4"/>
        <v>4254.604666666668</v>
      </c>
      <c r="AK8" s="44">
        <f t="shared" si="4"/>
        <v>4347.5226666666676</v>
      </c>
      <c r="AL8" s="45">
        <f t="shared" si="4"/>
        <v>4440.4406666666673</v>
      </c>
    </row>
    <row r="9" spans="2:40" ht="14.45" x14ac:dyDescent="0.3">
      <c r="B9" s="22" t="s">
        <v>89</v>
      </c>
      <c r="C9" s="33">
        <f>C7*C8</f>
        <v>853.08289333333278</v>
      </c>
      <c r="D9" s="32">
        <f t="shared" ref="D9:AL9" si="5">D7*D8</f>
        <v>956.6906833333328</v>
      </c>
      <c r="E9" s="32">
        <f t="shared" si="5"/>
        <v>1152.2957333333329</v>
      </c>
      <c r="F9" s="32">
        <f t="shared" si="5"/>
        <v>1609.9520499999994</v>
      </c>
      <c r="G9" s="32">
        <f t="shared" si="5"/>
        <v>1918.9226866666661</v>
      </c>
      <c r="H9" s="32">
        <f t="shared" si="5"/>
        <v>2372.3906599999996</v>
      </c>
      <c r="I9" s="32">
        <f t="shared" si="5"/>
        <v>2174.4499999999998</v>
      </c>
      <c r="J9" s="32">
        <f t="shared" si="5"/>
        <v>2141.4424999999997</v>
      </c>
      <c r="K9" s="32">
        <f t="shared" si="5"/>
        <v>2247.79</v>
      </c>
      <c r="L9" s="32">
        <f t="shared" si="5"/>
        <v>2194.0337500000001</v>
      </c>
      <c r="M9" s="32">
        <f t="shared" si="5"/>
        <v>1835.7362499999999</v>
      </c>
      <c r="N9" s="34">
        <f t="shared" si="5"/>
        <v>1758.7045833333332</v>
      </c>
      <c r="O9" s="33">
        <f t="shared" si="5"/>
        <v>1594.8266666666666</v>
      </c>
      <c r="P9" s="32">
        <f t="shared" si="5"/>
        <v>1739.7662499999999</v>
      </c>
      <c r="Q9" s="32">
        <f t="shared" si="5"/>
        <v>2039.3666666666666</v>
      </c>
      <c r="R9" s="32">
        <f t="shared" si="5"/>
        <v>2760.7125000000001</v>
      </c>
      <c r="S9" s="32">
        <f t="shared" si="5"/>
        <v>3186.4916666666663</v>
      </c>
      <c r="T9" s="32">
        <f t="shared" si="5"/>
        <v>3819.7249999999995</v>
      </c>
      <c r="U9" s="32">
        <f t="shared" si="5"/>
        <v>3433.0016000000001</v>
      </c>
      <c r="V9" s="32">
        <f t="shared" si="5"/>
        <v>3367.2780399999997</v>
      </c>
      <c r="W9" s="32">
        <f t="shared" si="5"/>
        <v>3534.1379733333333</v>
      </c>
      <c r="X9" s="32">
        <f t="shared" si="5"/>
        <v>3422.1516466666671</v>
      </c>
      <c r="Y9" s="32">
        <f t="shared" si="5"/>
        <v>2812.2808000000005</v>
      </c>
      <c r="Z9" s="34">
        <f t="shared" si="5"/>
        <v>2627.0854866666673</v>
      </c>
      <c r="AA9" s="33">
        <f t="shared" si="5"/>
        <v>2324.4730133333342</v>
      </c>
      <c r="AB9" s="32">
        <f t="shared" si="5"/>
        <v>2492.9950733333339</v>
      </c>
      <c r="AC9" s="32">
        <f t="shared" si="5"/>
        <v>2883.3429333333343</v>
      </c>
      <c r="AD9" s="32">
        <f t="shared" si="5"/>
        <v>3881.9515000000015</v>
      </c>
      <c r="AE9" s="32">
        <f t="shared" si="5"/>
        <v>4472.2173066666683</v>
      </c>
      <c r="AF9" s="32">
        <f t="shared" si="5"/>
        <v>5358.4470800000017</v>
      </c>
      <c r="AG9" s="32">
        <f t="shared" si="5"/>
        <v>4771.0208000000011</v>
      </c>
      <c r="AH9" s="32">
        <f t="shared" si="5"/>
        <v>4638.3962800000018</v>
      </c>
      <c r="AI9" s="32">
        <f t="shared" si="5"/>
        <v>4827.5565333333352</v>
      </c>
      <c r="AJ9" s="32">
        <f t="shared" si="5"/>
        <v>4637.519086666668</v>
      </c>
      <c r="AK9" s="32">
        <f t="shared" si="5"/>
        <v>3782.344720000001</v>
      </c>
      <c r="AL9" s="42">
        <f t="shared" si="5"/>
        <v>3507.9481266666671</v>
      </c>
    </row>
    <row r="10" spans="2:40" thickBot="1" x14ac:dyDescent="0.35">
      <c r="B10" s="23" t="s">
        <v>90</v>
      </c>
      <c r="C10" s="26">
        <f>(C9-C5)/C5</f>
        <v>0.10217428079241961</v>
      </c>
      <c r="D10" s="27">
        <f t="shared" ref="D10:Z10" si="6">(D9-D5)/D5</f>
        <v>-1.9784135928962297E-2</v>
      </c>
      <c r="E10" s="27">
        <f t="shared" si="6"/>
        <v>-0.15890822384428255</v>
      </c>
      <c r="F10" s="27">
        <f t="shared" si="6"/>
        <v>-2.9782608696014163E-5</v>
      </c>
      <c r="G10" s="27">
        <f t="shared" si="6"/>
        <v>-4.5312096185738261E-2</v>
      </c>
      <c r="H10" s="27">
        <f t="shared" si="6"/>
        <v>7.4452291666666476E-2</v>
      </c>
      <c r="I10" s="27">
        <f t="shared" si="6"/>
        <v>-3.4601283226398634E-3</v>
      </c>
      <c r="J10" s="27">
        <f t="shared" si="6"/>
        <v>2.0667912190549013E-4</v>
      </c>
      <c r="K10" s="27">
        <f t="shared" si="6"/>
        <v>2.1355327686134479E-3</v>
      </c>
      <c r="L10" s="27">
        <f t="shared" si="6"/>
        <v>-3.6177338782924368E-3</v>
      </c>
      <c r="M10" s="27">
        <f t="shared" si="6"/>
        <v>-5.5599945828819462E-3</v>
      </c>
      <c r="N10" s="31">
        <f t="shared" si="6"/>
        <v>-4.6946330880966751E-3</v>
      </c>
      <c r="O10" s="26">
        <f t="shared" si="6"/>
        <v>-6.3385254413292234E-3</v>
      </c>
      <c r="P10" s="27">
        <f t="shared" si="6"/>
        <v>4.4062679700971821E-4</v>
      </c>
      <c r="Q10" s="27">
        <f t="shared" si="6"/>
        <v>4.6141215106731822E-3</v>
      </c>
      <c r="R10" s="27">
        <f t="shared" si="6"/>
        <v>2.8014892844170328E-3</v>
      </c>
      <c r="S10" s="27">
        <f t="shared" si="6"/>
        <v>-3.9100760654372201E-3</v>
      </c>
      <c r="T10" s="27">
        <f t="shared" si="6"/>
        <v>3.3425269240870644E-3</v>
      </c>
      <c r="U10" s="27">
        <f t="shared" si="6"/>
        <v>-2.61429401510748E-3</v>
      </c>
      <c r="V10" s="27">
        <f t="shared" si="6"/>
        <v>-1.0206337448559762E-2</v>
      </c>
      <c r="W10" s="27">
        <f t="shared" si="6"/>
        <v>5.3708399920492943E-2</v>
      </c>
      <c r="X10" s="27">
        <f t="shared" si="6"/>
        <v>0.13617252545374076</v>
      </c>
      <c r="Y10" s="27">
        <f t="shared" si="6"/>
        <v>2.4883673469387919E-2</v>
      </c>
      <c r="Z10" s="31">
        <f t="shared" si="6"/>
        <v>5.5478299183072434E-2</v>
      </c>
      <c r="AA10" s="14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1"/>
    </row>
    <row r="11" spans="2:40" ht="15.75" thickBot="1" x14ac:dyDescent="0.3"/>
    <row r="12" spans="2:40" ht="15.75" thickBot="1" x14ac:dyDescent="0.3">
      <c r="AN12" s="16" t="s">
        <v>91</v>
      </c>
    </row>
    <row r="13" spans="2:40" ht="15.75" thickBot="1" x14ac:dyDescent="0.3">
      <c r="AN13" s="16">
        <v>92.918000000000006</v>
      </c>
    </row>
  </sheetData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N14"/>
  <sheetViews>
    <sheetView zoomScaleNormal="100" workbookViewId="0"/>
  </sheetViews>
  <sheetFormatPr baseColWidth="10" defaultRowHeight="15" x14ac:dyDescent="0.25"/>
  <cols>
    <col min="1" max="1" width="11.5703125" customWidth="1"/>
    <col min="2" max="2" width="14.85546875" customWidth="1"/>
    <col min="3" max="11" width="6.42578125" customWidth="1"/>
    <col min="12" max="14" width="7.42578125" customWidth="1"/>
    <col min="15" max="23" width="6.42578125" customWidth="1"/>
    <col min="24" max="26" width="7.42578125" customWidth="1"/>
    <col min="27" max="35" width="5.7109375" customWidth="1"/>
    <col min="36" max="38" width="6.7109375" customWidth="1"/>
  </cols>
  <sheetData>
    <row r="2" spans="1:40" ht="14.45" x14ac:dyDescent="0.3">
      <c r="A2" s="15"/>
      <c r="B2" s="1"/>
      <c r="C2" s="7" t="s">
        <v>26</v>
      </c>
      <c r="D2" s="7" t="s">
        <v>27</v>
      </c>
      <c r="E2" s="7" t="s">
        <v>28</v>
      </c>
      <c r="F2" s="7" t="s">
        <v>29</v>
      </c>
      <c r="G2" s="7" t="s">
        <v>30</v>
      </c>
      <c r="H2" s="7" t="s">
        <v>31</v>
      </c>
      <c r="I2" s="7" t="s">
        <v>32</v>
      </c>
      <c r="J2" s="7" t="s">
        <v>33</v>
      </c>
      <c r="K2" s="7" t="s">
        <v>34</v>
      </c>
      <c r="L2" s="7" t="s">
        <v>35</v>
      </c>
      <c r="M2" s="7" t="s">
        <v>36</v>
      </c>
      <c r="N2" s="7" t="s">
        <v>37</v>
      </c>
      <c r="O2" s="7" t="s">
        <v>38</v>
      </c>
      <c r="P2" s="7" t="s">
        <v>39</v>
      </c>
      <c r="Q2" s="7" t="s">
        <v>40</v>
      </c>
      <c r="R2" s="7" t="s">
        <v>41</v>
      </c>
      <c r="S2" s="7" t="s">
        <v>42</v>
      </c>
      <c r="T2" s="7" t="s">
        <v>43</v>
      </c>
      <c r="U2" s="7" t="s">
        <v>44</v>
      </c>
      <c r="V2" s="7" t="s">
        <v>45</v>
      </c>
      <c r="W2" s="7" t="s">
        <v>46</v>
      </c>
      <c r="X2" s="7" t="s">
        <v>47</v>
      </c>
      <c r="Y2" s="7" t="s">
        <v>48</v>
      </c>
      <c r="Z2" s="7" t="s">
        <v>49</v>
      </c>
      <c r="AA2" s="7" t="s">
        <v>50</v>
      </c>
      <c r="AB2" s="7" t="s">
        <v>51</v>
      </c>
      <c r="AC2" s="7" t="s">
        <v>52</v>
      </c>
      <c r="AD2" s="7" t="s">
        <v>53</v>
      </c>
      <c r="AE2" s="7" t="s">
        <v>54</v>
      </c>
      <c r="AF2" s="7" t="s">
        <v>55</v>
      </c>
      <c r="AG2" s="7" t="s">
        <v>56</v>
      </c>
      <c r="AH2" s="7" t="s">
        <v>57</v>
      </c>
      <c r="AI2" s="7" t="s">
        <v>58</v>
      </c>
      <c r="AJ2" s="7" t="s">
        <v>59</v>
      </c>
      <c r="AK2" s="7" t="s">
        <v>60</v>
      </c>
      <c r="AL2" s="7" t="s">
        <v>61</v>
      </c>
    </row>
    <row r="3" spans="1:40" thickBot="1" x14ac:dyDescent="0.35">
      <c r="B3" s="1"/>
      <c r="C3" s="8" t="s">
        <v>62</v>
      </c>
      <c r="D3" s="8" t="s">
        <v>63</v>
      </c>
      <c r="E3" s="8" t="s">
        <v>64</v>
      </c>
      <c r="F3" s="8" t="s">
        <v>65</v>
      </c>
      <c r="G3" s="8" t="s">
        <v>66</v>
      </c>
      <c r="H3" s="8" t="s">
        <v>67</v>
      </c>
      <c r="I3" s="8" t="s">
        <v>68</v>
      </c>
      <c r="J3" s="8" t="s">
        <v>69</v>
      </c>
      <c r="K3" s="8" t="s">
        <v>70</v>
      </c>
      <c r="L3" s="8" t="s">
        <v>71</v>
      </c>
      <c r="M3" s="8" t="s">
        <v>72</v>
      </c>
      <c r="N3" s="8" t="s">
        <v>73</v>
      </c>
      <c r="O3" s="8" t="s">
        <v>62</v>
      </c>
      <c r="P3" s="8" t="s">
        <v>63</v>
      </c>
      <c r="Q3" s="8" t="s">
        <v>64</v>
      </c>
      <c r="R3" s="8" t="s">
        <v>65</v>
      </c>
      <c r="S3" s="8" t="s">
        <v>66</v>
      </c>
      <c r="T3" s="8" t="s">
        <v>67</v>
      </c>
      <c r="U3" s="8" t="s">
        <v>68</v>
      </c>
      <c r="V3" s="8" t="s">
        <v>69</v>
      </c>
      <c r="W3" s="8" t="s">
        <v>70</v>
      </c>
      <c r="X3" s="8" t="s">
        <v>71</v>
      </c>
      <c r="Y3" s="8" t="s">
        <v>72</v>
      </c>
      <c r="Z3" s="8" t="s">
        <v>73</v>
      </c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</row>
    <row r="4" spans="1:40" ht="14.45" x14ac:dyDescent="0.3">
      <c r="B4" s="20" t="s">
        <v>0</v>
      </c>
      <c r="C4" s="4" t="s">
        <v>1</v>
      </c>
      <c r="D4" s="3" t="s">
        <v>2</v>
      </c>
      <c r="E4" s="3" t="s">
        <v>3</v>
      </c>
      <c r="F4" s="3" t="s">
        <v>4</v>
      </c>
      <c r="G4" s="3" t="s">
        <v>5</v>
      </c>
      <c r="H4" s="3" t="s">
        <v>6</v>
      </c>
      <c r="I4" s="3" t="s">
        <v>7</v>
      </c>
      <c r="J4" s="3" t="s">
        <v>8</v>
      </c>
      <c r="K4" s="3" t="s">
        <v>9</v>
      </c>
      <c r="L4" s="3" t="s">
        <v>10</v>
      </c>
      <c r="M4" s="3" t="s">
        <v>11</v>
      </c>
      <c r="N4" s="28" t="s">
        <v>12</v>
      </c>
      <c r="O4" s="4" t="s">
        <v>14</v>
      </c>
      <c r="P4" s="3" t="s">
        <v>15</v>
      </c>
      <c r="Q4" s="3" t="s">
        <v>16</v>
      </c>
      <c r="R4" s="3" t="s">
        <v>17</v>
      </c>
      <c r="S4" s="3" t="s">
        <v>18</v>
      </c>
      <c r="T4" s="3" t="s">
        <v>19</v>
      </c>
      <c r="U4" s="3" t="s">
        <v>20</v>
      </c>
      <c r="V4" s="3" t="s">
        <v>21</v>
      </c>
      <c r="W4" s="3" t="s">
        <v>22</v>
      </c>
      <c r="X4" s="3" t="s">
        <v>23</v>
      </c>
      <c r="Y4" s="3" t="s">
        <v>24</v>
      </c>
      <c r="Z4" s="28" t="s">
        <v>25</v>
      </c>
      <c r="AA4" s="17" t="s">
        <v>74</v>
      </c>
      <c r="AB4" s="18" t="s">
        <v>75</v>
      </c>
      <c r="AC4" s="18" t="s">
        <v>76</v>
      </c>
      <c r="AD4" s="18" t="s">
        <v>77</v>
      </c>
      <c r="AE4" s="18" t="s">
        <v>78</v>
      </c>
      <c r="AF4" s="18" t="s">
        <v>79</v>
      </c>
      <c r="AG4" s="18" t="s">
        <v>80</v>
      </c>
      <c r="AH4" s="18" t="s">
        <v>81</v>
      </c>
      <c r="AI4" s="18" t="s">
        <v>82</v>
      </c>
      <c r="AJ4" s="18" t="s">
        <v>83</v>
      </c>
      <c r="AK4" s="18" t="s">
        <v>84</v>
      </c>
      <c r="AL4" s="19" t="s">
        <v>85</v>
      </c>
    </row>
    <row r="5" spans="1:40" ht="14.45" x14ac:dyDescent="0.3">
      <c r="B5" s="21" t="s">
        <v>13</v>
      </c>
      <c r="C5" s="12">
        <v>114</v>
      </c>
      <c r="D5" s="6">
        <v>138</v>
      </c>
      <c r="E5" s="6">
        <v>187</v>
      </c>
      <c r="F5" s="6">
        <v>212</v>
      </c>
      <c r="G5" s="6">
        <v>256</v>
      </c>
      <c r="H5" s="6">
        <v>273</v>
      </c>
      <c r="I5" s="6">
        <v>262</v>
      </c>
      <c r="J5" s="6">
        <v>250</v>
      </c>
      <c r="K5" s="6">
        <v>256</v>
      </c>
      <c r="L5" s="6">
        <v>273</v>
      </c>
      <c r="M5" s="6">
        <v>262</v>
      </c>
      <c r="N5" s="29">
        <v>250</v>
      </c>
      <c r="O5" s="12">
        <v>169</v>
      </c>
      <c r="P5" s="6">
        <v>180</v>
      </c>
      <c r="Q5" s="6">
        <v>206</v>
      </c>
      <c r="R5" s="6">
        <v>275</v>
      </c>
      <c r="S5" s="6">
        <v>315</v>
      </c>
      <c r="T5" s="6">
        <v>369</v>
      </c>
      <c r="U5" s="6">
        <v>330</v>
      </c>
      <c r="V5" s="6">
        <v>322</v>
      </c>
      <c r="W5" s="6">
        <v>313</v>
      </c>
      <c r="X5" s="6">
        <v>278</v>
      </c>
      <c r="Y5" s="6">
        <v>250</v>
      </c>
      <c r="Z5" s="29">
        <v>225</v>
      </c>
      <c r="AA5" s="13"/>
      <c r="AB5" s="7"/>
      <c r="AC5" s="7"/>
      <c r="AD5" s="7"/>
      <c r="AE5" s="7"/>
      <c r="AF5" s="7"/>
      <c r="AG5" s="7"/>
      <c r="AH5" s="7"/>
      <c r="AI5" s="7"/>
      <c r="AJ5" s="7"/>
      <c r="AK5" s="7"/>
      <c r="AL5" s="9"/>
    </row>
    <row r="6" spans="1:40" ht="14.45" x14ac:dyDescent="0.3">
      <c r="B6" s="22" t="s">
        <v>86</v>
      </c>
      <c r="C6" s="33"/>
      <c r="D6" s="32"/>
      <c r="E6" s="32"/>
      <c r="F6" s="32"/>
      <c r="G6" s="32"/>
      <c r="H6" s="32"/>
      <c r="I6" s="32">
        <f>(1/12)*((C5/2)+D5+E5+F5+G5+H5+I5+J5+K5+L5+M5+N5+(O5/2))</f>
        <v>230.04166666666666</v>
      </c>
      <c r="J6" s="32">
        <f t="shared" ref="J6:T6" si="0">(1/12)*((D5/2)+E5+F5+G5+H5+I5+J5+K5+L5+M5+N5+O5+(P5/2))</f>
        <v>234.08333333333331</v>
      </c>
      <c r="K6" s="32">
        <f t="shared" si="0"/>
        <v>236.625</v>
      </c>
      <c r="L6" s="32">
        <f t="shared" si="0"/>
        <v>240.04166666666666</v>
      </c>
      <c r="M6" s="32">
        <f t="shared" si="0"/>
        <v>245.125</v>
      </c>
      <c r="N6" s="34">
        <f t="shared" si="0"/>
        <v>251.58333333333331</v>
      </c>
      <c r="O6" s="33">
        <f t="shared" si="0"/>
        <v>258.41666666666663</v>
      </c>
      <c r="P6" s="32">
        <f t="shared" si="0"/>
        <v>264.25</v>
      </c>
      <c r="Q6" s="32">
        <f t="shared" si="0"/>
        <v>269.625</v>
      </c>
      <c r="R6" s="32">
        <f t="shared" si="0"/>
        <v>272.20833333333331</v>
      </c>
      <c r="S6" s="32">
        <f t="shared" si="0"/>
        <v>271.91666666666663</v>
      </c>
      <c r="T6" s="32">
        <f t="shared" si="0"/>
        <v>270.375</v>
      </c>
      <c r="U6" s="32"/>
      <c r="V6" s="32"/>
      <c r="W6" s="32"/>
      <c r="X6" s="32"/>
      <c r="Y6" s="32"/>
      <c r="Z6" s="34"/>
      <c r="AA6" s="13"/>
      <c r="AB6" s="7"/>
      <c r="AC6" s="7"/>
      <c r="AD6" s="7"/>
      <c r="AE6" s="7"/>
      <c r="AF6" s="7"/>
      <c r="AG6" s="7"/>
      <c r="AH6" s="7"/>
      <c r="AI6" s="7"/>
      <c r="AJ6" s="7"/>
      <c r="AK6" s="7"/>
      <c r="AL6" s="9"/>
    </row>
    <row r="7" spans="1:40" ht="14.45" x14ac:dyDescent="0.3">
      <c r="B7" s="22" t="s">
        <v>87</v>
      </c>
      <c r="C7" s="37">
        <v>0.65</v>
      </c>
      <c r="D7" s="36">
        <v>0.68</v>
      </c>
      <c r="E7" s="36">
        <v>0.76</v>
      </c>
      <c r="F7" s="36">
        <v>1.01</v>
      </c>
      <c r="G7" s="36">
        <v>1.1599999999999999</v>
      </c>
      <c r="H7" s="36">
        <v>1.36</v>
      </c>
      <c r="I7" s="32">
        <f>ROUND(I5/I6,2)</f>
        <v>1.1399999999999999</v>
      </c>
      <c r="J7" s="32">
        <f t="shared" ref="J7:T7" si="1">ROUND(J5/J6,2)</f>
        <v>1.07</v>
      </c>
      <c r="K7" s="32">
        <f t="shared" si="1"/>
        <v>1.08</v>
      </c>
      <c r="L7" s="32">
        <f t="shared" si="1"/>
        <v>1.1399999999999999</v>
      </c>
      <c r="M7" s="32">
        <f t="shared" si="1"/>
        <v>1.07</v>
      </c>
      <c r="N7" s="34">
        <f t="shared" si="1"/>
        <v>0.99</v>
      </c>
      <c r="O7" s="33">
        <f t="shared" si="1"/>
        <v>0.65</v>
      </c>
      <c r="P7" s="32">
        <f t="shared" si="1"/>
        <v>0.68</v>
      </c>
      <c r="Q7" s="32">
        <f t="shared" si="1"/>
        <v>0.76</v>
      </c>
      <c r="R7" s="32">
        <f t="shared" si="1"/>
        <v>1.01</v>
      </c>
      <c r="S7" s="32">
        <f t="shared" si="1"/>
        <v>1.1599999999999999</v>
      </c>
      <c r="T7" s="32">
        <f t="shared" si="1"/>
        <v>1.36</v>
      </c>
      <c r="U7" s="36">
        <v>1.1399999999999999</v>
      </c>
      <c r="V7" s="36">
        <v>1.07</v>
      </c>
      <c r="W7" s="36">
        <v>1.08</v>
      </c>
      <c r="X7" s="36">
        <v>1.1399999999999999</v>
      </c>
      <c r="Y7" s="36">
        <v>1.07</v>
      </c>
      <c r="Z7" s="35">
        <v>0.99</v>
      </c>
      <c r="AA7" s="33">
        <v>0.65</v>
      </c>
      <c r="AB7" s="32">
        <v>0.68</v>
      </c>
      <c r="AC7" s="32">
        <v>0.76</v>
      </c>
      <c r="AD7" s="32">
        <v>1.01</v>
      </c>
      <c r="AE7" s="32">
        <v>1.1599999999999999</v>
      </c>
      <c r="AF7" s="32">
        <v>1.36</v>
      </c>
      <c r="AG7" s="32">
        <v>1.1399999999999999</v>
      </c>
      <c r="AH7" s="32">
        <v>1.07</v>
      </c>
      <c r="AI7" s="32">
        <v>1.08</v>
      </c>
      <c r="AJ7" s="32">
        <v>1.1399999999999999</v>
      </c>
      <c r="AK7" s="32">
        <v>1.07</v>
      </c>
      <c r="AL7" s="42">
        <v>0.99</v>
      </c>
      <c r="AM7" s="43"/>
    </row>
    <row r="8" spans="1:40" x14ac:dyDescent="0.25">
      <c r="B8" s="22" t="s">
        <v>88</v>
      </c>
      <c r="C8" s="33">
        <f t="shared" ref="C8:G8" si="2">D8-$AN$14</f>
        <v>203.91466666666665</v>
      </c>
      <c r="D8" s="32">
        <f t="shared" si="2"/>
        <v>208.26916666666665</v>
      </c>
      <c r="E8" s="32">
        <f t="shared" si="2"/>
        <v>212.62366666666665</v>
      </c>
      <c r="F8" s="32">
        <f t="shared" si="2"/>
        <v>216.97816666666665</v>
      </c>
      <c r="G8" s="32">
        <f t="shared" si="2"/>
        <v>221.33266666666665</v>
      </c>
      <c r="H8" s="32">
        <f>I8-$AN$14</f>
        <v>225.68716666666666</v>
      </c>
      <c r="I8" s="32">
        <f>I6</f>
        <v>230.04166666666666</v>
      </c>
      <c r="J8" s="32">
        <f t="shared" ref="J8:T8" si="3">J6</f>
        <v>234.08333333333331</v>
      </c>
      <c r="K8" s="32">
        <f t="shared" si="3"/>
        <v>236.625</v>
      </c>
      <c r="L8" s="32">
        <f t="shared" si="3"/>
        <v>240.04166666666666</v>
      </c>
      <c r="M8" s="32">
        <f t="shared" si="3"/>
        <v>245.125</v>
      </c>
      <c r="N8" s="30">
        <f t="shared" si="3"/>
        <v>251.58333333333331</v>
      </c>
      <c r="O8" s="33">
        <f t="shared" si="3"/>
        <v>258.41666666666663</v>
      </c>
      <c r="P8" s="32">
        <f t="shared" si="3"/>
        <v>264.25</v>
      </c>
      <c r="Q8" s="32">
        <f t="shared" si="3"/>
        <v>269.625</v>
      </c>
      <c r="R8" s="32">
        <f t="shared" si="3"/>
        <v>272.20833333333331</v>
      </c>
      <c r="S8" s="32">
        <f t="shared" si="3"/>
        <v>271.91666666666663</v>
      </c>
      <c r="T8" s="32">
        <f t="shared" si="3"/>
        <v>270.375</v>
      </c>
      <c r="U8" s="32">
        <f>T8+$AN$14</f>
        <v>274.72949999999997</v>
      </c>
      <c r="V8" s="32">
        <f t="shared" ref="V8:AL8" si="4">U8+$AN$14</f>
        <v>279.08399999999995</v>
      </c>
      <c r="W8" s="7">
        <f t="shared" si="4"/>
        <v>283.43849999999992</v>
      </c>
      <c r="X8" s="32">
        <f t="shared" si="4"/>
        <v>287.79299999999989</v>
      </c>
      <c r="Y8" s="32">
        <f t="shared" si="4"/>
        <v>292.14749999999987</v>
      </c>
      <c r="Z8" s="34">
        <f t="shared" si="4"/>
        <v>296.50199999999984</v>
      </c>
      <c r="AA8" s="33">
        <f t="shared" si="4"/>
        <v>300.85649999999981</v>
      </c>
      <c r="AB8" s="32">
        <f t="shared" si="4"/>
        <v>305.21099999999979</v>
      </c>
      <c r="AC8" s="32">
        <f t="shared" si="4"/>
        <v>309.56549999999976</v>
      </c>
      <c r="AD8" s="32">
        <f t="shared" si="4"/>
        <v>313.91999999999973</v>
      </c>
      <c r="AE8" s="32">
        <f t="shared" si="4"/>
        <v>318.2744999999997</v>
      </c>
      <c r="AF8" s="32">
        <f t="shared" si="4"/>
        <v>322.62899999999968</v>
      </c>
      <c r="AG8" s="32">
        <f t="shared" si="4"/>
        <v>326.98349999999965</v>
      </c>
      <c r="AH8" s="32">
        <f t="shared" si="4"/>
        <v>331.33799999999962</v>
      </c>
      <c r="AI8" s="32">
        <f t="shared" si="4"/>
        <v>335.6924999999996</v>
      </c>
      <c r="AJ8" s="32">
        <f t="shared" si="4"/>
        <v>340.04699999999957</v>
      </c>
      <c r="AK8" s="32">
        <f t="shared" si="4"/>
        <v>344.40149999999954</v>
      </c>
      <c r="AL8" s="42">
        <f t="shared" si="4"/>
        <v>348.75599999999952</v>
      </c>
    </row>
    <row r="9" spans="1:40" ht="14.45" x14ac:dyDescent="0.3">
      <c r="B9" s="22" t="s">
        <v>89</v>
      </c>
      <c r="C9" s="33">
        <f>C7*C8</f>
        <v>132.54453333333333</v>
      </c>
      <c r="D9" s="32">
        <f t="shared" ref="D9:AL9" si="5">D7*D8</f>
        <v>141.62303333333332</v>
      </c>
      <c r="E9" s="32">
        <f t="shared" si="5"/>
        <v>161.59398666666667</v>
      </c>
      <c r="F9" s="32">
        <f t="shared" si="5"/>
        <v>219.14794833333332</v>
      </c>
      <c r="G9" s="32">
        <f t="shared" si="5"/>
        <v>256.7458933333333</v>
      </c>
      <c r="H9" s="32">
        <f t="shared" si="5"/>
        <v>306.93454666666668</v>
      </c>
      <c r="I9" s="32">
        <f t="shared" si="5"/>
        <v>262.24749999999995</v>
      </c>
      <c r="J9" s="32">
        <f t="shared" si="5"/>
        <v>250.46916666666667</v>
      </c>
      <c r="K9" s="32">
        <f t="shared" si="5"/>
        <v>255.55500000000001</v>
      </c>
      <c r="L9" s="32">
        <f t="shared" si="5"/>
        <v>273.64749999999998</v>
      </c>
      <c r="M9" s="32">
        <f t="shared" si="5"/>
        <v>262.28375</v>
      </c>
      <c r="N9" s="34">
        <f t="shared" si="5"/>
        <v>249.06749999999997</v>
      </c>
      <c r="O9" s="33">
        <f t="shared" si="5"/>
        <v>167.9708333333333</v>
      </c>
      <c r="P9" s="32">
        <f t="shared" si="5"/>
        <v>179.69000000000003</v>
      </c>
      <c r="Q9" s="32">
        <f t="shared" si="5"/>
        <v>204.91499999999999</v>
      </c>
      <c r="R9" s="32">
        <f t="shared" si="5"/>
        <v>274.93041666666664</v>
      </c>
      <c r="S9" s="32">
        <f t="shared" si="5"/>
        <v>315.42333333333329</v>
      </c>
      <c r="T9" s="32">
        <f t="shared" si="5"/>
        <v>367.71000000000004</v>
      </c>
      <c r="U9" s="32">
        <f t="shared" si="5"/>
        <v>313.19162999999992</v>
      </c>
      <c r="V9" s="32">
        <f t="shared" si="5"/>
        <v>298.61987999999997</v>
      </c>
      <c r="W9" s="32">
        <f t="shared" si="5"/>
        <v>306.11357999999996</v>
      </c>
      <c r="X9" s="32">
        <f t="shared" si="5"/>
        <v>328.08401999999984</v>
      </c>
      <c r="Y9" s="32">
        <f t="shared" si="5"/>
        <v>312.59782499999989</v>
      </c>
      <c r="Z9" s="34">
        <f t="shared" si="5"/>
        <v>293.53697999999986</v>
      </c>
      <c r="AA9" s="33">
        <f t="shared" si="5"/>
        <v>195.55672499999989</v>
      </c>
      <c r="AB9" s="32">
        <f t="shared" si="5"/>
        <v>207.54347999999987</v>
      </c>
      <c r="AC9" s="32">
        <f t="shared" si="5"/>
        <v>235.26977999999983</v>
      </c>
      <c r="AD9" s="32">
        <f t="shared" si="5"/>
        <v>317.05919999999975</v>
      </c>
      <c r="AE9" s="32">
        <f t="shared" si="5"/>
        <v>369.19841999999966</v>
      </c>
      <c r="AF9" s="32">
        <f t="shared" si="5"/>
        <v>438.77543999999961</v>
      </c>
      <c r="AG9" s="32">
        <f t="shared" si="5"/>
        <v>372.76118999999954</v>
      </c>
      <c r="AH9" s="32">
        <f t="shared" si="5"/>
        <v>354.53165999999965</v>
      </c>
      <c r="AI9" s="32">
        <f t="shared" si="5"/>
        <v>362.54789999999957</v>
      </c>
      <c r="AJ9" s="32">
        <f t="shared" si="5"/>
        <v>387.65357999999947</v>
      </c>
      <c r="AK9" s="7">
        <f t="shared" si="5"/>
        <v>368.50960499999951</v>
      </c>
      <c r="AL9" s="42">
        <f t="shared" si="5"/>
        <v>345.26843999999954</v>
      </c>
    </row>
    <row r="10" spans="1:40" thickBot="1" x14ac:dyDescent="0.35">
      <c r="B10" s="23" t="s">
        <v>90</v>
      </c>
      <c r="C10" s="26">
        <f>(C9-C5)/C5</f>
        <v>0.16267134502923977</v>
      </c>
      <c r="D10" s="38">
        <f t="shared" ref="D10:Z10" si="6">(D9-D5)/D5</f>
        <v>2.6253864734299456E-2</v>
      </c>
      <c r="E10" s="38">
        <f t="shared" si="6"/>
        <v>-0.1358610338680927</v>
      </c>
      <c r="F10" s="38">
        <f t="shared" si="6"/>
        <v>3.3716737421383577E-2</v>
      </c>
      <c r="G10" s="38">
        <f t="shared" si="6"/>
        <v>2.9136458333332005E-3</v>
      </c>
      <c r="H10" s="38">
        <f t="shared" si="6"/>
        <v>0.12430236874236877</v>
      </c>
      <c r="I10" s="38">
        <f t="shared" si="6"/>
        <v>9.4465648854941001E-4</v>
      </c>
      <c r="J10" s="38">
        <f t="shared" si="6"/>
        <v>1.8766666666666652E-3</v>
      </c>
      <c r="K10" s="38">
        <f t="shared" si="6"/>
        <v>-1.7382812499999734E-3</v>
      </c>
      <c r="L10" s="38">
        <f t="shared" si="6"/>
        <v>2.3717948717947969E-3</v>
      </c>
      <c r="M10" s="38">
        <f t="shared" si="6"/>
        <v>1.0830152671755639E-3</v>
      </c>
      <c r="N10" s="39">
        <f t="shared" si="6"/>
        <v>-3.7300000000001321E-3</v>
      </c>
      <c r="O10" s="40">
        <f t="shared" si="6"/>
        <v>-6.0897435897437693E-3</v>
      </c>
      <c r="P10" s="27">
        <f t="shared" si="6"/>
        <v>-1.7222222222220769E-3</v>
      </c>
      <c r="Q10" s="38">
        <f t="shared" si="6"/>
        <v>-5.2669902912621741E-3</v>
      </c>
      <c r="R10" s="38">
        <f t="shared" si="6"/>
        <v>-2.5303030303038297E-4</v>
      </c>
      <c r="S10" s="38">
        <f t="shared" si="6"/>
        <v>1.3439153439152045E-3</v>
      </c>
      <c r="T10" s="38">
        <f t="shared" si="6"/>
        <v>-3.4959349593494948E-3</v>
      </c>
      <c r="U10" s="38">
        <f t="shared" si="6"/>
        <v>-5.0934454545454796E-2</v>
      </c>
      <c r="V10" s="38">
        <f t="shared" si="6"/>
        <v>-7.2609068322981474E-2</v>
      </c>
      <c r="W10" s="38">
        <f t="shared" si="6"/>
        <v>-2.2001341853035282E-2</v>
      </c>
      <c r="X10" s="38">
        <f t="shared" si="6"/>
        <v>0.18015834532374042</v>
      </c>
      <c r="Y10" s="38">
        <f t="shared" si="6"/>
        <v>0.25039129999999954</v>
      </c>
      <c r="Z10" s="39">
        <f t="shared" si="6"/>
        <v>0.30460879999999935</v>
      </c>
      <c r="AA10" s="41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1"/>
    </row>
    <row r="12" spans="1:40" ht="15.75" thickBot="1" x14ac:dyDescent="0.3"/>
    <row r="13" spans="1:40" ht="15.75" thickBot="1" x14ac:dyDescent="0.3">
      <c r="AN13" s="16" t="s">
        <v>91</v>
      </c>
    </row>
    <row r="14" spans="1:40" ht="15.75" thickBot="1" x14ac:dyDescent="0.3">
      <c r="AN14" s="16">
        <v>4.3544999999999998</v>
      </c>
    </row>
  </sheetData>
  <pageMargins left="0.7" right="0.7" top="0.75" bottom="0.75" header="0.3" footer="0.3"/>
  <pageSetup paperSize="9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N13"/>
  <sheetViews>
    <sheetView workbookViewId="0"/>
  </sheetViews>
  <sheetFormatPr baseColWidth="10" defaultRowHeight="15" x14ac:dyDescent="0.25"/>
  <cols>
    <col min="2" max="2" width="14.85546875" bestFit="1" customWidth="1"/>
    <col min="3" max="11" width="6.42578125" bestFit="1" customWidth="1"/>
    <col min="12" max="14" width="7.42578125" bestFit="1" customWidth="1"/>
    <col min="15" max="23" width="6.42578125" bestFit="1" customWidth="1"/>
    <col min="24" max="26" width="7.42578125" bestFit="1" customWidth="1"/>
    <col min="27" max="27" width="6.85546875" customWidth="1"/>
    <col min="28" max="28" width="6.7109375" customWidth="1"/>
    <col min="29" max="29" width="6.42578125" customWidth="1"/>
    <col min="30" max="30" width="6.28515625" customWidth="1"/>
    <col min="31" max="31" width="6.5703125" customWidth="1"/>
    <col min="32" max="32" width="6.42578125" customWidth="1"/>
    <col min="33" max="33" width="6.7109375" customWidth="1"/>
    <col min="34" max="34" width="6.28515625" customWidth="1"/>
    <col min="35" max="35" width="6.85546875" customWidth="1"/>
    <col min="36" max="38" width="6.7109375" bestFit="1" customWidth="1"/>
  </cols>
  <sheetData>
    <row r="2" spans="1:40" ht="14.45" x14ac:dyDescent="0.3">
      <c r="B2" s="2"/>
      <c r="C2" s="7" t="s">
        <v>26</v>
      </c>
      <c r="D2" s="7" t="s">
        <v>27</v>
      </c>
      <c r="E2" s="7" t="s">
        <v>28</v>
      </c>
      <c r="F2" s="7" t="s">
        <v>29</v>
      </c>
      <c r="G2" s="7" t="s">
        <v>30</v>
      </c>
      <c r="H2" s="7" t="s">
        <v>31</v>
      </c>
      <c r="I2" s="7" t="s">
        <v>32</v>
      </c>
      <c r="J2" s="7" t="s">
        <v>33</v>
      </c>
      <c r="K2" s="7" t="s">
        <v>34</v>
      </c>
      <c r="L2" s="7" t="s">
        <v>35</v>
      </c>
      <c r="M2" s="7" t="s">
        <v>36</v>
      </c>
      <c r="N2" s="7" t="s">
        <v>37</v>
      </c>
      <c r="O2" s="7" t="s">
        <v>38</v>
      </c>
      <c r="P2" s="7" t="s">
        <v>39</v>
      </c>
      <c r="Q2" s="7" t="s">
        <v>40</v>
      </c>
      <c r="R2" s="7" t="s">
        <v>41</v>
      </c>
      <c r="S2" s="7" t="s">
        <v>42</v>
      </c>
      <c r="T2" s="7" t="s">
        <v>43</v>
      </c>
      <c r="U2" s="7" t="s">
        <v>44</v>
      </c>
      <c r="V2" s="7" t="s">
        <v>45</v>
      </c>
      <c r="W2" s="7" t="s">
        <v>46</v>
      </c>
      <c r="X2" s="7" t="s">
        <v>47</v>
      </c>
      <c r="Y2" s="7" t="s">
        <v>48</v>
      </c>
      <c r="Z2" s="7" t="s">
        <v>49</v>
      </c>
      <c r="AA2" s="7" t="s">
        <v>50</v>
      </c>
      <c r="AB2" s="7" t="s">
        <v>51</v>
      </c>
      <c r="AC2" s="7" t="s">
        <v>52</v>
      </c>
      <c r="AD2" s="7" t="s">
        <v>53</v>
      </c>
      <c r="AE2" s="7" t="s">
        <v>54</v>
      </c>
      <c r="AF2" s="7" t="s">
        <v>55</v>
      </c>
      <c r="AG2" s="7" t="s">
        <v>56</v>
      </c>
      <c r="AH2" s="7" t="s">
        <v>57</v>
      </c>
      <c r="AI2" s="7" t="s">
        <v>58</v>
      </c>
      <c r="AJ2" s="7" t="s">
        <v>59</v>
      </c>
      <c r="AK2" s="7" t="s">
        <v>60</v>
      </c>
      <c r="AL2" s="7" t="s">
        <v>61</v>
      </c>
    </row>
    <row r="3" spans="1:40" thickBot="1" x14ac:dyDescent="0.35">
      <c r="B3" s="2"/>
      <c r="C3" s="8" t="s">
        <v>62</v>
      </c>
      <c r="D3" s="8" t="s">
        <v>63</v>
      </c>
      <c r="E3" s="8" t="s">
        <v>64</v>
      </c>
      <c r="F3" s="8" t="s">
        <v>65</v>
      </c>
      <c r="G3" s="8" t="s">
        <v>66</v>
      </c>
      <c r="H3" s="8" t="s">
        <v>67</v>
      </c>
      <c r="I3" s="8" t="s">
        <v>68</v>
      </c>
      <c r="J3" s="8" t="s">
        <v>69</v>
      </c>
      <c r="K3" s="8" t="s">
        <v>70</v>
      </c>
      <c r="L3" s="8" t="s">
        <v>71</v>
      </c>
      <c r="M3" s="8" t="s">
        <v>72</v>
      </c>
      <c r="N3" s="8" t="s">
        <v>73</v>
      </c>
      <c r="O3" s="8" t="s">
        <v>62</v>
      </c>
      <c r="P3" s="8" t="s">
        <v>63</v>
      </c>
      <c r="Q3" s="8" t="s">
        <v>64</v>
      </c>
      <c r="R3" s="8" t="s">
        <v>65</v>
      </c>
      <c r="S3" s="8" t="s">
        <v>66</v>
      </c>
      <c r="T3" s="8" t="s">
        <v>67</v>
      </c>
      <c r="U3" s="8" t="s">
        <v>68</v>
      </c>
      <c r="V3" s="8" t="s">
        <v>69</v>
      </c>
      <c r="W3" s="8" t="s">
        <v>70</v>
      </c>
      <c r="X3" s="8" t="s">
        <v>71</v>
      </c>
      <c r="Y3" s="8" t="s">
        <v>72</v>
      </c>
      <c r="Z3" s="8" t="s">
        <v>73</v>
      </c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</row>
    <row r="4" spans="1:40" ht="14.45" x14ac:dyDescent="0.3">
      <c r="B4" s="20" t="s">
        <v>0</v>
      </c>
      <c r="C4" s="4" t="s">
        <v>1</v>
      </c>
      <c r="D4" s="3" t="s">
        <v>2</v>
      </c>
      <c r="E4" s="3" t="s">
        <v>3</v>
      </c>
      <c r="F4" s="3" t="s">
        <v>4</v>
      </c>
      <c r="G4" s="3" t="s">
        <v>5</v>
      </c>
      <c r="H4" s="3" t="s">
        <v>6</v>
      </c>
      <c r="I4" s="3" t="s">
        <v>7</v>
      </c>
      <c r="J4" s="3" t="s">
        <v>8</v>
      </c>
      <c r="K4" s="3" t="s">
        <v>9</v>
      </c>
      <c r="L4" s="3" t="s">
        <v>10</v>
      </c>
      <c r="M4" s="3" t="s">
        <v>11</v>
      </c>
      <c r="N4" s="28" t="s">
        <v>12</v>
      </c>
      <c r="O4" s="4" t="s">
        <v>14</v>
      </c>
      <c r="P4" s="3" t="s">
        <v>15</v>
      </c>
      <c r="Q4" s="3" t="s">
        <v>16</v>
      </c>
      <c r="R4" s="3" t="s">
        <v>17</v>
      </c>
      <c r="S4" s="3" t="s">
        <v>18</v>
      </c>
      <c r="T4" s="3" t="s">
        <v>19</v>
      </c>
      <c r="U4" s="3" t="s">
        <v>20</v>
      </c>
      <c r="V4" s="3" t="s">
        <v>21</v>
      </c>
      <c r="W4" s="3" t="s">
        <v>22</v>
      </c>
      <c r="X4" s="3" t="s">
        <v>23</v>
      </c>
      <c r="Y4" s="3" t="s">
        <v>24</v>
      </c>
      <c r="Z4" s="28" t="s">
        <v>25</v>
      </c>
      <c r="AA4" s="17" t="s">
        <v>74</v>
      </c>
      <c r="AB4" s="18" t="s">
        <v>75</v>
      </c>
      <c r="AC4" s="18" t="s">
        <v>76</v>
      </c>
      <c r="AD4" s="18" t="s">
        <v>77</v>
      </c>
      <c r="AE4" s="18" t="s">
        <v>78</v>
      </c>
      <c r="AF4" s="18" t="s">
        <v>79</v>
      </c>
      <c r="AG4" s="18" t="s">
        <v>80</v>
      </c>
      <c r="AH4" s="18" t="s">
        <v>81</v>
      </c>
      <c r="AI4" s="18" t="s">
        <v>82</v>
      </c>
      <c r="AJ4" s="18" t="s">
        <v>83</v>
      </c>
      <c r="AK4" s="18" t="s">
        <v>84</v>
      </c>
      <c r="AL4" s="19" t="s">
        <v>85</v>
      </c>
    </row>
    <row r="5" spans="1:40" ht="14.45" x14ac:dyDescent="0.3">
      <c r="B5" s="21" t="s">
        <v>13</v>
      </c>
      <c r="C5" s="25">
        <v>37</v>
      </c>
      <c r="D5" s="24">
        <v>46</v>
      </c>
      <c r="E5" s="24">
        <v>65</v>
      </c>
      <c r="F5" s="24">
        <v>76</v>
      </c>
      <c r="G5" s="24">
        <v>95</v>
      </c>
      <c r="H5" s="24">
        <v>104</v>
      </c>
      <c r="I5" s="24">
        <v>102</v>
      </c>
      <c r="J5" s="24">
        <v>100</v>
      </c>
      <c r="K5" s="24">
        <v>104</v>
      </c>
      <c r="L5" s="24">
        <v>102</v>
      </c>
      <c r="M5" s="24">
        <v>86</v>
      </c>
      <c r="N5" s="47">
        <v>82</v>
      </c>
      <c r="O5" s="25">
        <v>74</v>
      </c>
      <c r="P5" s="24">
        <v>80</v>
      </c>
      <c r="Q5" s="24">
        <v>93</v>
      </c>
      <c r="R5" s="24">
        <v>127</v>
      </c>
      <c r="S5" s="24">
        <v>147</v>
      </c>
      <c r="T5" s="24">
        <v>175</v>
      </c>
      <c r="U5" s="24">
        <v>158</v>
      </c>
      <c r="V5" s="24">
        <v>156</v>
      </c>
      <c r="W5" s="24">
        <v>154</v>
      </c>
      <c r="X5" s="24">
        <v>138</v>
      </c>
      <c r="Y5" s="24">
        <v>125</v>
      </c>
      <c r="Z5" s="47">
        <v>114</v>
      </c>
      <c r="AA5" s="13"/>
      <c r="AB5" s="7"/>
      <c r="AC5" s="7"/>
      <c r="AD5" s="7"/>
      <c r="AE5" s="7"/>
      <c r="AF5" s="7"/>
      <c r="AG5" s="7"/>
      <c r="AH5" s="7"/>
      <c r="AI5" s="7"/>
      <c r="AJ5" s="7"/>
      <c r="AK5" s="7"/>
      <c r="AL5" s="9"/>
    </row>
    <row r="6" spans="1:40" ht="14.45" x14ac:dyDescent="0.3">
      <c r="B6" s="22" t="s">
        <v>86</v>
      </c>
      <c r="C6" s="33"/>
      <c r="D6" s="32"/>
      <c r="E6" s="32"/>
      <c r="F6" s="32"/>
      <c r="G6" s="32"/>
      <c r="H6" s="32"/>
      <c r="I6" s="44">
        <f>(1/12)*((C6/2)+D5+E5+F5+G5+H5+I5+J5+K5+L5+M5+N5+(O5/2))</f>
        <v>83.25</v>
      </c>
      <c r="J6" s="44">
        <f t="shared" ref="J6:T6" si="0">(1/12)*((D6/2)+E5+F5+G5+H5+I5+J5+K5+L5+M5+N5+O5+(P5/2))</f>
        <v>85.833333333333329</v>
      </c>
      <c r="K6" s="44">
        <f t="shared" si="0"/>
        <v>87.625</v>
      </c>
      <c r="L6" s="44">
        <f t="shared" si="0"/>
        <v>90.458333333333329</v>
      </c>
      <c r="M6" s="44">
        <f t="shared" si="0"/>
        <v>93.958333333333329</v>
      </c>
      <c r="N6" s="48">
        <f t="shared" si="0"/>
        <v>98.708333333333329</v>
      </c>
      <c r="O6" s="46">
        <f t="shared" si="0"/>
        <v>107.55208333333333</v>
      </c>
      <c r="P6" s="44">
        <f t="shared" si="0"/>
        <v>112.4097222222222</v>
      </c>
      <c r="Q6" s="44">
        <f t="shared" si="0"/>
        <v>116.734375</v>
      </c>
      <c r="R6" s="44">
        <f t="shared" si="0"/>
        <v>120.5190972222222</v>
      </c>
      <c r="S6" s="44">
        <f t="shared" si="0"/>
        <v>124.4565972222222</v>
      </c>
      <c r="T6" s="44">
        <f t="shared" si="0"/>
        <v>127.77951388888887</v>
      </c>
      <c r="U6" s="32"/>
      <c r="V6" s="32"/>
      <c r="W6" s="7"/>
      <c r="X6" s="32"/>
      <c r="Y6" s="32"/>
      <c r="Z6" s="34"/>
      <c r="AA6" s="33"/>
      <c r="AB6" s="32"/>
      <c r="AC6" s="32"/>
      <c r="AD6" s="32"/>
      <c r="AE6" s="32"/>
      <c r="AF6" s="7"/>
      <c r="AG6" s="32"/>
      <c r="AH6" s="32"/>
      <c r="AI6" s="32"/>
      <c r="AJ6" s="32"/>
      <c r="AK6" s="32"/>
      <c r="AL6" s="42"/>
      <c r="AM6" s="43"/>
    </row>
    <row r="7" spans="1:40" ht="14.45" x14ac:dyDescent="0.3">
      <c r="B7" s="22" t="s">
        <v>87</v>
      </c>
      <c r="C7" s="37">
        <v>0.69</v>
      </c>
      <c r="D7" s="36">
        <v>0.71</v>
      </c>
      <c r="E7" s="36">
        <v>0.8</v>
      </c>
      <c r="F7" s="36">
        <v>1.05</v>
      </c>
      <c r="G7" s="36">
        <v>1.18</v>
      </c>
      <c r="H7" s="36">
        <v>1.37</v>
      </c>
      <c r="I7" s="32">
        <f>ROUND(I5/I6,2)</f>
        <v>1.23</v>
      </c>
      <c r="J7" s="32">
        <f t="shared" ref="J7:T7" si="1">ROUND(J5/J6,2)</f>
        <v>1.17</v>
      </c>
      <c r="K7" s="32">
        <f t="shared" si="1"/>
        <v>1.19</v>
      </c>
      <c r="L7" s="32">
        <f t="shared" si="1"/>
        <v>1.1299999999999999</v>
      </c>
      <c r="M7" s="32">
        <f t="shared" si="1"/>
        <v>0.92</v>
      </c>
      <c r="N7" s="34">
        <f t="shared" si="1"/>
        <v>0.83</v>
      </c>
      <c r="O7" s="33">
        <f t="shared" si="1"/>
        <v>0.69</v>
      </c>
      <c r="P7" s="32">
        <f t="shared" si="1"/>
        <v>0.71</v>
      </c>
      <c r="Q7" s="32">
        <f t="shared" si="1"/>
        <v>0.8</v>
      </c>
      <c r="R7" s="32">
        <f t="shared" si="1"/>
        <v>1.05</v>
      </c>
      <c r="S7" s="32">
        <f t="shared" si="1"/>
        <v>1.18</v>
      </c>
      <c r="T7" s="32">
        <f t="shared" si="1"/>
        <v>1.37</v>
      </c>
      <c r="U7" s="36">
        <v>1.23</v>
      </c>
      <c r="V7" s="36">
        <v>1.17</v>
      </c>
      <c r="W7" s="36">
        <v>1.19</v>
      </c>
      <c r="X7" s="36">
        <v>1.1299999999999999</v>
      </c>
      <c r="Y7" s="36">
        <v>0.92</v>
      </c>
      <c r="Z7" s="35">
        <v>0.83</v>
      </c>
      <c r="AA7" s="33">
        <v>0.69</v>
      </c>
      <c r="AB7" s="7">
        <v>0.71</v>
      </c>
      <c r="AC7" s="32">
        <v>0.8</v>
      </c>
      <c r="AD7" s="32">
        <v>1.05</v>
      </c>
      <c r="AE7" s="32">
        <v>1.18</v>
      </c>
      <c r="AF7" s="32">
        <v>1.37</v>
      </c>
      <c r="AG7" s="32">
        <v>1.23</v>
      </c>
      <c r="AH7" s="32">
        <v>1.17</v>
      </c>
      <c r="AI7" s="32">
        <v>1.19</v>
      </c>
      <c r="AJ7" s="7">
        <v>1.1299999999999999</v>
      </c>
      <c r="AK7" s="32">
        <v>0.92</v>
      </c>
      <c r="AL7" s="9">
        <v>0.83</v>
      </c>
    </row>
    <row r="8" spans="1:40" x14ac:dyDescent="0.25">
      <c r="B8" s="22" t="s">
        <v>88</v>
      </c>
      <c r="C8" s="46">
        <f t="shared" ref="C8:G8" si="2">D8-$AN$13</f>
        <v>56.599800000000016</v>
      </c>
      <c r="D8" s="44">
        <f t="shared" si="2"/>
        <v>61.041500000000013</v>
      </c>
      <c r="E8" s="44">
        <f t="shared" si="2"/>
        <v>65.483200000000011</v>
      </c>
      <c r="F8" s="44">
        <f t="shared" si="2"/>
        <v>69.924900000000008</v>
      </c>
      <c r="G8" s="44">
        <f t="shared" si="2"/>
        <v>74.366600000000005</v>
      </c>
      <c r="H8" s="44">
        <f>I8-$AN$13</f>
        <v>78.808300000000003</v>
      </c>
      <c r="I8" s="44">
        <f>I6</f>
        <v>83.25</v>
      </c>
      <c r="J8" s="44">
        <f t="shared" ref="J8:T8" si="3">J6</f>
        <v>85.833333333333329</v>
      </c>
      <c r="K8" s="44">
        <f t="shared" si="3"/>
        <v>87.625</v>
      </c>
      <c r="L8" s="44">
        <f t="shared" si="3"/>
        <v>90.458333333333329</v>
      </c>
      <c r="M8" s="44">
        <f t="shared" si="3"/>
        <v>93.958333333333329</v>
      </c>
      <c r="N8" s="48">
        <f t="shared" si="3"/>
        <v>98.708333333333329</v>
      </c>
      <c r="O8" s="46">
        <f t="shared" si="3"/>
        <v>107.55208333333333</v>
      </c>
      <c r="P8" s="44">
        <f t="shared" si="3"/>
        <v>112.4097222222222</v>
      </c>
      <c r="Q8" s="44">
        <f t="shared" si="3"/>
        <v>116.734375</v>
      </c>
      <c r="R8" s="44">
        <f t="shared" si="3"/>
        <v>120.5190972222222</v>
      </c>
      <c r="S8" s="44">
        <f t="shared" si="3"/>
        <v>124.4565972222222</v>
      </c>
      <c r="T8" s="44">
        <f t="shared" si="3"/>
        <v>127.77951388888887</v>
      </c>
      <c r="U8" s="44">
        <f>T8+$AN$13</f>
        <v>132.22121388888888</v>
      </c>
      <c r="V8" s="44">
        <f t="shared" ref="V8:AL8" si="4">U8+$AN$13</f>
        <v>136.66291388888888</v>
      </c>
      <c r="W8" s="44">
        <f t="shared" si="4"/>
        <v>141.10461388888888</v>
      </c>
      <c r="X8" s="44">
        <f t="shared" si="4"/>
        <v>145.54631388888887</v>
      </c>
      <c r="Y8" s="44">
        <f t="shared" si="4"/>
        <v>149.98801388888887</v>
      </c>
      <c r="Z8" s="48">
        <f t="shared" si="4"/>
        <v>154.42971388888887</v>
      </c>
      <c r="AA8" s="46">
        <f t="shared" si="4"/>
        <v>158.87141388888887</v>
      </c>
      <c r="AB8" s="44">
        <f t="shared" si="4"/>
        <v>163.31311388888886</v>
      </c>
      <c r="AC8" s="44">
        <f t="shared" si="4"/>
        <v>167.75481388888886</v>
      </c>
      <c r="AD8" s="44">
        <f t="shared" si="4"/>
        <v>172.19651388888886</v>
      </c>
      <c r="AE8" s="44">
        <f t="shared" si="4"/>
        <v>176.63821388888886</v>
      </c>
      <c r="AF8" s="44">
        <f t="shared" si="4"/>
        <v>181.07991388888885</v>
      </c>
      <c r="AG8" s="44">
        <f t="shared" si="4"/>
        <v>185.52161388888885</v>
      </c>
      <c r="AH8" s="44">
        <f t="shared" si="4"/>
        <v>189.96331388888885</v>
      </c>
      <c r="AI8" s="44">
        <f t="shared" si="4"/>
        <v>194.40501388888885</v>
      </c>
      <c r="AJ8" s="44">
        <f t="shared" si="4"/>
        <v>198.84671388888884</v>
      </c>
      <c r="AK8" s="44">
        <f t="shared" si="4"/>
        <v>203.28841388888884</v>
      </c>
      <c r="AL8" s="45">
        <f t="shared" si="4"/>
        <v>207.73011388888884</v>
      </c>
    </row>
    <row r="9" spans="1:40" ht="14.45" x14ac:dyDescent="0.3">
      <c r="A9" s="43"/>
      <c r="B9" s="22" t="s">
        <v>89</v>
      </c>
      <c r="C9" s="33">
        <f>C7*C8</f>
        <v>39.053862000000009</v>
      </c>
      <c r="D9" s="32">
        <f t="shared" ref="D9:AL9" si="5">D7*D8</f>
        <v>43.339465000000004</v>
      </c>
      <c r="E9" s="32">
        <f t="shared" si="5"/>
        <v>52.38656000000001</v>
      </c>
      <c r="F9" s="32">
        <f t="shared" si="5"/>
        <v>73.42114500000001</v>
      </c>
      <c r="G9" s="32">
        <f t="shared" si="5"/>
        <v>87.752588000000003</v>
      </c>
      <c r="H9" s="32">
        <f t="shared" si="5"/>
        <v>107.96737100000001</v>
      </c>
      <c r="I9" s="32">
        <f t="shared" si="5"/>
        <v>102.39749999999999</v>
      </c>
      <c r="J9" s="32">
        <f t="shared" si="5"/>
        <v>100.42499999999998</v>
      </c>
      <c r="K9" s="32">
        <f t="shared" si="5"/>
        <v>104.27374999999999</v>
      </c>
      <c r="L9" s="32">
        <f t="shared" si="5"/>
        <v>102.21791666666665</v>
      </c>
      <c r="M9" s="32">
        <f t="shared" si="5"/>
        <v>86.441666666666663</v>
      </c>
      <c r="N9" s="34">
        <f t="shared" si="5"/>
        <v>81.927916666666661</v>
      </c>
      <c r="O9" s="33">
        <f t="shared" si="5"/>
        <v>74.210937499999986</v>
      </c>
      <c r="P9" s="32">
        <f t="shared" si="5"/>
        <v>79.810902777777756</v>
      </c>
      <c r="Q9" s="32">
        <f t="shared" si="5"/>
        <v>93.387500000000003</v>
      </c>
      <c r="R9" s="32">
        <f t="shared" si="5"/>
        <v>126.54505208333332</v>
      </c>
      <c r="S9" s="32">
        <f t="shared" si="5"/>
        <v>146.8587847222222</v>
      </c>
      <c r="T9" s="32">
        <f t="shared" si="5"/>
        <v>175.05793402777778</v>
      </c>
      <c r="U9" s="32">
        <f t="shared" si="5"/>
        <v>162.63209308333333</v>
      </c>
      <c r="V9" s="32">
        <f t="shared" si="5"/>
        <v>159.89560924999998</v>
      </c>
      <c r="W9" s="32">
        <f t="shared" si="5"/>
        <v>167.91449052777776</v>
      </c>
      <c r="X9" s="32">
        <f t="shared" si="5"/>
        <v>164.46733469444442</v>
      </c>
      <c r="Y9" s="32">
        <f t="shared" si="5"/>
        <v>137.98897277777778</v>
      </c>
      <c r="Z9" s="34">
        <f t="shared" si="5"/>
        <v>128.17666252777775</v>
      </c>
      <c r="AA9" s="33">
        <f t="shared" si="5"/>
        <v>109.62127558333331</v>
      </c>
      <c r="AB9" s="32">
        <f t="shared" si="5"/>
        <v>115.95231086111109</v>
      </c>
      <c r="AC9" s="32">
        <f t="shared" si="5"/>
        <v>134.20385111111111</v>
      </c>
      <c r="AD9" s="32">
        <f t="shared" si="5"/>
        <v>180.80633958333331</v>
      </c>
      <c r="AE9" s="32">
        <f t="shared" si="5"/>
        <v>208.43309238888884</v>
      </c>
      <c r="AF9" s="32">
        <f t="shared" si="5"/>
        <v>248.07948202777774</v>
      </c>
      <c r="AG9" s="32">
        <f t="shared" si="5"/>
        <v>228.19158508333328</v>
      </c>
      <c r="AH9" s="32">
        <f t="shared" si="5"/>
        <v>222.25707724999995</v>
      </c>
      <c r="AI9" s="32">
        <f t="shared" si="5"/>
        <v>231.34196652777771</v>
      </c>
      <c r="AJ9" s="32">
        <f t="shared" si="5"/>
        <v>224.69678669444437</v>
      </c>
      <c r="AK9" s="32">
        <f t="shared" si="5"/>
        <v>187.02534077777773</v>
      </c>
      <c r="AL9" s="42">
        <f t="shared" si="5"/>
        <v>172.41599452777771</v>
      </c>
    </row>
    <row r="10" spans="1:40" thickBot="1" x14ac:dyDescent="0.35">
      <c r="B10" s="23" t="s">
        <v>90</v>
      </c>
      <c r="C10" s="26">
        <f>(C9-C5)/C5</f>
        <v>5.5509783783784038E-2</v>
      </c>
      <c r="D10" s="27">
        <f t="shared" ref="D10:Z10" si="6">(D9-D5)/D5</f>
        <v>-5.7837717391304257E-2</v>
      </c>
      <c r="E10" s="27">
        <f t="shared" si="6"/>
        <v>-0.19405292307692293</v>
      </c>
      <c r="F10" s="27">
        <f t="shared" si="6"/>
        <v>-3.3932302631578815E-2</v>
      </c>
      <c r="G10" s="27">
        <f t="shared" si="6"/>
        <v>-7.6288547368421028E-2</v>
      </c>
      <c r="H10" s="27">
        <f t="shared" si="6"/>
        <v>3.8147798076923214E-2</v>
      </c>
      <c r="I10" s="27">
        <f t="shared" si="6"/>
        <v>3.8970588235293503E-3</v>
      </c>
      <c r="J10" s="27">
        <f t="shared" si="6"/>
        <v>4.2499999999998294E-3</v>
      </c>
      <c r="K10" s="27">
        <f t="shared" si="6"/>
        <v>2.6322115384614674E-3</v>
      </c>
      <c r="L10" s="27">
        <f t="shared" si="6"/>
        <v>2.1364379084966001E-3</v>
      </c>
      <c r="M10" s="27">
        <f t="shared" si="6"/>
        <v>5.1356589147286379E-3</v>
      </c>
      <c r="N10" s="31">
        <f t="shared" si="6"/>
        <v>-8.7906504065047349E-4</v>
      </c>
      <c r="O10" s="26">
        <f t="shared" si="6"/>
        <v>2.8505067567565646E-3</v>
      </c>
      <c r="P10" s="27">
        <f t="shared" si="6"/>
        <v>-2.3637152777780555E-3</v>
      </c>
      <c r="Q10" s="27">
        <f t="shared" si="6"/>
        <v>4.166666666666697E-3</v>
      </c>
      <c r="R10" s="27">
        <f t="shared" si="6"/>
        <v>-3.5822670603675808E-3</v>
      </c>
      <c r="S10" s="27">
        <f t="shared" si="6"/>
        <v>-9.6064814814832177E-4</v>
      </c>
      <c r="T10" s="27">
        <f t="shared" si="6"/>
        <v>3.3105158730157717E-4</v>
      </c>
      <c r="U10" s="27">
        <f t="shared" si="6"/>
        <v>2.9317044831223611E-2</v>
      </c>
      <c r="V10" s="27">
        <f t="shared" si="6"/>
        <v>2.4971854166666529E-2</v>
      </c>
      <c r="W10" s="27">
        <f t="shared" si="6"/>
        <v>9.035383459595947E-2</v>
      </c>
      <c r="X10" s="27">
        <f t="shared" si="6"/>
        <v>0.19179228039452476</v>
      </c>
      <c r="Y10" s="27">
        <f t="shared" si="6"/>
        <v>0.10391178222222221</v>
      </c>
      <c r="Z10" s="31">
        <f t="shared" si="6"/>
        <v>0.1243566888401557</v>
      </c>
      <c r="AA10" s="14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1"/>
    </row>
    <row r="11" spans="1:40" ht="15.75" thickBot="1" x14ac:dyDescent="0.3"/>
    <row r="12" spans="1:40" ht="15.75" thickBot="1" x14ac:dyDescent="0.3">
      <c r="AN12" s="16" t="s">
        <v>91</v>
      </c>
    </row>
    <row r="13" spans="1:40" ht="15.75" thickBot="1" x14ac:dyDescent="0.3">
      <c r="AN13" s="16">
        <f>4.4417</f>
        <v>4.4417</v>
      </c>
    </row>
  </sheetData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AN13"/>
  <sheetViews>
    <sheetView workbookViewId="0"/>
  </sheetViews>
  <sheetFormatPr baseColWidth="10" defaultRowHeight="15" x14ac:dyDescent="0.25"/>
  <cols>
    <col min="2" max="2" width="14.85546875" bestFit="1" customWidth="1"/>
    <col min="3" max="11" width="6.42578125" bestFit="1" customWidth="1"/>
    <col min="12" max="14" width="7.42578125" bestFit="1" customWidth="1"/>
    <col min="15" max="23" width="6.42578125" bestFit="1" customWidth="1"/>
    <col min="24" max="26" width="7.42578125" bestFit="1" customWidth="1"/>
    <col min="27" max="27" width="6.7109375" customWidth="1"/>
    <col min="28" max="28" width="6.5703125" customWidth="1"/>
    <col min="29" max="29" width="6.7109375" customWidth="1"/>
    <col min="30" max="30" width="6.85546875" customWidth="1"/>
    <col min="31" max="31" width="6.7109375" customWidth="1"/>
    <col min="32" max="32" width="6.28515625" customWidth="1"/>
    <col min="33" max="33" width="6.42578125" customWidth="1"/>
    <col min="34" max="34" width="6.5703125" customWidth="1"/>
    <col min="35" max="35" width="6.85546875" customWidth="1"/>
    <col min="36" max="38" width="6.7109375" bestFit="1" customWidth="1"/>
  </cols>
  <sheetData>
    <row r="2" spans="2:40" ht="14.45" x14ac:dyDescent="0.3">
      <c r="B2" s="2"/>
      <c r="C2" s="7" t="s">
        <v>26</v>
      </c>
      <c r="D2" s="7" t="s">
        <v>27</v>
      </c>
      <c r="E2" s="7" t="s">
        <v>28</v>
      </c>
      <c r="F2" s="7" t="s">
        <v>29</v>
      </c>
      <c r="G2" s="7" t="s">
        <v>30</v>
      </c>
      <c r="H2" s="7" t="s">
        <v>31</v>
      </c>
      <c r="I2" s="7" t="s">
        <v>32</v>
      </c>
      <c r="J2" s="7" t="s">
        <v>33</v>
      </c>
      <c r="K2" s="7" t="s">
        <v>34</v>
      </c>
      <c r="L2" s="7" t="s">
        <v>35</v>
      </c>
      <c r="M2" s="7" t="s">
        <v>36</v>
      </c>
      <c r="N2" s="7" t="s">
        <v>37</v>
      </c>
      <c r="O2" s="7" t="s">
        <v>38</v>
      </c>
      <c r="P2" s="7" t="s">
        <v>39</v>
      </c>
      <c r="Q2" s="7" t="s">
        <v>40</v>
      </c>
      <c r="R2" s="7" t="s">
        <v>41</v>
      </c>
      <c r="S2" s="7" t="s">
        <v>42</v>
      </c>
      <c r="T2" s="7" t="s">
        <v>43</v>
      </c>
      <c r="U2" s="7" t="s">
        <v>44</v>
      </c>
      <c r="V2" s="7" t="s">
        <v>45</v>
      </c>
      <c r="W2" s="7" t="s">
        <v>46</v>
      </c>
      <c r="X2" s="7" t="s">
        <v>47</v>
      </c>
      <c r="Y2" s="7" t="s">
        <v>48</v>
      </c>
      <c r="Z2" s="7" t="s">
        <v>49</v>
      </c>
      <c r="AA2" s="7" t="s">
        <v>50</v>
      </c>
      <c r="AB2" s="7" t="s">
        <v>51</v>
      </c>
      <c r="AC2" s="7" t="s">
        <v>52</v>
      </c>
      <c r="AD2" s="7" t="s">
        <v>53</v>
      </c>
      <c r="AE2" s="7" t="s">
        <v>54</v>
      </c>
      <c r="AF2" s="7" t="s">
        <v>55</v>
      </c>
      <c r="AG2" s="7" t="s">
        <v>56</v>
      </c>
      <c r="AH2" s="7" t="s">
        <v>57</v>
      </c>
      <c r="AI2" s="7" t="s">
        <v>58</v>
      </c>
      <c r="AJ2" s="7" t="s">
        <v>59</v>
      </c>
      <c r="AK2" s="7" t="s">
        <v>60</v>
      </c>
      <c r="AL2" s="7" t="s">
        <v>61</v>
      </c>
    </row>
    <row r="3" spans="2:40" thickBot="1" x14ac:dyDescent="0.35">
      <c r="B3" s="2"/>
      <c r="C3" s="8" t="s">
        <v>62</v>
      </c>
      <c r="D3" s="8" t="s">
        <v>63</v>
      </c>
      <c r="E3" s="8" t="s">
        <v>64</v>
      </c>
      <c r="F3" s="8" t="s">
        <v>65</v>
      </c>
      <c r="G3" s="8" t="s">
        <v>66</v>
      </c>
      <c r="H3" s="8" t="s">
        <v>67</v>
      </c>
      <c r="I3" s="8" t="s">
        <v>68</v>
      </c>
      <c r="J3" s="8" t="s">
        <v>69</v>
      </c>
      <c r="K3" s="8" t="s">
        <v>70</v>
      </c>
      <c r="L3" s="8" t="s">
        <v>71</v>
      </c>
      <c r="M3" s="8" t="s">
        <v>72</v>
      </c>
      <c r="N3" s="8" t="s">
        <v>73</v>
      </c>
      <c r="O3" s="8" t="s">
        <v>62</v>
      </c>
      <c r="P3" s="8" t="s">
        <v>63</v>
      </c>
      <c r="Q3" s="8" t="s">
        <v>64</v>
      </c>
      <c r="R3" s="8" t="s">
        <v>65</v>
      </c>
      <c r="S3" s="8" t="s">
        <v>66</v>
      </c>
      <c r="T3" s="8" t="s">
        <v>67</v>
      </c>
      <c r="U3" s="8" t="s">
        <v>68</v>
      </c>
      <c r="V3" s="8" t="s">
        <v>69</v>
      </c>
      <c r="W3" s="8" t="s">
        <v>70</v>
      </c>
      <c r="X3" s="8" t="s">
        <v>71</v>
      </c>
      <c r="Y3" s="8" t="s">
        <v>72</v>
      </c>
      <c r="Z3" s="8" t="s">
        <v>73</v>
      </c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</row>
    <row r="4" spans="2:40" ht="14.45" x14ac:dyDescent="0.3">
      <c r="B4" s="20" t="s">
        <v>0</v>
      </c>
      <c r="C4" s="4" t="s">
        <v>1</v>
      </c>
      <c r="D4" s="3" t="s">
        <v>2</v>
      </c>
      <c r="E4" s="3" t="s">
        <v>3</v>
      </c>
      <c r="F4" s="3" t="s">
        <v>4</v>
      </c>
      <c r="G4" s="3" t="s">
        <v>5</v>
      </c>
      <c r="H4" s="3" t="s">
        <v>6</v>
      </c>
      <c r="I4" s="3" t="s">
        <v>7</v>
      </c>
      <c r="J4" s="3" t="s">
        <v>8</v>
      </c>
      <c r="K4" s="3" t="s">
        <v>9</v>
      </c>
      <c r="L4" s="3" t="s">
        <v>10</v>
      </c>
      <c r="M4" s="3" t="s">
        <v>11</v>
      </c>
      <c r="N4" s="28" t="s">
        <v>12</v>
      </c>
      <c r="O4" s="4" t="s">
        <v>14</v>
      </c>
      <c r="P4" s="3" t="s">
        <v>15</v>
      </c>
      <c r="Q4" s="3" t="s">
        <v>16</v>
      </c>
      <c r="R4" s="3" t="s">
        <v>17</v>
      </c>
      <c r="S4" s="3" t="s">
        <v>18</v>
      </c>
      <c r="T4" s="3" t="s">
        <v>19</v>
      </c>
      <c r="U4" s="3" t="s">
        <v>20</v>
      </c>
      <c r="V4" s="3" t="s">
        <v>21</v>
      </c>
      <c r="W4" s="3" t="s">
        <v>22</v>
      </c>
      <c r="X4" s="3" t="s">
        <v>23</v>
      </c>
      <c r="Y4" s="3" t="s">
        <v>24</v>
      </c>
      <c r="Z4" s="28" t="s">
        <v>25</v>
      </c>
      <c r="AA4" s="17" t="s">
        <v>74</v>
      </c>
      <c r="AB4" s="18" t="s">
        <v>75</v>
      </c>
      <c r="AC4" s="18" t="s">
        <v>76</v>
      </c>
      <c r="AD4" s="18" t="s">
        <v>77</v>
      </c>
      <c r="AE4" s="18" t="s">
        <v>78</v>
      </c>
      <c r="AF4" s="18" t="s">
        <v>79</v>
      </c>
      <c r="AG4" s="18" t="s">
        <v>80</v>
      </c>
      <c r="AH4" s="18" t="s">
        <v>81</v>
      </c>
      <c r="AI4" s="18" t="s">
        <v>82</v>
      </c>
      <c r="AJ4" s="18" t="s">
        <v>83</v>
      </c>
      <c r="AK4" s="18" t="s">
        <v>84</v>
      </c>
      <c r="AL4" s="19" t="s">
        <v>85</v>
      </c>
    </row>
    <row r="5" spans="2:40" ht="14.45" x14ac:dyDescent="0.3">
      <c r="B5" s="21" t="s">
        <v>13</v>
      </c>
      <c r="C5" s="12">
        <v>19</v>
      </c>
      <c r="D5" s="6">
        <v>26</v>
      </c>
      <c r="E5" s="6">
        <v>38</v>
      </c>
      <c r="F5" s="6">
        <v>46</v>
      </c>
      <c r="G5" s="6">
        <v>60</v>
      </c>
      <c r="H5" s="6">
        <v>67</v>
      </c>
      <c r="I5" s="6">
        <v>68</v>
      </c>
      <c r="J5" s="6">
        <v>68</v>
      </c>
      <c r="K5" s="6">
        <v>72</v>
      </c>
      <c r="L5" s="6">
        <v>72</v>
      </c>
      <c r="M5" s="6">
        <v>61</v>
      </c>
      <c r="N5" s="29">
        <v>60</v>
      </c>
      <c r="O5" s="12">
        <v>55</v>
      </c>
      <c r="P5" s="6">
        <v>60</v>
      </c>
      <c r="Q5" s="6">
        <v>71</v>
      </c>
      <c r="R5" s="6">
        <v>97</v>
      </c>
      <c r="S5" s="6">
        <v>114</v>
      </c>
      <c r="T5" s="6">
        <v>137</v>
      </c>
      <c r="U5" s="6">
        <v>124</v>
      </c>
      <c r="V5" s="6">
        <v>124</v>
      </c>
      <c r="W5" s="6">
        <v>123</v>
      </c>
      <c r="X5" s="6">
        <v>111</v>
      </c>
      <c r="Y5" s="6">
        <v>102</v>
      </c>
      <c r="Z5" s="29">
        <v>93</v>
      </c>
      <c r="AA5" s="13"/>
      <c r="AB5" s="7"/>
      <c r="AC5" s="7"/>
      <c r="AD5" s="7"/>
      <c r="AE5" s="7"/>
      <c r="AF5" s="7"/>
      <c r="AG5" s="7"/>
      <c r="AH5" s="7"/>
      <c r="AI5" s="7"/>
      <c r="AJ5" s="7"/>
      <c r="AK5" s="7"/>
      <c r="AL5" s="9"/>
    </row>
    <row r="6" spans="2:40" ht="14.45" x14ac:dyDescent="0.3">
      <c r="B6" s="22" t="s">
        <v>86</v>
      </c>
      <c r="C6" s="33"/>
      <c r="D6" s="32"/>
      <c r="E6" s="32"/>
      <c r="F6" s="32"/>
      <c r="G6" s="32"/>
      <c r="H6" s="32"/>
      <c r="I6" s="44">
        <f>(1/12)*((C5/2)+D5+E5+F5+G5+H5+I5+J5+K5+L5+M5+N5+(O5/2))</f>
        <v>56.25</v>
      </c>
      <c r="J6" s="44">
        <f t="shared" ref="J6:T6" si="0">(1/12)*((D5/2)+E5+F5+G5+H5+I5+J5+K5+L5+M5+N5+O5+(P5/2))</f>
        <v>59.166666666666664</v>
      </c>
      <c r="K6" s="44">
        <f t="shared" si="0"/>
        <v>61.958333333333329</v>
      </c>
      <c r="L6" s="44">
        <f t="shared" si="0"/>
        <v>65.458333333333329</v>
      </c>
      <c r="M6" s="44">
        <f t="shared" si="0"/>
        <v>69.833333333333329</v>
      </c>
      <c r="N6" s="48">
        <f t="shared" si="0"/>
        <v>75</v>
      </c>
      <c r="O6" s="46">
        <f t="shared" si="0"/>
        <v>80.25</v>
      </c>
      <c r="P6" s="44">
        <f t="shared" si="0"/>
        <v>84.916666666666657</v>
      </c>
      <c r="Q6" s="44">
        <f t="shared" si="0"/>
        <v>89.375</v>
      </c>
      <c r="R6" s="44">
        <f t="shared" si="0"/>
        <v>93.125</v>
      </c>
      <c r="S6" s="44">
        <f t="shared" si="0"/>
        <v>96.458333333333329</v>
      </c>
      <c r="T6" s="44">
        <f t="shared" si="0"/>
        <v>99.541666666666657</v>
      </c>
      <c r="U6" s="32"/>
      <c r="V6" s="32"/>
      <c r="W6" s="7"/>
      <c r="X6" s="32"/>
      <c r="Y6" s="32"/>
      <c r="Z6" s="34"/>
      <c r="AA6" s="33"/>
      <c r="AB6" s="32"/>
      <c r="AC6" s="32"/>
      <c r="AD6" s="32"/>
      <c r="AE6" s="32"/>
      <c r="AF6" s="7"/>
      <c r="AG6" s="32"/>
      <c r="AH6" s="32"/>
      <c r="AI6" s="32"/>
      <c r="AJ6" s="32"/>
      <c r="AK6" s="32"/>
      <c r="AL6" s="42"/>
    </row>
    <row r="7" spans="2:40" ht="14.45" x14ac:dyDescent="0.3">
      <c r="B7" s="22" t="s">
        <v>87</v>
      </c>
      <c r="C7" s="37">
        <v>0.69</v>
      </c>
      <c r="D7" s="36">
        <v>0.71</v>
      </c>
      <c r="E7" s="36">
        <v>0.79</v>
      </c>
      <c r="F7" s="36">
        <v>1.04</v>
      </c>
      <c r="G7" s="36">
        <v>1.18</v>
      </c>
      <c r="H7" s="36">
        <v>1.38</v>
      </c>
      <c r="I7" s="32">
        <f>ROUND(I5/I6,2)</f>
        <v>1.21</v>
      </c>
      <c r="J7" s="32">
        <f t="shared" ref="J7:T7" si="1">ROUND(J5/J6,2)</f>
        <v>1.1499999999999999</v>
      </c>
      <c r="K7" s="32">
        <f t="shared" si="1"/>
        <v>1.1599999999999999</v>
      </c>
      <c r="L7" s="32">
        <f t="shared" si="1"/>
        <v>1.1000000000000001</v>
      </c>
      <c r="M7" s="32">
        <f t="shared" si="1"/>
        <v>0.87</v>
      </c>
      <c r="N7" s="34">
        <f t="shared" si="1"/>
        <v>0.8</v>
      </c>
      <c r="O7" s="33">
        <f t="shared" si="1"/>
        <v>0.69</v>
      </c>
      <c r="P7" s="32">
        <f t="shared" si="1"/>
        <v>0.71</v>
      </c>
      <c r="Q7" s="32">
        <f t="shared" si="1"/>
        <v>0.79</v>
      </c>
      <c r="R7" s="32">
        <f t="shared" si="1"/>
        <v>1.04</v>
      </c>
      <c r="S7" s="32">
        <f t="shared" si="1"/>
        <v>1.18</v>
      </c>
      <c r="T7" s="32">
        <f t="shared" si="1"/>
        <v>1.38</v>
      </c>
      <c r="U7" s="36">
        <v>1.21</v>
      </c>
      <c r="V7" s="36">
        <v>1.1499999999999999</v>
      </c>
      <c r="W7" s="36">
        <v>1.1599999999999999</v>
      </c>
      <c r="X7" s="36">
        <v>1.1000000000000001</v>
      </c>
      <c r="Y7" s="36">
        <v>0.87</v>
      </c>
      <c r="Z7" s="35">
        <v>0.8</v>
      </c>
      <c r="AA7" s="33">
        <v>0.69</v>
      </c>
      <c r="AB7" s="7">
        <v>0.71</v>
      </c>
      <c r="AC7" s="32">
        <v>0.79</v>
      </c>
      <c r="AD7" s="32">
        <v>1.04</v>
      </c>
      <c r="AE7" s="32">
        <v>1.18</v>
      </c>
      <c r="AF7" s="32">
        <v>1.38</v>
      </c>
      <c r="AG7" s="32">
        <v>1.21</v>
      </c>
      <c r="AH7" s="32">
        <v>1.1499999999999999</v>
      </c>
      <c r="AI7" s="32">
        <v>1.1599999999999999</v>
      </c>
      <c r="AJ7" s="7">
        <v>1.1000000000000001</v>
      </c>
      <c r="AK7" s="32">
        <v>0.87</v>
      </c>
      <c r="AL7" s="9">
        <v>0.8</v>
      </c>
    </row>
    <row r="8" spans="2:40" x14ac:dyDescent="0.25">
      <c r="B8" s="22" t="s">
        <v>88</v>
      </c>
      <c r="C8" s="46">
        <f>D8-$AN$13</f>
        <v>31.073399999999992</v>
      </c>
      <c r="D8" s="44">
        <f t="shared" ref="D8:G8" si="2">E8-$AN$13</f>
        <v>35.269499999999994</v>
      </c>
      <c r="E8" s="44">
        <f t="shared" si="2"/>
        <v>39.465599999999995</v>
      </c>
      <c r="F8" s="44">
        <f t="shared" si="2"/>
        <v>43.661699999999996</v>
      </c>
      <c r="G8" s="44">
        <f t="shared" si="2"/>
        <v>47.857799999999997</v>
      </c>
      <c r="H8" s="44">
        <f>I8-$AN$13</f>
        <v>52.053899999999999</v>
      </c>
      <c r="I8" s="44">
        <f>I6</f>
        <v>56.25</v>
      </c>
      <c r="J8" s="44">
        <f t="shared" ref="J8:T8" si="3">J6</f>
        <v>59.166666666666664</v>
      </c>
      <c r="K8" s="44">
        <f t="shared" si="3"/>
        <v>61.958333333333329</v>
      </c>
      <c r="L8" s="44">
        <f t="shared" si="3"/>
        <v>65.458333333333329</v>
      </c>
      <c r="M8" s="44">
        <f t="shared" si="3"/>
        <v>69.833333333333329</v>
      </c>
      <c r="N8" s="48">
        <f t="shared" si="3"/>
        <v>75</v>
      </c>
      <c r="O8" s="46">
        <f t="shared" si="3"/>
        <v>80.25</v>
      </c>
      <c r="P8" s="44">
        <f t="shared" si="3"/>
        <v>84.916666666666657</v>
      </c>
      <c r="Q8" s="44">
        <f t="shared" si="3"/>
        <v>89.375</v>
      </c>
      <c r="R8" s="44">
        <f t="shared" si="3"/>
        <v>93.125</v>
      </c>
      <c r="S8" s="44">
        <f t="shared" si="3"/>
        <v>96.458333333333329</v>
      </c>
      <c r="T8" s="44">
        <f t="shared" si="3"/>
        <v>99.541666666666657</v>
      </c>
      <c r="U8" s="44">
        <f>T8+AN13</f>
        <v>103.73776666666666</v>
      </c>
      <c r="V8" s="44">
        <f t="shared" ref="V8:AL8" si="4">U8+AO13</f>
        <v>103.73776666666666</v>
      </c>
      <c r="W8" s="44">
        <f t="shared" si="4"/>
        <v>103.73776666666666</v>
      </c>
      <c r="X8" s="44">
        <f t="shared" si="4"/>
        <v>103.73776666666666</v>
      </c>
      <c r="Y8" s="44">
        <f t="shared" si="4"/>
        <v>103.73776666666666</v>
      </c>
      <c r="Z8" s="48">
        <f t="shared" si="4"/>
        <v>103.73776666666666</v>
      </c>
      <c r="AA8" s="46">
        <f t="shared" si="4"/>
        <v>103.73776666666666</v>
      </c>
      <c r="AB8" s="44">
        <f t="shared" si="4"/>
        <v>103.73776666666666</v>
      </c>
      <c r="AC8" s="44">
        <f t="shared" si="4"/>
        <v>103.73776666666666</v>
      </c>
      <c r="AD8" s="44">
        <f t="shared" si="4"/>
        <v>103.73776666666666</v>
      </c>
      <c r="AE8" s="44">
        <f t="shared" si="4"/>
        <v>103.73776666666666</v>
      </c>
      <c r="AF8" s="44">
        <f t="shared" si="4"/>
        <v>103.73776666666666</v>
      </c>
      <c r="AG8" s="44">
        <f t="shared" si="4"/>
        <v>103.73776666666666</v>
      </c>
      <c r="AH8" s="44">
        <f t="shared" si="4"/>
        <v>103.73776666666666</v>
      </c>
      <c r="AI8" s="44">
        <f t="shared" si="4"/>
        <v>103.73776666666666</v>
      </c>
      <c r="AJ8" s="44">
        <f t="shared" si="4"/>
        <v>103.73776666666666</v>
      </c>
      <c r="AK8" s="44">
        <f t="shared" si="4"/>
        <v>103.73776666666666</v>
      </c>
      <c r="AL8" s="45">
        <f t="shared" si="4"/>
        <v>103.73776666666666</v>
      </c>
    </row>
    <row r="9" spans="2:40" ht="14.45" x14ac:dyDescent="0.3">
      <c r="B9" s="22" t="s">
        <v>89</v>
      </c>
      <c r="C9" s="33">
        <f>C7*C8</f>
        <v>21.440645999999994</v>
      </c>
      <c r="D9" s="32">
        <f t="shared" ref="D9:AK9" si="5">D7*D8</f>
        <v>25.041344999999993</v>
      </c>
      <c r="E9" s="32">
        <f t="shared" si="5"/>
        <v>31.177823999999998</v>
      </c>
      <c r="F9" s="32">
        <f t="shared" si="5"/>
        <v>45.408167999999996</v>
      </c>
      <c r="G9" s="32">
        <f t="shared" si="5"/>
        <v>56.472203999999991</v>
      </c>
      <c r="H9" s="32">
        <f t="shared" si="5"/>
        <v>71.834381999999991</v>
      </c>
      <c r="I9" s="32">
        <f t="shared" si="5"/>
        <v>68.0625</v>
      </c>
      <c r="J9" s="32">
        <f t="shared" si="5"/>
        <v>68.041666666666657</v>
      </c>
      <c r="K9" s="32">
        <f t="shared" si="5"/>
        <v>71.871666666666655</v>
      </c>
      <c r="L9" s="32">
        <f t="shared" si="5"/>
        <v>72.004166666666663</v>
      </c>
      <c r="M9" s="32">
        <f t="shared" si="5"/>
        <v>60.754999999999995</v>
      </c>
      <c r="N9" s="34">
        <f t="shared" si="5"/>
        <v>60</v>
      </c>
      <c r="O9" s="33">
        <f t="shared" si="5"/>
        <v>55.372499999999995</v>
      </c>
      <c r="P9" s="32">
        <f t="shared" si="5"/>
        <v>60.290833333333325</v>
      </c>
      <c r="Q9" s="32">
        <f t="shared" si="5"/>
        <v>70.606250000000003</v>
      </c>
      <c r="R9" s="32">
        <f t="shared" si="5"/>
        <v>96.850000000000009</v>
      </c>
      <c r="S9" s="32">
        <f t="shared" si="5"/>
        <v>113.82083333333333</v>
      </c>
      <c r="T9" s="32">
        <f t="shared" si="5"/>
        <v>137.36749999999998</v>
      </c>
      <c r="U9" s="32">
        <f t="shared" si="5"/>
        <v>125.52269766666666</v>
      </c>
      <c r="V9" s="32">
        <f t="shared" si="5"/>
        <v>119.29843166666664</v>
      </c>
      <c r="W9" s="32">
        <f t="shared" si="5"/>
        <v>120.33580933333332</v>
      </c>
      <c r="X9" s="32">
        <f t="shared" si="5"/>
        <v>114.11154333333333</v>
      </c>
      <c r="Y9" s="32">
        <f t="shared" si="5"/>
        <v>90.251856999999987</v>
      </c>
      <c r="Z9" s="34">
        <f t="shared" si="5"/>
        <v>82.99021333333333</v>
      </c>
      <c r="AA9" s="33">
        <f t="shared" si="5"/>
        <v>71.579058999999987</v>
      </c>
      <c r="AB9" s="32">
        <f t="shared" si="5"/>
        <v>73.65381433333333</v>
      </c>
      <c r="AC9" s="32">
        <f t="shared" si="5"/>
        <v>81.952835666666658</v>
      </c>
      <c r="AD9" s="32">
        <f t="shared" si="5"/>
        <v>107.88727733333333</v>
      </c>
      <c r="AE9" s="32">
        <f t="shared" si="5"/>
        <v>122.41056466666664</v>
      </c>
      <c r="AF9" s="32">
        <f t="shared" si="5"/>
        <v>143.15811799999997</v>
      </c>
      <c r="AG9" s="32">
        <f t="shared" si="5"/>
        <v>125.52269766666666</v>
      </c>
      <c r="AH9" s="32">
        <f t="shared" si="5"/>
        <v>119.29843166666664</v>
      </c>
      <c r="AI9" s="32">
        <f t="shared" si="5"/>
        <v>120.33580933333332</v>
      </c>
      <c r="AJ9" s="32">
        <f t="shared" si="5"/>
        <v>114.11154333333333</v>
      </c>
      <c r="AK9" s="32">
        <f t="shared" si="5"/>
        <v>90.251856999999987</v>
      </c>
      <c r="AL9" s="42">
        <f>AL7*AL8</f>
        <v>82.99021333333333</v>
      </c>
    </row>
    <row r="10" spans="2:40" thickBot="1" x14ac:dyDescent="0.35">
      <c r="B10" s="23" t="s">
        <v>90</v>
      </c>
      <c r="C10" s="26">
        <f>(C9-C5)/C5</f>
        <v>0.12845505263157864</v>
      </c>
      <c r="D10" s="27">
        <f t="shared" ref="D10:Z10" si="6">(D9-D5)/D5</f>
        <v>-3.6871346153846435E-2</v>
      </c>
      <c r="E10" s="27">
        <f t="shared" si="6"/>
        <v>-0.17953094736842112</v>
      </c>
      <c r="F10" s="27">
        <f t="shared" si="6"/>
        <v>-1.286591304347834E-2</v>
      </c>
      <c r="G10" s="27">
        <f t="shared" si="6"/>
        <v>-5.8796600000000157E-2</v>
      </c>
      <c r="H10" s="27">
        <f t="shared" si="6"/>
        <v>7.2154955223880463E-2</v>
      </c>
      <c r="I10" s="27">
        <f t="shared" si="6"/>
        <v>9.1911764705882352E-4</v>
      </c>
      <c r="J10" s="27">
        <f t="shared" si="6"/>
        <v>6.1274509803907636E-4</v>
      </c>
      <c r="K10" s="27">
        <f t="shared" si="6"/>
        <v>-1.7824074074075627E-3</v>
      </c>
      <c r="L10" s="27">
        <f t="shared" si="6"/>
        <v>5.7870370370317735E-5</v>
      </c>
      <c r="M10" s="27">
        <f t="shared" si="6"/>
        <v>-4.0163934426230251E-3</v>
      </c>
      <c r="N10" s="31">
        <f t="shared" si="6"/>
        <v>0</v>
      </c>
      <c r="O10" s="26">
        <f t="shared" si="6"/>
        <v>6.7727272727271847E-3</v>
      </c>
      <c r="P10" s="27">
        <f t="shared" si="6"/>
        <v>4.8472222222220767E-3</v>
      </c>
      <c r="Q10" s="27">
        <f t="shared" si="6"/>
        <v>-5.5457746478872836E-3</v>
      </c>
      <c r="R10" s="27">
        <f t="shared" si="6"/>
        <v>-1.5463917525772317E-3</v>
      </c>
      <c r="S10" s="27">
        <f t="shared" si="6"/>
        <v>-1.5716374269006512E-3</v>
      </c>
      <c r="T10" s="27">
        <f t="shared" si="6"/>
        <v>2.6824817518246598E-3</v>
      </c>
      <c r="U10" s="27">
        <f t="shared" si="6"/>
        <v>1.2279819892473055E-2</v>
      </c>
      <c r="V10" s="27">
        <f t="shared" si="6"/>
        <v>-3.7915873655914159E-2</v>
      </c>
      <c r="W10" s="27">
        <f t="shared" si="6"/>
        <v>-2.166008672086735E-2</v>
      </c>
      <c r="X10" s="27">
        <f t="shared" si="6"/>
        <v>2.8031921921921891E-2</v>
      </c>
      <c r="Y10" s="27">
        <f t="shared" si="6"/>
        <v>-0.11517787254901973</v>
      </c>
      <c r="Z10" s="31">
        <f t="shared" si="6"/>
        <v>-0.10763211469534054</v>
      </c>
      <c r="AA10" s="14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1"/>
    </row>
    <row r="11" spans="2:40" ht="15.75" thickBot="1" x14ac:dyDescent="0.3"/>
    <row r="12" spans="2:40" ht="15.75" thickBot="1" x14ac:dyDescent="0.3">
      <c r="AN12" s="16" t="s">
        <v>91</v>
      </c>
    </row>
    <row r="13" spans="2:40" ht="15.75" thickBot="1" x14ac:dyDescent="0.3">
      <c r="AN13" s="16">
        <v>4.1961000000000004</v>
      </c>
    </row>
  </sheetData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AN13"/>
  <sheetViews>
    <sheetView workbookViewId="0"/>
  </sheetViews>
  <sheetFormatPr baseColWidth="10" defaultRowHeight="15" x14ac:dyDescent="0.25"/>
  <cols>
    <col min="2" max="2" width="14.85546875" bestFit="1" customWidth="1"/>
    <col min="3" max="11" width="6.42578125" bestFit="1" customWidth="1"/>
    <col min="12" max="14" width="7.42578125" bestFit="1" customWidth="1"/>
    <col min="15" max="23" width="6.42578125" bestFit="1" customWidth="1"/>
    <col min="24" max="26" width="7.42578125" bestFit="1" customWidth="1"/>
    <col min="27" max="35" width="5.7109375" bestFit="1" customWidth="1"/>
    <col min="36" max="38" width="6.7109375" bestFit="1" customWidth="1"/>
  </cols>
  <sheetData>
    <row r="2" spans="2:40" ht="14.45" x14ac:dyDescent="0.3">
      <c r="B2" s="2"/>
      <c r="C2" s="7" t="s">
        <v>26</v>
      </c>
      <c r="D2" s="7" t="s">
        <v>27</v>
      </c>
      <c r="E2" s="7" t="s">
        <v>28</v>
      </c>
      <c r="F2" s="7" t="s">
        <v>29</v>
      </c>
      <c r="G2" s="7" t="s">
        <v>30</v>
      </c>
      <c r="H2" s="7" t="s">
        <v>31</v>
      </c>
      <c r="I2" s="7" t="s">
        <v>32</v>
      </c>
      <c r="J2" s="7" t="s">
        <v>33</v>
      </c>
      <c r="K2" s="7" t="s">
        <v>34</v>
      </c>
      <c r="L2" s="7" t="s">
        <v>35</v>
      </c>
      <c r="M2" s="7" t="s">
        <v>36</v>
      </c>
      <c r="N2" s="7" t="s">
        <v>37</v>
      </c>
      <c r="O2" s="7" t="s">
        <v>38</v>
      </c>
      <c r="P2" s="7" t="s">
        <v>39</v>
      </c>
      <c r="Q2" s="7" t="s">
        <v>40</v>
      </c>
      <c r="R2" s="7" t="s">
        <v>41</v>
      </c>
      <c r="S2" s="7" t="s">
        <v>42</v>
      </c>
      <c r="T2" s="7" t="s">
        <v>43</v>
      </c>
      <c r="U2" s="7" t="s">
        <v>44</v>
      </c>
      <c r="V2" s="7" t="s">
        <v>45</v>
      </c>
      <c r="W2" s="7" t="s">
        <v>46</v>
      </c>
      <c r="X2" s="7" t="s">
        <v>47</v>
      </c>
      <c r="Y2" s="7" t="s">
        <v>48</v>
      </c>
      <c r="Z2" s="7" t="s">
        <v>49</v>
      </c>
      <c r="AA2" s="7" t="s">
        <v>50</v>
      </c>
      <c r="AB2" s="7" t="s">
        <v>51</v>
      </c>
      <c r="AC2" s="7" t="s">
        <v>52</v>
      </c>
      <c r="AD2" s="7" t="s">
        <v>53</v>
      </c>
      <c r="AE2" s="7" t="s">
        <v>54</v>
      </c>
      <c r="AF2" s="7" t="s">
        <v>55</v>
      </c>
      <c r="AG2" s="7" t="s">
        <v>56</v>
      </c>
      <c r="AH2" s="7" t="s">
        <v>57</v>
      </c>
      <c r="AI2" s="7" t="s">
        <v>58</v>
      </c>
      <c r="AJ2" s="7" t="s">
        <v>59</v>
      </c>
      <c r="AK2" s="7" t="s">
        <v>60</v>
      </c>
      <c r="AL2" s="7" t="s">
        <v>61</v>
      </c>
    </row>
    <row r="3" spans="2:40" thickBot="1" x14ac:dyDescent="0.35">
      <c r="B3" s="2"/>
      <c r="C3" s="8" t="s">
        <v>62</v>
      </c>
      <c r="D3" s="8" t="s">
        <v>63</v>
      </c>
      <c r="E3" s="8" t="s">
        <v>64</v>
      </c>
      <c r="F3" s="8" t="s">
        <v>65</v>
      </c>
      <c r="G3" s="8" t="s">
        <v>66</v>
      </c>
      <c r="H3" s="8" t="s">
        <v>67</v>
      </c>
      <c r="I3" s="8" t="s">
        <v>68</v>
      </c>
      <c r="J3" s="8" t="s">
        <v>69</v>
      </c>
      <c r="K3" s="8" t="s">
        <v>70</v>
      </c>
      <c r="L3" s="8" t="s">
        <v>71</v>
      </c>
      <c r="M3" s="8" t="s">
        <v>72</v>
      </c>
      <c r="N3" s="8" t="s">
        <v>73</v>
      </c>
      <c r="O3" s="8" t="s">
        <v>62</v>
      </c>
      <c r="P3" s="8" t="s">
        <v>63</v>
      </c>
      <c r="Q3" s="8" t="s">
        <v>64</v>
      </c>
      <c r="R3" s="8" t="s">
        <v>65</v>
      </c>
      <c r="S3" s="8" t="s">
        <v>66</v>
      </c>
      <c r="T3" s="8" t="s">
        <v>67</v>
      </c>
      <c r="U3" s="8" t="s">
        <v>68</v>
      </c>
      <c r="V3" s="8" t="s">
        <v>69</v>
      </c>
      <c r="W3" s="8" t="s">
        <v>70</v>
      </c>
      <c r="X3" s="8" t="s">
        <v>71</v>
      </c>
      <c r="Y3" s="8" t="s">
        <v>72</v>
      </c>
      <c r="Z3" s="8" t="s">
        <v>73</v>
      </c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</row>
    <row r="4" spans="2:40" ht="14.45" x14ac:dyDescent="0.3">
      <c r="B4" s="20" t="s">
        <v>0</v>
      </c>
      <c r="C4" s="4" t="s">
        <v>1</v>
      </c>
      <c r="D4" s="3" t="s">
        <v>2</v>
      </c>
      <c r="E4" s="3" t="s">
        <v>3</v>
      </c>
      <c r="F4" s="3" t="s">
        <v>4</v>
      </c>
      <c r="G4" s="3" t="s">
        <v>5</v>
      </c>
      <c r="H4" s="3" t="s">
        <v>6</v>
      </c>
      <c r="I4" s="3" t="s">
        <v>7</v>
      </c>
      <c r="J4" s="3" t="s">
        <v>8</v>
      </c>
      <c r="K4" s="3" t="s">
        <v>9</v>
      </c>
      <c r="L4" s="3" t="s">
        <v>10</v>
      </c>
      <c r="M4" s="3" t="s">
        <v>11</v>
      </c>
      <c r="N4" s="28" t="s">
        <v>12</v>
      </c>
      <c r="O4" s="4" t="s">
        <v>14</v>
      </c>
      <c r="P4" s="3" t="s">
        <v>15</v>
      </c>
      <c r="Q4" s="3" t="s">
        <v>16</v>
      </c>
      <c r="R4" s="3" t="s">
        <v>17</v>
      </c>
      <c r="S4" s="3" t="s">
        <v>18</v>
      </c>
      <c r="T4" s="3" t="s">
        <v>19</v>
      </c>
      <c r="U4" s="3" t="s">
        <v>20</v>
      </c>
      <c r="V4" s="3" t="s">
        <v>21</v>
      </c>
      <c r="W4" s="3" t="s">
        <v>22</v>
      </c>
      <c r="X4" s="3" t="s">
        <v>23</v>
      </c>
      <c r="Y4" s="3" t="s">
        <v>24</v>
      </c>
      <c r="Z4" s="28" t="s">
        <v>25</v>
      </c>
      <c r="AA4" s="17" t="s">
        <v>74</v>
      </c>
      <c r="AB4" s="18" t="s">
        <v>75</v>
      </c>
      <c r="AC4" s="18" t="s">
        <v>76</v>
      </c>
      <c r="AD4" s="18" t="s">
        <v>77</v>
      </c>
      <c r="AE4" s="18" t="s">
        <v>78</v>
      </c>
      <c r="AF4" s="18" t="s">
        <v>79</v>
      </c>
      <c r="AG4" s="18" t="s">
        <v>80</v>
      </c>
      <c r="AH4" s="18" t="s">
        <v>81</v>
      </c>
      <c r="AI4" s="18" t="s">
        <v>82</v>
      </c>
      <c r="AJ4" s="18" t="s">
        <v>83</v>
      </c>
      <c r="AK4" s="18" t="s">
        <v>84</v>
      </c>
      <c r="AL4" s="19" t="s">
        <v>85</v>
      </c>
    </row>
    <row r="5" spans="2:40" ht="14.45" x14ac:dyDescent="0.3">
      <c r="B5" s="21" t="s">
        <v>13</v>
      </c>
      <c r="C5" s="12">
        <v>6</v>
      </c>
      <c r="D5" s="6">
        <v>8</v>
      </c>
      <c r="E5" s="6">
        <v>13</v>
      </c>
      <c r="F5" s="6">
        <v>16</v>
      </c>
      <c r="G5" s="6">
        <v>22</v>
      </c>
      <c r="H5" s="6">
        <v>26</v>
      </c>
      <c r="I5" s="6">
        <v>26</v>
      </c>
      <c r="J5" s="6">
        <v>27</v>
      </c>
      <c r="K5" s="6">
        <v>29</v>
      </c>
      <c r="L5" s="6">
        <v>29</v>
      </c>
      <c r="M5" s="6">
        <v>25</v>
      </c>
      <c r="N5" s="29">
        <v>25</v>
      </c>
      <c r="O5" s="12">
        <v>23</v>
      </c>
      <c r="P5" s="6">
        <v>25</v>
      </c>
      <c r="Q5" s="6">
        <v>30</v>
      </c>
      <c r="R5" s="6">
        <v>42</v>
      </c>
      <c r="S5" s="6">
        <v>49</v>
      </c>
      <c r="T5" s="6">
        <v>60</v>
      </c>
      <c r="U5" s="6">
        <v>55</v>
      </c>
      <c r="V5" s="6">
        <v>55</v>
      </c>
      <c r="W5" s="6">
        <v>55</v>
      </c>
      <c r="X5" s="6">
        <v>49</v>
      </c>
      <c r="Y5" s="6">
        <v>45</v>
      </c>
      <c r="Z5" s="29">
        <v>42</v>
      </c>
      <c r="AA5" s="13"/>
      <c r="AB5" s="7"/>
      <c r="AC5" s="7"/>
      <c r="AD5" s="7"/>
      <c r="AE5" s="7"/>
      <c r="AF5" s="7"/>
      <c r="AG5" s="7"/>
      <c r="AH5" s="7"/>
      <c r="AI5" s="7"/>
      <c r="AJ5" s="7"/>
      <c r="AK5" s="7"/>
      <c r="AL5" s="9"/>
    </row>
    <row r="6" spans="2:40" ht="14.45" x14ac:dyDescent="0.3">
      <c r="B6" s="22" t="s">
        <v>86</v>
      </c>
      <c r="C6" s="33"/>
      <c r="D6" s="32"/>
      <c r="E6" s="32"/>
      <c r="F6" s="32"/>
      <c r="G6" s="32"/>
      <c r="H6" s="32"/>
      <c r="I6" s="44">
        <f>(1/12)*((C5/2)+D5+E5+F5+G5+H5+I5+J5+K5+L5+M5+N5+(O5/2))</f>
        <v>21.708333333333332</v>
      </c>
      <c r="J6" s="44">
        <f t="shared" ref="J6:T6" si="0">(1/12)*((D5/2)+E5+F5+G5+H5+I5+J5+K5+L5+M5+N5+O5+(P5/2))</f>
        <v>23.125</v>
      </c>
      <c r="K6" s="44">
        <f t="shared" si="0"/>
        <v>24.541666666666664</v>
      </c>
      <c r="L6" s="44">
        <f t="shared" si="0"/>
        <v>26.333333333333332</v>
      </c>
      <c r="M6" s="44">
        <f t="shared" si="0"/>
        <v>28.541666666666664</v>
      </c>
      <c r="N6" s="48">
        <f t="shared" si="0"/>
        <v>31.083333333333332</v>
      </c>
      <c r="O6" s="46">
        <f t="shared" si="0"/>
        <v>33.708333333333329</v>
      </c>
      <c r="P6" s="44">
        <f t="shared" si="0"/>
        <v>36.083333333333329</v>
      </c>
      <c r="Q6" s="44">
        <f t="shared" si="0"/>
        <v>38.333333333333329</v>
      </c>
      <c r="R6" s="44">
        <f t="shared" si="0"/>
        <v>40.25</v>
      </c>
      <c r="S6" s="44">
        <f t="shared" si="0"/>
        <v>41.916666666666664</v>
      </c>
      <c r="T6" s="44">
        <f t="shared" si="0"/>
        <v>43.458333333333329</v>
      </c>
      <c r="U6" s="32"/>
      <c r="V6" s="32"/>
      <c r="W6" s="7"/>
      <c r="X6" s="32"/>
      <c r="Y6" s="32"/>
      <c r="Z6" s="34"/>
      <c r="AA6" s="33"/>
      <c r="AB6" s="32"/>
      <c r="AC6" s="32"/>
      <c r="AD6" s="32"/>
      <c r="AE6" s="32"/>
      <c r="AF6" s="7"/>
      <c r="AG6" s="32"/>
      <c r="AH6" s="32"/>
      <c r="AI6" s="32"/>
      <c r="AJ6" s="32"/>
      <c r="AK6" s="32"/>
      <c r="AL6" s="42"/>
    </row>
    <row r="7" spans="2:40" ht="14.45" x14ac:dyDescent="0.3">
      <c r="B7" s="22" t="s">
        <v>87</v>
      </c>
      <c r="C7" s="37">
        <v>0.68</v>
      </c>
      <c r="D7" s="36">
        <v>0.69</v>
      </c>
      <c r="E7" s="36">
        <v>0.78</v>
      </c>
      <c r="F7" s="36">
        <v>1.04</v>
      </c>
      <c r="G7" s="36">
        <v>1.17</v>
      </c>
      <c r="H7" s="36">
        <v>1.38</v>
      </c>
      <c r="I7" s="32">
        <f>ROUND(I5/I6,2)</f>
        <v>1.2</v>
      </c>
      <c r="J7" s="32">
        <f t="shared" ref="J7:T7" si="1">ROUND(J5/J6,2)</f>
        <v>1.17</v>
      </c>
      <c r="K7" s="32">
        <f t="shared" si="1"/>
        <v>1.18</v>
      </c>
      <c r="L7" s="32">
        <f t="shared" si="1"/>
        <v>1.1000000000000001</v>
      </c>
      <c r="M7" s="32">
        <f t="shared" si="1"/>
        <v>0.88</v>
      </c>
      <c r="N7" s="34">
        <f t="shared" si="1"/>
        <v>0.8</v>
      </c>
      <c r="O7" s="33">
        <f t="shared" si="1"/>
        <v>0.68</v>
      </c>
      <c r="P7" s="32">
        <f t="shared" si="1"/>
        <v>0.69</v>
      </c>
      <c r="Q7" s="32">
        <f t="shared" si="1"/>
        <v>0.78</v>
      </c>
      <c r="R7" s="32">
        <f t="shared" si="1"/>
        <v>1.04</v>
      </c>
      <c r="S7" s="32">
        <f t="shared" si="1"/>
        <v>1.17</v>
      </c>
      <c r="T7" s="32">
        <f t="shared" si="1"/>
        <v>1.38</v>
      </c>
      <c r="U7" s="36">
        <v>1.2</v>
      </c>
      <c r="V7" s="36">
        <v>1.17</v>
      </c>
      <c r="W7" s="36">
        <v>1.18</v>
      </c>
      <c r="X7" s="36">
        <v>1.1000000000000001</v>
      </c>
      <c r="Y7" s="36">
        <v>0.88</v>
      </c>
      <c r="Z7" s="35">
        <v>0.8</v>
      </c>
      <c r="AA7" s="33">
        <v>0.68</v>
      </c>
      <c r="AB7" s="7">
        <v>0.69</v>
      </c>
      <c r="AC7" s="32">
        <v>0.78</v>
      </c>
      <c r="AD7" s="32">
        <v>1.04</v>
      </c>
      <c r="AE7" s="32">
        <v>1.17</v>
      </c>
      <c r="AF7" s="32">
        <v>1.38</v>
      </c>
      <c r="AG7" s="32">
        <v>1.2</v>
      </c>
      <c r="AH7" s="32">
        <v>1.17</v>
      </c>
      <c r="AI7" s="32">
        <v>1.18</v>
      </c>
      <c r="AJ7" s="7">
        <v>1.1000000000000001</v>
      </c>
      <c r="AK7" s="32">
        <v>0.88</v>
      </c>
      <c r="AL7" s="9">
        <v>0.8</v>
      </c>
    </row>
    <row r="8" spans="2:40" x14ac:dyDescent="0.25">
      <c r="B8" s="22" t="s">
        <v>88</v>
      </c>
      <c r="C8" s="46">
        <f t="shared" ref="C8:G8" si="2">D8-$AN$13</f>
        <v>9.045933333333334</v>
      </c>
      <c r="D8" s="44">
        <f t="shared" si="2"/>
        <v>11.156333333333334</v>
      </c>
      <c r="E8" s="44">
        <f t="shared" si="2"/>
        <v>13.266733333333335</v>
      </c>
      <c r="F8" s="44">
        <f t="shared" si="2"/>
        <v>15.377133333333335</v>
      </c>
      <c r="G8" s="44">
        <f t="shared" si="2"/>
        <v>17.487533333333335</v>
      </c>
      <c r="H8" s="44">
        <f>I8-$AN$13</f>
        <v>19.597933333333334</v>
      </c>
      <c r="I8" s="44">
        <f>I6</f>
        <v>21.708333333333332</v>
      </c>
      <c r="J8" s="44">
        <f t="shared" ref="J8:T8" si="3">J6</f>
        <v>23.125</v>
      </c>
      <c r="K8" s="44">
        <f t="shared" si="3"/>
        <v>24.541666666666664</v>
      </c>
      <c r="L8" s="44">
        <f t="shared" si="3"/>
        <v>26.333333333333332</v>
      </c>
      <c r="M8" s="44">
        <f t="shared" si="3"/>
        <v>28.541666666666664</v>
      </c>
      <c r="N8" s="48">
        <f t="shared" si="3"/>
        <v>31.083333333333332</v>
      </c>
      <c r="O8" s="46">
        <f t="shared" si="3"/>
        <v>33.708333333333329</v>
      </c>
      <c r="P8" s="44">
        <f t="shared" si="3"/>
        <v>36.083333333333329</v>
      </c>
      <c r="Q8" s="44">
        <f t="shared" si="3"/>
        <v>38.333333333333329</v>
      </c>
      <c r="R8" s="44">
        <f t="shared" si="3"/>
        <v>40.25</v>
      </c>
      <c r="S8" s="44">
        <f t="shared" si="3"/>
        <v>41.916666666666664</v>
      </c>
      <c r="T8" s="44">
        <f t="shared" si="3"/>
        <v>43.458333333333329</v>
      </c>
      <c r="U8" s="44">
        <f>T8+$AN$13</f>
        <v>45.568733333333327</v>
      </c>
      <c r="V8" s="44">
        <f t="shared" ref="V8:AL8" si="4">U8+$AN$13</f>
        <v>47.679133333333326</v>
      </c>
      <c r="W8" s="44">
        <f t="shared" si="4"/>
        <v>49.789533333333324</v>
      </c>
      <c r="X8" s="44">
        <f t="shared" si="4"/>
        <v>51.899933333333323</v>
      </c>
      <c r="Y8" s="44">
        <f t="shared" si="4"/>
        <v>54.010333333333321</v>
      </c>
      <c r="Z8" s="48">
        <f t="shared" si="4"/>
        <v>56.12073333333332</v>
      </c>
      <c r="AA8" s="46">
        <f t="shared" si="4"/>
        <v>58.231133333333318</v>
      </c>
      <c r="AB8" s="44">
        <f t="shared" si="4"/>
        <v>60.341533333333317</v>
      </c>
      <c r="AC8" s="44">
        <f t="shared" si="4"/>
        <v>62.451933333333315</v>
      </c>
      <c r="AD8" s="44">
        <f t="shared" si="4"/>
        <v>64.562333333333314</v>
      </c>
      <c r="AE8" s="44">
        <f t="shared" si="4"/>
        <v>66.672733333333312</v>
      </c>
      <c r="AF8" s="44">
        <f t="shared" si="4"/>
        <v>68.783133333333311</v>
      </c>
      <c r="AG8" s="44">
        <f t="shared" si="4"/>
        <v>70.893533333333309</v>
      </c>
      <c r="AH8" s="44">
        <f t="shared" si="4"/>
        <v>73.003933333333308</v>
      </c>
      <c r="AI8" s="44">
        <f t="shared" si="4"/>
        <v>75.114333333333306</v>
      </c>
      <c r="AJ8" s="44">
        <f t="shared" si="4"/>
        <v>77.224733333333305</v>
      </c>
      <c r="AK8" s="44">
        <f t="shared" si="4"/>
        <v>79.335133333333303</v>
      </c>
      <c r="AL8" s="45">
        <f t="shared" si="4"/>
        <v>81.445533333333302</v>
      </c>
    </row>
    <row r="9" spans="2:40" ht="14.45" x14ac:dyDescent="0.3">
      <c r="B9" s="22" t="s">
        <v>89</v>
      </c>
      <c r="C9" s="33">
        <f>C7*C8</f>
        <v>6.1512346666666673</v>
      </c>
      <c r="D9" s="32">
        <f t="shared" ref="D9:AL9" si="5">D7*D8</f>
        <v>7.69787</v>
      </c>
      <c r="E9" s="32">
        <f t="shared" si="5"/>
        <v>10.348052000000001</v>
      </c>
      <c r="F9" s="32">
        <f t="shared" si="5"/>
        <v>15.99221866666667</v>
      </c>
      <c r="G9" s="32">
        <f t="shared" si="5"/>
        <v>20.460414</v>
      </c>
      <c r="H9" s="32">
        <f t="shared" si="5"/>
        <v>27.045147999999998</v>
      </c>
      <c r="I9" s="32">
        <f t="shared" si="5"/>
        <v>26.049999999999997</v>
      </c>
      <c r="J9" s="32">
        <f t="shared" si="5"/>
        <v>27.056249999999999</v>
      </c>
      <c r="K9" s="32">
        <f t="shared" si="5"/>
        <v>28.959166666666661</v>
      </c>
      <c r="L9" s="32">
        <f t="shared" si="5"/>
        <v>28.966666666666669</v>
      </c>
      <c r="M9" s="32">
        <f t="shared" si="5"/>
        <v>25.116666666666664</v>
      </c>
      <c r="N9" s="34">
        <f t="shared" si="5"/>
        <v>24.866666666666667</v>
      </c>
      <c r="O9" s="33">
        <f t="shared" si="5"/>
        <v>22.921666666666667</v>
      </c>
      <c r="P9" s="32">
        <f t="shared" si="5"/>
        <v>24.897499999999994</v>
      </c>
      <c r="Q9" s="32">
        <f t="shared" si="5"/>
        <v>29.9</v>
      </c>
      <c r="R9" s="32">
        <f t="shared" si="5"/>
        <v>41.86</v>
      </c>
      <c r="S9" s="32">
        <f t="shared" si="5"/>
        <v>49.042499999999997</v>
      </c>
      <c r="T9" s="32">
        <f t="shared" si="5"/>
        <v>59.972499999999989</v>
      </c>
      <c r="U9" s="32">
        <f t="shared" si="5"/>
        <v>54.682479999999991</v>
      </c>
      <c r="V9" s="32">
        <f t="shared" si="5"/>
        <v>55.78458599999999</v>
      </c>
      <c r="W9" s="32">
        <f t="shared" si="5"/>
        <v>58.751649333333319</v>
      </c>
      <c r="X9" s="32">
        <f t="shared" si="5"/>
        <v>57.089926666666656</v>
      </c>
      <c r="Y9" s="32">
        <f t="shared" si="5"/>
        <v>47.529093333333321</v>
      </c>
      <c r="Z9" s="34">
        <f t="shared" si="5"/>
        <v>44.896586666666657</v>
      </c>
      <c r="AA9" s="33">
        <f t="shared" si="5"/>
        <v>39.597170666666656</v>
      </c>
      <c r="AB9" s="32">
        <f t="shared" si="5"/>
        <v>41.635657999999985</v>
      </c>
      <c r="AC9" s="32">
        <f t="shared" si="5"/>
        <v>48.712507999999985</v>
      </c>
      <c r="AD9" s="32">
        <f t="shared" si="5"/>
        <v>67.144826666666646</v>
      </c>
      <c r="AE9" s="32">
        <f t="shared" si="5"/>
        <v>78.007097999999971</v>
      </c>
      <c r="AF9" s="32">
        <f t="shared" si="5"/>
        <v>94.920723999999964</v>
      </c>
      <c r="AG9" s="32">
        <f t="shared" si="5"/>
        <v>85.072239999999965</v>
      </c>
      <c r="AH9" s="32">
        <f t="shared" si="5"/>
        <v>85.41460199999996</v>
      </c>
      <c r="AI9" s="32">
        <f t="shared" si="5"/>
        <v>88.634913333333301</v>
      </c>
      <c r="AJ9" s="32">
        <f t="shared" si="5"/>
        <v>84.947206666666645</v>
      </c>
      <c r="AK9" s="32">
        <f t="shared" si="5"/>
        <v>69.814917333333312</v>
      </c>
      <c r="AL9" s="42">
        <f t="shared" si="5"/>
        <v>65.156426666666647</v>
      </c>
    </row>
    <row r="10" spans="2:40" thickBot="1" x14ac:dyDescent="0.35">
      <c r="B10" s="23" t="s">
        <v>90</v>
      </c>
      <c r="C10" s="26">
        <f>(C9-C5)/C5</f>
        <v>2.5205777777777882E-2</v>
      </c>
      <c r="D10" s="27">
        <f t="shared" ref="D10:Z10" si="6">(D9-D5)/D5</f>
        <v>-3.7766250000000001E-2</v>
      </c>
      <c r="E10" s="27">
        <f t="shared" si="6"/>
        <v>-0.20399599999999993</v>
      </c>
      <c r="F10" s="27">
        <f t="shared" si="6"/>
        <v>-4.8633333333314432E-4</v>
      </c>
      <c r="G10" s="27">
        <f t="shared" si="6"/>
        <v>-6.9981181818181817E-2</v>
      </c>
      <c r="H10" s="27">
        <f t="shared" si="6"/>
        <v>4.0197999999999907E-2</v>
      </c>
      <c r="I10" s="27">
        <f t="shared" si="6"/>
        <v>1.9230769230768137E-3</v>
      </c>
      <c r="J10" s="27">
        <f t="shared" si="6"/>
        <v>2.0833333333332808E-3</v>
      </c>
      <c r="K10" s="27">
        <f t="shared" si="6"/>
        <v>-1.4080459770116837E-3</v>
      </c>
      <c r="L10" s="27">
        <f t="shared" si="6"/>
        <v>-1.1494252873562566E-3</v>
      </c>
      <c r="M10" s="27">
        <f t="shared" si="6"/>
        <v>4.6666666666665439E-3</v>
      </c>
      <c r="N10" s="31">
        <f t="shared" si="6"/>
        <v>-5.3333333333333141E-3</v>
      </c>
      <c r="O10" s="26">
        <f t="shared" si="6"/>
        <v>-3.4057971014492673E-3</v>
      </c>
      <c r="P10" s="27">
        <f t="shared" si="6"/>
        <v>-4.1000000000002501E-3</v>
      </c>
      <c r="Q10" s="27">
        <f t="shared" si="6"/>
        <v>-3.3333333333333808E-3</v>
      </c>
      <c r="R10" s="27">
        <f t="shared" si="6"/>
        <v>-3.333333333333347E-3</v>
      </c>
      <c r="S10" s="27">
        <f t="shared" si="6"/>
        <v>8.6734693877544644E-4</v>
      </c>
      <c r="T10" s="27">
        <f t="shared" si="6"/>
        <v>-4.5833333333350859E-4</v>
      </c>
      <c r="U10" s="27">
        <f t="shared" si="6"/>
        <v>-5.7730909090910713E-3</v>
      </c>
      <c r="V10" s="27">
        <f t="shared" si="6"/>
        <v>1.4265199999999822E-2</v>
      </c>
      <c r="W10" s="27">
        <f t="shared" si="6"/>
        <v>6.8211806060605798E-2</v>
      </c>
      <c r="X10" s="27">
        <f t="shared" si="6"/>
        <v>0.16510054421768686</v>
      </c>
      <c r="Y10" s="27">
        <f t="shared" si="6"/>
        <v>5.6202074074073807E-2</v>
      </c>
      <c r="Z10" s="31">
        <f t="shared" si="6"/>
        <v>6.8966349206348976E-2</v>
      </c>
      <c r="AA10" s="14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1"/>
    </row>
    <row r="11" spans="2:40" ht="15.75" thickBot="1" x14ac:dyDescent="0.3"/>
    <row r="12" spans="2:40" ht="15.75" thickBot="1" x14ac:dyDescent="0.3">
      <c r="AN12" s="16" t="s">
        <v>91</v>
      </c>
    </row>
    <row r="13" spans="2:40" ht="15.75" thickBot="1" x14ac:dyDescent="0.3">
      <c r="AN13" s="16">
        <v>2.1103999999999998</v>
      </c>
    </row>
  </sheetData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AN13"/>
  <sheetViews>
    <sheetView workbookViewId="0"/>
  </sheetViews>
  <sheetFormatPr baseColWidth="10" defaultRowHeight="15" x14ac:dyDescent="0.25"/>
  <cols>
    <col min="2" max="2" width="14.85546875" bestFit="1" customWidth="1"/>
    <col min="3" max="3" width="6.85546875" bestFit="1" customWidth="1"/>
    <col min="4" max="11" width="6.42578125" bestFit="1" customWidth="1"/>
    <col min="12" max="14" width="7.42578125" bestFit="1" customWidth="1"/>
    <col min="15" max="23" width="6.42578125" bestFit="1" customWidth="1"/>
    <col min="24" max="26" width="7.42578125" bestFit="1" customWidth="1"/>
    <col min="27" max="35" width="5.7109375" bestFit="1" customWidth="1"/>
    <col min="36" max="38" width="6.7109375" bestFit="1" customWidth="1"/>
  </cols>
  <sheetData>
    <row r="2" spans="2:40" ht="14.45" x14ac:dyDescent="0.3">
      <c r="B2" s="2"/>
      <c r="C2" s="7" t="s">
        <v>26</v>
      </c>
      <c r="D2" s="7" t="s">
        <v>27</v>
      </c>
      <c r="E2" s="7" t="s">
        <v>28</v>
      </c>
      <c r="F2" s="7" t="s">
        <v>29</v>
      </c>
      <c r="G2" s="7" t="s">
        <v>30</v>
      </c>
      <c r="H2" s="7" t="s">
        <v>31</v>
      </c>
      <c r="I2" s="7" t="s">
        <v>32</v>
      </c>
      <c r="J2" s="7" t="s">
        <v>33</v>
      </c>
      <c r="K2" s="7" t="s">
        <v>34</v>
      </c>
      <c r="L2" s="7" t="s">
        <v>35</v>
      </c>
      <c r="M2" s="7" t="s">
        <v>36</v>
      </c>
      <c r="N2" s="7" t="s">
        <v>37</v>
      </c>
      <c r="O2" s="7" t="s">
        <v>38</v>
      </c>
      <c r="P2" s="7" t="s">
        <v>39</v>
      </c>
      <c r="Q2" s="7" t="s">
        <v>40</v>
      </c>
      <c r="R2" s="7" t="s">
        <v>41</v>
      </c>
      <c r="S2" s="7" t="s">
        <v>42</v>
      </c>
      <c r="T2" s="7" t="s">
        <v>43</v>
      </c>
      <c r="U2" s="7" t="s">
        <v>44</v>
      </c>
      <c r="V2" s="7" t="s">
        <v>45</v>
      </c>
      <c r="W2" s="7" t="s">
        <v>46</v>
      </c>
      <c r="X2" s="7" t="s">
        <v>47</v>
      </c>
      <c r="Y2" s="7" t="s">
        <v>48</v>
      </c>
      <c r="Z2" s="7" t="s">
        <v>49</v>
      </c>
      <c r="AA2" s="7" t="s">
        <v>50</v>
      </c>
      <c r="AB2" s="7" t="s">
        <v>51</v>
      </c>
      <c r="AC2" s="7" t="s">
        <v>52</v>
      </c>
      <c r="AD2" s="7" t="s">
        <v>53</v>
      </c>
      <c r="AE2" s="7" t="s">
        <v>54</v>
      </c>
      <c r="AF2" s="7" t="s">
        <v>55</v>
      </c>
      <c r="AG2" s="7" t="s">
        <v>56</v>
      </c>
      <c r="AH2" s="7" t="s">
        <v>57</v>
      </c>
      <c r="AI2" s="7" t="s">
        <v>58</v>
      </c>
      <c r="AJ2" s="7" t="s">
        <v>59</v>
      </c>
      <c r="AK2" s="7" t="s">
        <v>60</v>
      </c>
      <c r="AL2" s="7" t="s">
        <v>61</v>
      </c>
    </row>
    <row r="3" spans="2:40" thickBot="1" x14ac:dyDescent="0.35">
      <c r="B3" s="2"/>
      <c r="C3" s="8" t="s">
        <v>62</v>
      </c>
      <c r="D3" s="8" t="s">
        <v>63</v>
      </c>
      <c r="E3" s="8" t="s">
        <v>64</v>
      </c>
      <c r="F3" s="8" t="s">
        <v>65</v>
      </c>
      <c r="G3" s="8" t="s">
        <v>66</v>
      </c>
      <c r="H3" s="8" t="s">
        <v>67</v>
      </c>
      <c r="I3" s="8" t="s">
        <v>68</v>
      </c>
      <c r="J3" s="8" t="s">
        <v>69</v>
      </c>
      <c r="K3" s="8" t="s">
        <v>70</v>
      </c>
      <c r="L3" s="8" t="s">
        <v>71</v>
      </c>
      <c r="M3" s="8" t="s">
        <v>72</v>
      </c>
      <c r="N3" s="8" t="s">
        <v>73</v>
      </c>
      <c r="O3" s="8" t="s">
        <v>62</v>
      </c>
      <c r="P3" s="8" t="s">
        <v>63</v>
      </c>
      <c r="Q3" s="8" t="s">
        <v>64</v>
      </c>
      <c r="R3" s="8" t="s">
        <v>65</v>
      </c>
      <c r="S3" s="8" t="s">
        <v>66</v>
      </c>
      <c r="T3" s="8" t="s">
        <v>67</v>
      </c>
      <c r="U3" s="8" t="s">
        <v>68</v>
      </c>
      <c r="V3" s="8" t="s">
        <v>69</v>
      </c>
      <c r="W3" s="8" t="s">
        <v>70</v>
      </c>
      <c r="X3" s="8" t="s">
        <v>71</v>
      </c>
      <c r="Y3" s="8" t="s">
        <v>72</v>
      </c>
      <c r="Z3" s="8" t="s">
        <v>73</v>
      </c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</row>
    <row r="4" spans="2:40" ht="14.45" x14ac:dyDescent="0.3">
      <c r="B4" s="20" t="s">
        <v>0</v>
      </c>
      <c r="C4" s="4" t="s">
        <v>1</v>
      </c>
      <c r="D4" s="3" t="s">
        <v>2</v>
      </c>
      <c r="E4" s="3" t="s">
        <v>3</v>
      </c>
      <c r="F4" s="3" t="s">
        <v>4</v>
      </c>
      <c r="G4" s="3" t="s">
        <v>5</v>
      </c>
      <c r="H4" s="3" t="s">
        <v>6</v>
      </c>
      <c r="I4" s="3" t="s">
        <v>7</v>
      </c>
      <c r="J4" s="3" t="s">
        <v>8</v>
      </c>
      <c r="K4" s="3" t="s">
        <v>9</v>
      </c>
      <c r="L4" s="3" t="s">
        <v>10</v>
      </c>
      <c r="M4" s="3" t="s">
        <v>11</v>
      </c>
      <c r="N4" s="28" t="s">
        <v>12</v>
      </c>
      <c r="O4" s="4" t="s">
        <v>14</v>
      </c>
      <c r="P4" s="3" t="s">
        <v>15</v>
      </c>
      <c r="Q4" s="3" t="s">
        <v>16</v>
      </c>
      <c r="R4" s="3" t="s">
        <v>17</v>
      </c>
      <c r="S4" s="3" t="s">
        <v>18</v>
      </c>
      <c r="T4" s="3" t="s">
        <v>19</v>
      </c>
      <c r="U4" s="3" t="s">
        <v>20</v>
      </c>
      <c r="V4" s="3" t="s">
        <v>21</v>
      </c>
      <c r="W4" s="3" t="s">
        <v>22</v>
      </c>
      <c r="X4" s="3" t="s">
        <v>23</v>
      </c>
      <c r="Y4" s="3" t="s">
        <v>24</v>
      </c>
      <c r="Z4" s="28" t="s">
        <v>25</v>
      </c>
      <c r="AA4" s="17" t="s">
        <v>74</v>
      </c>
      <c r="AB4" s="18" t="s">
        <v>75</v>
      </c>
      <c r="AC4" s="18" t="s">
        <v>76</v>
      </c>
      <c r="AD4" s="18" t="s">
        <v>77</v>
      </c>
      <c r="AE4" s="18" t="s">
        <v>78</v>
      </c>
      <c r="AF4" s="18" t="s">
        <v>79</v>
      </c>
      <c r="AG4" s="18" t="s">
        <v>80</v>
      </c>
      <c r="AH4" s="18" t="s">
        <v>81</v>
      </c>
      <c r="AI4" s="18" t="s">
        <v>82</v>
      </c>
      <c r="AJ4" s="18" t="s">
        <v>83</v>
      </c>
      <c r="AK4" s="18" t="s">
        <v>84</v>
      </c>
      <c r="AL4" s="19" t="s">
        <v>85</v>
      </c>
    </row>
    <row r="5" spans="2:40" ht="14.45" x14ac:dyDescent="0.3">
      <c r="B5" s="21" t="s">
        <v>13</v>
      </c>
      <c r="C5" s="12">
        <v>6</v>
      </c>
      <c r="D5" s="6">
        <v>8</v>
      </c>
      <c r="E5" s="6">
        <v>13</v>
      </c>
      <c r="F5" s="6">
        <v>16</v>
      </c>
      <c r="G5" s="6">
        <v>22</v>
      </c>
      <c r="H5" s="6">
        <v>26</v>
      </c>
      <c r="I5" s="6">
        <v>26</v>
      </c>
      <c r="J5" s="6">
        <v>27</v>
      </c>
      <c r="K5" s="6">
        <v>29</v>
      </c>
      <c r="L5" s="6">
        <v>29</v>
      </c>
      <c r="M5" s="6">
        <v>25</v>
      </c>
      <c r="N5" s="29">
        <v>25</v>
      </c>
      <c r="O5" s="12">
        <v>23</v>
      </c>
      <c r="P5" s="6">
        <v>25</v>
      </c>
      <c r="Q5" s="6">
        <v>30</v>
      </c>
      <c r="R5" s="6">
        <v>42</v>
      </c>
      <c r="S5" s="6">
        <v>49</v>
      </c>
      <c r="T5" s="6">
        <v>60</v>
      </c>
      <c r="U5" s="6">
        <v>55</v>
      </c>
      <c r="V5" s="6">
        <v>55</v>
      </c>
      <c r="W5" s="6">
        <v>55</v>
      </c>
      <c r="X5" s="6">
        <v>49</v>
      </c>
      <c r="Y5" s="6">
        <v>45</v>
      </c>
      <c r="Z5" s="29">
        <v>42</v>
      </c>
      <c r="AA5" s="13"/>
      <c r="AB5" s="7"/>
      <c r="AC5" s="7"/>
      <c r="AD5" s="7"/>
      <c r="AE5" s="7"/>
      <c r="AF5" s="7"/>
      <c r="AG5" s="7"/>
      <c r="AH5" s="7"/>
      <c r="AI5" s="7"/>
      <c r="AJ5" s="7"/>
      <c r="AK5" s="7"/>
      <c r="AL5" s="9"/>
    </row>
    <row r="6" spans="2:40" ht="14.45" x14ac:dyDescent="0.3">
      <c r="B6" s="22" t="s">
        <v>86</v>
      </c>
      <c r="C6" s="33"/>
      <c r="D6" s="32"/>
      <c r="E6" s="32"/>
      <c r="F6" s="32"/>
      <c r="G6" s="32"/>
      <c r="H6" s="32"/>
      <c r="I6" s="44">
        <f>(1/12)*((C5/2)+D5+E5+F5+G5+H5+I5+J5+K5+L5+M5+N5+(O5/2))</f>
        <v>21.708333333333332</v>
      </c>
      <c r="J6" s="44">
        <f t="shared" ref="J6:T6" si="0">(1/12)*((D5/2)+E5+F5+G5+H5+I5+J5+K5+L5+M5+N5+O5+(P5/2))</f>
        <v>23.125</v>
      </c>
      <c r="K6" s="44">
        <f t="shared" si="0"/>
        <v>24.541666666666664</v>
      </c>
      <c r="L6" s="44">
        <f t="shared" si="0"/>
        <v>26.333333333333332</v>
      </c>
      <c r="M6" s="44">
        <f t="shared" si="0"/>
        <v>28.541666666666664</v>
      </c>
      <c r="N6" s="48">
        <f t="shared" si="0"/>
        <v>31.083333333333332</v>
      </c>
      <c r="O6" s="46">
        <f t="shared" si="0"/>
        <v>33.708333333333329</v>
      </c>
      <c r="P6" s="44">
        <f t="shared" si="0"/>
        <v>36.083333333333329</v>
      </c>
      <c r="Q6" s="44">
        <f t="shared" si="0"/>
        <v>38.333333333333329</v>
      </c>
      <c r="R6" s="44">
        <f t="shared" si="0"/>
        <v>40.25</v>
      </c>
      <c r="S6" s="44">
        <f t="shared" si="0"/>
        <v>41.916666666666664</v>
      </c>
      <c r="T6" s="44">
        <f t="shared" si="0"/>
        <v>43.458333333333329</v>
      </c>
      <c r="U6" s="32"/>
      <c r="V6" s="32"/>
      <c r="W6" s="7"/>
      <c r="X6" s="32"/>
      <c r="Y6" s="32"/>
      <c r="Z6" s="34"/>
      <c r="AA6" s="33"/>
      <c r="AB6" s="32"/>
      <c r="AC6" s="32"/>
      <c r="AD6" s="32"/>
      <c r="AE6" s="32"/>
      <c r="AF6" s="7"/>
      <c r="AG6" s="32"/>
      <c r="AH6" s="32"/>
      <c r="AI6" s="32"/>
      <c r="AJ6" s="32"/>
      <c r="AK6" s="32"/>
      <c r="AL6" s="42"/>
    </row>
    <row r="7" spans="2:40" ht="14.45" x14ac:dyDescent="0.3">
      <c r="B7" s="22" t="s">
        <v>87</v>
      </c>
      <c r="C7" s="37">
        <v>0.68</v>
      </c>
      <c r="D7" s="36">
        <v>0.69</v>
      </c>
      <c r="E7" s="36">
        <v>0.78</v>
      </c>
      <c r="F7" s="36">
        <v>1.04</v>
      </c>
      <c r="G7" s="36">
        <v>1.17</v>
      </c>
      <c r="H7" s="36">
        <v>1.38</v>
      </c>
      <c r="I7" s="32">
        <f>ROUND(I5/I6,2)</f>
        <v>1.2</v>
      </c>
      <c r="J7" s="32">
        <f t="shared" ref="J7:T7" si="1">ROUND(J5/J6,2)</f>
        <v>1.17</v>
      </c>
      <c r="K7" s="32">
        <f t="shared" si="1"/>
        <v>1.18</v>
      </c>
      <c r="L7" s="32">
        <f t="shared" si="1"/>
        <v>1.1000000000000001</v>
      </c>
      <c r="M7" s="32">
        <f t="shared" si="1"/>
        <v>0.88</v>
      </c>
      <c r="N7" s="34">
        <f t="shared" si="1"/>
        <v>0.8</v>
      </c>
      <c r="O7" s="33">
        <f t="shared" si="1"/>
        <v>0.68</v>
      </c>
      <c r="P7" s="32">
        <f t="shared" si="1"/>
        <v>0.69</v>
      </c>
      <c r="Q7" s="32">
        <f t="shared" si="1"/>
        <v>0.78</v>
      </c>
      <c r="R7" s="32">
        <f t="shared" si="1"/>
        <v>1.04</v>
      </c>
      <c r="S7" s="32">
        <f t="shared" si="1"/>
        <v>1.17</v>
      </c>
      <c r="T7" s="32">
        <f t="shared" si="1"/>
        <v>1.38</v>
      </c>
      <c r="U7" s="36">
        <v>1.2</v>
      </c>
      <c r="V7" s="36">
        <v>1.17</v>
      </c>
      <c r="W7" s="36">
        <v>1.18</v>
      </c>
      <c r="X7" s="36">
        <v>1.1000000000000001</v>
      </c>
      <c r="Y7" s="36">
        <v>0.88</v>
      </c>
      <c r="Z7" s="35">
        <v>0.8</v>
      </c>
      <c r="AA7" s="33">
        <v>0.68</v>
      </c>
      <c r="AB7" s="7">
        <v>0.69</v>
      </c>
      <c r="AC7" s="32">
        <v>0.78</v>
      </c>
      <c r="AD7" s="32">
        <v>1.04</v>
      </c>
      <c r="AE7" s="32">
        <v>1.17</v>
      </c>
      <c r="AF7" s="32">
        <v>1.38</v>
      </c>
      <c r="AG7" s="32">
        <v>1.2</v>
      </c>
      <c r="AH7" s="32">
        <v>1.17</v>
      </c>
      <c r="AI7" s="32">
        <v>1.18</v>
      </c>
      <c r="AJ7" s="7">
        <v>1.1000000000000001</v>
      </c>
      <c r="AK7" s="32">
        <v>0.88</v>
      </c>
      <c r="AL7" s="9">
        <v>0.8</v>
      </c>
    </row>
    <row r="8" spans="2:40" x14ac:dyDescent="0.25">
      <c r="B8" s="22" t="s">
        <v>88</v>
      </c>
      <c r="C8" s="46">
        <f t="shared" ref="C8:G8" si="2">D8-$AN$13</f>
        <v>9.045933333333334</v>
      </c>
      <c r="D8" s="44">
        <f t="shared" si="2"/>
        <v>11.156333333333334</v>
      </c>
      <c r="E8" s="44">
        <f t="shared" si="2"/>
        <v>13.266733333333335</v>
      </c>
      <c r="F8" s="44">
        <f t="shared" si="2"/>
        <v>15.377133333333335</v>
      </c>
      <c r="G8" s="44">
        <f t="shared" si="2"/>
        <v>17.487533333333335</v>
      </c>
      <c r="H8" s="44">
        <f>I8-$AN$13</f>
        <v>19.597933333333334</v>
      </c>
      <c r="I8" s="44">
        <f>I6</f>
        <v>21.708333333333332</v>
      </c>
      <c r="J8" s="44">
        <f t="shared" ref="J8:T8" si="3">J6</f>
        <v>23.125</v>
      </c>
      <c r="K8" s="44">
        <f t="shared" si="3"/>
        <v>24.541666666666664</v>
      </c>
      <c r="L8" s="44">
        <f t="shared" si="3"/>
        <v>26.333333333333332</v>
      </c>
      <c r="M8" s="44">
        <f t="shared" si="3"/>
        <v>28.541666666666664</v>
      </c>
      <c r="N8" s="48">
        <f t="shared" si="3"/>
        <v>31.083333333333332</v>
      </c>
      <c r="O8" s="46">
        <f t="shared" si="3"/>
        <v>33.708333333333329</v>
      </c>
      <c r="P8" s="44">
        <f t="shared" si="3"/>
        <v>36.083333333333329</v>
      </c>
      <c r="Q8" s="44">
        <f t="shared" si="3"/>
        <v>38.333333333333329</v>
      </c>
      <c r="R8" s="44">
        <f t="shared" si="3"/>
        <v>40.25</v>
      </c>
      <c r="S8" s="44">
        <f t="shared" si="3"/>
        <v>41.916666666666664</v>
      </c>
      <c r="T8" s="44">
        <f t="shared" si="3"/>
        <v>43.458333333333329</v>
      </c>
      <c r="U8" s="44">
        <f>T8+$AN$13</f>
        <v>45.568733333333327</v>
      </c>
      <c r="V8" s="44">
        <f t="shared" ref="V8:AL8" si="4">U8+$AN$13</f>
        <v>47.679133333333326</v>
      </c>
      <c r="W8" s="44">
        <f t="shared" si="4"/>
        <v>49.789533333333324</v>
      </c>
      <c r="X8" s="44">
        <f t="shared" si="4"/>
        <v>51.899933333333323</v>
      </c>
      <c r="Y8" s="44">
        <f t="shared" si="4"/>
        <v>54.010333333333321</v>
      </c>
      <c r="Z8" s="48">
        <f t="shared" si="4"/>
        <v>56.12073333333332</v>
      </c>
      <c r="AA8" s="46">
        <f t="shared" si="4"/>
        <v>58.231133333333318</v>
      </c>
      <c r="AB8" s="44">
        <f t="shared" si="4"/>
        <v>60.341533333333317</v>
      </c>
      <c r="AC8" s="44">
        <f t="shared" si="4"/>
        <v>62.451933333333315</v>
      </c>
      <c r="AD8" s="44">
        <f t="shared" si="4"/>
        <v>64.562333333333314</v>
      </c>
      <c r="AE8" s="44">
        <f t="shared" si="4"/>
        <v>66.672733333333312</v>
      </c>
      <c r="AF8" s="44">
        <f t="shared" si="4"/>
        <v>68.783133333333311</v>
      </c>
      <c r="AG8" s="44">
        <f t="shared" si="4"/>
        <v>70.893533333333309</v>
      </c>
      <c r="AH8" s="44">
        <f t="shared" si="4"/>
        <v>73.003933333333308</v>
      </c>
      <c r="AI8" s="44">
        <f t="shared" si="4"/>
        <v>75.114333333333306</v>
      </c>
      <c r="AJ8" s="44">
        <f t="shared" si="4"/>
        <v>77.224733333333305</v>
      </c>
      <c r="AK8" s="44">
        <f t="shared" si="4"/>
        <v>79.335133333333303</v>
      </c>
      <c r="AL8" s="45">
        <f t="shared" si="4"/>
        <v>81.445533333333302</v>
      </c>
    </row>
    <row r="9" spans="2:40" ht="14.45" x14ac:dyDescent="0.3">
      <c r="B9" s="22" t="s">
        <v>89</v>
      </c>
      <c r="C9" s="33">
        <f>C7*C8</f>
        <v>6.1512346666666673</v>
      </c>
      <c r="D9" s="32">
        <f t="shared" ref="D9:AL9" si="5">D7*D8</f>
        <v>7.69787</v>
      </c>
      <c r="E9" s="32">
        <f t="shared" si="5"/>
        <v>10.348052000000001</v>
      </c>
      <c r="F9" s="32">
        <f t="shared" si="5"/>
        <v>15.99221866666667</v>
      </c>
      <c r="G9" s="32">
        <f t="shared" si="5"/>
        <v>20.460414</v>
      </c>
      <c r="H9" s="32">
        <f t="shared" si="5"/>
        <v>27.045147999999998</v>
      </c>
      <c r="I9" s="32">
        <f t="shared" si="5"/>
        <v>26.049999999999997</v>
      </c>
      <c r="J9" s="32">
        <f t="shared" si="5"/>
        <v>27.056249999999999</v>
      </c>
      <c r="K9" s="32">
        <f t="shared" si="5"/>
        <v>28.959166666666661</v>
      </c>
      <c r="L9" s="32">
        <f t="shared" si="5"/>
        <v>28.966666666666669</v>
      </c>
      <c r="M9" s="32">
        <f t="shared" si="5"/>
        <v>25.116666666666664</v>
      </c>
      <c r="N9" s="34">
        <f t="shared" si="5"/>
        <v>24.866666666666667</v>
      </c>
      <c r="O9" s="33">
        <f t="shared" si="5"/>
        <v>22.921666666666667</v>
      </c>
      <c r="P9" s="32">
        <f t="shared" si="5"/>
        <v>24.897499999999994</v>
      </c>
      <c r="Q9" s="32">
        <f t="shared" si="5"/>
        <v>29.9</v>
      </c>
      <c r="R9" s="32">
        <f t="shared" si="5"/>
        <v>41.86</v>
      </c>
      <c r="S9" s="32">
        <f t="shared" si="5"/>
        <v>49.042499999999997</v>
      </c>
      <c r="T9" s="32">
        <f t="shared" si="5"/>
        <v>59.972499999999989</v>
      </c>
      <c r="U9" s="32">
        <f t="shared" si="5"/>
        <v>54.682479999999991</v>
      </c>
      <c r="V9" s="32">
        <f t="shared" si="5"/>
        <v>55.78458599999999</v>
      </c>
      <c r="W9" s="32">
        <f t="shared" si="5"/>
        <v>58.751649333333319</v>
      </c>
      <c r="X9" s="32">
        <f t="shared" si="5"/>
        <v>57.089926666666656</v>
      </c>
      <c r="Y9" s="32">
        <f t="shared" si="5"/>
        <v>47.529093333333321</v>
      </c>
      <c r="Z9" s="34">
        <f t="shared" si="5"/>
        <v>44.896586666666657</v>
      </c>
      <c r="AA9" s="33">
        <f t="shared" si="5"/>
        <v>39.597170666666656</v>
      </c>
      <c r="AB9" s="32">
        <f t="shared" si="5"/>
        <v>41.635657999999985</v>
      </c>
      <c r="AC9" s="32">
        <f t="shared" si="5"/>
        <v>48.712507999999985</v>
      </c>
      <c r="AD9" s="32">
        <f t="shared" si="5"/>
        <v>67.144826666666646</v>
      </c>
      <c r="AE9" s="32">
        <f t="shared" si="5"/>
        <v>78.007097999999971</v>
      </c>
      <c r="AF9" s="32">
        <f t="shared" si="5"/>
        <v>94.920723999999964</v>
      </c>
      <c r="AG9" s="32">
        <f t="shared" si="5"/>
        <v>85.072239999999965</v>
      </c>
      <c r="AH9" s="32">
        <f t="shared" si="5"/>
        <v>85.41460199999996</v>
      </c>
      <c r="AI9" s="32">
        <f t="shared" si="5"/>
        <v>88.634913333333301</v>
      </c>
      <c r="AJ9" s="32">
        <f t="shared" si="5"/>
        <v>84.947206666666645</v>
      </c>
      <c r="AK9" s="32">
        <f t="shared" si="5"/>
        <v>69.814917333333312</v>
      </c>
      <c r="AL9" s="42">
        <f t="shared" si="5"/>
        <v>65.156426666666647</v>
      </c>
    </row>
    <row r="10" spans="2:40" thickBot="1" x14ac:dyDescent="0.35">
      <c r="B10" s="23" t="s">
        <v>90</v>
      </c>
      <c r="C10" s="26">
        <f>(C9-C5)/C5</f>
        <v>2.5205777777777882E-2</v>
      </c>
      <c r="D10" s="27">
        <f t="shared" ref="D10:Z10" si="6">(D9-D5)/D5</f>
        <v>-3.7766250000000001E-2</v>
      </c>
      <c r="E10" s="27">
        <f t="shared" si="6"/>
        <v>-0.20399599999999993</v>
      </c>
      <c r="F10" s="27">
        <f t="shared" si="6"/>
        <v>-4.8633333333314432E-4</v>
      </c>
      <c r="G10" s="27">
        <f t="shared" si="6"/>
        <v>-6.9981181818181817E-2</v>
      </c>
      <c r="H10" s="27">
        <f t="shared" si="6"/>
        <v>4.0197999999999907E-2</v>
      </c>
      <c r="I10" s="27">
        <f t="shared" si="6"/>
        <v>1.9230769230768137E-3</v>
      </c>
      <c r="J10" s="27">
        <f t="shared" si="6"/>
        <v>2.0833333333332808E-3</v>
      </c>
      <c r="K10" s="27">
        <f t="shared" si="6"/>
        <v>-1.4080459770116837E-3</v>
      </c>
      <c r="L10" s="27">
        <f t="shared" si="6"/>
        <v>-1.1494252873562566E-3</v>
      </c>
      <c r="M10" s="27">
        <f t="shared" si="6"/>
        <v>4.6666666666665439E-3</v>
      </c>
      <c r="N10" s="31">
        <f t="shared" si="6"/>
        <v>-5.3333333333333141E-3</v>
      </c>
      <c r="O10" s="26">
        <f t="shared" si="6"/>
        <v>-3.4057971014492673E-3</v>
      </c>
      <c r="P10" s="27">
        <f t="shared" si="6"/>
        <v>-4.1000000000002501E-3</v>
      </c>
      <c r="Q10" s="27">
        <f t="shared" si="6"/>
        <v>-3.3333333333333808E-3</v>
      </c>
      <c r="R10" s="27">
        <f t="shared" si="6"/>
        <v>-3.333333333333347E-3</v>
      </c>
      <c r="S10" s="27">
        <f t="shared" si="6"/>
        <v>8.6734693877544644E-4</v>
      </c>
      <c r="T10" s="27">
        <f t="shared" si="6"/>
        <v>-4.5833333333350859E-4</v>
      </c>
      <c r="U10" s="27">
        <f t="shared" si="6"/>
        <v>-5.7730909090910713E-3</v>
      </c>
      <c r="V10" s="27">
        <f t="shared" si="6"/>
        <v>1.4265199999999822E-2</v>
      </c>
      <c r="W10" s="27">
        <f t="shared" si="6"/>
        <v>6.8211806060605798E-2</v>
      </c>
      <c r="X10" s="27">
        <f t="shared" si="6"/>
        <v>0.16510054421768686</v>
      </c>
      <c r="Y10" s="27">
        <f t="shared" si="6"/>
        <v>5.6202074074073807E-2</v>
      </c>
      <c r="Z10" s="31">
        <f t="shared" si="6"/>
        <v>6.8966349206348976E-2</v>
      </c>
      <c r="AA10" s="14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1"/>
    </row>
    <row r="11" spans="2:40" ht="15.75" thickBot="1" x14ac:dyDescent="0.3"/>
    <row r="12" spans="2:40" ht="15.75" thickBot="1" x14ac:dyDescent="0.3">
      <c r="AN12" s="16" t="s">
        <v>91</v>
      </c>
    </row>
    <row r="13" spans="2:40" ht="15.75" thickBot="1" x14ac:dyDescent="0.3">
      <c r="AN13" s="16">
        <v>2.1103999999999998</v>
      </c>
    </row>
  </sheetData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AN13"/>
  <sheetViews>
    <sheetView workbookViewId="0">
      <selection activeCell="AM10" sqref="AM10"/>
    </sheetView>
  </sheetViews>
  <sheetFormatPr baseColWidth="10" defaultRowHeight="15" x14ac:dyDescent="0.25"/>
  <cols>
    <col min="2" max="2" width="14.85546875" bestFit="1" customWidth="1"/>
    <col min="3" max="11" width="6.42578125" bestFit="1" customWidth="1"/>
    <col min="12" max="14" width="7.42578125" bestFit="1" customWidth="1"/>
    <col min="15" max="23" width="6.42578125" bestFit="1" customWidth="1"/>
    <col min="24" max="26" width="7.42578125" bestFit="1" customWidth="1"/>
    <col min="27" max="27" width="7.140625" customWidth="1"/>
    <col min="28" max="28" width="6.42578125" customWidth="1"/>
    <col min="29" max="32" width="6.7109375" customWidth="1"/>
    <col min="33" max="33" width="6.85546875" customWidth="1"/>
    <col min="34" max="34" width="6.7109375" customWidth="1"/>
    <col min="35" max="35" width="7" customWidth="1"/>
    <col min="36" max="38" width="6.7109375" bestFit="1" customWidth="1"/>
  </cols>
  <sheetData>
    <row r="2" spans="2:40" ht="14.45" x14ac:dyDescent="0.3">
      <c r="B2" s="2"/>
      <c r="C2" s="7" t="s">
        <v>26</v>
      </c>
      <c r="D2" s="7" t="s">
        <v>27</v>
      </c>
      <c r="E2" s="7" t="s">
        <v>28</v>
      </c>
      <c r="F2" s="7" t="s">
        <v>29</v>
      </c>
      <c r="G2" s="7" t="s">
        <v>30</v>
      </c>
      <c r="H2" s="7" t="s">
        <v>31</v>
      </c>
      <c r="I2" s="7" t="s">
        <v>32</v>
      </c>
      <c r="J2" s="7" t="s">
        <v>33</v>
      </c>
      <c r="K2" s="7" t="s">
        <v>34</v>
      </c>
      <c r="L2" s="7" t="s">
        <v>35</v>
      </c>
      <c r="M2" s="7" t="s">
        <v>36</v>
      </c>
      <c r="N2" s="7" t="s">
        <v>37</v>
      </c>
      <c r="O2" s="7" t="s">
        <v>38</v>
      </c>
      <c r="P2" s="7" t="s">
        <v>39</v>
      </c>
      <c r="Q2" s="7" t="s">
        <v>40</v>
      </c>
      <c r="R2" s="7" t="s">
        <v>41</v>
      </c>
      <c r="S2" s="7" t="s">
        <v>42</v>
      </c>
      <c r="T2" s="7" t="s">
        <v>43</v>
      </c>
      <c r="U2" s="7" t="s">
        <v>44</v>
      </c>
      <c r="V2" s="7" t="s">
        <v>45</v>
      </c>
      <c r="W2" s="7" t="s">
        <v>46</v>
      </c>
      <c r="X2" s="7" t="s">
        <v>47</v>
      </c>
      <c r="Y2" s="7" t="s">
        <v>48</v>
      </c>
      <c r="Z2" s="7" t="s">
        <v>49</v>
      </c>
      <c r="AA2" s="7" t="s">
        <v>50</v>
      </c>
      <c r="AB2" s="7" t="s">
        <v>51</v>
      </c>
      <c r="AC2" s="7" t="s">
        <v>52</v>
      </c>
      <c r="AD2" s="7" t="s">
        <v>53</v>
      </c>
      <c r="AE2" s="7" t="s">
        <v>54</v>
      </c>
      <c r="AF2" s="7" t="s">
        <v>55</v>
      </c>
      <c r="AG2" s="7" t="s">
        <v>56</v>
      </c>
      <c r="AH2" s="7" t="s">
        <v>57</v>
      </c>
      <c r="AI2" s="7" t="s">
        <v>58</v>
      </c>
      <c r="AJ2" s="7" t="s">
        <v>59</v>
      </c>
      <c r="AK2" s="7" t="s">
        <v>60</v>
      </c>
      <c r="AL2" s="7" t="s">
        <v>61</v>
      </c>
    </row>
    <row r="3" spans="2:40" thickBot="1" x14ac:dyDescent="0.35">
      <c r="B3" s="2"/>
      <c r="C3" s="8" t="s">
        <v>62</v>
      </c>
      <c r="D3" s="8" t="s">
        <v>63</v>
      </c>
      <c r="E3" s="8" t="s">
        <v>64</v>
      </c>
      <c r="F3" s="8" t="s">
        <v>65</v>
      </c>
      <c r="G3" s="8" t="s">
        <v>66</v>
      </c>
      <c r="H3" s="8" t="s">
        <v>67</v>
      </c>
      <c r="I3" s="8" t="s">
        <v>68</v>
      </c>
      <c r="J3" s="8" t="s">
        <v>69</v>
      </c>
      <c r="K3" s="8" t="s">
        <v>70</v>
      </c>
      <c r="L3" s="8" t="s">
        <v>71</v>
      </c>
      <c r="M3" s="8" t="s">
        <v>72</v>
      </c>
      <c r="N3" s="8" t="s">
        <v>73</v>
      </c>
      <c r="O3" s="8" t="s">
        <v>62</v>
      </c>
      <c r="P3" s="8" t="s">
        <v>63</v>
      </c>
      <c r="Q3" s="8" t="s">
        <v>64</v>
      </c>
      <c r="R3" s="8" t="s">
        <v>65</v>
      </c>
      <c r="S3" s="8" t="s">
        <v>66</v>
      </c>
      <c r="T3" s="8" t="s">
        <v>67</v>
      </c>
      <c r="U3" s="8" t="s">
        <v>68</v>
      </c>
      <c r="V3" s="8" t="s">
        <v>69</v>
      </c>
      <c r="W3" s="8" t="s">
        <v>70</v>
      </c>
      <c r="X3" s="8" t="s">
        <v>71</v>
      </c>
      <c r="Y3" s="8" t="s">
        <v>72</v>
      </c>
      <c r="Z3" s="8" t="s">
        <v>73</v>
      </c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</row>
    <row r="4" spans="2:40" ht="14.45" x14ac:dyDescent="0.3">
      <c r="B4" s="20" t="s">
        <v>0</v>
      </c>
      <c r="C4" s="4" t="s">
        <v>1</v>
      </c>
      <c r="D4" s="3" t="s">
        <v>2</v>
      </c>
      <c r="E4" s="3" t="s">
        <v>3</v>
      </c>
      <c r="F4" s="3" t="s">
        <v>4</v>
      </c>
      <c r="G4" s="3" t="s">
        <v>5</v>
      </c>
      <c r="H4" s="3" t="s">
        <v>6</v>
      </c>
      <c r="I4" s="3" t="s">
        <v>7</v>
      </c>
      <c r="J4" s="3" t="s">
        <v>8</v>
      </c>
      <c r="K4" s="3" t="s">
        <v>9</v>
      </c>
      <c r="L4" s="3" t="s">
        <v>10</v>
      </c>
      <c r="M4" s="3" t="s">
        <v>11</v>
      </c>
      <c r="N4" s="28" t="s">
        <v>12</v>
      </c>
      <c r="O4" s="4" t="s">
        <v>14</v>
      </c>
      <c r="P4" s="3" t="s">
        <v>15</v>
      </c>
      <c r="Q4" s="3" t="s">
        <v>16</v>
      </c>
      <c r="R4" s="3" t="s">
        <v>17</v>
      </c>
      <c r="S4" s="3" t="s">
        <v>18</v>
      </c>
      <c r="T4" s="3" t="s">
        <v>19</v>
      </c>
      <c r="U4" s="3" t="s">
        <v>20</v>
      </c>
      <c r="V4" s="3" t="s">
        <v>21</v>
      </c>
      <c r="W4" s="3" t="s">
        <v>22</v>
      </c>
      <c r="X4" s="3" t="s">
        <v>23</v>
      </c>
      <c r="Y4" s="3" t="s">
        <v>24</v>
      </c>
      <c r="Z4" s="28" t="s">
        <v>25</v>
      </c>
      <c r="AA4" s="17" t="s">
        <v>74</v>
      </c>
      <c r="AB4" s="18" t="s">
        <v>75</v>
      </c>
      <c r="AC4" s="18" t="s">
        <v>76</v>
      </c>
      <c r="AD4" s="18" t="s">
        <v>77</v>
      </c>
      <c r="AE4" s="18" t="s">
        <v>78</v>
      </c>
      <c r="AF4" s="18" t="s">
        <v>79</v>
      </c>
      <c r="AG4" s="18" t="s">
        <v>80</v>
      </c>
      <c r="AH4" s="18" t="s">
        <v>81</v>
      </c>
      <c r="AI4" s="18" t="s">
        <v>82</v>
      </c>
      <c r="AJ4" s="18" t="s">
        <v>83</v>
      </c>
      <c r="AK4" s="18" t="s">
        <v>84</v>
      </c>
      <c r="AL4" s="19" t="s">
        <v>85</v>
      </c>
    </row>
    <row r="5" spans="2:40" ht="14.45" x14ac:dyDescent="0.3">
      <c r="B5" s="21" t="s">
        <v>13</v>
      </c>
      <c r="C5" s="12">
        <f>'P2_Entrepôt 1'!C5+'P2_Entrepôt 2'!C5+'P2_Entrepôt 3'!C5+'P2_Entrepôt 4'!C5+'P2_Entrepôt 5'!C5</f>
        <v>182</v>
      </c>
      <c r="D5" s="6">
        <f>'P2_Entrepôt 1'!D5+'P2_Entrepôt 2'!D5+'P2_Entrepôt 3'!D5+'P2_Entrepôt 4'!D5+'P2_Entrepôt 5'!D5</f>
        <v>226</v>
      </c>
      <c r="E5" s="6">
        <f>'P2_Entrepôt 1'!E5+'P2_Entrepôt 2'!E5+'P2_Entrepôt 3'!E5+'P2_Entrepôt 4'!E5+'P2_Entrepôt 5'!E5</f>
        <v>316</v>
      </c>
      <c r="F5" s="6">
        <f>'P2_Entrepôt 1'!F5+'P2_Entrepôt 2'!F5+'P2_Entrepôt 3'!F5+'P2_Entrepôt 4'!F5+'P2_Entrepôt 5'!F5</f>
        <v>366</v>
      </c>
      <c r="G5" s="6">
        <f>'P2_Entrepôt 1'!G5+'P2_Entrepôt 2'!G5+'P2_Entrepôt 3'!G5+'P2_Entrepôt 4'!G5+'P2_Entrepôt 5'!G5</f>
        <v>455</v>
      </c>
      <c r="H5" s="6">
        <f>'P2_Entrepôt 1'!H5+'P2_Entrepôt 2'!H5+'P2_Entrepôt 3'!H5+'P2_Entrepôt 4'!H5+'P2_Entrepôt 5'!H5</f>
        <v>496</v>
      </c>
      <c r="I5" s="6">
        <f>'P2_Entrepôt 1'!I5+'P2_Entrepôt 2'!I5+'P2_Entrepôt 3'!I5+'P2_Entrepôt 4'!I5+'P2_Entrepôt 5'!I5</f>
        <v>484</v>
      </c>
      <c r="J5" s="6">
        <f>'P2_Entrepôt 1'!J5+'P2_Entrepôt 2'!J5+'P2_Entrepôt 3'!J5+'P2_Entrepôt 4'!J5+'P2_Entrepôt 5'!J5</f>
        <v>472</v>
      </c>
      <c r="K5" s="6">
        <f>'P2_Entrepôt 1'!K5+'P2_Entrepôt 2'!K5+'P2_Entrepôt 3'!K5+'P2_Entrepôt 4'!K5+'P2_Entrepôt 5'!K5</f>
        <v>490</v>
      </c>
      <c r="L5" s="6">
        <f>'P2_Entrepôt 1'!L5+'P2_Entrepôt 2'!L5+'P2_Entrepôt 3'!L5+'P2_Entrepôt 4'!L5+'P2_Entrepôt 5'!L5</f>
        <v>505</v>
      </c>
      <c r="M5" s="6">
        <f>'P2_Entrepôt 1'!M5+'P2_Entrepôt 2'!M5+'P2_Entrepôt 3'!M5+'P2_Entrepôt 4'!M5+'P2_Entrepôt 5'!M5</f>
        <v>459</v>
      </c>
      <c r="N5" s="29">
        <f>'P2_Entrepôt 1'!N5+'P2_Entrepôt 2'!N5+'P2_Entrepôt 3'!N5+'P2_Entrepôt 4'!N5+'P2_Entrepôt 5'!N5</f>
        <v>442</v>
      </c>
      <c r="O5" s="12">
        <f>'P2_Entrepôt 1'!O5+'P2_Entrepôt 2'!O5+'P2_Entrepôt 3'!O5+'P2_Entrepôt 4'!O5+'P2_Entrepôt 5'!O5</f>
        <v>344</v>
      </c>
      <c r="P5" s="6">
        <f>'P2_Entrepôt 1'!P5+'P2_Entrepôt 2'!P5+'P2_Entrepôt 3'!P5+'P2_Entrepôt 4'!P5+'P2_Entrepôt 5'!P5</f>
        <v>370</v>
      </c>
      <c r="Q5" s="6">
        <f>'P2_Entrepôt 1'!Q5+'P2_Entrepôt 2'!Q5+'P2_Entrepôt 3'!Q5+'P2_Entrepôt 4'!Q5+'P2_Entrepôt 5'!Q5</f>
        <v>430</v>
      </c>
      <c r="R5" s="6">
        <f>'P2_Entrepôt 1'!R5+'P2_Entrepôt 2'!R5+'P2_Entrepôt 3'!R5+'P2_Entrepôt 4'!R5+'P2_Entrepôt 5'!R5</f>
        <v>583</v>
      </c>
      <c r="S5" s="6">
        <f>'P2_Entrepôt 1'!S5+'P2_Entrepôt 2'!S5+'P2_Entrepôt 3'!S5+'P2_Entrepôt 4'!S5+'P2_Entrepôt 5'!S5</f>
        <v>674</v>
      </c>
      <c r="T5" s="6">
        <f>'P2_Entrepôt 1'!T5+'P2_Entrepôt 2'!T5+'P2_Entrepôt 3'!T5+'P2_Entrepôt 4'!T5+'P2_Entrepôt 5'!T5</f>
        <v>801</v>
      </c>
      <c r="U5" s="6">
        <f>'P2_Entrepôt 1'!U5+'P2_Entrepôt 2'!U5+'P2_Entrepôt 3'!U5+'P2_Entrepôt 4'!U5+'P2_Entrepôt 5'!U5</f>
        <v>722</v>
      </c>
      <c r="V5" s="6">
        <f>'P2_Entrepôt 1'!V5+'P2_Entrepôt 2'!V5+'P2_Entrepôt 3'!V5+'P2_Entrepôt 4'!V5+'P2_Entrepôt 5'!V5</f>
        <v>712</v>
      </c>
      <c r="W5" s="6">
        <f>'P2_Entrepôt 1'!W5+'P2_Entrepôt 2'!W5+'P2_Entrepôt 3'!W5+'P2_Entrepôt 4'!W5+'P2_Entrepôt 5'!W5</f>
        <v>700</v>
      </c>
      <c r="X5" s="6">
        <f>'P2_Entrepôt 1'!X5+'P2_Entrepôt 2'!X5+'P2_Entrepôt 3'!X5+'P2_Entrepôt 4'!X5+'P2_Entrepôt 5'!X5</f>
        <v>625</v>
      </c>
      <c r="Y5" s="6">
        <f>'P2_Entrepôt 1'!Y5+'P2_Entrepôt 2'!Y5+'P2_Entrepôt 3'!Y5+'P2_Entrepôt 4'!Y5+'P2_Entrepôt 5'!Y5</f>
        <v>567</v>
      </c>
      <c r="Z5" s="29">
        <f>'P2_Entrepôt 1'!Z5+'P2_Entrepôt 2'!Z5+'P2_Entrepôt 3'!Z5+'P2_Entrepôt 4'!Z5+'P2_Entrepôt 5'!Z5</f>
        <v>516</v>
      </c>
      <c r="AA5" s="13"/>
      <c r="AB5" s="7"/>
      <c r="AC5" s="7"/>
      <c r="AD5" s="7"/>
      <c r="AE5" s="7"/>
      <c r="AF5" s="7"/>
      <c r="AG5" s="7"/>
      <c r="AH5" s="7"/>
      <c r="AI5" s="7"/>
      <c r="AJ5" s="7"/>
      <c r="AK5" s="7"/>
      <c r="AL5" s="9"/>
    </row>
    <row r="6" spans="2:40" ht="14.45" x14ac:dyDescent="0.3">
      <c r="B6" s="22" t="s">
        <v>86</v>
      </c>
      <c r="C6" s="33"/>
      <c r="D6" s="32"/>
      <c r="E6" s="32"/>
      <c r="F6" s="32"/>
      <c r="G6" s="32"/>
      <c r="H6" s="32"/>
      <c r="I6" s="44">
        <f>(1/12)*((C5/2)+D5+E5+F5+G5+H5+I5+J5+K5+L5+M5+N5+(O5/2))</f>
        <v>414.5</v>
      </c>
      <c r="J6" s="44">
        <f t="shared" ref="J6:T6" si="0">(1/12)*((D5/2)+E5+F5+G5+H5+I5+J5+K5+L5+M5+N5+O5+(P5/2))</f>
        <v>427.25</v>
      </c>
      <c r="K6" s="44">
        <f t="shared" si="0"/>
        <v>438</v>
      </c>
      <c r="L6" s="44">
        <f t="shared" si="0"/>
        <v>451.79166666666663</v>
      </c>
      <c r="M6" s="44">
        <f t="shared" si="0"/>
        <v>469.95833333333331</v>
      </c>
      <c r="N6" s="48">
        <f t="shared" si="0"/>
        <v>491.79166666666663</v>
      </c>
      <c r="O6" s="46">
        <f t="shared" si="0"/>
        <v>514.41666666666663</v>
      </c>
      <c r="P6" s="44">
        <f t="shared" si="0"/>
        <v>534.33333333333326</v>
      </c>
      <c r="Q6" s="44">
        <f t="shared" si="0"/>
        <v>553.08333333333326</v>
      </c>
      <c r="R6" s="44">
        <f t="shared" si="0"/>
        <v>566.83333333333326</v>
      </c>
      <c r="S6" s="44">
        <f t="shared" si="0"/>
        <v>576.33333333333326</v>
      </c>
      <c r="T6" s="44">
        <f t="shared" si="0"/>
        <v>583.91666666666663</v>
      </c>
      <c r="U6" s="32"/>
      <c r="V6" s="32"/>
      <c r="W6" s="7"/>
      <c r="X6" s="32"/>
      <c r="Y6" s="32"/>
      <c r="Z6" s="34"/>
      <c r="AA6" s="33"/>
      <c r="AB6" s="32"/>
      <c r="AC6" s="32"/>
      <c r="AD6" s="32"/>
      <c r="AE6" s="32"/>
      <c r="AF6" s="7"/>
      <c r="AG6" s="32"/>
      <c r="AH6" s="32"/>
      <c r="AI6" s="32"/>
      <c r="AJ6" s="32"/>
      <c r="AK6" s="32"/>
      <c r="AL6" s="42"/>
    </row>
    <row r="7" spans="2:40" ht="14.45" x14ac:dyDescent="0.3">
      <c r="B7" s="22" t="s">
        <v>87</v>
      </c>
      <c r="C7" s="37">
        <v>0.67</v>
      </c>
      <c r="D7" s="36">
        <v>0.69</v>
      </c>
      <c r="E7" s="36">
        <v>0.78</v>
      </c>
      <c r="F7" s="36">
        <v>1.03</v>
      </c>
      <c r="G7" s="36">
        <v>1.17</v>
      </c>
      <c r="H7" s="36">
        <v>1.37</v>
      </c>
      <c r="I7" s="32">
        <f>ROUND(I5/I6,2)</f>
        <v>1.17</v>
      </c>
      <c r="J7" s="32">
        <f t="shared" ref="J7:T7" si="1">ROUND(J5/J6,2)</f>
        <v>1.1000000000000001</v>
      </c>
      <c r="K7" s="32">
        <f t="shared" si="1"/>
        <v>1.1200000000000001</v>
      </c>
      <c r="L7" s="32">
        <f t="shared" si="1"/>
        <v>1.1200000000000001</v>
      </c>
      <c r="M7" s="32">
        <f t="shared" si="1"/>
        <v>0.98</v>
      </c>
      <c r="N7" s="34">
        <f t="shared" si="1"/>
        <v>0.9</v>
      </c>
      <c r="O7" s="33">
        <f t="shared" si="1"/>
        <v>0.67</v>
      </c>
      <c r="P7" s="32">
        <f t="shared" si="1"/>
        <v>0.69</v>
      </c>
      <c r="Q7" s="32">
        <f t="shared" si="1"/>
        <v>0.78</v>
      </c>
      <c r="R7" s="32">
        <f t="shared" si="1"/>
        <v>1.03</v>
      </c>
      <c r="S7" s="32">
        <f t="shared" si="1"/>
        <v>1.17</v>
      </c>
      <c r="T7" s="32">
        <f t="shared" si="1"/>
        <v>1.37</v>
      </c>
      <c r="U7" s="36">
        <v>1.17</v>
      </c>
      <c r="V7" s="36">
        <v>1.1000000000000001</v>
      </c>
      <c r="W7" s="36">
        <v>1.1200000000000001</v>
      </c>
      <c r="X7" s="36">
        <v>1.1200000000000001</v>
      </c>
      <c r="Y7" s="36">
        <v>0.98</v>
      </c>
      <c r="Z7" s="35">
        <v>0.9</v>
      </c>
      <c r="AA7" s="33">
        <v>0.67</v>
      </c>
      <c r="AB7" s="7">
        <v>0.69</v>
      </c>
      <c r="AC7" s="32">
        <v>0.78</v>
      </c>
      <c r="AD7" s="32">
        <v>1.03</v>
      </c>
      <c r="AE7" s="32">
        <v>1.17</v>
      </c>
      <c r="AF7" s="32">
        <v>1.37</v>
      </c>
      <c r="AG7" s="32">
        <v>1.17</v>
      </c>
      <c r="AH7" s="32">
        <v>1.1000000000000001</v>
      </c>
      <c r="AI7" s="32">
        <v>1.1200000000000001</v>
      </c>
      <c r="AJ7" s="7">
        <v>1.1200000000000001</v>
      </c>
      <c r="AK7" s="32">
        <v>0.98</v>
      </c>
      <c r="AL7" s="9">
        <v>0.9</v>
      </c>
    </row>
    <row r="8" spans="2:40" x14ac:dyDescent="0.25">
      <c r="B8" s="22" t="s">
        <v>88</v>
      </c>
      <c r="C8" s="46">
        <f t="shared" ref="C8:G8" si="2">D8-$AN$13</f>
        <v>313.18399999999986</v>
      </c>
      <c r="D8" s="44">
        <f t="shared" si="2"/>
        <v>330.06999999999988</v>
      </c>
      <c r="E8" s="44">
        <f t="shared" si="2"/>
        <v>346.9559999999999</v>
      </c>
      <c r="F8" s="44">
        <f t="shared" si="2"/>
        <v>363.84199999999993</v>
      </c>
      <c r="G8" s="44">
        <f t="shared" si="2"/>
        <v>380.72799999999995</v>
      </c>
      <c r="H8" s="44">
        <f>I8-$AN$13</f>
        <v>397.61399999999998</v>
      </c>
      <c r="I8" s="44">
        <f>I6</f>
        <v>414.5</v>
      </c>
      <c r="J8" s="44">
        <f t="shared" ref="J8:T8" si="3">J6</f>
        <v>427.25</v>
      </c>
      <c r="K8" s="44">
        <f t="shared" si="3"/>
        <v>438</v>
      </c>
      <c r="L8" s="44">
        <f t="shared" si="3"/>
        <v>451.79166666666663</v>
      </c>
      <c r="M8" s="44">
        <f t="shared" si="3"/>
        <v>469.95833333333331</v>
      </c>
      <c r="N8" s="48">
        <f t="shared" si="3"/>
        <v>491.79166666666663</v>
      </c>
      <c r="O8" s="46">
        <f t="shared" si="3"/>
        <v>514.41666666666663</v>
      </c>
      <c r="P8" s="44">
        <f t="shared" si="3"/>
        <v>534.33333333333326</v>
      </c>
      <c r="Q8" s="44">
        <f t="shared" si="3"/>
        <v>553.08333333333326</v>
      </c>
      <c r="R8" s="44">
        <f t="shared" si="3"/>
        <v>566.83333333333326</v>
      </c>
      <c r="S8" s="44">
        <f t="shared" si="3"/>
        <v>576.33333333333326</v>
      </c>
      <c r="T8" s="44">
        <f t="shared" si="3"/>
        <v>583.91666666666663</v>
      </c>
      <c r="U8" s="44">
        <f>T8+$AN$13</f>
        <v>600.8026666666666</v>
      </c>
      <c r="V8" s="44">
        <f t="shared" ref="V8:AL8" si="4">U8+$AN$13</f>
        <v>617.68866666666656</v>
      </c>
      <c r="W8" s="44">
        <f t="shared" si="4"/>
        <v>634.57466666666653</v>
      </c>
      <c r="X8" s="44">
        <f t="shared" si="4"/>
        <v>651.4606666666665</v>
      </c>
      <c r="Y8" s="44">
        <f t="shared" si="4"/>
        <v>668.34666666666647</v>
      </c>
      <c r="Z8" s="48">
        <f t="shared" si="4"/>
        <v>685.23266666666643</v>
      </c>
      <c r="AA8" s="46">
        <f t="shared" si="4"/>
        <v>702.1186666666664</v>
      </c>
      <c r="AB8" s="44">
        <f t="shared" si="4"/>
        <v>719.00466666666637</v>
      </c>
      <c r="AC8" s="44">
        <f t="shared" si="4"/>
        <v>735.89066666666633</v>
      </c>
      <c r="AD8" s="44">
        <f t="shared" si="4"/>
        <v>752.7766666666663</v>
      </c>
      <c r="AE8" s="44">
        <f t="shared" si="4"/>
        <v>769.66266666666627</v>
      </c>
      <c r="AF8" s="44">
        <f t="shared" si="4"/>
        <v>786.54866666666624</v>
      </c>
      <c r="AG8" s="44">
        <f t="shared" si="4"/>
        <v>803.4346666666662</v>
      </c>
      <c r="AH8" s="44">
        <f t="shared" si="4"/>
        <v>820.32066666666617</v>
      </c>
      <c r="AI8" s="44">
        <f t="shared" si="4"/>
        <v>837.20666666666614</v>
      </c>
      <c r="AJ8" s="44">
        <f t="shared" si="4"/>
        <v>854.0926666666661</v>
      </c>
      <c r="AK8" s="44">
        <f t="shared" si="4"/>
        <v>870.97866666666607</v>
      </c>
      <c r="AL8" s="45">
        <f t="shared" si="4"/>
        <v>887.86466666666604</v>
      </c>
    </row>
    <row r="9" spans="2:40" ht="14.45" x14ac:dyDescent="0.3">
      <c r="B9" s="22" t="s">
        <v>89</v>
      </c>
      <c r="C9" s="33">
        <f>C8*C7</f>
        <v>209.83327999999992</v>
      </c>
      <c r="D9" s="32">
        <f t="shared" ref="D9:AL9" si="5">D8*D7</f>
        <v>227.74829999999989</v>
      </c>
      <c r="E9" s="32">
        <f t="shared" si="5"/>
        <v>270.62567999999993</v>
      </c>
      <c r="F9" s="32">
        <f t="shared" si="5"/>
        <v>374.75725999999992</v>
      </c>
      <c r="G9" s="32">
        <f t="shared" si="5"/>
        <v>445.45175999999992</v>
      </c>
      <c r="H9" s="32">
        <f t="shared" si="5"/>
        <v>544.73117999999999</v>
      </c>
      <c r="I9" s="32">
        <f t="shared" si="5"/>
        <v>484.96499999999997</v>
      </c>
      <c r="J9" s="32">
        <f t="shared" si="5"/>
        <v>469.97500000000002</v>
      </c>
      <c r="K9" s="32">
        <f t="shared" si="5"/>
        <v>490.56000000000006</v>
      </c>
      <c r="L9" s="32">
        <f t="shared" si="5"/>
        <v>506.00666666666666</v>
      </c>
      <c r="M9" s="32">
        <f t="shared" si="5"/>
        <v>460.55916666666661</v>
      </c>
      <c r="N9" s="34">
        <f t="shared" si="5"/>
        <v>442.61249999999995</v>
      </c>
      <c r="O9" s="33">
        <f t="shared" si="5"/>
        <v>344.65916666666664</v>
      </c>
      <c r="P9" s="32">
        <f t="shared" si="5"/>
        <v>368.68999999999994</v>
      </c>
      <c r="Q9" s="32">
        <f t="shared" si="5"/>
        <v>431.40499999999997</v>
      </c>
      <c r="R9" s="32">
        <f t="shared" si="5"/>
        <v>583.83833333333325</v>
      </c>
      <c r="S9" s="32">
        <f t="shared" si="5"/>
        <v>674.30999999999983</v>
      </c>
      <c r="T9" s="32">
        <f t="shared" si="5"/>
        <v>799.96583333333331</v>
      </c>
      <c r="U9" s="32">
        <f t="shared" si="5"/>
        <v>702.93911999999989</v>
      </c>
      <c r="V9" s="32">
        <f t="shared" si="5"/>
        <v>679.45753333333323</v>
      </c>
      <c r="W9" s="32">
        <f t="shared" si="5"/>
        <v>710.72362666666663</v>
      </c>
      <c r="X9" s="32">
        <f t="shared" si="5"/>
        <v>729.63594666666654</v>
      </c>
      <c r="Y9" s="32">
        <f t="shared" si="5"/>
        <v>654.97973333333312</v>
      </c>
      <c r="Z9" s="34">
        <f t="shared" si="5"/>
        <v>616.70939999999985</v>
      </c>
      <c r="AA9" s="33">
        <f t="shared" si="5"/>
        <v>470.41950666666651</v>
      </c>
      <c r="AB9" s="32">
        <f t="shared" si="5"/>
        <v>496.11321999999973</v>
      </c>
      <c r="AC9" s="32">
        <f t="shared" si="5"/>
        <v>573.9947199999998</v>
      </c>
      <c r="AD9" s="32">
        <f t="shared" si="5"/>
        <v>775.35996666666631</v>
      </c>
      <c r="AE9" s="32">
        <f t="shared" si="5"/>
        <v>900.50531999999953</v>
      </c>
      <c r="AF9" s="32">
        <f t="shared" si="5"/>
        <v>1077.5716733333329</v>
      </c>
      <c r="AG9" s="32">
        <f t="shared" si="5"/>
        <v>940.01855999999941</v>
      </c>
      <c r="AH9" s="32">
        <f t="shared" si="5"/>
        <v>902.35273333333282</v>
      </c>
      <c r="AI9" s="32">
        <f t="shared" si="5"/>
        <v>937.67146666666622</v>
      </c>
      <c r="AJ9" s="32">
        <f t="shared" si="5"/>
        <v>956.58378666666613</v>
      </c>
      <c r="AK9" s="32">
        <f t="shared" si="5"/>
        <v>853.55909333333273</v>
      </c>
      <c r="AL9" s="42">
        <f t="shared" si="5"/>
        <v>799.07819999999947</v>
      </c>
    </row>
    <row r="10" spans="2:40" thickBot="1" x14ac:dyDescent="0.35">
      <c r="B10" s="23" t="s">
        <v>90</v>
      </c>
      <c r="C10" s="26">
        <f>(C9-C5)/C5</f>
        <v>0.15293010989010944</v>
      </c>
      <c r="D10" s="27">
        <f t="shared" ref="D10:Z10" si="6">(D9-D5)/D5</f>
        <v>7.7358407079641004E-3</v>
      </c>
      <c r="E10" s="27">
        <f t="shared" si="6"/>
        <v>-0.14358962025316477</v>
      </c>
      <c r="F10" s="27">
        <f t="shared" si="6"/>
        <v>2.3926939890710156E-2</v>
      </c>
      <c r="G10" s="27">
        <f t="shared" si="6"/>
        <v>-2.0985142857143028E-2</v>
      </c>
      <c r="H10" s="27">
        <f t="shared" si="6"/>
        <v>9.8248346774193543E-2</v>
      </c>
      <c r="I10" s="27">
        <f t="shared" si="6"/>
        <v>1.9938016528925104E-3</v>
      </c>
      <c r="J10" s="27">
        <f t="shared" si="6"/>
        <v>-4.290254237288087E-3</v>
      </c>
      <c r="K10" s="27">
        <f t="shared" si="6"/>
        <v>1.1428571428572635E-3</v>
      </c>
      <c r="L10" s="27">
        <f t="shared" si="6"/>
        <v>1.9933993399339814E-3</v>
      </c>
      <c r="M10" s="27">
        <f t="shared" si="6"/>
        <v>3.3968772694261719E-3</v>
      </c>
      <c r="N10" s="31">
        <f t="shared" si="6"/>
        <v>1.3857466063347387E-3</v>
      </c>
      <c r="O10" s="26">
        <f t="shared" si="6"/>
        <v>1.9161821705425454E-3</v>
      </c>
      <c r="P10" s="27">
        <f t="shared" si="6"/>
        <v>-3.5405405405407003E-3</v>
      </c>
      <c r="Q10" s="27">
        <f t="shared" si="6"/>
        <v>3.2674418604650528E-3</v>
      </c>
      <c r="R10" s="27">
        <f t="shared" si="6"/>
        <v>1.4379645511719606E-3</v>
      </c>
      <c r="S10" s="27">
        <f t="shared" si="6"/>
        <v>4.5994065281874144E-4</v>
      </c>
      <c r="T10" s="27">
        <f t="shared" si="6"/>
        <v>-1.2910944652518009E-3</v>
      </c>
      <c r="U10" s="27">
        <f t="shared" si="6"/>
        <v>-2.6400110803324255E-2</v>
      </c>
      <c r="V10" s="27">
        <f t="shared" si="6"/>
        <v>-4.5705711610487032E-2</v>
      </c>
      <c r="W10" s="27">
        <f t="shared" si="6"/>
        <v>1.5319466666666618E-2</v>
      </c>
      <c r="X10" s="27">
        <f t="shared" si="6"/>
        <v>0.16741751466666646</v>
      </c>
      <c r="Y10" s="27">
        <f t="shared" si="6"/>
        <v>0.15516707818930003</v>
      </c>
      <c r="Z10" s="31">
        <f t="shared" si="6"/>
        <v>0.1951732558139532</v>
      </c>
      <c r="AA10" s="14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1"/>
    </row>
    <row r="11" spans="2:40" ht="15.75" thickBot="1" x14ac:dyDescent="0.3"/>
    <row r="12" spans="2:40" ht="15.75" thickBot="1" x14ac:dyDescent="0.3">
      <c r="AN12" s="16" t="s">
        <v>91</v>
      </c>
    </row>
    <row r="13" spans="2:40" ht="15.75" thickBot="1" x14ac:dyDescent="0.3">
      <c r="AN13" s="16">
        <v>16.885999999999999</v>
      </c>
    </row>
  </sheetData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O18"/>
  <sheetViews>
    <sheetView workbookViewId="0">
      <selection activeCell="A2" sqref="A2"/>
    </sheetView>
  </sheetViews>
  <sheetFormatPr baseColWidth="10" defaultRowHeight="15" x14ac:dyDescent="0.25"/>
  <cols>
    <col min="2" max="2" width="13.42578125" customWidth="1"/>
  </cols>
  <sheetData>
    <row r="4" spans="2:15" thickBot="1" x14ac:dyDescent="0.35"/>
    <row r="5" spans="2:15" x14ac:dyDescent="0.25">
      <c r="B5" s="259" t="s">
        <v>142</v>
      </c>
      <c r="C5" s="260"/>
      <c r="D5" s="260"/>
      <c r="E5" s="260"/>
      <c r="F5" s="260"/>
      <c r="G5" s="260"/>
      <c r="H5" s="260"/>
      <c r="I5" s="260"/>
      <c r="J5" s="260"/>
      <c r="K5" s="260"/>
      <c r="L5" s="260"/>
      <c r="M5" s="260"/>
      <c r="N5" s="260"/>
      <c r="O5" s="261"/>
    </row>
    <row r="6" spans="2:15" ht="15.75" thickBot="1" x14ac:dyDescent="0.3">
      <c r="B6" s="262"/>
      <c r="C6" s="263"/>
      <c r="D6" s="263"/>
      <c r="E6" s="263"/>
      <c r="F6" s="263"/>
      <c r="G6" s="263"/>
      <c r="H6" s="263"/>
      <c r="I6" s="263"/>
      <c r="J6" s="263"/>
      <c r="K6" s="263"/>
      <c r="L6" s="263"/>
      <c r="M6" s="263"/>
      <c r="N6" s="263"/>
      <c r="O6" s="264"/>
    </row>
    <row r="7" spans="2:15" thickBot="1" x14ac:dyDescent="0.35">
      <c r="B7" s="84" t="s">
        <v>122</v>
      </c>
      <c r="C7" s="84" t="s">
        <v>134</v>
      </c>
      <c r="D7" s="99" t="s">
        <v>74</v>
      </c>
      <c r="E7" s="100" t="s">
        <v>75</v>
      </c>
      <c r="F7" s="100" t="s">
        <v>76</v>
      </c>
      <c r="G7" s="100" t="s">
        <v>77</v>
      </c>
      <c r="H7" s="100" t="s">
        <v>78</v>
      </c>
      <c r="I7" s="100" t="s">
        <v>79</v>
      </c>
      <c r="J7" s="100" t="s">
        <v>80</v>
      </c>
      <c r="K7" s="100" t="s">
        <v>81</v>
      </c>
      <c r="L7" s="100" t="s">
        <v>82</v>
      </c>
      <c r="M7" s="100" t="s">
        <v>83</v>
      </c>
      <c r="N7" s="100" t="s">
        <v>84</v>
      </c>
      <c r="O7" s="101" t="s">
        <v>85</v>
      </c>
    </row>
    <row r="8" spans="2:15" x14ac:dyDescent="0.25">
      <c r="B8" s="265" t="s">
        <v>138</v>
      </c>
      <c r="C8" s="102" t="s">
        <v>106</v>
      </c>
      <c r="D8" s="61">
        <f>'Besoins Bruts'!D17*'Nomenclature &amp; données'!$I$6</f>
        <v>6184.5</v>
      </c>
      <c r="E8" s="61">
        <f>'Besoins Bruts'!E17*'Nomenclature &amp; données'!$I$6</f>
        <v>6631.38</v>
      </c>
      <c r="F8" s="61">
        <f>'Besoins Bruts'!F17*'Nomenclature &amp; données'!$I$6</f>
        <v>7671.4400000000005</v>
      </c>
      <c r="G8" s="61">
        <f>'Besoins Bruts'!G17*'Nomenclature &amp; données'!$I$6</f>
        <v>10326.120000000001</v>
      </c>
      <c r="H8" s="61">
        <f>'Besoins Bruts'!H17*'Nomenclature &amp; données'!$I$6</f>
        <v>11898.18</v>
      </c>
      <c r="I8" s="61">
        <f>'Besoins Bruts'!I17*'Nomenclature &amp; données'!$I$6</f>
        <v>14254.94</v>
      </c>
      <c r="J8" s="61">
        <f>'Besoins Bruts'!J17*'Nomenclature &amp; données'!$I$6</f>
        <v>12693.52</v>
      </c>
      <c r="K8" s="61">
        <f>'Besoins Bruts'!K17*'Nomenclature &amp; données'!$I$6</f>
        <v>12339.74</v>
      </c>
      <c r="L8" s="61">
        <f>'Besoins Bruts'!L17*'Nomenclature &amp; données'!$I$6</f>
        <v>12842.480000000001</v>
      </c>
      <c r="M8" s="61">
        <f>'Besoins Bruts'!M17*'Nomenclature &amp; données'!$I$6</f>
        <v>12337.08</v>
      </c>
      <c r="N8" s="61">
        <f>'Besoins Bruts'!N17*'Nomenclature &amp; données'!$I$6</f>
        <v>10062.780000000001</v>
      </c>
      <c r="O8" s="61">
        <f>'Besoins Bruts'!O17*'Nomenclature &amp; données'!$I$6</f>
        <v>9331.2800000000007</v>
      </c>
    </row>
    <row r="9" spans="2:15" x14ac:dyDescent="0.25">
      <c r="B9" s="266"/>
      <c r="C9" s="103" t="s">
        <v>107</v>
      </c>
      <c r="D9" s="61">
        <f>'Besoins Bruts'!D18*'Nomenclature &amp; données'!$J$6</f>
        <v>11304</v>
      </c>
      <c r="E9" s="61">
        <f>'Besoins Bruts'!E18*'Nomenclature &amp; données'!$J$6</f>
        <v>11928</v>
      </c>
      <c r="F9" s="61">
        <f>'Besoins Bruts'!F18*'Nomenclature &amp; données'!$J$6</f>
        <v>13776</v>
      </c>
      <c r="G9" s="61">
        <f>'Besoins Bruts'!G18*'Nomenclature &amp; données'!$J$6</f>
        <v>18624</v>
      </c>
      <c r="H9" s="61">
        <f>'Besoins Bruts'!H18*'Nomenclature &amp; données'!$J$6</f>
        <v>21624</v>
      </c>
      <c r="I9" s="61">
        <f>'Besoins Bruts'!I18*'Nomenclature &amp; données'!$J$6</f>
        <v>25872</v>
      </c>
      <c r="J9" s="61">
        <f>'Besoins Bruts'!J18*'Nomenclature &amp; données'!$J$6</f>
        <v>22584</v>
      </c>
      <c r="K9" s="61">
        <f>'Besoins Bruts'!K18*'Nomenclature &amp; données'!$J$6</f>
        <v>21672</v>
      </c>
      <c r="L9" s="61">
        <f>'Besoins Bruts'!L18*'Nomenclature &amp; données'!$J$6</f>
        <v>22512</v>
      </c>
      <c r="M9" s="61">
        <f>'Besoins Bruts'!M18*'Nomenclature &amp; données'!$J$6</f>
        <v>22968</v>
      </c>
      <c r="N9" s="61">
        <f>'Besoins Bruts'!N18*'Nomenclature &amp; données'!$J$6</f>
        <v>20496</v>
      </c>
      <c r="O9" s="61">
        <f>'Besoins Bruts'!O18*'Nomenclature &amp; données'!$J$6</f>
        <v>19200</v>
      </c>
    </row>
    <row r="10" spans="2:15" x14ac:dyDescent="0.25">
      <c r="B10" s="266" t="s">
        <v>139</v>
      </c>
      <c r="C10" s="103" t="s">
        <v>108</v>
      </c>
      <c r="D10" s="61">
        <f>'Besoins Bruts'!D19*'Nomenclature &amp; données'!$K$6</f>
        <v>7440</v>
      </c>
      <c r="E10" s="61">
        <f>'Besoins Bruts'!E19*'Nomenclature &amp; données'!$K$6</f>
        <v>7977.6</v>
      </c>
      <c r="F10" s="61">
        <f>'Besoins Bruts'!F19*'Nomenclature &amp; données'!$K$6</f>
        <v>9228.8000000000011</v>
      </c>
      <c r="G10" s="61">
        <f>'Besoins Bruts'!G19*'Nomenclature &amp; données'!$K$6</f>
        <v>12422.400000000001</v>
      </c>
      <c r="H10" s="61">
        <f>'Besoins Bruts'!H19*'Nomenclature &amp; données'!$K$6</f>
        <v>14313.6</v>
      </c>
      <c r="I10" s="61">
        <f>'Besoins Bruts'!I19*'Nomenclature &amp; données'!$K$6</f>
        <v>17148.8</v>
      </c>
      <c r="J10" s="61">
        <f>'Besoins Bruts'!J19*'Nomenclature &amp; données'!$K$6</f>
        <v>15270.400000000001</v>
      </c>
      <c r="K10" s="61">
        <f>'Besoins Bruts'!K19*'Nomenclature &amp; données'!$K$6</f>
        <v>14844.800000000001</v>
      </c>
      <c r="L10" s="61">
        <f>'Besoins Bruts'!L19*'Nomenclature &amp; données'!$K$6</f>
        <v>15449.6</v>
      </c>
      <c r="M10" s="61">
        <f>'Besoins Bruts'!M19*'Nomenclature &amp; données'!$K$6</f>
        <v>14841.6</v>
      </c>
      <c r="N10" s="61">
        <f>'Besoins Bruts'!N19*'Nomenclature &amp; données'!$K$6</f>
        <v>12105.6</v>
      </c>
      <c r="O10" s="61">
        <f>'Besoins Bruts'!O19*'Nomenclature &amp; données'!$K$6</f>
        <v>11225.6</v>
      </c>
    </row>
    <row r="11" spans="2:15" x14ac:dyDescent="0.25">
      <c r="B11" s="266"/>
      <c r="C11" s="103" t="s">
        <v>109</v>
      </c>
      <c r="D11" s="61">
        <f>'Besoins Bruts'!D20*'Nomenclature &amp; données'!$L$6</f>
        <v>22608</v>
      </c>
      <c r="E11" s="61">
        <f>'Besoins Bruts'!E20*'Nomenclature &amp; données'!$L$6</f>
        <v>23856</v>
      </c>
      <c r="F11" s="61">
        <f>'Besoins Bruts'!F20*'Nomenclature &amp; données'!$L$6</f>
        <v>27552</v>
      </c>
      <c r="G11" s="61">
        <f>'Besoins Bruts'!G20*'Nomenclature &amp; données'!$L$6</f>
        <v>37248</v>
      </c>
      <c r="H11" s="61">
        <f>'Besoins Bruts'!H20*'Nomenclature &amp; données'!$L$6</f>
        <v>43248</v>
      </c>
      <c r="I11" s="61">
        <f>'Besoins Bruts'!I20*'Nomenclature &amp; données'!$L$6</f>
        <v>51744</v>
      </c>
      <c r="J11" s="61">
        <f>'Besoins Bruts'!J20*'Nomenclature &amp; données'!$L$6</f>
        <v>45168</v>
      </c>
      <c r="K11" s="61">
        <f>'Besoins Bruts'!K20*'Nomenclature &amp; données'!$L$6</f>
        <v>43344</v>
      </c>
      <c r="L11" s="61">
        <f>'Besoins Bruts'!L20*'Nomenclature &amp; données'!$L$6</f>
        <v>45024</v>
      </c>
      <c r="M11" s="61">
        <f>'Besoins Bruts'!M20*'Nomenclature &amp; données'!$L$6</f>
        <v>45936</v>
      </c>
      <c r="N11" s="61">
        <f>'Besoins Bruts'!N20*'Nomenclature &amp; données'!$L$6</f>
        <v>40992</v>
      </c>
      <c r="O11" s="61">
        <f>'Besoins Bruts'!O20*'Nomenclature &amp; données'!$L$6</f>
        <v>38400</v>
      </c>
    </row>
    <row r="12" spans="2:15" x14ac:dyDescent="0.25">
      <c r="B12" s="266"/>
      <c r="C12" s="103" t="s">
        <v>112</v>
      </c>
      <c r="D12" s="61">
        <f>'Besoins Bruts'!D21*'Nomenclature &amp; données'!$O$6</f>
        <v>26841.599999999999</v>
      </c>
      <c r="E12" s="61">
        <f>'Besoins Bruts'!E21*'Nomenclature &amp; données'!$O$6</f>
        <v>28704</v>
      </c>
      <c r="F12" s="61">
        <f>'Besoins Bruts'!F21*'Nomenclature &amp; données'!$O$6</f>
        <v>33196.799999999996</v>
      </c>
      <c r="G12" s="61">
        <f>'Besoins Bruts'!G21*'Nomenclature &amp; données'!$O$6</f>
        <v>44716.799999999996</v>
      </c>
      <c r="H12" s="61">
        <f>'Besoins Bruts'!H21*'Nomenclature &amp; données'!$O$6</f>
        <v>51590.400000000001</v>
      </c>
      <c r="I12" s="61">
        <f>'Besoins Bruts'!I21*'Nomenclature &amp; données'!$O$6</f>
        <v>61795.199999999997</v>
      </c>
      <c r="J12" s="61">
        <f>'Besoins Bruts'!J21*'Nomenclature &amp; données'!$O$6</f>
        <v>54844.799999999996</v>
      </c>
      <c r="K12" s="61">
        <f>'Besoins Bruts'!K21*'Nomenclature &amp; données'!$O$6</f>
        <v>53203.199999999997</v>
      </c>
      <c r="L12" s="61">
        <f>'Besoins Bruts'!L21*'Nomenclature &amp; données'!$O$6</f>
        <v>55353.599999999999</v>
      </c>
      <c r="M12" s="61">
        <f>'Besoins Bruts'!M21*'Nomenclature &amp; données'!$O$6</f>
        <v>53712</v>
      </c>
      <c r="N12" s="61">
        <f>'Besoins Bruts'!N21*'Nomenclature &amp; données'!$O$6</f>
        <v>44515.199999999997</v>
      </c>
      <c r="O12" s="61">
        <f>'Besoins Bruts'!O21*'Nomenclature &amp; données'!$O$6</f>
        <v>41356.799999999996</v>
      </c>
    </row>
    <row r="13" spans="2:15" x14ac:dyDescent="0.25">
      <c r="B13" s="266" t="s">
        <v>140</v>
      </c>
      <c r="C13" s="103" t="s">
        <v>111</v>
      </c>
      <c r="D13" s="61">
        <f>'Besoins Bruts'!D22*'Nomenclature &amp; données'!$N$6</f>
        <v>113040</v>
      </c>
      <c r="E13" s="61">
        <f>'Besoins Bruts'!E22*'Nomenclature &amp; données'!$N$6</f>
        <v>119280</v>
      </c>
      <c r="F13" s="61">
        <f>'Besoins Bruts'!F22*'Nomenclature &amp; données'!$N$6</f>
        <v>137760</v>
      </c>
      <c r="G13" s="61">
        <f>'Besoins Bruts'!G22*'Nomenclature &amp; données'!$N$6</f>
        <v>186240</v>
      </c>
      <c r="H13" s="61">
        <f>'Besoins Bruts'!H22*'Nomenclature &amp; données'!$N$6</f>
        <v>216240</v>
      </c>
      <c r="I13" s="61">
        <f>'Besoins Bruts'!I22*'Nomenclature &amp; données'!$N$6</f>
        <v>258720</v>
      </c>
      <c r="J13" s="61">
        <f>'Besoins Bruts'!J22*'Nomenclature &amp; données'!$N$6</f>
        <v>225840</v>
      </c>
      <c r="K13" s="61">
        <f>'Besoins Bruts'!K22*'Nomenclature &amp; données'!$N$6</f>
        <v>216720</v>
      </c>
      <c r="L13" s="61">
        <f>'Besoins Bruts'!L22*'Nomenclature &amp; données'!$N$6</f>
        <v>225120</v>
      </c>
      <c r="M13" s="61">
        <f>'Besoins Bruts'!M22*'Nomenclature &amp; données'!$N$6</f>
        <v>229680</v>
      </c>
      <c r="N13" s="61">
        <f>'Besoins Bruts'!N22*'Nomenclature &amp; données'!$N$6</f>
        <v>204960</v>
      </c>
      <c r="O13" s="61">
        <f>'Besoins Bruts'!O22*'Nomenclature &amp; données'!$N$6</f>
        <v>192000</v>
      </c>
    </row>
    <row r="14" spans="2:15" x14ac:dyDescent="0.25">
      <c r="B14" s="266"/>
      <c r="C14" s="103" t="s">
        <v>110</v>
      </c>
      <c r="D14" s="61">
        <f>'Besoins Bruts'!D23*'Nomenclature &amp; données'!$M$6</f>
        <v>11160</v>
      </c>
      <c r="E14" s="61">
        <f>'Besoins Bruts'!E23*'Nomenclature &amp; données'!$M$6</f>
        <v>11966.4</v>
      </c>
      <c r="F14" s="61">
        <f>'Besoins Bruts'!F23*'Nomenclature &amp; données'!$M$6</f>
        <v>13843.199999999999</v>
      </c>
      <c r="G14" s="61">
        <f>'Besoins Bruts'!G23*'Nomenclature &amp; données'!$M$6</f>
        <v>18633.599999999999</v>
      </c>
      <c r="H14" s="61">
        <f>'Besoins Bruts'!H23*'Nomenclature &amp; données'!$M$6</f>
        <v>21470.399999999998</v>
      </c>
      <c r="I14" s="61">
        <f>'Besoins Bruts'!I23*'Nomenclature &amp; données'!$M$6</f>
        <v>25723.200000000001</v>
      </c>
      <c r="J14" s="61">
        <f>'Besoins Bruts'!J23*'Nomenclature &amp; données'!$M$6</f>
        <v>22905.599999999999</v>
      </c>
      <c r="K14" s="61">
        <f>'Besoins Bruts'!K23*'Nomenclature &amp; données'!$M$6</f>
        <v>22267.200000000001</v>
      </c>
      <c r="L14" s="61">
        <f>'Besoins Bruts'!L23*'Nomenclature &amp; données'!$M$6</f>
        <v>23174.399999999998</v>
      </c>
      <c r="M14" s="61">
        <f>'Besoins Bruts'!M23*'Nomenclature &amp; données'!$M$6</f>
        <v>22262.399999999998</v>
      </c>
      <c r="N14" s="61">
        <f>'Besoins Bruts'!N23*'Nomenclature &amp; données'!$M$6</f>
        <v>18158.399999999998</v>
      </c>
      <c r="O14" s="61">
        <f>'Besoins Bruts'!O23*'Nomenclature &amp; données'!$M$6</f>
        <v>16838.399999999998</v>
      </c>
    </row>
    <row r="15" spans="2:15" x14ac:dyDescent="0.25">
      <c r="B15" s="266"/>
      <c r="C15" s="104" t="s">
        <v>115</v>
      </c>
      <c r="D15" s="60">
        <v>0</v>
      </c>
      <c r="E15" s="91">
        <v>0</v>
      </c>
      <c r="F15" s="91">
        <v>0</v>
      </c>
      <c r="G15" s="91">
        <v>0</v>
      </c>
      <c r="H15" s="91">
        <v>0</v>
      </c>
      <c r="I15" s="91">
        <v>0</v>
      </c>
      <c r="J15" s="91">
        <v>0</v>
      </c>
      <c r="K15" s="91">
        <v>0</v>
      </c>
      <c r="L15" s="91">
        <v>0</v>
      </c>
      <c r="M15" s="91">
        <v>0</v>
      </c>
      <c r="N15" s="91">
        <v>0</v>
      </c>
      <c r="O15" s="91">
        <v>0</v>
      </c>
    </row>
    <row r="16" spans="2:15" x14ac:dyDescent="0.25">
      <c r="B16" s="266"/>
      <c r="C16" s="103" t="s">
        <v>116</v>
      </c>
      <c r="D16" s="60">
        <v>0</v>
      </c>
      <c r="E16" s="91">
        <v>0</v>
      </c>
      <c r="F16" s="91">
        <v>0</v>
      </c>
      <c r="G16" s="91">
        <v>0</v>
      </c>
      <c r="H16" s="91">
        <v>0</v>
      </c>
      <c r="I16" s="91">
        <v>0</v>
      </c>
      <c r="J16" s="91">
        <v>0</v>
      </c>
      <c r="K16" s="91">
        <v>0</v>
      </c>
      <c r="L16" s="91">
        <v>0</v>
      </c>
      <c r="M16" s="91">
        <v>0</v>
      </c>
      <c r="N16" s="91">
        <v>0</v>
      </c>
      <c r="O16" s="91">
        <v>0</v>
      </c>
    </row>
    <row r="17" spans="2:15" x14ac:dyDescent="0.25">
      <c r="B17" s="266" t="s">
        <v>141</v>
      </c>
      <c r="C17" s="103" t="s">
        <v>113</v>
      </c>
      <c r="D17" s="60">
        <v>0</v>
      </c>
      <c r="E17" s="91">
        <v>0</v>
      </c>
      <c r="F17" s="91">
        <v>0</v>
      </c>
      <c r="G17" s="91">
        <v>0</v>
      </c>
      <c r="H17" s="91">
        <v>0</v>
      </c>
      <c r="I17" s="91">
        <v>0</v>
      </c>
      <c r="J17" s="91">
        <v>0</v>
      </c>
      <c r="K17" s="91">
        <v>0</v>
      </c>
      <c r="L17" s="91">
        <v>0</v>
      </c>
      <c r="M17" s="91">
        <v>0</v>
      </c>
      <c r="N17" s="91">
        <v>0</v>
      </c>
      <c r="O17" s="91">
        <v>0</v>
      </c>
    </row>
    <row r="18" spans="2:15" ht="15.75" thickBot="1" x14ac:dyDescent="0.3">
      <c r="B18" s="267"/>
      <c r="C18" s="105" t="s">
        <v>114</v>
      </c>
      <c r="D18" s="98">
        <v>0</v>
      </c>
      <c r="E18" s="92">
        <v>0</v>
      </c>
      <c r="F18" s="92">
        <v>0</v>
      </c>
      <c r="G18" s="92">
        <v>0</v>
      </c>
      <c r="H18" s="92">
        <v>0</v>
      </c>
      <c r="I18" s="92">
        <v>0</v>
      </c>
      <c r="J18" s="92">
        <v>0</v>
      </c>
      <c r="K18" s="92">
        <v>0</v>
      </c>
      <c r="L18" s="92">
        <v>0</v>
      </c>
      <c r="M18" s="92">
        <v>0</v>
      </c>
      <c r="N18" s="92">
        <v>0</v>
      </c>
      <c r="O18" s="92">
        <v>0</v>
      </c>
    </row>
  </sheetData>
  <mergeCells count="5">
    <mergeCell ref="B5:O6"/>
    <mergeCell ref="B8:B9"/>
    <mergeCell ref="B10:B12"/>
    <mergeCell ref="B17:B18"/>
    <mergeCell ref="B13:B16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O8"/>
  <sheetViews>
    <sheetView workbookViewId="0">
      <selection activeCell="E6" sqref="E6"/>
    </sheetView>
  </sheetViews>
  <sheetFormatPr baseColWidth="10" defaultRowHeight="15" x14ac:dyDescent="0.25"/>
  <cols>
    <col min="3" max="3" width="35.42578125" bestFit="1" customWidth="1"/>
    <col min="4" max="4" width="5" bestFit="1" customWidth="1"/>
    <col min="5" max="5" width="5" customWidth="1"/>
    <col min="6" max="7" width="5" bestFit="1" customWidth="1"/>
    <col min="8" max="9" width="5.7109375" bestFit="1" customWidth="1"/>
    <col min="10" max="15" width="6.7109375" bestFit="1" customWidth="1"/>
  </cols>
  <sheetData>
    <row r="2" spans="3:15" thickBot="1" x14ac:dyDescent="0.35"/>
    <row r="3" spans="3:15" thickBot="1" x14ac:dyDescent="0.35">
      <c r="C3" s="122"/>
      <c r="D3" s="99" t="s">
        <v>74</v>
      </c>
      <c r="E3" s="100" t="s">
        <v>75</v>
      </c>
      <c r="F3" s="100" t="s">
        <v>76</v>
      </c>
      <c r="G3" s="100" t="s">
        <v>77</v>
      </c>
      <c r="H3" s="100" t="s">
        <v>78</v>
      </c>
      <c r="I3" s="100" t="s">
        <v>79</v>
      </c>
      <c r="J3" s="100" t="s">
        <v>80</v>
      </c>
      <c r="K3" s="100" t="s">
        <v>81</v>
      </c>
      <c r="L3" s="100" t="s">
        <v>82</v>
      </c>
      <c r="M3" s="100" t="s">
        <v>83</v>
      </c>
      <c r="N3" s="100" t="s">
        <v>84</v>
      </c>
      <c r="O3" s="101" t="s">
        <v>85</v>
      </c>
    </row>
    <row r="4" spans="3:15" ht="14.45" x14ac:dyDescent="0.3">
      <c r="C4" s="123" t="s">
        <v>146</v>
      </c>
      <c r="D4" s="122"/>
      <c r="E4" s="122">
        <f>ABS(H7)</f>
        <v>4057</v>
      </c>
      <c r="F4" s="122">
        <f>ABS(I7)-E4</f>
        <v>5359</v>
      </c>
      <c r="G4" s="122">
        <f>ABS(J7)-SUM(E4:F4)</f>
        <v>4772</v>
      </c>
      <c r="H4" s="122">
        <f>ABS(K7)-SUM(E4:G4)</f>
        <v>4639</v>
      </c>
      <c r="I4" s="122">
        <f>ABS(L7)-SUM(E4:H4)</f>
        <v>4828</v>
      </c>
      <c r="J4" s="122">
        <f>ABS(M7)-SUM(E4:I4)</f>
        <v>4638</v>
      </c>
      <c r="K4" s="122">
        <f>ABS(N7)-SUM(E4:J4)</f>
        <v>3783</v>
      </c>
      <c r="L4" s="122">
        <f>ABS(O7)-SUM(E4:K4)</f>
        <v>3508</v>
      </c>
      <c r="M4" s="122"/>
      <c r="N4" s="122"/>
      <c r="O4" s="122"/>
    </row>
    <row r="5" spans="3:15" x14ac:dyDescent="0.25">
      <c r="C5" s="123" t="s">
        <v>147</v>
      </c>
      <c r="D5" s="125">
        <v>2000</v>
      </c>
      <c r="E5" s="125">
        <v>5000</v>
      </c>
      <c r="F5" s="122"/>
      <c r="G5" s="122">
        <f>E4</f>
        <v>4057</v>
      </c>
      <c r="H5" s="122">
        <f t="shared" ref="H5:N5" si="0">F4</f>
        <v>5359</v>
      </c>
      <c r="I5" s="122">
        <f t="shared" si="0"/>
        <v>4772</v>
      </c>
      <c r="J5" s="122">
        <f t="shared" si="0"/>
        <v>4639</v>
      </c>
      <c r="K5" s="122">
        <f t="shared" si="0"/>
        <v>4828</v>
      </c>
      <c r="L5" s="122">
        <f t="shared" si="0"/>
        <v>4638</v>
      </c>
      <c r="M5" s="122">
        <f t="shared" si="0"/>
        <v>3783</v>
      </c>
      <c r="N5" s="122">
        <f t="shared" si="0"/>
        <v>3508</v>
      </c>
      <c r="O5" s="122"/>
    </row>
    <row r="6" spans="3:15" x14ac:dyDescent="0.25">
      <c r="C6" s="123" t="s">
        <v>148</v>
      </c>
      <c r="D6" s="122">
        <f>ROUNDUP('Prévisions générales'!AC79,0)*'Nomenclature &amp; données'!$D$12+ROUNDUP('Prévisions générales'!AC157,0)*'Nomenclature &amp; données'!$E$12</f>
        <v>2325</v>
      </c>
      <c r="E6" s="122">
        <f>ROUNDUP('Prévisions générales'!AD79,0)*'Nomenclature &amp; données'!$D$12+ROUNDUP('Prévisions générales'!AD157,0)*'Nomenclature &amp; données'!$E$12</f>
        <v>2493</v>
      </c>
      <c r="F6" s="122">
        <f>ROUNDUP('Prévisions générales'!AE79,0)*'Nomenclature &amp; données'!$D$12+ROUNDUP('Prévisions générales'!AE157,0)*'Nomenclature &amp; données'!$E$12</f>
        <v>2884</v>
      </c>
      <c r="G6" s="122">
        <f>ROUNDUP('Prévisions générales'!AF79,0)*'Nomenclature &amp; données'!$D$12+ROUNDUP('Prévisions générales'!AF157,0)*'Nomenclature &amp; données'!$E$12</f>
        <v>3882</v>
      </c>
      <c r="H6" s="122">
        <f>ROUNDUP('Prévisions générales'!AG79,0)*'Nomenclature &amp; données'!$D$12+ROUNDUP('Prévisions générales'!AG157,0)*'Nomenclature &amp; données'!$E$12</f>
        <v>4473</v>
      </c>
      <c r="I6" s="122">
        <f>ROUNDUP('Prévisions générales'!AH79,0)*'Nomenclature &amp; données'!$D$12+ROUNDUP('Prévisions générales'!AH157,0)*'Nomenclature &amp; données'!$E$12</f>
        <v>5359</v>
      </c>
      <c r="J6" s="122">
        <f>ROUNDUP('Prévisions générales'!AI79,0)*'Nomenclature &amp; données'!$D$12+ROUNDUP('Prévisions générales'!AI157,0)*'Nomenclature &amp; données'!$E$12</f>
        <v>4772</v>
      </c>
      <c r="K6" s="122">
        <f>ROUNDUP('Prévisions générales'!AJ79,0)*'Nomenclature &amp; données'!$D$12+ROUNDUP('Prévisions générales'!AJ157,0)*'Nomenclature &amp; données'!$E$12</f>
        <v>4639</v>
      </c>
      <c r="L6" s="122">
        <f>ROUNDUP('Prévisions générales'!AK79,0)*'Nomenclature &amp; données'!$D$12+ROUNDUP('Prévisions générales'!AK157,0)*'Nomenclature &amp; données'!$E$12</f>
        <v>4828</v>
      </c>
      <c r="M6" s="122">
        <f>ROUNDUP('Prévisions générales'!AL79,0)*'Nomenclature &amp; données'!$D$12+ROUNDUP('Prévisions générales'!AL157,0)*'Nomenclature &amp; données'!$E$12</f>
        <v>4638</v>
      </c>
      <c r="N6" s="122">
        <f>ROUNDUP('Prévisions générales'!AM79,0)*'Nomenclature &amp; données'!$D$12+ROUNDUP('Prévisions générales'!AM157,0)*'Nomenclature &amp; données'!$E$12</f>
        <v>3783</v>
      </c>
      <c r="O6" s="122">
        <f>ROUNDUP('Prévisions générales'!AN79,0)*'Nomenclature &amp; données'!$D$12+ROUNDUP('Prévisions générales'!AN157,0)*'Nomenclature &amp; données'!$E$12</f>
        <v>3508</v>
      </c>
    </row>
    <row r="7" spans="3:15" x14ac:dyDescent="0.25">
      <c r="C7" s="123" t="s">
        <v>149</v>
      </c>
      <c r="D7" s="122">
        <f>'Nomenclature &amp; données'!$P$7-D6+D5</f>
        <v>4675</v>
      </c>
      <c r="E7" s="122">
        <f>D7-E6+E5</f>
        <v>7182</v>
      </c>
      <c r="F7" s="122">
        <f>E7-F6</f>
        <v>4298</v>
      </c>
      <c r="G7" s="122">
        <f t="shared" ref="G7:O7" si="1">F7-G6</f>
        <v>416</v>
      </c>
      <c r="H7" s="122">
        <f t="shared" si="1"/>
        <v>-4057</v>
      </c>
      <c r="I7" s="122">
        <f t="shared" si="1"/>
        <v>-9416</v>
      </c>
      <c r="J7" s="122">
        <f t="shared" si="1"/>
        <v>-14188</v>
      </c>
      <c r="K7" s="122">
        <f t="shared" si="1"/>
        <v>-18827</v>
      </c>
      <c r="L7" s="122">
        <f t="shared" si="1"/>
        <v>-23655</v>
      </c>
      <c r="M7" s="122">
        <f t="shared" si="1"/>
        <v>-28293</v>
      </c>
      <c r="N7" s="122">
        <f t="shared" si="1"/>
        <v>-32076</v>
      </c>
      <c r="O7" s="122">
        <f t="shared" si="1"/>
        <v>-35584</v>
      </c>
    </row>
    <row r="8" spans="3:15" x14ac:dyDescent="0.25">
      <c r="C8" s="123" t="s">
        <v>150</v>
      </c>
      <c r="D8" s="122">
        <f>'Nomenclature &amp; données'!$P$7-D6+D5</f>
        <v>4675</v>
      </c>
      <c r="E8" s="122">
        <f>D8+E5-E6</f>
        <v>7182</v>
      </c>
      <c r="F8" s="122">
        <f t="shared" ref="F8:O8" si="2">E8+F5-F6</f>
        <v>4298</v>
      </c>
      <c r="G8" s="122">
        <f t="shared" si="2"/>
        <v>4473</v>
      </c>
      <c r="H8" s="122">
        <f t="shared" si="2"/>
        <v>5359</v>
      </c>
      <c r="I8" s="122">
        <f t="shared" si="2"/>
        <v>4772</v>
      </c>
      <c r="J8" s="122">
        <f t="shared" si="2"/>
        <v>4639</v>
      </c>
      <c r="K8" s="122">
        <f t="shared" si="2"/>
        <v>4828</v>
      </c>
      <c r="L8" s="122">
        <f t="shared" si="2"/>
        <v>4638</v>
      </c>
      <c r="M8" s="122">
        <f t="shared" si="2"/>
        <v>3783</v>
      </c>
      <c r="N8" s="122">
        <f t="shared" si="2"/>
        <v>3508</v>
      </c>
      <c r="O8" s="122">
        <f t="shared" si="2"/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O8"/>
  <sheetViews>
    <sheetView workbookViewId="0"/>
  </sheetViews>
  <sheetFormatPr baseColWidth="10" defaultRowHeight="15" x14ac:dyDescent="0.25"/>
  <cols>
    <col min="3" max="3" width="35.42578125" bestFit="1" customWidth="1"/>
    <col min="4" max="7" width="5" bestFit="1" customWidth="1"/>
    <col min="8" max="9" width="5.7109375" bestFit="1" customWidth="1"/>
    <col min="10" max="15" width="6.7109375" bestFit="1" customWidth="1"/>
  </cols>
  <sheetData>
    <row r="2" spans="3:15" thickBot="1" x14ac:dyDescent="0.35"/>
    <row r="3" spans="3:15" thickBot="1" x14ac:dyDescent="0.35">
      <c r="C3" s="122"/>
      <c r="D3" s="99" t="s">
        <v>74</v>
      </c>
      <c r="E3" s="100" t="s">
        <v>75</v>
      </c>
      <c r="F3" s="100" t="s">
        <v>76</v>
      </c>
      <c r="G3" s="100" t="s">
        <v>77</v>
      </c>
      <c r="H3" s="100" t="s">
        <v>78</v>
      </c>
      <c r="I3" s="100" t="s">
        <v>79</v>
      </c>
      <c r="J3" s="100" t="s">
        <v>80</v>
      </c>
      <c r="K3" s="100" t="s">
        <v>81</v>
      </c>
      <c r="L3" s="100" t="s">
        <v>82</v>
      </c>
      <c r="M3" s="100" t="s">
        <v>83</v>
      </c>
      <c r="N3" s="100" t="s">
        <v>84</v>
      </c>
      <c r="O3" s="101" t="s">
        <v>85</v>
      </c>
    </row>
    <row r="4" spans="3:15" ht="14.45" x14ac:dyDescent="0.3">
      <c r="C4" s="124" t="s">
        <v>152</v>
      </c>
      <c r="D4" s="122"/>
      <c r="E4" s="122"/>
      <c r="F4" s="122"/>
      <c r="G4" s="122"/>
      <c r="H4" s="122"/>
      <c r="I4" s="122"/>
      <c r="J4" s="122"/>
      <c r="K4" s="122"/>
      <c r="L4" s="122"/>
      <c r="M4" s="122"/>
      <c r="N4" s="122"/>
      <c r="O4" s="122"/>
    </row>
    <row r="5" spans="3:15" x14ac:dyDescent="0.25">
      <c r="C5" s="124" t="s">
        <v>153</v>
      </c>
      <c r="D5" s="125">
        <v>1000</v>
      </c>
      <c r="E5" s="125">
        <v>500</v>
      </c>
      <c r="F5" s="125">
        <v>1000</v>
      </c>
      <c r="G5" s="122"/>
      <c r="H5" s="122"/>
      <c r="I5" s="122"/>
      <c r="J5" s="122"/>
      <c r="K5" s="122"/>
      <c r="L5" s="122"/>
      <c r="M5" s="122"/>
      <c r="N5" s="122"/>
      <c r="O5" s="122"/>
    </row>
    <row r="6" spans="3:15" x14ac:dyDescent="0.25">
      <c r="C6" s="124" t="s">
        <v>154</v>
      </c>
      <c r="D6" s="122">
        <f>ROUNDUP('Prévisions générales'!AC79,0)*'Nomenclature &amp; données'!$D$13+ROUNDUP('Prévisions générales'!AC157,0)*'Nomenclature &amp; données'!$E$13</f>
        <v>471</v>
      </c>
      <c r="E6" s="122">
        <f>ROUNDUP('Prévisions générales'!AD79,0)*'Nomenclature &amp; données'!$D$13+ROUNDUP('Prévisions générales'!AD157,0)*'Nomenclature &amp; données'!$E$13</f>
        <v>497</v>
      </c>
      <c r="F6" s="122">
        <f>ROUNDUP('Prévisions générales'!AE79,0)*'Nomenclature &amp; données'!$D$13+ROUNDUP('Prévisions générales'!AE157,0)*'Nomenclature &amp; données'!$E$13</f>
        <v>574</v>
      </c>
      <c r="G6" s="122">
        <f>ROUNDUP('Prévisions générales'!AF79,0)*'Nomenclature &amp; données'!$D$13+ROUNDUP('Prévisions générales'!AF157,0)*'Nomenclature &amp; données'!$E$13</f>
        <v>776</v>
      </c>
      <c r="H6" s="122">
        <f>ROUNDUP('Prévisions générales'!AG79,0)*'Nomenclature &amp; données'!$D$13+ROUNDUP('Prévisions générales'!AG157,0)*'Nomenclature &amp; données'!$E$13</f>
        <v>901</v>
      </c>
      <c r="I6" s="122">
        <f>ROUNDUP('Prévisions générales'!AH79,0)*'Nomenclature &amp; données'!$D$13+ROUNDUP('Prévisions générales'!AH157,0)*'Nomenclature &amp; données'!$E$13</f>
        <v>1078</v>
      </c>
      <c r="J6" s="122">
        <f>ROUNDUP('Prévisions générales'!AI79,0)*'Nomenclature &amp; données'!$D$13+ROUNDUP('Prévisions générales'!AI157,0)*'Nomenclature &amp; données'!$E$13</f>
        <v>941</v>
      </c>
      <c r="K6" s="122">
        <f>ROUNDUP('Prévisions générales'!AJ79,0)*'Nomenclature &amp; données'!$D$13+ROUNDUP('Prévisions générales'!AJ157,0)*'Nomenclature &amp; données'!$E$13</f>
        <v>903</v>
      </c>
      <c r="L6" s="122">
        <f>ROUNDUP('Prévisions générales'!AK79,0)*'Nomenclature &amp; données'!$D$13+ROUNDUP('Prévisions générales'!AK157,0)*'Nomenclature &amp; données'!$E$13</f>
        <v>938</v>
      </c>
      <c r="M6" s="122">
        <f>ROUNDUP('Prévisions générales'!AL79,0)*'Nomenclature &amp; données'!$D$13+ROUNDUP('Prévisions générales'!AL157,0)*'Nomenclature &amp; données'!$E$13</f>
        <v>957</v>
      </c>
      <c r="N6" s="122">
        <f>ROUNDUP('Prévisions générales'!AM79,0)*'Nomenclature &amp; données'!$D$13+ROUNDUP('Prévisions générales'!AM157,0)*'Nomenclature &amp; données'!$E$13</f>
        <v>854</v>
      </c>
      <c r="O6" s="122">
        <f>ROUNDUP('Prévisions générales'!AN79,0)*'Nomenclature &amp; données'!$D$13+ROUNDUP('Prévisions générales'!AN157,0)*'Nomenclature &amp; données'!$E$13</f>
        <v>800</v>
      </c>
    </row>
    <row r="7" spans="3:15" x14ac:dyDescent="0.25">
      <c r="C7" s="124" t="s">
        <v>155</v>
      </c>
      <c r="D7" s="122">
        <f>'Nomenclature &amp; données'!$Q$7-D6+D5</f>
        <v>1279</v>
      </c>
      <c r="E7" s="122">
        <f>D7-E6+E5</f>
        <v>1282</v>
      </c>
      <c r="F7" s="122">
        <f t="shared" ref="F7:G7" si="0">E7-F6+F5</f>
        <v>1708</v>
      </c>
      <c r="G7" s="122">
        <f t="shared" si="0"/>
        <v>932</v>
      </c>
      <c r="H7" s="122">
        <f>G7-H6</f>
        <v>31</v>
      </c>
      <c r="I7" s="122">
        <f t="shared" ref="I7:O7" si="1">H7-I6</f>
        <v>-1047</v>
      </c>
      <c r="J7" s="122">
        <f t="shared" si="1"/>
        <v>-1988</v>
      </c>
      <c r="K7" s="122">
        <f t="shared" si="1"/>
        <v>-2891</v>
      </c>
      <c r="L7" s="122">
        <f t="shared" si="1"/>
        <v>-3829</v>
      </c>
      <c r="M7" s="122">
        <f t="shared" si="1"/>
        <v>-4786</v>
      </c>
      <c r="N7" s="122">
        <f t="shared" si="1"/>
        <v>-5640</v>
      </c>
      <c r="O7" s="122">
        <f t="shared" si="1"/>
        <v>-6440</v>
      </c>
    </row>
    <row r="8" spans="3:15" x14ac:dyDescent="0.25">
      <c r="C8" s="124" t="s">
        <v>156</v>
      </c>
      <c r="D8" s="122"/>
      <c r="E8" s="122"/>
      <c r="F8" s="122"/>
      <c r="G8" s="122"/>
      <c r="H8" s="122"/>
      <c r="I8" s="122"/>
      <c r="J8" s="122"/>
      <c r="K8" s="122"/>
      <c r="L8" s="122"/>
      <c r="M8" s="122"/>
      <c r="N8" s="122"/>
      <c r="O8" s="122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O8"/>
  <sheetViews>
    <sheetView workbookViewId="0"/>
  </sheetViews>
  <sheetFormatPr baseColWidth="10" defaultRowHeight="15" x14ac:dyDescent="0.25"/>
  <cols>
    <col min="3" max="3" width="35.42578125" bestFit="1" customWidth="1"/>
    <col min="4" max="4" width="6" bestFit="1" customWidth="1"/>
    <col min="5" max="7" width="5" bestFit="1" customWidth="1"/>
    <col min="8" max="13" width="6" bestFit="1" customWidth="1"/>
    <col min="14" max="15" width="5.140625" bestFit="1" customWidth="1"/>
  </cols>
  <sheetData>
    <row r="2" spans="3:15" thickBot="1" x14ac:dyDescent="0.35"/>
    <row r="3" spans="3:15" thickBot="1" x14ac:dyDescent="0.35">
      <c r="C3" s="122"/>
      <c r="D3" s="99" t="s">
        <v>74</v>
      </c>
      <c r="E3" s="100" t="s">
        <v>75</v>
      </c>
      <c r="F3" s="100" t="s">
        <v>76</v>
      </c>
      <c r="G3" s="100" t="s">
        <v>77</v>
      </c>
      <c r="H3" s="100" t="s">
        <v>78</v>
      </c>
      <c r="I3" s="100" t="s">
        <v>79</v>
      </c>
      <c r="J3" s="100" t="s">
        <v>80</v>
      </c>
      <c r="K3" s="100" t="s">
        <v>81</v>
      </c>
      <c r="L3" s="100" t="s">
        <v>82</v>
      </c>
      <c r="M3" s="100" t="s">
        <v>83</v>
      </c>
      <c r="N3" s="100" t="s">
        <v>84</v>
      </c>
      <c r="O3" s="101" t="s">
        <v>85</v>
      </c>
    </row>
    <row r="4" spans="3:15" ht="14.45" x14ac:dyDescent="0.3">
      <c r="C4" s="124" t="s">
        <v>157</v>
      </c>
      <c r="D4" s="122"/>
      <c r="E4" s="122"/>
      <c r="F4" s="122"/>
      <c r="G4" s="122"/>
      <c r="H4" s="122"/>
      <c r="I4" s="122"/>
      <c r="J4" s="122"/>
      <c r="K4" s="122"/>
      <c r="L4" s="122"/>
      <c r="M4" s="122"/>
      <c r="N4" s="122"/>
      <c r="O4" s="122"/>
    </row>
    <row r="5" spans="3:15" x14ac:dyDescent="0.25">
      <c r="C5" s="124" t="s">
        <v>158</v>
      </c>
      <c r="D5" s="125">
        <v>12000</v>
      </c>
      <c r="E5" s="122"/>
      <c r="F5" s="122"/>
      <c r="G5" s="122"/>
      <c r="H5" s="122"/>
      <c r="I5" s="122"/>
      <c r="J5" s="122"/>
      <c r="K5" s="122"/>
      <c r="L5" s="122"/>
      <c r="M5" s="122"/>
      <c r="N5" s="122"/>
      <c r="O5" s="122"/>
    </row>
    <row r="6" spans="3:15" x14ac:dyDescent="0.25">
      <c r="C6" s="124" t="s">
        <v>159</v>
      </c>
      <c r="D6" s="122">
        <f>ROUNDUP('Prévisions générales'!AC79,0)*'Nomenclature &amp; données'!$D$14+ROUNDUP('Prévisions générales'!AC157,0)*'Nomenclature &amp; données'!$E$14</f>
        <v>5592</v>
      </c>
      <c r="E6" s="122">
        <f>ROUNDUP('Prévisions générales'!AD79,0)*'Nomenclature &amp; données'!$D$14+ROUNDUP('Prévisions générales'!AD157,0)*'Nomenclature &amp; données'!$E$14</f>
        <v>5980</v>
      </c>
      <c r="F6" s="122">
        <f>ROUNDUP('Prévisions générales'!AE79,0)*'Nomenclature &amp; données'!$D$14+ROUNDUP('Prévisions générales'!AE157,0)*'Nomenclature &amp; données'!$E$14</f>
        <v>6916</v>
      </c>
      <c r="G6" s="122">
        <f>ROUNDUP('Prévisions générales'!AF79,0)*'Nomenclature &amp; données'!$D$14+ROUNDUP('Prévisions générales'!AF157,0)*'Nomenclature &amp; données'!$E$14</f>
        <v>9316</v>
      </c>
      <c r="H6" s="122">
        <f>ROUNDUP('Prévisions générales'!AG79,0)*'Nomenclature &amp; données'!$D$14+ROUNDUP('Prévisions générales'!AG157,0)*'Nomenclature &amp; données'!$E$14</f>
        <v>10748</v>
      </c>
      <c r="I6" s="122">
        <f>ROUNDUP('Prévisions générales'!AH79,0)*'Nomenclature &amp; données'!$D$14+ROUNDUP('Prévisions générales'!AH157,0)*'Nomenclature &amp; données'!$E$14</f>
        <v>12874</v>
      </c>
      <c r="J6" s="122">
        <f>ROUNDUP('Prévisions générales'!AI79,0)*'Nomenclature &amp; données'!$D$14+ROUNDUP('Prévisions générales'!AI157,0)*'Nomenclature &amp; données'!$E$14</f>
        <v>11426</v>
      </c>
      <c r="K6" s="122">
        <f>ROUNDUP('Prévisions générales'!AJ79,0)*'Nomenclature &amp; données'!$D$14+ROUNDUP('Prévisions générales'!AJ157,0)*'Nomenclature &amp; données'!$E$14</f>
        <v>11084</v>
      </c>
      <c r="L6" s="122">
        <f>ROUNDUP('Prévisions générales'!AK79,0)*'Nomenclature &amp; données'!$D$14+ROUNDUP('Prévisions générales'!AK157,0)*'Nomenclature &amp; données'!$E$14</f>
        <v>11532</v>
      </c>
      <c r="M6" s="122">
        <f>ROUNDUP('Prévisions générales'!AL79,0)*'Nomenclature &amp; données'!$D$14+ROUNDUP('Prévisions générales'!AL157,0)*'Nomenclature &amp; données'!$E$14</f>
        <v>11190</v>
      </c>
      <c r="N6" s="122">
        <f>ROUNDUP('Prévisions générales'!AM79,0)*'Nomenclature &amp; données'!$D$14+ROUNDUP('Prévisions générales'!AM157,0)*'Nomenclature &amp; données'!$E$14</f>
        <v>9274</v>
      </c>
      <c r="O6" s="122">
        <f>ROUNDUP('Prévisions générales'!AN79,0)*'Nomenclature &amp; données'!$D$14+ROUNDUP('Prévisions générales'!AN157,0)*'Nomenclature &amp; données'!$E$14</f>
        <v>8616</v>
      </c>
    </row>
    <row r="7" spans="3:15" x14ac:dyDescent="0.25">
      <c r="C7" s="124" t="s">
        <v>160</v>
      </c>
      <c r="D7" s="122">
        <f>'Nomenclature &amp; données'!$R$7-D6+D5</f>
        <v>26408</v>
      </c>
      <c r="E7" s="122"/>
      <c r="F7" s="122"/>
      <c r="G7" s="122"/>
      <c r="H7" s="122"/>
      <c r="I7" s="122"/>
      <c r="J7" s="122"/>
      <c r="K7" s="122"/>
      <c r="L7" s="122"/>
      <c r="M7" s="122"/>
      <c r="N7" s="122"/>
      <c r="O7" s="122"/>
    </row>
    <row r="8" spans="3:15" x14ac:dyDescent="0.25">
      <c r="C8" s="124" t="s">
        <v>161</v>
      </c>
      <c r="D8" s="122"/>
      <c r="E8" s="122"/>
      <c r="F8" s="122"/>
      <c r="G8" s="122"/>
      <c r="H8" s="122"/>
      <c r="I8" s="122"/>
      <c r="J8" s="122"/>
      <c r="K8" s="122"/>
      <c r="L8" s="122"/>
      <c r="M8" s="122"/>
      <c r="N8" s="122"/>
      <c r="O8" s="122"/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O8"/>
  <sheetViews>
    <sheetView workbookViewId="0"/>
  </sheetViews>
  <sheetFormatPr baseColWidth="10" defaultRowHeight="15" x14ac:dyDescent="0.25"/>
  <cols>
    <col min="3" max="3" width="35.42578125" bestFit="1" customWidth="1"/>
    <col min="4" max="7" width="5" bestFit="1" customWidth="1"/>
    <col min="8" max="9" width="5.7109375" bestFit="1" customWidth="1"/>
    <col min="10" max="15" width="6.7109375" bestFit="1" customWidth="1"/>
  </cols>
  <sheetData>
    <row r="2" spans="3:15" thickBot="1" x14ac:dyDescent="0.35"/>
    <row r="3" spans="3:15" thickBot="1" x14ac:dyDescent="0.35">
      <c r="C3" s="122"/>
      <c r="D3" s="99" t="s">
        <v>74</v>
      </c>
      <c r="E3" s="100" t="s">
        <v>75</v>
      </c>
      <c r="F3" s="100" t="s">
        <v>76</v>
      </c>
      <c r="G3" s="100" t="s">
        <v>77</v>
      </c>
      <c r="H3" s="100" t="s">
        <v>78</v>
      </c>
      <c r="I3" s="100" t="s">
        <v>79</v>
      </c>
      <c r="J3" s="100" t="s">
        <v>80</v>
      </c>
      <c r="K3" s="100" t="s">
        <v>81</v>
      </c>
      <c r="L3" s="100" t="s">
        <v>82</v>
      </c>
      <c r="M3" s="100" t="s">
        <v>83</v>
      </c>
      <c r="N3" s="100" t="s">
        <v>84</v>
      </c>
      <c r="O3" s="101" t="s">
        <v>85</v>
      </c>
    </row>
    <row r="4" spans="3:15" ht="14.45" x14ac:dyDescent="0.3">
      <c r="C4" s="124" t="s">
        <v>162</v>
      </c>
      <c r="D4" s="122"/>
      <c r="E4" s="122"/>
      <c r="F4" s="122"/>
      <c r="G4" s="122"/>
      <c r="H4" s="122"/>
      <c r="I4" s="122"/>
      <c r="J4" s="122"/>
      <c r="K4" s="122"/>
      <c r="L4" s="122"/>
      <c r="M4" s="122"/>
      <c r="N4" s="122"/>
      <c r="O4" s="122"/>
    </row>
    <row r="5" spans="3:15" x14ac:dyDescent="0.25">
      <c r="C5" s="124" t="s">
        <v>163</v>
      </c>
      <c r="D5" s="125">
        <v>3000</v>
      </c>
      <c r="E5" s="122"/>
      <c r="F5" s="122"/>
      <c r="G5" s="122"/>
      <c r="H5" s="122"/>
      <c r="I5" s="122"/>
      <c r="J5" s="122"/>
      <c r="K5" s="122"/>
      <c r="L5" s="122"/>
      <c r="M5" s="122"/>
      <c r="N5" s="122"/>
      <c r="O5" s="122"/>
    </row>
    <row r="6" spans="3:15" x14ac:dyDescent="0.25">
      <c r="C6" s="124" t="s">
        <v>164</v>
      </c>
      <c r="D6" s="122">
        <f>ROUNDUP('Prévisions générales'!AC79,0)*'Nomenclature &amp; données'!$D$15+ROUNDUP('Prévisions générales'!AC157,0)*'Nomenclature &amp; données'!$E$15</f>
        <v>2796</v>
      </c>
      <c r="E6" s="122">
        <f>ROUNDUP('Prévisions générales'!AD79,0)*'Nomenclature &amp; données'!$D$15+ROUNDUP('Prévisions générales'!AD157,0)*'Nomenclature &amp; données'!$E$15</f>
        <v>2990</v>
      </c>
      <c r="F6" s="122">
        <f>ROUNDUP('Prévisions générales'!AE79,0)*'Nomenclature &amp; données'!$D$15+ROUNDUP('Prévisions générales'!AE157,0)*'Nomenclature &amp; données'!$E$15</f>
        <v>3458</v>
      </c>
      <c r="G6" s="122">
        <f>ROUNDUP('Prévisions générales'!AF79,0)*'Nomenclature &amp; données'!$D$15+ROUNDUP('Prévisions générales'!AF157,0)*'Nomenclature &amp; données'!$E$15</f>
        <v>4658</v>
      </c>
      <c r="H6" s="122">
        <f>ROUNDUP('Prévisions générales'!AG79,0)*'Nomenclature &amp; données'!$D$15+ROUNDUP('Prévisions générales'!AG157,0)*'Nomenclature &amp; données'!$E$15</f>
        <v>5374</v>
      </c>
      <c r="I6" s="122">
        <f>ROUNDUP('Prévisions générales'!AH79,0)*'Nomenclature &amp; données'!$D$15+ROUNDUP('Prévisions générales'!AH157,0)*'Nomenclature &amp; données'!$E$15</f>
        <v>6437</v>
      </c>
      <c r="J6" s="122">
        <f>ROUNDUP('Prévisions générales'!AI79,0)*'Nomenclature &amp; données'!$D$15+ROUNDUP('Prévisions générales'!AI157,0)*'Nomenclature &amp; données'!$E$15</f>
        <v>5713</v>
      </c>
      <c r="K6" s="122">
        <f>ROUNDUP('Prévisions générales'!AJ79,0)*'Nomenclature &amp; données'!$D$15+ROUNDUP('Prévisions générales'!AJ157,0)*'Nomenclature &amp; données'!$E$15</f>
        <v>5542</v>
      </c>
      <c r="L6" s="122">
        <f>ROUNDUP('Prévisions générales'!AK79,0)*'Nomenclature &amp; données'!$D$15+ROUNDUP('Prévisions générales'!AK157,0)*'Nomenclature &amp; données'!$E$15</f>
        <v>5766</v>
      </c>
      <c r="M6" s="122">
        <f>ROUNDUP('Prévisions générales'!AL79,0)*'Nomenclature &amp; données'!$D$15+ROUNDUP('Prévisions générales'!AL157,0)*'Nomenclature &amp; données'!$E$15</f>
        <v>5595</v>
      </c>
      <c r="N6" s="122">
        <f>ROUNDUP('Prévisions générales'!AM79,0)*'Nomenclature &amp; données'!$D$15+ROUNDUP('Prévisions générales'!AM157,0)*'Nomenclature &amp; données'!$E$15</f>
        <v>4637</v>
      </c>
      <c r="O6" s="122">
        <f>ROUNDUP('Prévisions générales'!AN79,0)*'Nomenclature &amp; données'!$D$15+ROUNDUP('Prévisions générales'!AN157,0)*'Nomenclature &amp; données'!$E$15</f>
        <v>4308</v>
      </c>
    </row>
    <row r="7" spans="3:15" x14ac:dyDescent="0.25">
      <c r="C7" s="124" t="s">
        <v>165</v>
      </c>
      <c r="D7" s="122">
        <f>'Nomenclature &amp; données'!$S$7-D6+D5</f>
        <v>6204</v>
      </c>
      <c r="E7" s="122"/>
      <c r="F7" s="122"/>
      <c r="G7" s="122"/>
      <c r="H7" s="122"/>
      <c r="I7" s="122"/>
      <c r="J7" s="122"/>
      <c r="K7" s="122"/>
      <c r="L7" s="122"/>
      <c r="M7" s="122"/>
      <c r="N7" s="122"/>
      <c r="O7" s="122"/>
    </row>
    <row r="8" spans="3:15" x14ac:dyDescent="0.25">
      <c r="C8" s="124" t="s">
        <v>166</v>
      </c>
      <c r="D8" s="122"/>
      <c r="E8" s="122"/>
      <c r="F8" s="122"/>
      <c r="G8" s="122"/>
      <c r="H8" s="122"/>
      <c r="I8" s="122"/>
      <c r="J8" s="122"/>
      <c r="K8" s="122"/>
      <c r="L8" s="122"/>
      <c r="M8" s="122"/>
      <c r="N8" s="122"/>
      <c r="O8" s="122"/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O27"/>
  <sheetViews>
    <sheetView workbookViewId="0">
      <selection activeCell="H23" sqref="H23"/>
    </sheetView>
  </sheetViews>
  <sheetFormatPr baseColWidth="10" defaultRowHeight="15" x14ac:dyDescent="0.25"/>
  <cols>
    <col min="2" max="2" width="13.42578125" customWidth="1"/>
  </cols>
  <sheetData>
    <row r="1" spans="2:15" thickBot="1" x14ac:dyDescent="0.35"/>
    <row r="2" spans="2:15" x14ac:dyDescent="0.25">
      <c r="C2" s="259" t="s">
        <v>136</v>
      </c>
      <c r="D2" s="260"/>
      <c r="E2" s="260"/>
      <c r="F2" s="260"/>
      <c r="G2" s="260"/>
      <c r="H2" s="260"/>
      <c r="I2" s="260"/>
      <c r="J2" s="260"/>
      <c r="K2" s="260"/>
      <c r="L2" s="260"/>
      <c r="M2" s="260"/>
      <c r="N2" s="260"/>
      <c r="O2" s="261"/>
    </row>
    <row r="3" spans="2:15" ht="15.75" thickBot="1" x14ac:dyDescent="0.3">
      <c r="C3" s="262"/>
      <c r="D3" s="263"/>
      <c r="E3" s="263"/>
      <c r="F3" s="263"/>
      <c r="G3" s="263"/>
      <c r="H3" s="263"/>
      <c r="I3" s="263"/>
      <c r="J3" s="263"/>
      <c r="K3" s="263"/>
      <c r="L3" s="263"/>
      <c r="M3" s="263"/>
      <c r="N3" s="263"/>
      <c r="O3" s="264"/>
    </row>
    <row r="4" spans="2:15" ht="14.45" x14ac:dyDescent="0.3">
      <c r="C4" s="89" t="s">
        <v>135</v>
      </c>
      <c r="D4" s="72" t="s">
        <v>74</v>
      </c>
      <c r="E4" s="70" t="s">
        <v>75</v>
      </c>
      <c r="F4" s="70" t="s">
        <v>76</v>
      </c>
      <c r="G4" s="70" t="s">
        <v>77</v>
      </c>
      <c r="H4" s="70" t="s">
        <v>78</v>
      </c>
      <c r="I4" s="70" t="s">
        <v>79</v>
      </c>
      <c r="J4" s="70" t="s">
        <v>80</v>
      </c>
      <c r="K4" s="70" t="s">
        <v>81</v>
      </c>
      <c r="L4" s="70" t="s">
        <v>82</v>
      </c>
      <c r="M4" s="70" t="s">
        <v>83</v>
      </c>
      <c r="N4" s="70" t="s">
        <v>84</v>
      </c>
      <c r="O4" s="71" t="s">
        <v>85</v>
      </c>
    </row>
    <row r="5" spans="2:15" ht="14.45" x14ac:dyDescent="0.3">
      <c r="C5" s="74" t="s">
        <v>106</v>
      </c>
      <c r="D5" s="73">
        <f>ROUNDUP('Prévisions générales'!AC79,0)</f>
        <v>2325</v>
      </c>
      <c r="E5" s="73">
        <f>ROUNDUP('Prévisions générales'!AD79,0)</f>
        <v>2493</v>
      </c>
      <c r="F5" s="73">
        <f>ROUNDUP('Prévisions générales'!AE79,0)</f>
        <v>2884</v>
      </c>
      <c r="G5" s="73">
        <f>ROUNDUP('Prévisions générales'!AF79,0)</f>
        <v>3882</v>
      </c>
      <c r="H5" s="73">
        <f>ROUNDUP('Prévisions générales'!AG79,0)</f>
        <v>4473</v>
      </c>
      <c r="I5" s="73">
        <f>ROUNDUP('Prévisions générales'!AH79,0)</f>
        <v>5359</v>
      </c>
      <c r="J5" s="73">
        <f>ROUNDUP('Prévisions générales'!AI79,0)</f>
        <v>4772</v>
      </c>
      <c r="K5" s="73">
        <f>ROUNDUP('Prévisions générales'!AJ79,0)</f>
        <v>4639</v>
      </c>
      <c r="L5" s="73">
        <f>ROUNDUP('Prévisions générales'!AK79,0)</f>
        <v>4828</v>
      </c>
      <c r="M5" s="73">
        <f>ROUNDUP('Prévisions générales'!AL79,0)</f>
        <v>4638</v>
      </c>
      <c r="N5" s="73">
        <f>ROUNDUP('Prévisions générales'!AM79,0)</f>
        <v>3783</v>
      </c>
      <c r="O5" s="73">
        <f>ROUNDUP('Prévisions générales'!AN79,0)</f>
        <v>3508</v>
      </c>
    </row>
    <row r="6" spans="2:15" thickBot="1" x14ac:dyDescent="0.35">
      <c r="C6" s="75" t="s">
        <v>107</v>
      </c>
      <c r="D6" s="69">
        <f>ROUNDUP('Prévisions générales'!AC157,0)</f>
        <v>471</v>
      </c>
      <c r="E6" s="69">
        <f>ROUNDUP('Prévisions générales'!AD157,0)</f>
        <v>497</v>
      </c>
      <c r="F6" s="69">
        <f>ROUNDUP('Prévisions générales'!AE157,0)</f>
        <v>574</v>
      </c>
      <c r="G6" s="69">
        <f>ROUNDUP('Prévisions générales'!AF157,0)</f>
        <v>776</v>
      </c>
      <c r="H6" s="69">
        <f>ROUNDUP('Prévisions générales'!AG157,0)</f>
        <v>901</v>
      </c>
      <c r="I6" s="69">
        <f>ROUNDUP('Prévisions générales'!AH157,0)</f>
        <v>1078</v>
      </c>
      <c r="J6" s="69">
        <f>ROUNDUP('Prévisions générales'!AI157,0)</f>
        <v>941</v>
      </c>
      <c r="K6" s="69">
        <f>ROUNDUP('Prévisions générales'!AJ157,0)</f>
        <v>903</v>
      </c>
      <c r="L6" s="69">
        <f>ROUNDUP('Prévisions générales'!AK157,0)</f>
        <v>938</v>
      </c>
      <c r="M6" s="69">
        <f>ROUNDUP('Prévisions générales'!AL157,0)</f>
        <v>957</v>
      </c>
      <c r="N6" s="69">
        <f>ROUNDUP('Prévisions générales'!AM157,0)</f>
        <v>854</v>
      </c>
      <c r="O6" s="69">
        <f>ROUNDUP('Prévisions générales'!AN157,0)</f>
        <v>800</v>
      </c>
    </row>
    <row r="13" spans="2:15" ht="15.75" thickBot="1" x14ac:dyDescent="0.3"/>
    <row r="14" spans="2:15" x14ac:dyDescent="0.25">
      <c r="B14" s="259" t="s">
        <v>151</v>
      </c>
      <c r="C14" s="260"/>
      <c r="D14" s="260"/>
      <c r="E14" s="260"/>
      <c r="F14" s="260"/>
      <c r="G14" s="260"/>
      <c r="H14" s="260"/>
      <c r="I14" s="260"/>
      <c r="J14" s="260"/>
      <c r="K14" s="260"/>
      <c r="L14" s="260"/>
      <c r="M14" s="260"/>
      <c r="N14" s="260"/>
      <c r="O14" s="261"/>
    </row>
    <row r="15" spans="2:15" ht="15.75" thickBot="1" x14ac:dyDescent="0.3">
      <c r="B15" s="269"/>
      <c r="C15" s="263"/>
      <c r="D15" s="263"/>
      <c r="E15" s="263"/>
      <c r="F15" s="263"/>
      <c r="G15" s="263"/>
      <c r="H15" s="263"/>
      <c r="I15" s="263"/>
      <c r="J15" s="263"/>
      <c r="K15" s="263"/>
      <c r="L15" s="263"/>
      <c r="M15" s="263"/>
      <c r="N15" s="263"/>
      <c r="O15" s="264"/>
    </row>
    <row r="16" spans="2:15" ht="15.75" thickBot="1" x14ac:dyDescent="0.3">
      <c r="B16" s="85" t="s">
        <v>137</v>
      </c>
      <c r="C16" s="85" t="s">
        <v>134</v>
      </c>
      <c r="D16" s="81" t="s">
        <v>74</v>
      </c>
      <c r="E16" s="82" t="s">
        <v>75</v>
      </c>
      <c r="F16" s="82" t="s">
        <v>76</v>
      </c>
      <c r="G16" s="82" t="s">
        <v>77</v>
      </c>
      <c r="H16" s="82" t="s">
        <v>78</v>
      </c>
      <c r="I16" s="82" t="s">
        <v>79</v>
      </c>
      <c r="J16" s="82" t="s">
        <v>80</v>
      </c>
      <c r="K16" s="82" t="s">
        <v>81</v>
      </c>
      <c r="L16" s="82" t="s">
        <v>82</v>
      </c>
      <c r="M16" s="82" t="s">
        <v>83</v>
      </c>
      <c r="N16" s="82" t="s">
        <v>84</v>
      </c>
      <c r="O16" s="83" t="s">
        <v>85</v>
      </c>
    </row>
    <row r="17" spans="2:15" x14ac:dyDescent="0.25">
      <c r="B17" s="268" t="s">
        <v>138</v>
      </c>
      <c r="C17" s="88" t="s">
        <v>106</v>
      </c>
      <c r="D17" s="77">
        <f t="shared" ref="D17:O17" si="0">D5</f>
        <v>2325</v>
      </c>
      <c r="E17" s="56">
        <f t="shared" si="0"/>
        <v>2493</v>
      </c>
      <c r="F17" s="56">
        <f t="shared" si="0"/>
        <v>2884</v>
      </c>
      <c r="G17" s="56">
        <f t="shared" si="0"/>
        <v>3882</v>
      </c>
      <c r="H17" s="56">
        <f t="shared" si="0"/>
        <v>4473</v>
      </c>
      <c r="I17" s="56">
        <f t="shared" si="0"/>
        <v>5359</v>
      </c>
      <c r="J17" s="56">
        <f t="shared" si="0"/>
        <v>4772</v>
      </c>
      <c r="K17" s="56">
        <f t="shared" si="0"/>
        <v>4639</v>
      </c>
      <c r="L17" s="56">
        <f t="shared" si="0"/>
        <v>4828</v>
      </c>
      <c r="M17" s="56">
        <f t="shared" si="0"/>
        <v>4638</v>
      </c>
      <c r="N17" s="56">
        <f t="shared" si="0"/>
        <v>3783</v>
      </c>
      <c r="O17" s="57">
        <f t="shared" si="0"/>
        <v>3508</v>
      </c>
    </row>
    <row r="18" spans="2:15" ht="15.75" thickBot="1" x14ac:dyDescent="0.3">
      <c r="B18" s="267"/>
      <c r="C18" s="87" t="s">
        <v>107</v>
      </c>
      <c r="D18" s="14">
        <f t="shared" ref="D18:O18" si="1">D6</f>
        <v>471</v>
      </c>
      <c r="E18" s="78">
        <f t="shared" si="1"/>
        <v>497</v>
      </c>
      <c r="F18" s="78">
        <f t="shared" si="1"/>
        <v>574</v>
      </c>
      <c r="G18" s="78">
        <f t="shared" si="1"/>
        <v>776</v>
      </c>
      <c r="H18" s="78">
        <f t="shared" si="1"/>
        <v>901</v>
      </c>
      <c r="I18" s="78">
        <f t="shared" si="1"/>
        <v>1078</v>
      </c>
      <c r="J18" s="78">
        <f t="shared" si="1"/>
        <v>941</v>
      </c>
      <c r="K18" s="78">
        <f t="shared" si="1"/>
        <v>903</v>
      </c>
      <c r="L18" s="78">
        <f t="shared" si="1"/>
        <v>938</v>
      </c>
      <c r="M18" s="78">
        <f t="shared" si="1"/>
        <v>957</v>
      </c>
      <c r="N18" s="78">
        <f t="shared" si="1"/>
        <v>854</v>
      </c>
      <c r="O18" s="79">
        <f t="shared" si="1"/>
        <v>800</v>
      </c>
    </row>
    <row r="19" spans="2:15" x14ac:dyDescent="0.25">
      <c r="B19" s="268" t="s">
        <v>139</v>
      </c>
      <c r="C19" s="88" t="s">
        <v>108</v>
      </c>
      <c r="D19" s="77">
        <f>D5*'Nomenclature &amp; données'!$D$7+D6*'Nomenclature &amp; données'!$E$7</f>
        <v>2325</v>
      </c>
      <c r="E19" s="56">
        <f>E5*'Nomenclature &amp; données'!$D$7+E6*'Nomenclature &amp; données'!$E$7</f>
        <v>2493</v>
      </c>
      <c r="F19" s="56">
        <f>F5*'Nomenclature &amp; données'!$D$7+F6*'Nomenclature &amp; données'!$E$7</f>
        <v>2884</v>
      </c>
      <c r="G19" s="56">
        <f>G5*'Nomenclature &amp; données'!$D$7+G6*'Nomenclature &amp; données'!$E$7</f>
        <v>3882</v>
      </c>
      <c r="H19" s="56">
        <f>H5*'Nomenclature &amp; données'!$D$7+H6*'Nomenclature &amp; données'!$E$7</f>
        <v>4473</v>
      </c>
      <c r="I19" s="56">
        <f>I5*'Nomenclature &amp; données'!$D$7+I6*'Nomenclature &amp; données'!$E$7</f>
        <v>5359</v>
      </c>
      <c r="J19" s="56">
        <f>J5*'Nomenclature &amp; données'!$D$7+J6*'Nomenclature &amp; données'!$E$7</f>
        <v>4772</v>
      </c>
      <c r="K19" s="56">
        <f>K5*'Nomenclature &amp; données'!$D$7+K6*'Nomenclature &amp; données'!$E$7</f>
        <v>4639</v>
      </c>
      <c r="L19" s="56">
        <f>L5*'Nomenclature &amp; données'!$D$7+L6*'Nomenclature &amp; données'!$E$7</f>
        <v>4828</v>
      </c>
      <c r="M19" s="56">
        <f>M5*'Nomenclature &amp; données'!$D$7+M6*'Nomenclature &amp; données'!$E$7</f>
        <v>4638</v>
      </c>
      <c r="N19" s="56">
        <f>N5*'Nomenclature &amp; données'!$D$7+N6*'Nomenclature &amp; données'!$E$7</f>
        <v>3783</v>
      </c>
      <c r="O19" s="57">
        <f>O5*'Nomenclature &amp; données'!$D$7+O6*'Nomenclature &amp; données'!$E$7</f>
        <v>3508</v>
      </c>
    </row>
    <row r="20" spans="2:15" x14ac:dyDescent="0.25">
      <c r="B20" s="266"/>
      <c r="C20" s="86" t="s">
        <v>109</v>
      </c>
      <c r="D20" s="13">
        <f>D5*'Nomenclature &amp; données'!$D$8+D6*'Nomenclature &amp; données'!$E$8</f>
        <v>471</v>
      </c>
      <c r="E20" s="76">
        <f>E5*'Nomenclature &amp; données'!$D$8+E6*'Nomenclature &amp; données'!$E$8</f>
        <v>497</v>
      </c>
      <c r="F20" s="76">
        <f>F5*'Nomenclature &amp; données'!$D$8+F6*'Nomenclature &amp; données'!$E$8</f>
        <v>574</v>
      </c>
      <c r="G20" s="76">
        <f>G5*'Nomenclature &amp; données'!$D$8+G6*'Nomenclature &amp; données'!$E$8</f>
        <v>776</v>
      </c>
      <c r="H20" s="76">
        <f>H5*'Nomenclature &amp; données'!$D$8+H6*'Nomenclature &amp; données'!$E$8</f>
        <v>901</v>
      </c>
      <c r="I20" s="76">
        <f>I5*'Nomenclature &amp; données'!$D$8+I6*'Nomenclature &amp; données'!$E$8</f>
        <v>1078</v>
      </c>
      <c r="J20" s="76">
        <f>J5*'Nomenclature &amp; données'!$D$8+J6*'Nomenclature &amp; données'!$E$8</f>
        <v>941</v>
      </c>
      <c r="K20" s="76">
        <f>K5*'Nomenclature &amp; données'!$D$8+K6*'Nomenclature &amp; données'!$E$8</f>
        <v>903</v>
      </c>
      <c r="L20" s="76">
        <f>L5*'Nomenclature &amp; données'!$D$8+L6*'Nomenclature &amp; données'!$E$8</f>
        <v>938</v>
      </c>
      <c r="M20" s="76">
        <f>M5*'Nomenclature &amp; données'!$D$8+M6*'Nomenclature &amp; données'!$E$8</f>
        <v>957</v>
      </c>
      <c r="N20" s="76">
        <f>N5*'Nomenclature &amp; données'!$D$8+N6*'Nomenclature &amp; données'!$E$8</f>
        <v>854</v>
      </c>
      <c r="O20" s="80">
        <f>O5*'Nomenclature &amp; données'!$D$8+O6*'Nomenclature &amp; données'!$E$8</f>
        <v>800</v>
      </c>
    </row>
    <row r="21" spans="2:15" ht="15.75" thickBot="1" x14ac:dyDescent="0.3">
      <c r="B21" s="267"/>
      <c r="C21" s="87" t="s">
        <v>112</v>
      </c>
      <c r="D21" s="14">
        <f>D5*'Nomenclature &amp; données'!$D$11+D6*'Nomenclature &amp; données'!$E$11</f>
        <v>2796</v>
      </c>
      <c r="E21" s="78">
        <f>E5*'Nomenclature &amp; données'!$D$11+E6*'Nomenclature &amp; données'!$E$11</f>
        <v>2990</v>
      </c>
      <c r="F21" s="78">
        <f>F5*'Nomenclature &amp; données'!$D$11+F6*'Nomenclature &amp; données'!$E$11</f>
        <v>3458</v>
      </c>
      <c r="G21" s="78">
        <f>G5*'Nomenclature &amp; données'!$D$11+G6*'Nomenclature &amp; données'!$E$11</f>
        <v>4658</v>
      </c>
      <c r="H21" s="78">
        <f>H5*'Nomenclature &amp; données'!$D$11+H6*'Nomenclature &amp; données'!$E$11</f>
        <v>5374</v>
      </c>
      <c r="I21" s="78">
        <f>I5*'Nomenclature &amp; données'!$D$11+I6*'Nomenclature &amp; données'!$E$11</f>
        <v>6437</v>
      </c>
      <c r="J21" s="78">
        <f>J5*'Nomenclature &amp; données'!$D$11+J6*'Nomenclature &amp; données'!$E$11</f>
        <v>5713</v>
      </c>
      <c r="K21" s="78">
        <f>K5*'Nomenclature &amp; données'!$D$11+K6*'Nomenclature &amp; données'!$E$11</f>
        <v>5542</v>
      </c>
      <c r="L21" s="78">
        <f>L5*'Nomenclature &amp; données'!$D$11+L6*'Nomenclature &amp; données'!$E$11</f>
        <v>5766</v>
      </c>
      <c r="M21" s="78">
        <f>M5*'Nomenclature &amp; données'!$D$11+M6*'Nomenclature &amp; données'!$E$11</f>
        <v>5595</v>
      </c>
      <c r="N21" s="78">
        <f>N5*'Nomenclature &amp; données'!$D$11+N6*'Nomenclature &amp; données'!$E$11</f>
        <v>4637</v>
      </c>
      <c r="O21" s="79">
        <f>O5*'Nomenclature &amp; données'!$D$11+O6*'Nomenclature &amp; données'!$E$11</f>
        <v>4308</v>
      </c>
    </row>
    <row r="22" spans="2:15" x14ac:dyDescent="0.25">
      <c r="B22" s="268" t="s">
        <v>140</v>
      </c>
      <c r="C22" s="88" t="s">
        <v>111</v>
      </c>
      <c r="D22" s="77">
        <f>'Besoins Bruts'!D5*'Nomenclature &amp; données'!$D$10+D6*'Nomenclature &amp; données'!$E$10</f>
        <v>471</v>
      </c>
      <c r="E22" s="56">
        <f>'Besoins Bruts'!E5*'Nomenclature &amp; données'!$D$10+'Besoins Bruts'!E6*'Nomenclature &amp; données'!$E$10</f>
        <v>497</v>
      </c>
      <c r="F22" s="56">
        <f>'Besoins Bruts'!F5*'Nomenclature &amp; données'!$D$10+'Besoins Bruts'!F6*'Nomenclature &amp; données'!$E$10</f>
        <v>574</v>
      </c>
      <c r="G22" s="56">
        <f>'Besoins Bruts'!G5*'Nomenclature &amp; données'!$D$10+'Besoins Bruts'!G6*'Nomenclature &amp; données'!$E$10</f>
        <v>776</v>
      </c>
      <c r="H22" s="56">
        <f>'Besoins Bruts'!H5*'Nomenclature &amp; données'!$D$10+'Besoins Bruts'!H6*'Nomenclature &amp; données'!$E$10</f>
        <v>901</v>
      </c>
      <c r="I22" s="56">
        <f>'Besoins Bruts'!I5*'Nomenclature &amp; données'!$D$10+'Besoins Bruts'!I6*'Nomenclature &amp; données'!$E$10</f>
        <v>1078</v>
      </c>
      <c r="J22" s="56">
        <f>'Besoins Bruts'!J5*'Nomenclature &amp; données'!$D$10+'Besoins Bruts'!J6*'Nomenclature &amp; données'!$E$10</f>
        <v>941</v>
      </c>
      <c r="K22" s="56">
        <f>'Besoins Bruts'!K5*'Nomenclature &amp; données'!$D$10+'Besoins Bruts'!K6*'Nomenclature &amp; données'!$E$10</f>
        <v>903</v>
      </c>
      <c r="L22" s="56">
        <f>'Besoins Bruts'!L5*'Nomenclature &amp; données'!$D$10+'Besoins Bruts'!L6*'Nomenclature &amp; données'!$E$10</f>
        <v>938</v>
      </c>
      <c r="M22" s="56">
        <f>'Besoins Bruts'!M5*'Nomenclature &amp; données'!$D$10+'Besoins Bruts'!M6*'Nomenclature &amp; données'!$E$10</f>
        <v>957</v>
      </c>
      <c r="N22" s="56">
        <f>'Besoins Bruts'!N5*'Nomenclature &amp; données'!$D$10+'Besoins Bruts'!N6*'Nomenclature &amp; données'!$E$10</f>
        <v>854</v>
      </c>
      <c r="O22" s="57">
        <f>'Besoins Bruts'!O5*'Nomenclature &amp; données'!$D$10+'Besoins Bruts'!O6*'Nomenclature &amp; données'!$E$10</f>
        <v>800</v>
      </c>
    </row>
    <row r="23" spans="2:15" x14ac:dyDescent="0.25">
      <c r="B23" s="266"/>
      <c r="C23" s="86" t="s">
        <v>110</v>
      </c>
      <c r="D23" s="13">
        <f>D5*'Nomenclature &amp; données'!$D$9+D6*'Nomenclature &amp; données'!$E$9</f>
        <v>2325</v>
      </c>
      <c r="E23" s="76">
        <f>E5*'Nomenclature &amp; données'!$D$9+E6*'Nomenclature &amp; données'!$E$9</f>
        <v>2493</v>
      </c>
      <c r="F23" s="76">
        <f>F5*'Nomenclature &amp; données'!$D$9+F6*'Nomenclature &amp; données'!$E$9</f>
        <v>2884</v>
      </c>
      <c r="G23" s="76">
        <f>G5*'Nomenclature &amp; données'!$D$9+G6*'Nomenclature &amp; données'!$E$9</f>
        <v>3882</v>
      </c>
      <c r="H23" s="76">
        <f>H5*'Nomenclature &amp; données'!$D$9+H6*'Nomenclature &amp; données'!$E$9</f>
        <v>4473</v>
      </c>
      <c r="I23" s="76">
        <f>I5*'Nomenclature &amp; données'!$D$9+I6*'Nomenclature &amp; données'!$E$9</f>
        <v>5359</v>
      </c>
      <c r="J23" s="76">
        <f>J5*'Nomenclature &amp; données'!$D$9+J6*'Nomenclature &amp; données'!$E$9</f>
        <v>4772</v>
      </c>
      <c r="K23" s="76">
        <f>K5*'Nomenclature &amp; données'!$D$9+K6*'Nomenclature &amp; données'!$E$9</f>
        <v>4639</v>
      </c>
      <c r="L23" s="76">
        <f>L5*'Nomenclature &amp; données'!$D$9+L6*'Nomenclature &amp; données'!$E$9</f>
        <v>4828</v>
      </c>
      <c r="M23" s="76">
        <f>M5*'Nomenclature &amp; données'!$D$9+M6*'Nomenclature &amp; données'!$E$9</f>
        <v>4638</v>
      </c>
      <c r="N23" s="76">
        <f>N5*'Nomenclature &amp; données'!$D$9+N6*'Nomenclature &amp; données'!$E$9</f>
        <v>3783</v>
      </c>
      <c r="O23" s="80">
        <f>O5*'Nomenclature &amp; données'!$D$9+O6*'Nomenclature &amp; données'!$E$9</f>
        <v>3508</v>
      </c>
    </row>
    <row r="24" spans="2:15" x14ac:dyDescent="0.25">
      <c r="B24" s="266"/>
      <c r="C24" s="90" t="s">
        <v>115</v>
      </c>
      <c r="D24" s="13">
        <f>D5*'Nomenclature &amp; données'!$D$14+D6*'Nomenclature &amp; données'!$E$14</f>
        <v>5592</v>
      </c>
      <c r="E24" s="76">
        <f>E5*'Nomenclature &amp; données'!$D$14+E6*'Nomenclature &amp; données'!$E$14</f>
        <v>5980</v>
      </c>
      <c r="F24" s="76">
        <f>F5*'Nomenclature &amp; données'!$D$14+F6*'Nomenclature &amp; données'!$E$14</f>
        <v>6916</v>
      </c>
      <c r="G24" s="76">
        <f>G5*'Nomenclature &amp; données'!$D$14+G6*'Nomenclature &amp; données'!$E$14</f>
        <v>9316</v>
      </c>
      <c r="H24" s="76">
        <f>H5*'Nomenclature &amp; données'!$D$14+H6*'Nomenclature &amp; données'!$E$14</f>
        <v>10748</v>
      </c>
      <c r="I24" s="76">
        <f>I5*'Nomenclature &amp; données'!$D$14+I6*'Nomenclature &amp; données'!$E$14</f>
        <v>12874</v>
      </c>
      <c r="J24" s="76">
        <f>J5*'Nomenclature &amp; données'!$D$14+J6*'Nomenclature &amp; données'!$E$14</f>
        <v>11426</v>
      </c>
      <c r="K24" s="76">
        <f>K5*'Nomenclature &amp; données'!$D$14+K6*'Nomenclature &amp; données'!$E$14</f>
        <v>11084</v>
      </c>
      <c r="L24" s="76">
        <f>L5*'Nomenclature &amp; données'!$D$14+L6*'Nomenclature &amp; données'!$E$14</f>
        <v>11532</v>
      </c>
      <c r="M24" s="76">
        <f>M5*'Nomenclature &amp; données'!$D$14+M6*'Nomenclature &amp; données'!$E$14</f>
        <v>11190</v>
      </c>
      <c r="N24" s="76">
        <f>N5*'Nomenclature &amp; données'!$D$14+N6*'Nomenclature &amp; données'!$E$14</f>
        <v>9274</v>
      </c>
      <c r="O24" s="80">
        <f>O5*'Nomenclature &amp; données'!$D$14+O6*'Nomenclature &amp; données'!$E$14</f>
        <v>8616</v>
      </c>
    </row>
    <row r="25" spans="2:15" ht="15.75" thickBot="1" x14ac:dyDescent="0.3">
      <c r="B25" s="267"/>
      <c r="C25" s="87" t="s">
        <v>116</v>
      </c>
      <c r="D25" s="14">
        <f>D5*'Nomenclature &amp; données'!$D$15+D6*'Nomenclature &amp; données'!$E$15</f>
        <v>2796</v>
      </c>
      <c r="E25" s="78">
        <f>E5*'Nomenclature &amp; données'!$D$15+E6*'Nomenclature &amp; données'!$E$15</f>
        <v>2990</v>
      </c>
      <c r="F25" s="78">
        <f>F5*'Nomenclature &amp; données'!$D$15+F6*'Nomenclature &amp; données'!$E$15</f>
        <v>3458</v>
      </c>
      <c r="G25" s="78">
        <f>G5*'Nomenclature &amp; données'!$D$15+G6*'Nomenclature &amp; données'!$E$15</f>
        <v>4658</v>
      </c>
      <c r="H25" s="78">
        <f>H5*'Nomenclature &amp; données'!$D$15+H6*'Nomenclature &amp; données'!$E$15</f>
        <v>5374</v>
      </c>
      <c r="I25" s="78">
        <f>I5*'Nomenclature &amp; données'!$D$15+I6*'Nomenclature &amp; données'!$E$15</f>
        <v>6437</v>
      </c>
      <c r="J25" s="78">
        <f>J5*'Nomenclature &amp; données'!$D$15+J6*'Nomenclature &amp; données'!$E$15</f>
        <v>5713</v>
      </c>
      <c r="K25" s="78">
        <f>K5*'Nomenclature &amp; données'!$D$15+K6*'Nomenclature &amp; données'!$E$15</f>
        <v>5542</v>
      </c>
      <c r="L25" s="78">
        <f>L5*'Nomenclature &amp; données'!$D$15+L6*'Nomenclature &amp; données'!$E$15</f>
        <v>5766</v>
      </c>
      <c r="M25" s="78">
        <f>M5*'Nomenclature &amp; données'!$D$15+M6*'Nomenclature &amp; données'!$E$15</f>
        <v>5595</v>
      </c>
      <c r="N25" s="78">
        <f>N5*'Nomenclature &amp; données'!$D$15+N6*'Nomenclature &amp; données'!$E$15</f>
        <v>4637</v>
      </c>
      <c r="O25" s="79">
        <f>O5*'Nomenclature &amp; données'!$D$15+O6*'Nomenclature &amp; données'!$E$15</f>
        <v>4308</v>
      </c>
    </row>
    <row r="26" spans="2:15" x14ac:dyDescent="0.25">
      <c r="B26" s="268" t="s">
        <v>141</v>
      </c>
      <c r="C26" s="88" t="s">
        <v>113</v>
      </c>
      <c r="D26" s="77">
        <f>D5*'Nomenclature &amp; données'!$D$12+D6*'Nomenclature &amp; données'!$E$12</f>
        <v>2325</v>
      </c>
      <c r="E26" s="56">
        <f>E5*'Nomenclature &amp; données'!$D$12+E6*'Nomenclature &amp; données'!$E$12</f>
        <v>2493</v>
      </c>
      <c r="F26" s="56">
        <f>F5*'Nomenclature &amp; données'!$D$12+F6*'Nomenclature &amp; données'!$E$12</f>
        <v>2884</v>
      </c>
      <c r="G26" s="56">
        <f>G5*'Nomenclature &amp; données'!$D$12+G6*'Nomenclature &amp; données'!$E$12</f>
        <v>3882</v>
      </c>
      <c r="H26" s="56">
        <f>H5*'Nomenclature &amp; données'!$D$12+H6*'Nomenclature &amp; données'!$E$12</f>
        <v>4473</v>
      </c>
      <c r="I26" s="56">
        <f>I5*'Nomenclature &amp; données'!$D$12+I6*'Nomenclature &amp; données'!$E$12</f>
        <v>5359</v>
      </c>
      <c r="J26" s="56">
        <f>J5*'Nomenclature &amp; données'!$D$12+J6*'Nomenclature &amp; données'!$E$12</f>
        <v>4772</v>
      </c>
      <c r="K26" s="56">
        <f>K5*'Nomenclature &amp; données'!$D$12+K6*'Nomenclature &amp; données'!$E$12</f>
        <v>4639</v>
      </c>
      <c r="L26" s="56">
        <f>L5*'Nomenclature &amp; données'!$D$12+L6*'Nomenclature &amp; données'!$E$12</f>
        <v>4828</v>
      </c>
      <c r="M26" s="56">
        <f>M5*'Nomenclature &amp; données'!$D$12+M6*'Nomenclature &amp; données'!$E$12</f>
        <v>4638</v>
      </c>
      <c r="N26" s="56">
        <f>N5*'Nomenclature &amp; données'!$D$12+N6*'Nomenclature &amp; données'!$E$12</f>
        <v>3783</v>
      </c>
      <c r="O26" s="57">
        <f>O5*'Nomenclature &amp; données'!$D$12+O6*'Nomenclature &amp; données'!$E$12</f>
        <v>3508</v>
      </c>
    </row>
    <row r="27" spans="2:15" ht="15.75" thickBot="1" x14ac:dyDescent="0.3">
      <c r="B27" s="267"/>
      <c r="C27" s="87" t="s">
        <v>114</v>
      </c>
      <c r="D27" s="14">
        <f>D5*'Nomenclature &amp; données'!$D$13+D6*'Nomenclature &amp; données'!$E$13</f>
        <v>471</v>
      </c>
      <c r="E27" s="78">
        <f>E5*'Nomenclature &amp; données'!$D$13+E6*'Nomenclature &amp; données'!$E$13</f>
        <v>497</v>
      </c>
      <c r="F27" s="78">
        <f>F5*'Nomenclature &amp; données'!$D$13+F6*'Nomenclature &amp; données'!$E$13</f>
        <v>574</v>
      </c>
      <c r="G27" s="78">
        <f>G5*'Nomenclature &amp; données'!$D$13+G6*'Nomenclature &amp; données'!$E$13</f>
        <v>776</v>
      </c>
      <c r="H27" s="78">
        <f>H5*'Nomenclature &amp; données'!$D$13+H6*'Nomenclature &amp; données'!$E$13</f>
        <v>901</v>
      </c>
      <c r="I27" s="78">
        <f>I5*'Nomenclature &amp; données'!$D$13+I6*'Nomenclature &amp; données'!$E$13</f>
        <v>1078</v>
      </c>
      <c r="J27" s="78">
        <f>J5*'Nomenclature &amp; données'!$D$13+J6*'Nomenclature &amp; données'!$E$13</f>
        <v>941</v>
      </c>
      <c r="K27" s="78">
        <f>K5*'Nomenclature &amp; données'!$D$13+K6*'Nomenclature &amp; données'!$E$13</f>
        <v>903</v>
      </c>
      <c r="L27" s="78">
        <f>L5*'Nomenclature &amp; données'!$D$13+L6*'Nomenclature &amp; données'!$E$13</f>
        <v>938</v>
      </c>
      <c r="M27" s="78">
        <f>M5*'Nomenclature &amp; données'!$D$13+M6*'Nomenclature &amp; données'!$E$13</f>
        <v>957</v>
      </c>
      <c r="N27" s="78">
        <f>N5*'Nomenclature &amp; données'!$D$13+N6*'Nomenclature &amp; données'!$E$13</f>
        <v>854</v>
      </c>
      <c r="O27" s="79">
        <f>O5*'Nomenclature &amp; données'!$D$13+O6*'Nomenclature &amp; données'!$E$13</f>
        <v>800</v>
      </c>
    </row>
  </sheetData>
  <mergeCells count="6">
    <mergeCell ref="B22:B25"/>
    <mergeCell ref="B26:B27"/>
    <mergeCell ref="C2:O3"/>
    <mergeCell ref="B14:O15"/>
    <mergeCell ref="B17:B18"/>
    <mergeCell ref="B19:B21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T27"/>
  <sheetViews>
    <sheetView workbookViewId="0">
      <selection activeCell="B19" sqref="B19"/>
    </sheetView>
  </sheetViews>
  <sheetFormatPr baseColWidth="10" defaultRowHeight="15" x14ac:dyDescent="0.25"/>
  <cols>
    <col min="1" max="1" width="11.42578125" style="2"/>
    <col min="2" max="2" width="15" style="2" customWidth="1"/>
    <col min="3" max="3" width="27.85546875" style="2" customWidth="1"/>
    <col min="4" max="16384" width="11.42578125" style="2"/>
  </cols>
  <sheetData>
    <row r="1" spans="2:20" ht="15.75" thickBot="1" x14ac:dyDescent="0.3"/>
    <row r="2" spans="2:20" x14ac:dyDescent="0.25">
      <c r="C2" s="126" t="s">
        <v>104</v>
      </c>
      <c r="D2" s="127" t="s">
        <v>74</v>
      </c>
      <c r="E2" s="18" t="s">
        <v>75</v>
      </c>
      <c r="F2" s="18" t="s">
        <v>76</v>
      </c>
      <c r="G2" s="18" t="s">
        <v>77</v>
      </c>
      <c r="H2" s="18" t="s">
        <v>78</v>
      </c>
      <c r="I2" s="18" t="s">
        <v>79</v>
      </c>
      <c r="J2" s="18" t="s">
        <v>80</v>
      </c>
      <c r="K2" s="18" t="s">
        <v>81</v>
      </c>
      <c r="L2" s="18" t="s">
        <v>82</v>
      </c>
      <c r="M2" s="18" t="s">
        <v>83</v>
      </c>
      <c r="N2" s="18" t="s">
        <v>84</v>
      </c>
      <c r="O2" s="19" t="s">
        <v>85</v>
      </c>
    </row>
    <row r="3" spans="2:20" x14ac:dyDescent="0.25">
      <c r="C3" s="74" t="s">
        <v>106</v>
      </c>
      <c r="D3" s="97">
        <f>ROUNDUP(2324.47301333333,0)</f>
        <v>2325</v>
      </c>
      <c r="E3" s="93">
        <f>ROUNDUP(2492.99507333333,0)</f>
        <v>2493</v>
      </c>
      <c r="F3" s="93">
        <f>ROUNDUP(2883.34293333333,0)</f>
        <v>2884</v>
      </c>
      <c r="G3" s="93">
        <f>ROUNDUP(3881.9515,0)</f>
        <v>3882</v>
      </c>
      <c r="H3" s="93">
        <f>ROUNDUP(4472.21730666667,0)</f>
        <v>4473</v>
      </c>
      <c r="I3" s="93">
        <f>ROUNDUP(5358.44708,0)</f>
        <v>5359</v>
      </c>
      <c r="J3" s="93">
        <f>ROUNDUP(4771.0208,0)</f>
        <v>4772</v>
      </c>
      <c r="K3" s="93">
        <f>ROUNDUP(4638.39628,0)</f>
        <v>4639</v>
      </c>
      <c r="L3" s="93">
        <f>ROUNDUP(4827.55653333334,0)</f>
        <v>4828</v>
      </c>
      <c r="M3" s="93">
        <f>ROUNDUP(4637.51908666667,0)</f>
        <v>4638</v>
      </c>
      <c r="N3" s="93">
        <f>ROUNDUP(3782.34472,0)</f>
        <v>3783</v>
      </c>
      <c r="O3" s="94">
        <f>ROUNDUP(3507.94812666667,0)</f>
        <v>3508</v>
      </c>
    </row>
    <row r="4" spans="2:20" ht="15.75" thickBot="1" x14ac:dyDescent="0.3">
      <c r="C4" s="75" t="s">
        <v>107</v>
      </c>
      <c r="D4" s="98">
        <v>471</v>
      </c>
      <c r="E4" s="92">
        <v>497</v>
      </c>
      <c r="F4" s="92">
        <v>574</v>
      </c>
      <c r="G4" s="92">
        <v>776</v>
      </c>
      <c r="H4" s="92">
        <v>901</v>
      </c>
      <c r="I4" s="92">
        <v>1078</v>
      </c>
      <c r="J4" s="92">
        <v>941</v>
      </c>
      <c r="K4" s="92">
        <v>903</v>
      </c>
      <c r="L4" s="92">
        <v>938</v>
      </c>
      <c r="M4" s="92">
        <v>857</v>
      </c>
      <c r="N4" s="92">
        <v>854</v>
      </c>
      <c r="O4" s="79">
        <v>800</v>
      </c>
    </row>
    <row r="6" spans="2:20" ht="15.75" thickBot="1" x14ac:dyDescent="0.3"/>
    <row r="7" spans="2:20" x14ac:dyDescent="0.25">
      <c r="C7" s="77" t="s">
        <v>134</v>
      </c>
      <c r="D7" s="127" t="s">
        <v>74</v>
      </c>
      <c r="E7" s="18" t="s">
        <v>75</v>
      </c>
      <c r="F7" s="18" t="s">
        <v>76</v>
      </c>
      <c r="G7" s="18" t="s">
        <v>77</v>
      </c>
      <c r="H7" s="18" t="s">
        <v>78</v>
      </c>
      <c r="I7" s="18" t="s">
        <v>79</v>
      </c>
      <c r="J7" s="18" t="s">
        <v>80</v>
      </c>
      <c r="K7" s="18" t="s">
        <v>81</v>
      </c>
      <c r="L7" s="18" t="s">
        <v>82</v>
      </c>
      <c r="M7" s="18" t="s">
        <v>83</v>
      </c>
      <c r="N7" s="18" t="s">
        <v>84</v>
      </c>
      <c r="O7" s="19" t="s">
        <v>85</v>
      </c>
      <c r="Q7" s="128"/>
      <c r="R7" s="129" t="s">
        <v>106</v>
      </c>
      <c r="S7" s="129" t="s">
        <v>107</v>
      </c>
      <c r="T7" s="129" t="s">
        <v>167</v>
      </c>
    </row>
    <row r="8" spans="2:20" x14ac:dyDescent="0.25">
      <c r="C8" s="130" t="s">
        <v>106</v>
      </c>
      <c r="D8" s="122">
        <f>D3*$T$8</f>
        <v>2325</v>
      </c>
      <c r="E8" s="122">
        <f>E3*$T$8</f>
        <v>2493</v>
      </c>
      <c r="F8" s="122">
        <f t="shared" ref="F8:O8" si="0">F3*$T$8</f>
        <v>2884</v>
      </c>
      <c r="G8" s="122">
        <f t="shared" si="0"/>
        <v>3882</v>
      </c>
      <c r="H8" s="122">
        <f t="shared" si="0"/>
        <v>4473</v>
      </c>
      <c r="I8" s="122">
        <f t="shared" si="0"/>
        <v>5359</v>
      </c>
      <c r="J8" s="122">
        <f t="shared" si="0"/>
        <v>4772</v>
      </c>
      <c r="K8" s="122">
        <f t="shared" si="0"/>
        <v>4639</v>
      </c>
      <c r="L8" s="122">
        <f t="shared" si="0"/>
        <v>4828</v>
      </c>
      <c r="M8" s="122">
        <f t="shared" si="0"/>
        <v>4638</v>
      </c>
      <c r="N8" s="122">
        <f t="shared" si="0"/>
        <v>3783</v>
      </c>
      <c r="O8" s="80">
        <f t="shared" si="0"/>
        <v>3508</v>
      </c>
      <c r="Q8" s="129" t="s">
        <v>106</v>
      </c>
      <c r="R8" s="131">
        <v>1</v>
      </c>
      <c r="S8" s="131">
        <v>0</v>
      </c>
      <c r="T8" s="122">
        <f>SUM(R8:S8)</f>
        <v>1</v>
      </c>
    </row>
    <row r="9" spans="2:20" x14ac:dyDescent="0.25">
      <c r="C9" s="130" t="s">
        <v>107</v>
      </c>
      <c r="D9" s="122">
        <f>D4*$T$9</f>
        <v>471</v>
      </c>
      <c r="E9" s="122">
        <f>E4*$T$9</f>
        <v>497</v>
      </c>
      <c r="F9" s="122">
        <f t="shared" ref="F9:O9" si="1">F4*$T$9</f>
        <v>574</v>
      </c>
      <c r="G9" s="122">
        <f t="shared" si="1"/>
        <v>776</v>
      </c>
      <c r="H9" s="122">
        <f t="shared" si="1"/>
        <v>901</v>
      </c>
      <c r="I9" s="122">
        <f t="shared" si="1"/>
        <v>1078</v>
      </c>
      <c r="J9" s="122">
        <f t="shared" si="1"/>
        <v>941</v>
      </c>
      <c r="K9" s="122">
        <f t="shared" si="1"/>
        <v>903</v>
      </c>
      <c r="L9" s="122">
        <f t="shared" si="1"/>
        <v>938</v>
      </c>
      <c r="M9" s="122">
        <f t="shared" si="1"/>
        <v>857</v>
      </c>
      <c r="N9" s="122">
        <f t="shared" si="1"/>
        <v>854</v>
      </c>
      <c r="O9" s="80">
        <f t="shared" si="1"/>
        <v>800</v>
      </c>
      <c r="Q9" s="129" t="s">
        <v>107</v>
      </c>
      <c r="R9" s="131">
        <v>0</v>
      </c>
      <c r="S9" s="131">
        <v>1</v>
      </c>
      <c r="T9" s="122">
        <f t="shared" ref="T9:T18" si="2">SUM(R9:S9)</f>
        <v>1</v>
      </c>
    </row>
    <row r="10" spans="2:20" x14ac:dyDescent="0.25">
      <c r="C10" s="132" t="s">
        <v>108</v>
      </c>
      <c r="D10" s="122">
        <f>D3*$T$10</f>
        <v>2325</v>
      </c>
      <c r="E10" s="122">
        <f>E3*$T$10</f>
        <v>2493</v>
      </c>
      <c r="F10" s="122">
        <f t="shared" ref="F10:O10" si="3">F3*$T$10</f>
        <v>2884</v>
      </c>
      <c r="G10" s="122">
        <f t="shared" si="3"/>
        <v>3882</v>
      </c>
      <c r="H10" s="122">
        <f t="shared" si="3"/>
        <v>4473</v>
      </c>
      <c r="I10" s="122">
        <f t="shared" si="3"/>
        <v>5359</v>
      </c>
      <c r="J10" s="122">
        <f t="shared" si="3"/>
        <v>4772</v>
      </c>
      <c r="K10" s="122">
        <f t="shared" si="3"/>
        <v>4639</v>
      </c>
      <c r="L10" s="122">
        <f t="shared" si="3"/>
        <v>4828</v>
      </c>
      <c r="M10" s="122">
        <f t="shared" si="3"/>
        <v>4638</v>
      </c>
      <c r="N10" s="122">
        <f t="shared" si="3"/>
        <v>3783</v>
      </c>
      <c r="O10" s="80">
        <f t="shared" si="3"/>
        <v>3508</v>
      </c>
      <c r="Q10" s="129" t="s">
        <v>108</v>
      </c>
      <c r="R10" s="131">
        <v>1</v>
      </c>
      <c r="S10" s="131">
        <v>0</v>
      </c>
      <c r="T10" s="122">
        <f t="shared" si="2"/>
        <v>1</v>
      </c>
    </row>
    <row r="11" spans="2:20" x14ac:dyDescent="0.25">
      <c r="C11" s="132" t="s">
        <v>109</v>
      </c>
      <c r="D11" s="122">
        <f>D4*$T$11</f>
        <v>471</v>
      </c>
      <c r="E11" s="122">
        <f>E4*$T$11</f>
        <v>497</v>
      </c>
      <c r="F11" s="122">
        <f t="shared" ref="F11:O11" si="4">F4*$T$11</f>
        <v>574</v>
      </c>
      <c r="G11" s="122">
        <f t="shared" si="4"/>
        <v>776</v>
      </c>
      <c r="H11" s="122">
        <f t="shared" si="4"/>
        <v>901</v>
      </c>
      <c r="I11" s="122">
        <f t="shared" si="4"/>
        <v>1078</v>
      </c>
      <c r="J11" s="122">
        <f t="shared" si="4"/>
        <v>941</v>
      </c>
      <c r="K11" s="122">
        <f t="shared" si="4"/>
        <v>903</v>
      </c>
      <c r="L11" s="122">
        <f t="shared" si="4"/>
        <v>938</v>
      </c>
      <c r="M11" s="122">
        <f t="shared" si="4"/>
        <v>857</v>
      </c>
      <c r="N11" s="122">
        <f t="shared" si="4"/>
        <v>854</v>
      </c>
      <c r="O11" s="80">
        <f t="shared" si="4"/>
        <v>800</v>
      </c>
      <c r="Q11" s="129" t="s">
        <v>109</v>
      </c>
      <c r="R11" s="131">
        <v>0</v>
      </c>
      <c r="S11" s="131">
        <v>1</v>
      </c>
      <c r="T11" s="122">
        <f t="shared" si="2"/>
        <v>1</v>
      </c>
    </row>
    <row r="12" spans="2:20" x14ac:dyDescent="0.25">
      <c r="C12" s="132" t="s">
        <v>112</v>
      </c>
      <c r="D12" s="122">
        <f>D3*$R$12+D4*$S$12</f>
        <v>2796</v>
      </c>
      <c r="E12" s="122">
        <f>E3*$R$12+E4*$S$12</f>
        <v>2990</v>
      </c>
      <c r="F12" s="122">
        <f t="shared" ref="F12:O12" si="5">F3*$R$12+F4*$S$12</f>
        <v>3458</v>
      </c>
      <c r="G12" s="122">
        <f t="shared" si="5"/>
        <v>4658</v>
      </c>
      <c r="H12" s="122">
        <f t="shared" si="5"/>
        <v>5374</v>
      </c>
      <c r="I12" s="122">
        <f t="shared" si="5"/>
        <v>6437</v>
      </c>
      <c r="J12" s="122">
        <f t="shared" si="5"/>
        <v>5713</v>
      </c>
      <c r="K12" s="122">
        <f t="shared" si="5"/>
        <v>5542</v>
      </c>
      <c r="L12" s="122">
        <f t="shared" si="5"/>
        <v>5766</v>
      </c>
      <c r="M12" s="122">
        <f t="shared" si="5"/>
        <v>5495</v>
      </c>
      <c r="N12" s="122">
        <f t="shared" si="5"/>
        <v>4637</v>
      </c>
      <c r="O12" s="80">
        <f t="shared" si="5"/>
        <v>4308</v>
      </c>
      <c r="Q12" s="129" t="s">
        <v>112</v>
      </c>
      <c r="R12" s="131">
        <v>1</v>
      </c>
      <c r="S12" s="131">
        <v>1</v>
      </c>
      <c r="T12" s="122">
        <f t="shared" si="2"/>
        <v>2</v>
      </c>
    </row>
    <row r="13" spans="2:20" x14ac:dyDescent="0.25">
      <c r="C13" s="133" t="s">
        <v>111</v>
      </c>
      <c r="D13" s="122">
        <f>D4*$T$13</f>
        <v>471</v>
      </c>
      <c r="E13" s="122">
        <f>E4*$T$13</f>
        <v>497</v>
      </c>
      <c r="F13" s="122">
        <f t="shared" ref="F13:O13" si="6">F4*$T$13</f>
        <v>574</v>
      </c>
      <c r="G13" s="122">
        <f t="shared" si="6"/>
        <v>776</v>
      </c>
      <c r="H13" s="122">
        <f t="shared" si="6"/>
        <v>901</v>
      </c>
      <c r="I13" s="122">
        <f t="shared" si="6"/>
        <v>1078</v>
      </c>
      <c r="J13" s="122">
        <f t="shared" si="6"/>
        <v>941</v>
      </c>
      <c r="K13" s="122">
        <f t="shared" si="6"/>
        <v>903</v>
      </c>
      <c r="L13" s="122">
        <f t="shared" si="6"/>
        <v>938</v>
      </c>
      <c r="M13" s="122">
        <f t="shared" si="6"/>
        <v>857</v>
      </c>
      <c r="N13" s="122">
        <f t="shared" si="6"/>
        <v>854</v>
      </c>
      <c r="O13" s="80">
        <f t="shared" si="6"/>
        <v>800</v>
      </c>
      <c r="Q13" s="129" t="s">
        <v>111</v>
      </c>
      <c r="R13" s="131">
        <v>0</v>
      </c>
      <c r="S13" s="131">
        <v>1</v>
      </c>
      <c r="T13" s="122">
        <f t="shared" si="2"/>
        <v>1</v>
      </c>
    </row>
    <row r="14" spans="2:20" x14ac:dyDescent="0.25">
      <c r="C14" s="133" t="s">
        <v>110</v>
      </c>
      <c r="D14" s="122">
        <f>D3*$T$14</f>
        <v>2325</v>
      </c>
      <c r="E14" s="122">
        <f>E3*$T$14</f>
        <v>2493</v>
      </c>
      <c r="F14" s="122">
        <f t="shared" ref="F14:O14" si="7">F3*$T$14</f>
        <v>2884</v>
      </c>
      <c r="G14" s="122">
        <f t="shared" si="7"/>
        <v>3882</v>
      </c>
      <c r="H14" s="122">
        <f t="shared" si="7"/>
        <v>4473</v>
      </c>
      <c r="I14" s="122">
        <f t="shared" si="7"/>
        <v>5359</v>
      </c>
      <c r="J14" s="122">
        <f t="shared" si="7"/>
        <v>4772</v>
      </c>
      <c r="K14" s="122">
        <f t="shared" si="7"/>
        <v>4639</v>
      </c>
      <c r="L14" s="122">
        <f t="shared" si="7"/>
        <v>4828</v>
      </c>
      <c r="M14" s="122">
        <f t="shared" si="7"/>
        <v>4638</v>
      </c>
      <c r="N14" s="122">
        <f t="shared" si="7"/>
        <v>3783</v>
      </c>
      <c r="O14" s="80">
        <f t="shared" si="7"/>
        <v>3508</v>
      </c>
      <c r="Q14" s="129" t="s">
        <v>110</v>
      </c>
      <c r="R14" s="131">
        <v>1</v>
      </c>
      <c r="S14" s="131">
        <v>0</v>
      </c>
      <c r="T14" s="122">
        <f t="shared" si="2"/>
        <v>1</v>
      </c>
    </row>
    <row r="15" spans="2:20" x14ac:dyDescent="0.25">
      <c r="B15" s="134" t="s">
        <v>115</v>
      </c>
      <c r="C15" s="133" t="s">
        <v>115</v>
      </c>
      <c r="D15" s="122">
        <f>D3*$R$15+D4*$S$15</f>
        <v>5592</v>
      </c>
      <c r="E15" s="122">
        <f>E3*$R$15+E4*$S$15</f>
        <v>5980</v>
      </c>
      <c r="F15" s="122">
        <f t="shared" ref="F15:O15" si="8">F3*$R$15+F4*$S$15</f>
        <v>6916</v>
      </c>
      <c r="G15" s="122">
        <f t="shared" si="8"/>
        <v>9316</v>
      </c>
      <c r="H15" s="122">
        <f t="shared" si="8"/>
        <v>10748</v>
      </c>
      <c r="I15" s="122">
        <f t="shared" si="8"/>
        <v>12874</v>
      </c>
      <c r="J15" s="122">
        <f t="shared" si="8"/>
        <v>11426</v>
      </c>
      <c r="K15" s="122">
        <f t="shared" si="8"/>
        <v>11084</v>
      </c>
      <c r="L15" s="122">
        <f t="shared" si="8"/>
        <v>11532</v>
      </c>
      <c r="M15" s="122">
        <f t="shared" si="8"/>
        <v>10990</v>
      </c>
      <c r="N15" s="122">
        <f t="shared" si="8"/>
        <v>9274</v>
      </c>
      <c r="O15" s="80">
        <f t="shared" si="8"/>
        <v>8616</v>
      </c>
      <c r="Q15" s="129" t="s">
        <v>115</v>
      </c>
      <c r="R15" s="131">
        <v>2</v>
      </c>
      <c r="S15" s="131">
        <v>2</v>
      </c>
      <c r="T15" s="122">
        <f>SUM(R15:S15)</f>
        <v>4</v>
      </c>
    </row>
    <row r="16" spans="2:20" x14ac:dyDescent="0.25">
      <c r="C16" s="133" t="s">
        <v>116</v>
      </c>
      <c r="D16" s="122">
        <f>D3*$R$16+D4*$S$16</f>
        <v>2796</v>
      </c>
      <c r="E16" s="122">
        <f>E3*$R$16+E4*$S$16</f>
        <v>2990</v>
      </c>
      <c r="F16" s="122">
        <f t="shared" ref="F16:O16" si="9">F3*$R$16+F4*$S$16</f>
        <v>3458</v>
      </c>
      <c r="G16" s="122">
        <f t="shared" si="9"/>
        <v>4658</v>
      </c>
      <c r="H16" s="122">
        <f t="shared" si="9"/>
        <v>5374</v>
      </c>
      <c r="I16" s="122">
        <f t="shared" si="9"/>
        <v>6437</v>
      </c>
      <c r="J16" s="122">
        <f t="shared" si="9"/>
        <v>5713</v>
      </c>
      <c r="K16" s="122">
        <f t="shared" si="9"/>
        <v>5542</v>
      </c>
      <c r="L16" s="122">
        <f t="shared" si="9"/>
        <v>5766</v>
      </c>
      <c r="M16" s="122">
        <f t="shared" si="9"/>
        <v>5495</v>
      </c>
      <c r="N16" s="122">
        <f t="shared" si="9"/>
        <v>4637</v>
      </c>
      <c r="O16" s="80">
        <f t="shared" si="9"/>
        <v>4308</v>
      </c>
      <c r="Q16" s="129" t="s">
        <v>116</v>
      </c>
      <c r="R16" s="131">
        <v>1</v>
      </c>
      <c r="S16" s="131">
        <v>1</v>
      </c>
      <c r="T16" s="122">
        <f>SUM(R16:S16)</f>
        <v>2</v>
      </c>
    </row>
    <row r="17" spans="3:20" x14ac:dyDescent="0.25">
      <c r="C17" s="135" t="s">
        <v>113</v>
      </c>
      <c r="D17" s="122">
        <f>D3*$T$17</f>
        <v>2325</v>
      </c>
      <c r="E17" s="122">
        <f>E3*$T$17</f>
        <v>2493</v>
      </c>
      <c r="F17" s="122">
        <f t="shared" ref="F17:O17" si="10">F3*$T$17</f>
        <v>2884</v>
      </c>
      <c r="G17" s="122">
        <f t="shared" si="10"/>
        <v>3882</v>
      </c>
      <c r="H17" s="122">
        <f t="shared" si="10"/>
        <v>4473</v>
      </c>
      <c r="I17" s="122">
        <f t="shared" si="10"/>
        <v>5359</v>
      </c>
      <c r="J17" s="122">
        <f t="shared" si="10"/>
        <v>4772</v>
      </c>
      <c r="K17" s="122">
        <f t="shared" si="10"/>
        <v>4639</v>
      </c>
      <c r="L17" s="122">
        <f t="shared" si="10"/>
        <v>4828</v>
      </c>
      <c r="M17" s="122">
        <f t="shared" si="10"/>
        <v>4638</v>
      </c>
      <c r="N17" s="122">
        <f t="shared" si="10"/>
        <v>3783</v>
      </c>
      <c r="O17" s="80">
        <f t="shared" si="10"/>
        <v>3508</v>
      </c>
      <c r="Q17" s="129" t="s">
        <v>113</v>
      </c>
      <c r="R17" s="131">
        <v>1</v>
      </c>
      <c r="S17" s="131">
        <v>0</v>
      </c>
      <c r="T17" s="122">
        <f t="shared" si="2"/>
        <v>1</v>
      </c>
    </row>
    <row r="18" spans="3:20" ht="15.75" thickBot="1" x14ac:dyDescent="0.3">
      <c r="C18" s="136" t="s">
        <v>114</v>
      </c>
      <c r="D18" s="92">
        <f>D4*$T$18</f>
        <v>471</v>
      </c>
      <c r="E18" s="92">
        <f>E4*$T$18</f>
        <v>497</v>
      </c>
      <c r="F18" s="92">
        <f t="shared" ref="F18:O18" si="11">F4*$T$18</f>
        <v>574</v>
      </c>
      <c r="G18" s="92">
        <f t="shared" si="11"/>
        <v>776</v>
      </c>
      <c r="H18" s="92">
        <f t="shared" si="11"/>
        <v>901</v>
      </c>
      <c r="I18" s="92">
        <f t="shared" si="11"/>
        <v>1078</v>
      </c>
      <c r="J18" s="92">
        <f t="shared" si="11"/>
        <v>941</v>
      </c>
      <c r="K18" s="92">
        <f t="shared" si="11"/>
        <v>903</v>
      </c>
      <c r="L18" s="92">
        <f t="shared" si="11"/>
        <v>938</v>
      </c>
      <c r="M18" s="92">
        <f t="shared" si="11"/>
        <v>857</v>
      </c>
      <c r="N18" s="92">
        <f t="shared" si="11"/>
        <v>854</v>
      </c>
      <c r="O18" s="79">
        <f t="shared" si="11"/>
        <v>800</v>
      </c>
      <c r="Q18" s="129" t="s">
        <v>114</v>
      </c>
      <c r="R18" s="122">
        <v>0</v>
      </c>
      <c r="S18" s="122">
        <v>1</v>
      </c>
      <c r="T18" s="122">
        <f t="shared" si="2"/>
        <v>1</v>
      </c>
    </row>
    <row r="19" spans="3:20" x14ac:dyDescent="0.25"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</row>
    <row r="20" spans="3:20" ht="15.75" thickBot="1" x14ac:dyDescent="0.3"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</row>
    <row r="21" spans="3:20" x14ac:dyDescent="0.25">
      <c r="C21" s="137"/>
      <c r="D21" s="138" t="s">
        <v>106</v>
      </c>
      <c r="E21" s="138" t="s">
        <v>107</v>
      </c>
      <c r="F21" s="138" t="s">
        <v>108</v>
      </c>
      <c r="G21" s="138" t="s">
        <v>109</v>
      </c>
      <c r="H21" s="138" t="s">
        <v>110</v>
      </c>
      <c r="I21" s="138" t="s">
        <v>111</v>
      </c>
      <c r="J21" s="139" t="s">
        <v>112</v>
      </c>
      <c r="K21" s="5"/>
    </row>
    <row r="22" spans="3:20" x14ac:dyDescent="0.25">
      <c r="C22" s="140" t="s">
        <v>126</v>
      </c>
      <c r="D22" s="93">
        <v>4</v>
      </c>
      <c r="E22" s="93">
        <v>40</v>
      </c>
      <c r="F22" s="93">
        <v>40</v>
      </c>
      <c r="G22" s="93">
        <v>40</v>
      </c>
      <c r="H22" s="93">
        <v>4</v>
      </c>
      <c r="I22" s="93">
        <v>40</v>
      </c>
      <c r="J22" s="94">
        <v>4</v>
      </c>
      <c r="K22" s="5"/>
    </row>
    <row r="23" spans="3:20" x14ac:dyDescent="0.25">
      <c r="C23" s="140" t="s">
        <v>127</v>
      </c>
      <c r="D23" s="93">
        <v>2.66</v>
      </c>
      <c r="E23" s="93">
        <v>24</v>
      </c>
      <c r="F23" s="93">
        <v>3.2</v>
      </c>
      <c r="G23" s="93">
        <v>48</v>
      </c>
      <c r="H23" s="93">
        <v>4.8</v>
      </c>
      <c r="I23" s="93">
        <v>240</v>
      </c>
      <c r="J23" s="94">
        <v>9.6</v>
      </c>
      <c r="K23" s="5"/>
    </row>
    <row r="24" spans="3:20" x14ac:dyDescent="0.25">
      <c r="C24" s="140" t="s">
        <v>128</v>
      </c>
      <c r="D24" s="93" t="s">
        <v>129</v>
      </c>
      <c r="E24" s="93" t="s">
        <v>129</v>
      </c>
      <c r="F24" s="93">
        <v>3500</v>
      </c>
      <c r="G24" s="93">
        <v>800</v>
      </c>
      <c r="H24" s="93">
        <v>4000</v>
      </c>
      <c r="I24" s="93">
        <v>800</v>
      </c>
      <c r="J24" s="94">
        <v>5000</v>
      </c>
      <c r="K24" s="5"/>
    </row>
    <row r="25" spans="3:20" x14ac:dyDescent="0.25">
      <c r="C25" s="140" t="s">
        <v>130</v>
      </c>
      <c r="D25" s="93" t="s">
        <v>129</v>
      </c>
      <c r="E25" s="93" t="s">
        <v>129</v>
      </c>
      <c r="F25" s="93">
        <v>18.899999999999999</v>
      </c>
      <c r="G25" s="93">
        <v>129.58000000000001</v>
      </c>
      <c r="H25" s="93">
        <v>15.24</v>
      </c>
      <c r="I25" s="93">
        <v>117.39</v>
      </c>
      <c r="J25" s="94">
        <v>3.5</v>
      </c>
      <c r="K25" s="5"/>
    </row>
    <row r="26" spans="3:20" ht="15.75" thickBot="1" x14ac:dyDescent="0.3">
      <c r="C26" s="141" t="s">
        <v>131</v>
      </c>
      <c r="D26" s="95" t="s">
        <v>129</v>
      </c>
      <c r="E26" s="95" t="s">
        <v>129</v>
      </c>
      <c r="F26" s="95">
        <f>1/100</f>
        <v>0.01</v>
      </c>
      <c r="G26" s="95">
        <f>1/100</f>
        <v>0.01</v>
      </c>
      <c r="H26" s="95">
        <f>10/100</f>
        <v>0.1</v>
      </c>
      <c r="I26" s="95">
        <f>5/100</f>
        <v>0.05</v>
      </c>
      <c r="J26" s="96">
        <f>5/100</f>
        <v>0.05</v>
      </c>
      <c r="K26" s="5"/>
    </row>
    <row r="27" spans="3:20" x14ac:dyDescent="0.25">
      <c r="C27" s="5"/>
      <c r="D27" s="5"/>
      <c r="E27" s="5"/>
      <c r="F27" s="5"/>
      <c r="G27" s="5"/>
      <c r="H27" s="5"/>
      <c r="I27" s="5"/>
      <c r="J27" s="5"/>
      <c r="K27" s="5"/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S33"/>
  <sheetViews>
    <sheetView workbookViewId="0">
      <selection activeCell="J10" sqref="J10"/>
    </sheetView>
  </sheetViews>
  <sheetFormatPr baseColWidth="10" defaultRowHeight="15" x14ac:dyDescent="0.25"/>
  <cols>
    <col min="1" max="4" width="11.42578125" style="2"/>
    <col min="5" max="5" width="27.7109375" style="2" customWidth="1"/>
    <col min="6" max="8" width="11.42578125" style="2"/>
    <col min="9" max="9" width="20.7109375" style="2" customWidth="1"/>
    <col min="10" max="10" width="17.7109375" style="2" customWidth="1"/>
    <col min="11" max="15" width="11.42578125" style="2"/>
    <col min="16" max="16" width="21" style="2" customWidth="1"/>
    <col min="17" max="17" width="18.42578125" style="2" customWidth="1"/>
    <col min="18" max="16384" width="11.42578125" style="2"/>
  </cols>
  <sheetData>
    <row r="2" spans="2:19" x14ac:dyDescent="0.25">
      <c r="I2" s="122" t="s">
        <v>244</v>
      </c>
      <c r="J2" s="225"/>
      <c r="K2" s="225"/>
      <c r="L2" s="225"/>
      <c r="M2" s="225"/>
      <c r="N2" s="225"/>
      <c r="O2" s="225"/>
      <c r="P2" s="225"/>
      <c r="Q2" s="225"/>
    </row>
    <row r="3" spans="2:19" x14ac:dyDescent="0.25">
      <c r="B3" s="128"/>
      <c r="C3" s="122" t="s">
        <v>202</v>
      </c>
      <c r="D3" s="122" t="s">
        <v>107</v>
      </c>
      <c r="E3" s="122" t="s">
        <v>202</v>
      </c>
      <c r="F3" s="122" t="s">
        <v>106</v>
      </c>
      <c r="G3" s="272"/>
      <c r="H3" s="273"/>
      <c r="I3" s="270">
        <f>IF(SUM(C4:F4)=C4+E4,0,SUM(C4:F4))</f>
        <v>34485.131999999998</v>
      </c>
      <c r="J3" s="225"/>
      <c r="K3" s="225"/>
      <c r="L3" s="225"/>
      <c r="M3" s="225"/>
      <c r="N3" s="225"/>
      <c r="O3" s="271"/>
      <c r="P3" s="271"/>
      <c r="Q3" s="271"/>
    </row>
    <row r="4" spans="2:19" x14ac:dyDescent="0.25">
      <c r="B4" s="122" t="s">
        <v>168</v>
      </c>
      <c r="C4" s="122">
        <f>G29*60</f>
        <v>2400</v>
      </c>
      <c r="D4" s="122">
        <f>F16</f>
        <v>20486.400000000001</v>
      </c>
      <c r="E4" s="122">
        <f>F29*60</f>
        <v>240</v>
      </c>
      <c r="F4" s="122">
        <f>F15</f>
        <v>11358.732</v>
      </c>
      <c r="G4" s="274"/>
      <c r="H4" s="275"/>
      <c r="I4" s="270"/>
      <c r="J4" s="225"/>
      <c r="K4" s="225"/>
      <c r="L4" s="225"/>
      <c r="M4" s="225"/>
      <c r="N4" s="225"/>
      <c r="O4" s="271"/>
      <c r="P4" s="271"/>
      <c r="Q4" s="271"/>
    </row>
    <row r="5" spans="2:19" x14ac:dyDescent="0.25">
      <c r="B5" s="128"/>
      <c r="C5" s="122" t="s">
        <v>202</v>
      </c>
      <c r="D5" s="122" t="s">
        <v>109</v>
      </c>
      <c r="E5" s="122" t="s">
        <v>202</v>
      </c>
      <c r="F5" s="122" t="s">
        <v>108</v>
      </c>
      <c r="G5" s="274"/>
      <c r="H5" s="275"/>
      <c r="I5" s="270">
        <f>SUM(C6:F6)</f>
        <v>23875.056000000004</v>
      </c>
      <c r="J5" s="225"/>
      <c r="K5" s="225"/>
      <c r="L5" s="225"/>
      <c r="M5" s="225"/>
      <c r="N5" s="225"/>
      <c r="O5" s="271"/>
      <c r="P5" s="271"/>
      <c r="Q5" s="271"/>
    </row>
    <row r="6" spans="2:19" x14ac:dyDescent="0.25">
      <c r="B6" s="122" t="s">
        <v>169</v>
      </c>
      <c r="C6" s="122">
        <f>I29*60</f>
        <v>2400</v>
      </c>
      <c r="D6" s="122">
        <f>F18</f>
        <v>3330.0960000000009</v>
      </c>
      <c r="E6" s="122">
        <f>H29*60</f>
        <v>2400</v>
      </c>
      <c r="F6" s="122">
        <f>F17</f>
        <v>15744.960000000001</v>
      </c>
      <c r="G6" s="276"/>
      <c r="H6" s="277"/>
      <c r="I6" s="270"/>
      <c r="J6" s="225"/>
      <c r="K6" s="225"/>
      <c r="L6" s="225"/>
      <c r="M6" s="225"/>
      <c r="N6" s="225"/>
      <c r="O6" s="271"/>
      <c r="P6" s="271"/>
      <c r="Q6" s="271"/>
    </row>
    <row r="7" spans="2:19" x14ac:dyDescent="0.25">
      <c r="B7" s="128"/>
      <c r="C7" s="122" t="s">
        <v>202</v>
      </c>
      <c r="D7" s="122" t="s">
        <v>111</v>
      </c>
      <c r="E7" s="122" t="s">
        <v>202</v>
      </c>
      <c r="F7" s="122" t="s">
        <v>112</v>
      </c>
      <c r="G7" s="122" t="s">
        <v>202</v>
      </c>
      <c r="H7" s="122" t="s">
        <v>110</v>
      </c>
      <c r="I7" s="270">
        <f>SUM(C8:H8)</f>
        <v>401687.64</v>
      </c>
      <c r="J7" s="225"/>
      <c r="K7" s="225"/>
      <c r="L7" s="225"/>
      <c r="M7" s="225"/>
      <c r="N7" s="225"/>
      <c r="O7" s="225"/>
      <c r="P7" s="225"/>
      <c r="Q7" s="271"/>
    </row>
    <row r="8" spans="2:19" x14ac:dyDescent="0.25">
      <c r="B8" s="122" t="s">
        <v>170</v>
      </c>
      <c r="C8" s="122">
        <f>K29*60</f>
        <v>2400</v>
      </c>
      <c r="D8" s="122">
        <f>F20</f>
        <v>313762.68</v>
      </c>
      <c r="E8" s="122">
        <f>L29*60</f>
        <v>240</v>
      </c>
      <c r="F8" s="122">
        <f>F19</f>
        <v>56749.440000000002</v>
      </c>
      <c r="G8" s="122">
        <f>J29*60</f>
        <v>240</v>
      </c>
      <c r="H8" s="122">
        <f>F21</f>
        <v>28295.52</v>
      </c>
      <c r="I8" s="270"/>
      <c r="J8" s="225"/>
      <c r="K8" s="225"/>
      <c r="L8" s="225"/>
      <c r="M8" s="225"/>
      <c r="N8" s="225"/>
      <c r="O8" s="225"/>
      <c r="P8" s="225"/>
      <c r="Q8" s="271"/>
    </row>
    <row r="9" spans="2:19" x14ac:dyDescent="0.25">
      <c r="J9" s="225"/>
      <c r="K9" s="225"/>
      <c r="L9" s="225"/>
      <c r="M9" s="225"/>
      <c r="N9" s="225"/>
      <c r="O9" s="225"/>
      <c r="P9" s="225"/>
      <c r="Q9" s="225"/>
    </row>
    <row r="10" spans="2:19" x14ac:dyDescent="0.25">
      <c r="J10" s="225"/>
      <c r="K10" s="225"/>
      <c r="L10" s="225"/>
      <c r="M10" s="225"/>
      <c r="N10" s="225"/>
      <c r="O10" s="225"/>
      <c r="P10" s="225"/>
      <c r="Q10" s="225"/>
    </row>
    <row r="13" spans="2:19" ht="15.75" thickBot="1" x14ac:dyDescent="0.3"/>
    <row r="14" spans="2:19" x14ac:dyDescent="0.25">
      <c r="B14" s="142" t="str">
        <f>'[1]Temps opératoires'!D5</f>
        <v>Composants</v>
      </c>
      <c r="C14" s="143" t="str">
        <f>'[1]Temps opératoires'!E5</f>
        <v>T+1</v>
      </c>
      <c r="D14" s="143" t="str">
        <f>'[1]Temps opératoires'!F5</f>
        <v>T+2</v>
      </c>
      <c r="E14" s="143" t="str">
        <f>'[1]Temps opératoires'!G5</f>
        <v>T+3</v>
      </c>
      <c r="F14" s="143" t="str">
        <f>'[1]Temps opératoires'!H5</f>
        <v>T+4</v>
      </c>
      <c r="G14" s="143" t="str">
        <f>'[1]Temps opératoires'!I5</f>
        <v>T+5</v>
      </c>
      <c r="H14" s="143" t="str">
        <f>'[1]Temps opératoires'!J5</f>
        <v>T+6</v>
      </c>
      <c r="I14" s="143" t="str">
        <f>'[1]Temps opératoires'!K5</f>
        <v>T+7</v>
      </c>
      <c r="J14" s="143" t="str">
        <f>'[1]Temps opératoires'!L5</f>
        <v>T+8</v>
      </c>
      <c r="K14" s="143" t="str">
        <f>'[1]Temps opératoires'!M5</f>
        <v>T+9</v>
      </c>
      <c r="L14" s="143" t="str">
        <f>'[1]Temps opératoires'!N5</f>
        <v>T+10</v>
      </c>
      <c r="M14" s="143" t="str">
        <f>'[1]Temps opératoires'!O5</f>
        <v>T+11</v>
      </c>
      <c r="N14" s="225"/>
      <c r="P14" s="137"/>
      <c r="Q14" s="144" t="s">
        <v>170</v>
      </c>
      <c r="R14" s="144" t="s">
        <v>169</v>
      </c>
      <c r="S14" s="145" t="s">
        <v>168</v>
      </c>
    </row>
    <row r="15" spans="2:19" x14ac:dyDescent="0.25">
      <c r="B15" s="146" t="str">
        <f>'[1]Temps opératoires'!D6</f>
        <v>P1</v>
      </c>
      <c r="C15" s="122">
        <f>'[1]Temps opératoires'!E6</f>
        <v>0</v>
      </c>
      <c r="D15" s="122">
        <f>'[1]Temps opératoires'!F6</f>
        <v>7494.0180000000009</v>
      </c>
      <c r="E15" s="122">
        <f>'[1]Temps opératoires'!G6</f>
        <v>8438.5839999999989</v>
      </c>
      <c r="F15" s="122">
        <f>'[1]Temps opératoires'!H6</f>
        <v>11358.732</v>
      </c>
      <c r="G15" s="122">
        <f>'[1]Temps opératoires'!I6</f>
        <v>13087.998000000001</v>
      </c>
      <c r="H15" s="122">
        <f>'[1]Temps opératoires'!J6</f>
        <v>15680.434000000003</v>
      </c>
      <c r="I15" s="122">
        <f>'[1]Temps opératoires'!K6</f>
        <v>13962.871999999999</v>
      </c>
      <c r="J15" s="122">
        <f>'[1]Temps opératoires'!L6</f>
        <v>13573.714</v>
      </c>
      <c r="K15" s="122">
        <f>'[1]Temps opératoires'!M6</f>
        <v>14126.728000000001</v>
      </c>
      <c r="L15" s="122">
        <f>'[1]Temps opératoires'!N6</f>
        <v>13570.788</v>
      </c>
      <c r="M15" s="122">
        <f>'[1]Temps opératoires'!O6</f>
        <v>11069.058000000001</v>
      </c>
      <c r="N15" s="5"/>
      <c r="P15" s="147" t="s">
        <v>171</v>
      </c>
      <c r="Q15" s="111">
        <v>70</v>
      </c>
      <c r="R15" s="111">
        <v>18</v>
      </c>
      <c r="S15" s="112">
        <v>12</v>
      </c>
    </row>
    <row r="16" spans="2:19" x14ac:dyDescent="0.25">
      <c r="B16" s="146" t="str">
        <f>'[1]Temps opératoires'!D7</f>
        <v>P2</v>
      </c>
      <c r="C16" s="122">
        <f>'[1]Temps opératoires'!E7</f>
        <v>0</v>
      </c>
      <c r="D16" s="122">
        <f>'[1]Temps opératoires'!F7</f>
        <v>19096.800000000003</v>
      </c>
      <c r="E16" s="122">
        <f>'[1]Temps opératoires'!G7</f>
        <v>15153.599999999999</v>
      </c>
      <c r="F16" s="122">
        <f>'[1]Temps opératoires'!H7</f>
        <v>20486.400000000001</v>
      </c>
      <c r="G16" s="122">
        <f>'[1]Temps opératoires'!I7</f>
        <v>23786.400000000001</v>
      </c>
      <c r="H16" s="122">
        <f>'[1]Temps opératoires'!J7</f>
        <v>28459.199999999997</v>
      </c>
      <c r="I16" s="122">
        <f>'[1]Temps opératoires'!K7</f>
        <v>24842.399999999998</v>
      </c>
      <c r="J16" s="122">
        <f>'[1]Temps opératoires'!L7</f>
        <v>23839.200000000004</v>
      </c>
      <c r="K16" s="122">
        <f>'[1]Temps opératoires'!M7</f>
        <v>24763.199999999997</v>
      </c>
      <c r="L16" s="122">
        <f>'[1]Temps opératoires'!N7</f>
        <v>22624.800000000003</v>
      </c>
      <c r="M16" s="122">
        <f>'[1]Temps opératoires'!O7</f>
        <v>22545.599999999999</v>
      </c>
      <c r="N16" s="5"/>
      <c r="P16" s="147" t="s">
        <v>172</v>
      </c>
      <c r="Q16" s="111">
        <v>150</v>
      </c>
      <c r="R16" s="111">
        <v>40</v>
      </c>
      <c r="S16" s="112">
        <v>40</v>
      </c>
    </row>
    <row r="17" spans="2:19" x14ac:dyDescent="0.25">
      <c r="B17" s="146" t="str">
        <f>'[1]Temps opératoires'!D8</f>
        <v>SE16</v>
      </c>
      <c r="C17" s="122">
        <f>'[1]Temps opératoires'!E8</f>
        <v>5255.3600000000006</v>
      </c>
      <c r="D17" s="122">
        <f>'[1]Temps opératoires'!F8</f>
        <v>10151.68</v>
      </c>
      <c r="E17" s="122">
        <f>'[1]Temps opératoires'!G8</f>
        <v>13664.64</v>
      </c>
      <c r="F17" s="122">
        <f>'[1]Temps opératoires'!H8</f>
        <v>15744.960000000001</v>
      </c>
      <c r="G17" s="122">
        <f>'[1]Temps opératoires'!I8</f>
        <v>18863.680000000004</v>
      </c>
      <c r="H17" s="122">
        <f>'[1]Temps opératoires'!J8</f>
        <v>16797.439999999999</v>
      </c>
      <c r="I17" s="122">
        <f>'[1]Temps opératoires'!K8</f>
        <v>16329.279999999999</v>
      </c>
      <c r="J17" s="122">
        <f>'[1]Temps opératoires'!L8</f>
        <v>16994.560000000001</v>
      </c>
      <c r="K17" s="122">
        <f>'[1]Temps opératoires'!M8</f>
        <v>16325.760000000002</v>
      </c>
      <c r="L17" s="122">
        <f>'[1]Temps opératoires'!N8</f>
        <v>13316.160000000002</v>
      </c>
      <c r="M17" s="122">
        <f>'[1]Temps opératoires'!O8</f>
        <v>12348.16</v>
      </c>
      <c r="N17" s="5"/>
      <c r="P17" s="147" t="s">
        <v>173</v>
      </c>
      <c r="Q17" s="111">
        <v>40</v>
      </c>
      <c r="R17" s="111">
        <v>40</v>
      </c>
      <c r="S17" s="112">
        <v>40</v>
      </c>
    </row>
    <row r="18" spans="2:19" x14ac:dyDescent="0.25">
      <c r="B18" s="146" t="str">
        <f>'[1]Temps opératoires'!D9</f>
        <v>SE17</v>
      </c>
      <c r="C18" s="122">
        <f>'[1]Temps opératoires'!E9</f>
        <v>1620.7520000000004</v>
      </c>
      <c r="D18" s="122">
        <f>'[1]Temps opératoires'!F9</f>
        <v>2121.5040000000004</v>
      </c>
      <c r="E18" s="122">
        <f>'[1]Temps opératoires'!G9</f>
        <v>2868.096</v>
      </c>
      <c r="F18" s="122">
        <f>'[1]Temps opératoires'!H9</f>
        <v>3330.0960000000009</v>
      </c>
      <c r="G18" s="122">
        <f>'[1]Temps opératoires'!I9</f>
        <v>3984.288</v>
      </c>
      <c r="H18" s="122">
        <f>'[1]Temps opératoires'!J9</f>
        <v>3477.9360000000001</v>
      </c>
      <c r="I18" s="122">
        <f>'[1]Temps opératoires'!K9</f>
        <v>3337.4880000000007</v>
      </c>
      <c r="J18" s="122">
        <f>'[1]Temps opératoires'!L9</f>
        <v>3466.848</v>
      </c>
      <c r="K18" s="122">
        <f>'[1]Temps opératoires'!M9</f>
        <v>3167.4720000000002</v>
      </c>
      <c r="L18" s="122">
        <f>'[1]Temps opératoires'!N9</f>
        <v>3156.384</v>
      </c>
      <c r="M18" s="122">
        <f>'[1]Temps opératoires'!O9</f>
        <v>2956.8</v>
      </c>
      <c r="N18" s="5"/>
      <c r="P18" s="147" t="s">
        <v>174</v>
      </c>
      <c r="Q18" s="111">
        <f>50/100</f>
        <v>0.5</v>
      </c>
      <c r="R18" s="111">
        <f>30/100</f>
        <v>0.3</v>
      </c>
      <c r="S18" s="112">
        <f>30/100</f>
        <v>0.3</v>
      </c>
    </row>
    <row r="19" spans="2:19" x14ac:dyDescent="0.25">
      <c r="B19" s="146" t="str">
        <f>'[1]Temps opératoires'!D10</f>
        <v>P25</v>
      </c>
      <c r="C19" s="122">
        <f>'[1]Temps opératoires'!E10</f>
        <v>13526.4</v>
      </c>
      <c r="D19" s="122">
        <f>'[1]Temps opératoires'!F10</f>
        <v>36516.479999999996</v>
      </c>
      <c r="E19" s="122">
        <f>'[1]Temps opératoires'!G10</f>
        <v>49188.480000000003</v>
      </c>
      <c r="F19" s="122">
        <f>'[1]Temps opératoires'!H10</f>
        <v>56749.440000000002</v>
      </c>
      <c r="G19" s="122">
        <f>'[1]Temps opératoires'!I10</f>
        <v>67974.720000000001</v>
      </c>
      <c r="H19" s="122">
        <f>'[1]Temps opératoires'!J10</f>
        <v>60329.279999999992</v>
      </c>
      <c r="I19" s="122">
        <f>'[1]Temps opératoires'!K10</f>
        <v>58523.519999999997</v>
      </c>
      <c r="J19" s="122">
        <f>'[1]Temps opératoires'!L10</f>
        <v>60888.959999999999</v>
      </c>
      <c r="K19" s="122">
        <f>'[1]Temps opératoires'!M10</f>
        <v>58027.199999999997</v>
      </c>
      <c r="L19" s="122">
        <f>'[1]Temps opératoires'!N10</f>
        <v>48966.719999999994</v>
      </c>
      <c r="M19" s="122">
        <f>'[1]Temps opératoires'!O10</f>
        <v>45492.479999999989</v>
      </c>
      <c r="N19" s="5"/>
      <c r="P19" s="147" t="s">
        <v>175</v>
      </c>
      <c r="Q19" s="111">
        <v>9.5299999999999994</v>
      </c>
      <c r="R19" s="111">
        <v>11.43</v>
      </c>
      <c r="S19" s="112">
        <v>10.29</v>
      </c>
    </row>
    <row r="20" spans="2:19" x14ac:dyDescent="0.25">
      <c r="B20" s="146" t="str">
        <f>'[1]Temps opératoires'!D11</f>
        <v>P24</v>
      </c>
      <c r="C20" s="122">
        <f>'[1]Temps opératoires'!E11</f>
        <v>102702.66000000003</v>
      </c>
      <c r="D20" s="122">
        <f>'[1]Temps opératoires'!F11</f>
        <v>225862.56</v>
      </c>
      <c r="E20" s="122">
        <f>'[1]Temps opératoires'!G11</f>
        <v>262245.06000000006</v>
      </c>
      <c r="F20" s="122">
        <f>'[1]Temps opératoires'!H11</f>
        <v>313762.68</v>
      </c>
      <c r="G20" s="122">
        <f>'[1]Temps opératoires'!I11</f>
        <v>273887.46000000002</v>
      </c>
      <c r="H20" s="122">
        <f>'[1]Temps opératoires'!J11</f>
        <v>262827.18000000005</v>
      </c>
      <c r="I20" s="122">
        <f>'[1]Temps opératoires'!K11</f>
        <v>273014.27999999997</v>
      </c>
      <c r="J20" s="122">
        <f>'[1]Temps opératoires'!L11</f>
        <v>249438.41999999998</v>
      </c>
      <c r="K20" s="122">
        <f>'[1]Temps opératoires'!M11</f>
        <v>248565.24000000005</v>
      </c>
      <c r="L20" s="122">
        <f>'[1]Temps opératoires'!N11</f>
        <v>232847.99999999997</v>
      </c>
      <c r="M20" s="122">
        <f>'[1]Temps opératoires'!O11</f>
        <v>0</v>
      </c>
      <c r="N20" s="5"/>
      <c r="P20" s="147" t="s">
        <v>176</v>
      </c>
      <c r="Q20" s="111">
        <v>15.24</v>
      </c>
      <c r="R20" s="111">
        <v>19.059999999999999</v>
      </c>
      <c r="S20" s="112">
        <v>17.149999999999999</v>
      </c>
    </row>
    <row r="21" spans="2:19" x14ac:dyDescent="0.25">
      <c r="B21" s="146" t="str">
        <f>'[1]Temps opératoires'!D12</f>
        <v>P23</v>
      </c>
      <c r="C21" s="122">
        <f>'[1]Temps opératoires'!E12</f>
        <v>15070.559999999998</v>
      </c>
      <c r="D21" s="122">
        <f>'[1]Temps opératoires'!F12</f>
        <v>20496.96</v>
      </c>
      <c r="E21" s="122">
        <f>'[1]Temps opératoires'!G12</f>
        <v>23617.439999999999</v>
      </c>
      <c r="F21" s="122">
        <f>'[1]Temps opératoires'!H12</f>
        <v>28295.52</v>
      </c>
      <c r="G21" s="122">
        <f>'[1]Temps opératoires'!I12</f>
        <v>25196.16</v>
      </c>
      <c r="H21" s="122">
        <f>'[1]Temps opératoires'!J12</f>
        <v>24493.919999999998</v>
      </c>
      <c r="I21" s="122">
        <f>'[1]Temps opératoires'!K12</f>
        <v>25491.84</v>
      </c>
      <c r="J21" s="122">
        <f>'[1]Temps opératoires'!L12</f>
        <v>24488.639999999999</v>
      </c>
      <c r="K21" s="122">
        <f>'[1]Temps opératoires'!M12</f>
        <v>19974.240000000002</v>
      </c>
      <c r="L21" s="122">
        <f>'[1]Temps opératoires'!N12</f>
        <v>18522.239999999998</v>
      </c>
      <c r="M21" s="122">
        <f>'[1]Temps opératoires'!O12</f>
        <v>0</v>
      </c>
      <c r="N21" s="5"/>
      <c r="P21" s="147" t="s">
        <v>177</v>
      </c>
      <c r="Q21" s="93">
        <f>Q15*(1-V16)*(1+Q18)</f>
        <v>105</v>
      </c>
      <c r="R21" s="93">
        <f t="shared" ref="R21:S21" si="0">R15*(1-W16)*(1+R18)</f>
        <v>23.400000000000002</v>
      </c>
      <c r="S21" s="94">
        <f t="shared" si="0"/>
        <v>15.600000000000001</v>
      </c>
    </row>
    <row r="22" spans="2:19" ht="15.75" thickBot="1" x14ac:dyDescent="0.3">
      <c r="B22" s="146" t="str">
        <f>'[1]Temps opératoires'!D13</f>
        <v>M40</v>
      </c>
      <c r="C22" s="122">
        <f>'[1]Temps opératoires'!E13</f>
        <v>0</v>
      </c>
      <c r="D22" s="122">
        <f>'[1]Temps opératoires'!F13</f>
        <v>0</v>
      </c>
      <c r="E22" s="122">
        <f>'[1]Temps opératoires'!G13</f>
        <v>0</v>
      </c>
      <c r="F22" s="122">
        <f>'[1]Temps opératoires'!H13</f>
        <v>0</v>
      </c>
      <c r="G22" s="122">
        <f>'[1]Temps opératoires'!I13</f>
        <v>0</v>
      </c>
      <c r="H22" s="122">
        <f>'[1]Temps opératoires'!J13</f>
        <v>0</v>
      </c>
      <c r="I22" s="122">
        <f>'[1]Temps opératoires'!K13</f>
        <v>0</v>
      </c>
      <c r="J22" s="122">
        <f>'[1]Temps opératoires'!L13</f>
        <v>0</v>
      </c>
      <c r="K22" s="122">
        <f>'[1]Temps opératoires'!M13</f>
        <v>0</v>
      </c>
      <c r="L22" s="122">
        <f>'[1]Temps opératoires'!N13</f>
        <v>0</v>
      </c>
      <c r="M22" s="122">
        <f>'[1]Temps opératoires'!O13</f>
        <v>0</v>
      </c>
      <c r="N22" s="5"/>
      <c r="P22" s="148" t="s">
        <v>178</v>
      </c>
      <c r="Q22" s="149">
        <f>Q15*Q17*4*60</f>
        <v>672000</v>
      </c>
      <c r="R22" s="149">
        <f>R15*R17*4*60</f>
        <v>172800</v>
      </c>
      <c r="S22" s="150">
        <f>S15*S17*4*60</f>
        <v>115200</v>
      </c>
    </row>
    <row r="23" spans="2:19" x14ac:dyDescent="0.25">
      <c r="B23" s="146" t="str">
        <f>'[1]Temps opératoires'!D14</f>
        <v>M41</v>
      </c>
      <c r="C23" s="122">
        <f>'[1]Temps opératoires'!E14</f>
        <v>0</v>
      </c>
      <c r="D23" s="122">
        <f>'[1]Temps opératoires'!F14</f>
        <v>0</v>
      </c>
      <c r="E23" s="122">
        <f>'[1]Temps opératoires'!G14</f>
        <v>0</v>
      </c>
      <c r="F23" s="122">
        <f>'[1]Temps opératoires'!H14</f>
        <v>0</v>
      </c>
      <c r="G23" s="122">
        <f>'[1]Temps opératoires'!I14</f>
        <v>0</v>
      </c>
      <c r="H23" s="122">
        <f>'[1]Temps opératoires'!J14</f>
        <v>0</v>
      </c>
      <c r="I23" s="122">
        <f>'[1]Temps opératoires'!K14</f>
        <v>0</v>
      </c>
      <c r="J23" s="122">
        <f>'[1]Temps opératoires'!L14</f>
        <v>0</v>
      </c>
      <c r="K23" s="122">
        <f>'[1]Temps opératoires'!M14</f>
        <v>0</v>
      </c>
      <c r="L23" s="122">
        <f>'[1]Temps opératoires'!N14</f>
        <v>0</v>
      </c>
      <c r="M23" s="122">
        <f>'[1]Temps opératoires'!O14</f>
        <v>0</v>
      </c>
      <c r="N23" s="5"/>
    </row>
    <row r="24" spans="2:19" x14ac:dyDescent="0.25">
      <c r="B24" s="146" t="str">
        <f>'[1]Temps opératoires'!D15</f>
        <v>M38</v>
      </c>
      <c r="C24" s="122">
        <f>'[1]Temps opératoires'!E15</f>
        <v>0</v>
      </c>
      <c r="D24" s="122">
        <f>'[1]Temps opératoires'!F15</f>
        <v>0</v>
      </c>
      <c r="E24" s="122">
        <f>'[1]Temps opératoires'!G15</f>
        <v>0</v>
      </c>
      <c r="F24" s="122">
        <f>'[1]Temps opératoires'!H15</f>
        <v>0</v>
      </c>
      <c r="G24" s="122">
        <f>'[1]Temps opératoires'!I15</f>
        <v>0</v>
      </c>
      <c r="H24" s="122">
        <f>'[1]Temps opératoires'!J15</f>
        <v>0</v>
      </c>
      <c r="I24" s="122">
        <f>'[1]Temps opératoires'!K15</f>
        <v>0</v>
      </c>
      <c r="J24" s="122">
        <f>'[1]Temps opératoires'!L15</f>
        <v>0</v>
      </c>
      <c r="K24" s="122">
        <f>'[1]Temps opératoires'!M15</f>
        <v>0</v>
      </c>
      <c r="L24" s="122">
        <f>'[1]Temps opératoires'!N15</f>
        <v>0</v>
      </c>
      <c r="M24" s="122">
        <f>'[1]Temps opératoires'!O15</f>
        <v>0</v>
      </c>
      <c r="N24" s="5"/>
    </row>
    <row r="25" spans="2:19" ht="15.75" thickBot="1" x14ac:dyDescent="0.3">
      <c r="B25" s="151" t="str">
        <f>'[1]Temps opératoires'!D16</f>
        <v>M39</v>
      </c>
      <c r="C25" s="92">
        <f>'[1]Temps opératoires'!E16</f>
        <v>0</v>
      </c>
      <c r="D25" s="92">
        <f>'[1]Temps opératoires'!F16</f>
        <v>0</v>
      </c>
      <c r="E25" s="92">
        <f>'[1]Temps opératoires'!G16</f>
        <v>0</v>
      </c>
      <c r="F25" s="92">
        <f>'[1]Temps opératoires'!H16</f>
        <v>0</v>
      </c>
      <c r="G25" s="92">
        <f>'[1]Temps opératoires'!I16</f>
        <v>0</v>
      </c>
      <c r="H25" s="92">
        <f>'[1]Temps opératoires'!J16</f>
        <v>0</v>
      </c>
      <c r="I25" s="92">
        <f>'[1]Temps opératoires'!K16</f>
        <v>0</v>
      </c>
      <c r="J25" s="92">
        <f>'[1]Temps opératoires'!L16</f>
        <v>0</v>
      </c>
      <c r="K25" s="92">
        <f>'[1]Temps opératoires'!M16</f>
        <v>0</v>
      </c>
      <c r="L25" s="92">
        <f>'[1]Temps opératoires'!N16</f>
        <v>0</v>
      </c>
      <c r="M25" s="92">
        <f>'[1]Temps opératoires'!O16</f>
        <v>0</v>
      </c>
      <c r="N25" s="5"/>
    </row>
    <row r="27" spans="2:19" ht="15.75" thickBot="1" x14ac:dyDescent="0.3"/>
    <row r="28" spans="2:19" x14ac:dyDescent="0.25">
      <c r="E28" s="137"/>
      <c r="F28" s="138" t="s">
        <v>106</v>
      </c>
      <c r="G28" s="138" t="s">
        <v>107</v>
      </c>
      <c r="H28" s="138" t="s">
        <v>108</v>
      </c>
      <c r="I28" s="138" t="s">
        <v>109</v>
      </c>
      <c r="J28" s="138" t="s">
        <v>110</v>
      </c>
      <c r="K28" s="138" t="s">
        <v>111</v>
      </c>
      <c r="L28" s="138" t="s">
        <v>112</v>
      </c>
      <c r="M28" s="138" t="s">
        <v>115</v>
      </c>
      <c r="N28" s="138"/>
      <c r="O28" s="138" t="s">
        <v>116</v>
      </c>
      <c r="P28" s="138" t="s">
        <v>113</v>
      </c>
      <c r="Q28" s="139" t="s">
        <v>114</v>
      </c>
    </row>
    <row r="29" spans="2:19" x14ac:dyDescent="0.25">
      <c r="E29" s="140" t="s">
        <v>126</v>
      </c>
      <c r="F29" s="93">
        <v>4</v>
      </c>
      <c r="G29" s="93">
        <v>40</v>
      </c>
      <c r="H29" s="93">
        <v>40</v>
      </c>
      <c r="I29" s="93">
        <v>40</v>
      </c>
      <c r="J29" s="93">
        <v>4</v>
      </c>
      <c r="K29" s="93">
        <v>40</v>
      </c>
      <c r="L29" s="93">
        <v>4</v>
      </c>
      <c r="M29" s="122">
        <v>0</v>
      </c>
      <c r="N29" s="122"/>
      <c r="O29" s="122">
        <v>0</v>
      </c>
      <c r="P29" s="122">
        <v>0</v>
      </c>
      <c r="Q29" s="80">
        <v>0</v>
      </c>
    </row>
    <row r="30" spans="2:19" x14ac:dyDescent="0.25">
      <c r="E30" s="140" t="s">
        <v>127</v>
      </c>
      <c r="F30" s="93">
        <v>2.66</v>
      </c>
      <c r="G30" s="93">
        <v>24</v>
      </c>
      <c r="H30" s="93">
        <v>3.2</v>
      </c>
      <c r="I30" s="93">
        <v>48</v>
      </c>
      <c r="J30" s="93">
        <v>4.8</v>
      </c>
      <c r="K30" s="93">
        <v>240</v>
      </c>
      <c r="L30" s="93">
        <v>9.6</v>
      </c>
      <c r="M30" s="122">
        <v>0</v>
      </c>
      <c r="N30" s="122"/>
      <c r="O30" s="122">
        <v>0</v>
      </c>
      <c r="P30" s="122">
        <v>0</v>
      </c>
      <c r="Q30" s="80">
        <v>0</v>
      </c>
    </row>
    <row r="31" spans="2:19" x14ac:dyDescent="0.25">
      <c r="E31" s="140" t="s">
        <v>128</v>
      </c>
      <c r="F31" s="93" t="s">
        <v>129</v>
      </c>
      <c r="G31" s="93" t="s">
        <v>129</v>
      </c>
      <c r="H31" s="93">
        <v>3500</v>
      </c>
      <c r="I31" s="93">
        <v>800</v>
      </c>
      <c r="J31" s="93">
        <v>4000</v>
      </c>
      <c r="K31" s="93">
        <v>800</v>
      </c>
      <c r="L31" s="93">
        <v>5000</v>
      </c>
      <c r="M31" s="122"/>
      <c r="N31" s="122"/>
      <c r="O31" s="122"/>
      <c r="P31" s="122"/>
      <c r="Q31" s="80"/>
    </row>
    <row r="32" spans="2:19" x14ac:dyDescent="0.25">
      <c r="E32" s="140" t="s">
        <v>130</v>
      </c>
      <c r="F32" s="93" t="s">
        <v>129</v>
      </c>
      <c r="G32" s="93" t="s">
        <v>129</v>
      </c>
      <c r="H32" s="93">
        <v>18.899999999999999</v>
      </c>
      <c r="I32" s="93">
        <v>129.58000000000001</v>
      </c>
      <c r="J32" s="93">
        <v>15.24</v>
      </c>
      <c r="K32" s="93">
        <v>117.39</v>
      </c>
      <c r="L32" s="93">
        <v>3.5</v>
      </c>
      <c r="M32" s="122"/>
      <c r="N32" s="122"/>
      <c r="O32" s="122"/>
      <c r="P32" s="122"/>
      <c r="Q32" s="80"/>
    </row>
    <row r="33" spans="5:17" ht="15.75" thickBot="1" x14ac:dyDescent="0.3">
      <c r="E33" s="141" t="s">
        <v>131</v>
      </c>
      <c r="F33" s="95" t="s">
        <v>129</v>
      </c>
      <c r="G33" s="95" t="s">
        <v>129</v>
      </c>
      <c r="H33" s="95">
        <f>1/100</f>
        <v>0.01</v>
      </c>
      <c r="I33" s="95">
        <f>1/100</f>
        <v>0.01</v>
      </c>
      <c r="J33" s="95">
        <f>10/100</f>
        <v>0.1</v>
      </c>
      <c r="K33" s="95">
        <f>5/100</f>
        <v>0.05</v>
      </c>
      <c r="L33" s="95">
        <f>5/100</f>
        <v>0.05</v>
      </c>
      <c r="M33" s="92"/>
      <c r="N33" s="92"/>
      <c r="O33" s="92"/>
      <c r="P33" s="92"/>
      <c r="Q33" s="79"/>
    </row>
  </sheetData>
  <mergeCells count="8">
    <mergeCell ref="I7:I8"/>
    <mergeCell ref="Q7:Q8"/>
    <mergeCell ref="G3:H6"/>
    <mergeCell ref="I3:I4"/>
    <mergeCell ref="O3:P6"/>
    <mergeCell ref="Q3:Q4"/>
    <mergeCell ref="I5:I6"/>
    <mergeCell ref="Q5:Q6"/>
  </mergeCells>
  <conditionalFormatting sqref="I3:I4 Q3:Q4">
    <cfRule type="cellIs" dxfId="8" priority="3" operator="greaterThan">
      <formula>$S$22</formula>
    </cfRule>
  </conditionalFormatting>
  <conditionalFormatting sqref="I5:I6 Q5:Q6">
    <cfRule type="cellIs" dxfId="7" priority="2" operator="greaterThan">
      <formula>$R$22</formula>
    </cfRule>
  </conditionalFormatting>
  <conditionalFormatting sqref="I7:I8 Q7:Q8">
    <cfRule type="cellIs" dxfId="6" priority="1" operator="greaterThan">
      <formula>$Q$22</formula>
    </cfRule>
  </conditionalFormatting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AD53"/>
  <sheetViews>
    <sheetView topLeftCell="B13" zoomScaleNormal="100" workbookViewId="0">
      <selection activeCell="F29" activeCellId="2" sqref="F33 F25 F29"/>
    </sheetView>
  </sheetViews>
  <sheetFormatPr baseColWidth="10" defaultRowHeight="15" x14ac:dyDescent="0.25"/>
  <cols>
    <col min="1" max="17" width="11.42578125" style="2"/>
    <col min="18" max="18" width="13.7109375" style="2" customWidth="1"/>
    <col min="19" max="19" width="26" style="2" customWidth="1"/>
    <col min="20" max="20" width="16" style="2" customWidth="1"/>
    <col min="21" max="21" width="15.85546875" style="2" customWidth="1"/>
    <col min="22" max="22" width="26.140625" style="2" customWidth="1"/>
    <col min="23" max="16384" width="11.42578125" style="2"/>
  </cols>
  <sheetData>
    <row r="4" spans="2:30" ht="15.75" thickBot="1" x14ac:dyDescent="0.3"/>
    <row r="5" spans="2:30" x14ac:dyDescent="0.25">
      <c r="B5" s="77" t="str">
        <f>[1]Nomenclature!C7</f>
        <v>Composants</v>
      </c>
      <c r="C5" s="56"/>
      <c r="D5" s="56" t="s">
        <v>0</v>
      </c>
      <c r="E5" s="56" t="s">
        <v>74</v>
      </c>
      <c r="F5" s="56" t="s">
        <v>75</v>
      </c>
      <c r="G5" s="56" t="s">
        <v>76</v>
      </c>
      <c r="H5" s="56" t="s">
        <v>77</v>
      </c>
      <c r="I5" s="56" t="s">
        <v>78</v>
      </c>
      <c r="J5" s="56" t="s">
        <v>79</v>
      </c>
      <c r="K5" s="56" t="s">
        <v>80</v>
      </c>
      <c r="L5" s="56" t="s">
        <v>81</v>
      </c>
      <c r="M5" s="56" t="s">
        <v>82</v>
      </c>
      <c r="N5" s="56" t="s">
        <v>83</v>
      </c>
      <c r="O5" s="56" t="s">
        <v>84</v>
      </c>
      <c r="P5" s="56" t="s">
        <v>85</v>
      </c>
      <c r="Q5" s="5"/>
      <c r="S5" s="137"/>
      <c r="T5" s="138" t="s">
        <v>106</v>
      </c>
      <c r="U5" s="138" t="s">
        <v>107</v>
      </c>
      <c r="V5" s="138" t="s">
        <v>108</v>
      </c>
      <c r="W5" s="138" t="s">
        <v>109</v>
      </c>
      <c r="X5" s="138" t="s">
        <v>110</v>
      </c>
      <c r="Y5" s="138" t="s">
        <v>111</v>
      </c>
      <c r="Z5" s="138" t="s">
        <v>112</v>
      </c>
      <c r="AA5" s="138" t="s">
        <v>116</v>
      </c>
      <c r="AB5" s="138" t="s">
        <v>115</v>
      </c>
      <c r="AC5" s="138" t="s">
        <v>114</v>
      </c>
      <c r="AD5" s="139" t="s">
        <v>113</v>
      </c>
    </row>
    <row r="6" spans="2:30" x14ac:dyDescent="0.25">
      <c r="B6" s="13" t="str">
        <f>[1]Nomenclature!C8</f>
        <v>P1</v>
      </c>
      <c r="C6" s="122"/>
      <c r="D6" s="122"/>
      <c r="E6" s="226"/>
      <c r="F6" s="227"/>
      <c r="G6" s="228"/>
      <c r="H6" s="226"/>
      <c r="I6" s="227"/>
      <c r="J6" s="228"/>
      <c r="K6" s="226"/>
      <c r="L6" s="227"/>
      <c r="M6" s="228"/>
      <c r="N6" s="226"/>
      <c r="O6" s="227"/>
      <c r="P6" s="229"/>
      <c r="Q6" s="5"/>
      <c r="S6" s="140" t="s">
        <v>126</v>
      </c>
      <c r="T6" s="93">
        <v>4</v>
      </c>
      <c r="U6" s="93">
        <v>40</v>
      </c>
      <c r="V6" s="93">
        <v>40</v>
      </c>
      <c r="W6" s="93">
        <v>40</v>
      </c>
      <c r="X6" s="93">
        <v>4</v>
      </c>
      <c r="Y6" s="93">
        <v>40</v>
      </c>
      <c r="Z6" s="93">
        <v>4</v>
      </c>
      <c r="AA6" s="122"/>
      <c r="AB6" s="122"/>
      <c r="AC6" s="122"/>
      <c r="AD6" s="80"/>
    </row>
    <row r="7" spans="2:30" x14ac:dyDescent="0.25">
      <c r="B7" s="13"/>
      <c r="C7" s="122" t="s">
        <v>179</v>
      </c>
      <c r="D7" s="122"/>
      <c r="E7" s="226">
        <f>[1]Nomenclature!D8</f>
        <v>2325</v>
      </c>
      <c r="F7" s="230">
        <f>[1]Nomenclature!E8+S37</f>
        <v>3993</v>
      </c>
      <c r="G7" s="231">
        <f>[1]Nomenclature!F8</f>
        <v>2884</v>
      </c>
      <c r="H7" s="232">
        <f>[1]Nomenclature!G8</f>
        <v>3882</v>
      </c>
      <c r="I7" s="230">
        <f>[1]Nomenclature!H8</f>
        <v>4473</v>
      </c>
      <c r="J7" s="231">
        <f>[1]Nomenclature!I8</f>
        <v>5359</v>
      </c>
      <c r="K7" s="232">
        <f>[1]Nomenclature!J8</f>
        <v>4772</v>
      </c>
      <c r="L7" s="230">
        <f>[1]Nomenclature!K8</f>
        <v>4639</v>
      </c>
      <c r="M7" s="231">
        <f>[1]Nomenclature!L8</f>
        <v>4828</v>
      </c>
      <c r="N7" s="232">
        <f>[1]Nomenclature!M8</f>
        <v>4638</v>
      </c>
      <c r="O7" s="230">
        <f>[1]Nomenclature!N8</f>
        <v>3783</v>
      </c>
      <c r="P7" s="233">
        <f>[1]Nomenclature!O8</f>
        <v>3508</v>
      </c>
      <c r="Q7" s="234"/>
      <c r="S7" s="140" t="s">
        <v>127</v>
      </c>
      <c r="T7" s="93">
        <v>2.66</v>
      </c>
      <c r="U7" s="93">
        <v>24</v>
      </c>
      <c r="V7" s="93">
        <v>3.2</v>
      </c>
      <c r="W7" s="93">
        <v>48</v>
      </c>
      <c r="X7" s="93">
        <v>4.8</v>
      </c>
      <c r="Y7" s="93">
        <v>240</v>
      </c>
      <c r="Z7" s="93">
        <v>9.6</v>
      </c>
      <c r="AA7" s="122"/>
      <c r="AB7" s="122"/>
      <c r="AC7" s="122"/>
      <c r="AD7" s="80"/>
    </row>
    <row r="8" spans="2:30" x14ac:dyDescent="0.25">
      <c r="B8" s="13"/>
      <c r="C8" s="122" t="s">
        <v>180</v>
      </c>
      <c r="D8" s="122"/>
      <c r="E8" s="226">
        <f>T8+4*300+200</f>
        <v>3900</v>
      </c>
      <c r="F8" s="230">
        <f>E9+E8-E7-S20</f>
        <v>1175.7</v>
      </c>
      <c r="G8" s="231">
        <f t="shared" ref="G8:P8" si="0">F9-F7+F8-T20</f>
        <v>-288.39999999999981</v>
      </c>
      <c r="H8" s="232">
        <f t="shared" si="0"/>
        <v>-388.20000000000022</v>
      </c>
      <c r="I8" s="230">
        <f t="shared" si="0"/>
        <v>-447.30000000000041</v>
      </c>
      <c r="J8" s="231">
        <f t="shared" si="0"/>
        <v>-535.9000000000002</v>
      </c>
      <c r="K8" s="232">
        <f t="shared" si="0"/>
        <v>-477.1999999999997</v>
      </c>
      <c r="L8" s="230">
        <f t="shared" si="0"/>
        <v>-463.89999999999992</v>
      </c>
      <c r="M8" s="231">
        <f t="shared" si="0"/>
        <v>-482.8000000000003</v>
      </c>
      <c r="N8" s="232">
        <f t="shared" si="0"/>
        <v>-463.80000000000013</v>
      </c>
      <c r="O8" s="230">
        <f t="shared" si="0"/>
        <v>-378.29999999999995</v>
      </c>
      <c r="P8" s="233">
        <f t="shared" si="0"/>
        <v>-350.79999999999978</v>
      </c>
      <c r="Q8" s="234"/>
      <c r="S8" s="140" t="s">
        <v>128</v>
      </c>
      <c r="T8" s="93">
        <v>2500</v>
      </c>
      <c r="U8" s="93">
        <v>500</v>
      </c>
      <c r="V8" s="93">
        <v>3500</v>
      </c>
      <c r="W8" s="93">
        <v>800</v>
      </c>
      <c r="X8" s="93">
        <v>4000</v>
      </c>
      <c r="Y8" s="93">
        <v>800</v>
      </c>
      <c r="Z8" s="93">
        <v>5000</v>
      </c>
      <c r="AA8" s="122">
        <v>6000</v>
      </c>
      <c r="AB8" s="122">
        <v>20000</v>
      </c>
      <c r="AC8" s="122">
        <v>750</v>
      </c>
      <c r="AD8" s="80">
        <v>5000</v>
      </c>
    </row>
    <row r="9" spans="2:30" x14ac:dyDescent="0.25">
      <c r="B9" s="13"/>
      <c r="C9" s="122" t="s">
        <v>181</v>
      </c>
      <c r="D9" s="122"/>
      <c r="E9" s="226">
        <f>MAX(0,E7-E8)</f>
        <v>0</v>
      </c>
      <c r="F9" s="230">
        <f>MAX(0,F7-F8)</f>
        <v>2817.3</v>
      </c>
      <c r="G9" s="231">
        <f t="shared" ref="G9:P9" si="1">MAX(0,G7-G8)</f>
        <v>3172.3999999999996</v>
      </c>
      <c r="H9" s="232">
        <f t="shared" si="1"/>
        <v>4270.2</v>
      </c>
      <c r="I9" s="230">
        <f t="shared" si="1"/>
        <v>4920.3</v>
      </c>
      <c r="J9" s="231">
        <f t="shared" si="1"/>
        <v>5894.9000000000005</v>
      </c>
      <c r="K9" s="232">
        <f t="shared" si="1"/>
        <v>5249.2</v>
      </c>
      <c r="L9" s="230">
        <f t="shared" si="1"/>
        <v>5102.8999999999996</v>
      </c>
      <c r="M9" s="231">
        <f t="shared" si="1"/>
        <v>5310.8</v>
      </c>
      <c r="N9" s="232">
        <f t="shared" si="1"/>
        <v>5101.8</v>
      </c>
      <c r="O9" s="230">
        <f t="shared" si="1"/>
        <v>4161.3</v>
      </c>
      <c r="P9" s="233">
        <f t="shared" si="1"/>
        <v>3858.7999999999997</v>
      </c>
      <c r="Q9" s="234"/>
      <c r="S9" s="140" t="s">
        <v>130</v>
      </c>
      <c r="T9" s="93" t="s">
        <v>129</v>
      </c>
      <c r="U9" s="93" t="s">
        <v>129</v>
      </c>
      <c r="V9" s="93">
        <v>18.899999999999999</v>
      </c>
      <c r="W9" s="93">
        <v>129.58000000000001</v>
      </c>
      <c r="X9" s="93">
        <v>15.24</v>
      </c>
      <c r="Y9" s="93">
        <v>117.39</v>
      </c>
      <c r="Z9" s="93">
        <v>3.5</v>
      </c>
      <c r="AA9" s="122"/>
      <c r="AB9" s="122"/>
      <c r="AC9" s="122"/>
      <c r="AD9" s="80"/>
    </row>
    <row r="10" spans="2:30" ht="15.75" thickBot="1" x14ac:dyDescent="0.3">
      <c r="B10" s="13" t="str">
        <f>[1]Nomenclature!C9</f>
        <v>P2</v>
      </c>
      <c r="C10" s="122"/>
      <c r="D10" s="122"/>
      <c r="E10" s="226"/>
      <c r="F10" s="230"/>
      <c r="G10" s="231"/>
      <c r="H10" s="232"/>
      <c r="I10" s="230"/>
      <c r="J10" s="231"/>
      <c r="K10" s="232"/>
      <c r="L10" s="230"/>
      <c r="M10" s="231"/>
      <c r="N10" s="232"/>
      <c r="O10" s="230"/>
      <c r="P10" s="233"/>
      <c r="Q10" s="234"/>
      <c r="S10" s="141" t="s">
        <v>131</v>
      </c>
      <c r="T10" s="95" t="s">
        <v>129</v>
      </c>
      <c r="U10" s="95" t="s">
        <v>129</v>
      </c>
      <c r="V10" s="95">
        <f>1/100</f>
        <v>0.01</v>
      </c>
      <c r="W10" s="95">
        <f>1/100</f>
        <v>0.01</v>
      </c>
      <c r="X10" s="95">
        <f>10/100</f>
        <v>0.1</v>
      </c>
      <c r="Y10" s="95">
        <f>5/100</f>
        <v>0.05</v>
      </c>
      <c r="Z10" s="95">
        <f>5/100</f>
        <v>0.05</v>
      </c>
      <c r="AA10" s="92"/>
      <c r="AB10" s="92"/>
      <c r="AC10" s="92"/>
      <c r="AD10" s="79"/>
    </row>
    <row r="11" spans="2:30" x14ac:dyDescent="0.25">
      <c r="B11" s="13"/>
      <c r="C11" s="122" t="s">
        <v>179</v>
      </c>
      <c r="D11" s="122"/>
      <c r="E11" s="226">
        <f>[1]Nomenclature!D9</f>
        <v>471</v>
      </c>
      <c r="F11" s="230">
        <f>[1]Nomenclature!E9+S38</f>
        <v>977</v>
      </c>
      <c r="G11" s="231">
        <f>[1]Nomenclature!F9</f>
        <v>574</v>
      </c>
      <c r="H11" s="232">
        <f>[1]Nomenclature!G9</f>
        <v>776</v>
      </c>
      <c r="I11" s="230">
        <f>[1]Nomenclature!H9</f>
        <v>901</v>
      </c>
      <c r="J11" s="231">
        <f>[1]Nomenclature!I9</f>
        <v>1078</v>
      </c>
      <c r="K11" s="232">
        <f>[1]Nomenclature!J9</f>
        <v>941</v>
      </c>
      <c r="L11" s="230">
        <f>[1]Nomenclature!K9</f>
        <v>903</v>
      </c>
      <c r="M11" s="231">
        <f>[1]Nomenclature!L9</f>
        <v>938</v>
      </c>
      <c r="N11" s="232">
        <f>[1]Nomenclature!M9</f>
        <v>857</v>
      </c>
      <c r="O11" s="230">
        <f>[1]Nomenclature!N9</f>
        <v>854</v>
      </c>
      <c r="P11" s="233">
        <f>[1]Nomenclature!O9</f>
        <v>800</v>
      </c>
      <c r="Q11" s="234"/>
    </row>
    <row r="12" spans="2:30" x14ac:dyDescent="0.25">
      <c r="B12" s="13"/>
      <c r="C12" s="122" t="s">
        <v>180</v>
      </c>
      <c r="D12" s="122"/>
      <c r="E12" s="226">
        <f>U8+5*50</f>
        <v>750</v>
      </c>
      <c r="F12" s="230">
        <f t="shared" ref="F12:P12" si="2">E13+E12-E11-S21</f>
        <v>181.3</v>
      </c>
      <c r="G12" s="231">
        <f t="shared" si="2"/>
        <v>-57.400000000000006</v>
      </c>
      <c r="H12" s="232">
        <f t="shared" si="2"/>
        <v>-77.600000000000009</v>
      </c>
      <c r="I12" s="230">
        <f t="shared" si="2"/>
        <v>-90.100000000000009</v>
      </c>
      <c r="J12" s="231">
        <f t="shared" si="2"/>
        <v>-107.80000000000001</v>
      </c>
      <c r="K12" s="232">
        <f t="shared" si="2"/>
        <v>-94.100000000000009</v>
      </c>
      <c r="L12" s="230">
        <f t="shared" si="2"/>
        <v>-90.300000000000125</v>
      </c>
      <c r="M12" s="231">
        <f t="shared" si="2"/>
        <v>-93.800000000000011</v>
      </c>
      <c r="N12" s="232">
        <f t="shared" si="2"/>
        <v>-85.7</v>
      </c>
      <c r="O12" s="230">
        <f t="shared" si="2"/>
        <v>-85.4</v>
      </c>
      <c r="P12" s="233">
        <f t="shared" si="2"/>
        <v>-80</v>
      </c>
      <c r="Q12" s="234"/>
    </row>
    <row r="13" spans="2:30" x14ac:dyDescent="0.25">
      <c r="B13" s="13"/>
      <c r="C13" s="122" t="s">
        <v>181</v>
      </c>
      <c r="D13" s="122"/>
      <c r="E13" s="226">
        <f>MAX(0,E11-E12)</f>
        <v>0</v>
      </c>
      <c r="F13" s="230">
        <f>MAX(0,F11-F12)</f>
        <v>795.7</v>
      </c>
      <c r="G13" s="231">
        <f t="shared" ref="G13:P13" si="3">MAX(0,G11-G12)</f>
        <v>631.4</v>
      </c>
      <c r="H13" s="232">
        <f t="shared" si="3"/>
        <v>853.6</v>
      </c>
      <c r="I13" s="230">
        <f t="shared" si="3"/>
        <v>991.1</v>
      </c>
      <c r="J13" s="231">
        <f t="shared" si="3"/>
        <v>1185.8</v>
      </c>
      <c r="K13" s="232">
        <f t="shared" si="3"/>
        <v>1035.0999999999999</v>
      </c>
      <c r="L13" s="230">
        <f t="shared" si="3"/>
        <v>993.30000000000018</v>
      </c>
      <c r="M13" s="231">
        <f t="shared" si="3"/>
        <v>1031.8</v>
      </c>
      <c r="N13" s="232">
        <f t="shared" si="3"/>
        <v>942.7</v>
      </c>
      <c r="O13" s="230">
        <f t="shared" si="3"/>
        <v>939.4</v>
      </c>
      <c r="P13" s="233">
        <f t="shared" si="3"/>
        <v>880</v>
      </c>
      <c r="Q13" s="234"/>
    </row>
    <row r="14" spans="2:30" x14ac:dyDescent="0.25">
      <c r="B14" s="13" t="str">
        <f>[1]Nomenclature!C10</f>
        <v>SE16</v>
      </c>
      <c r="C14" s="122"/>
      <c r="D14" s="226"/>
      <c r="E14" s="226"/>
      <c r="F14" s="230"/>
      <c r="G14" s="231"/>
      <c r="H14" s="232"/>
      <c r="I14" s="230"/>
      <c r="J14" s="231"/>
      <c r="K14" s="232"/>
      <c r="L14" s="230"/>
      <c r="M14" s="231"/>
      <c r="N14" s="232"/>
      <c r="O14" s="230"/>
      <c r="P14" s="233"/>
      <c r="Q14" s="234"/>
      <c r="S14" s="122" t="s">
        <v>194</v>
      </c>
      <c r="T14" s="122" t="s">
        <v>113</v>
      </c>
      <c r="U14" s="122" t="s">
        <v>114</v>
      </c>
      <c r="V14" s="122" t="s">
        <v>115</v>
      </c>
      <c r="W14" s="131" t="s">
        <v>116</v>
      </c>
    </row>
    <row r="15" spans="2:30" x14ac:dyDescent="0.25">
      <c r="B15" s="13"/>
      <c r="C15" s="122" t="s">
        <v>179</v>
      </c>
      <c r="D15" s="226"/>
      <c r="E15" s="230">
        <f t="shared" ref="E15:P15" si="4">F9</f>
        <v>2817.3</v>
      </c>
      <c r="F15" s="231">
        <f t="shared" si="4"/>
        <v>3172.3999999999996</v>
      </c>
      <c r="G15" s="232">
        <f t="shared" si="4"/>
        <v>4270.2</v>
      </c>
      <c r="H15" s="230">
        <f t="shared" si="4"/>
        <v>4920.3</v>
      </c>
      <c r="I15" s="231">
        <f t="shared" si="4"/>
        <v>5894.9000000000005</v>
      </c>
      <c r="J15" s="232">
        <f t="shared" si="4"/>
        <v>5249.2</v>
      </c>
      <c r="K15" s="230">
        <f t="shared" si="4"/>
        <v>5102.8999999999996</v>
      </c>
      <c r="L15" s="231">
        <f t="shared" si="4"/>
        <v>5310.8</v>
      </c>
      <c r="M15" s="232">
        <f t="shared" si="4"/>
        <v>5101.8</v>
      </c>
      <c r="N15" s="230">
        <f t="shared" si="4"/>
        <v>4161.3</v>
      </c>
      <c r="O15" s="231">
        <f t="shared" si="4"/>
        <v>3858.7999999999997</v>
      </c>
      <c r="P15" s="155">
        <f t="shared" si="4"/>
        <v>0</v>
      </c>
      <c r="Q15" s="234"/>
      <c r="R15" s="5"/>
      <c r="S15" s="122" t="s">
        <v>195</v>
      </c>
      <c r="T15" s="122">
        <v>2000</v>
      </c>
      <c r="U15" s="122">
        <v>1000</v>
      </c>
      <c r="V15" s="122">
        <v>12000</v>
      </c>
      <c r="W15" s="122">
        <v>3000</v>
      </c>
    </row>
    <row r="16" spans="2:30" x14ac:dyDescent="0.25">
      <c r="B16" s="13"/>
      <c r="C16" s="122" t="s">
        <v>180</v>
      </c>
      <c r="D16" s="226"/>
      <c r="E16" s="230">
        <f>V8-[1]Nomenclature!D10</f>
        <v>1175</v>
      </c>
      <c r="F16" s="231">
        <f>E17+E16-E15</f>
        <v>0</v>
      </c>
      <c r="G16" s="232">
        <f t="shared" ref="G16:P16" si="5">F17+F16-F15</f>
        <v>0</v>
      </c>
      <c r="H16" s="230">
        <f t="shared" si="5"/>
        <v>0</v>
      </c>
      <c r="I16" s="231">
        <f t="shared" si="5"/>
        <v>0</v>
      </c>
      <c r="J16" s="232">
        <f t="shared" si="5"/>
        <v>0</v>
      </c>
      <c r="K16" s="230">
        <f t="shared" si="5"/>
        <v>0</v>
      </c>
      <c r="L16" s="231">
        <f t="shared" si="5"/>
        <v>0</v>
      </c>
      <c r="M16" s="232">
        <f t="shared" si="5"/>
        <v>0</v>
      </c>
      <c r="N16" s="230">
        <f t="shared" si="5"/>
        <v>0</v>
      </c>
      <c r="O16" s="231">
        <f t="shared" si="5"/>
        <v>0</v>
      </c>
      <c r="P16" s="155">
        <f t="shared" si="5"/>
        <v>0</v>
      </c>
      <c r="Q16" s="234"/>
      <c r="S16" s="122" t="s">
        <v>196</v>
      </c>
      <c r="T16" s="122">
        <v>5000</v>
      </c>
      <c r="U16" s="122">
        <v>500</v>
      </c>
      <c r="V16" s="122">
        <v>0</v>
      </c>
      <c r="W16" s="122">
        <v>0</v>
      </c>
    </row>
    <row r="17" spans="2:29" x14ac:dyDescent="0.25">
      <c r="B17" s="13"/>
      <c r="C17" s="122" t="s">
        <v>181</v>
      </c>
      <c r="D17" s="226"/>
      <c r="E17" s="230">
        <f>MAX(0,E15-E16)</f>
        <v>1642.3000000000002</v>
      </c>
      <c r="F17" s="231">
        <f t="shared" ref="F17:P17" si="6">MAX(0,F15-F16)</f>
        <v>3172.3999999999996</v>
      </c>
      <c r="G17" s="232">
        <f t="shared" si="6"/>
        <v>4270.2</v>
      </c>
      <c r="H17" s="230">
        <f t="shared" si="6"/>
        <v>4920.3</v>
      </c>
      <c r="I17" s="231">
        <f t="shared" si="6"/>
        <v>5894.9000000000005</v>
      </c>
      <c r="J17" s="232">
        <f t="shared" si="6"/>
        <v>5249.2</v>
      </c>
      <c r="K17" s="230">
        <f t="shared" si="6"/>
        <v>5102.8999999999996</v>
      </c>
      <c r="L17" s="231">
        <f t="shared" si="6"/>
        <v>5310.8</v>
      </c>
      <c r="M17" s="232">
        <f t="shared" si="6"/>
        <v>5101.8</v>
      </c>
      <c r="N17" s="230">
        <f t="shared" si="6"/>
        <v>4161.3</v>
      </c>
      <c r="O17" s="231">
        <f t="shared" si="6"/>
        <v>3858.7999999999997</v>
      </c>
      <c r="P17" s="155">
        <f t="shared" si="6"/>
        <v>0</v>
      </c>
      <c r="Q17" s="234"/>
      <c r="S17" s="122" t="s">
        <v>197</v>
      </c>
      <c r="T17" s="122">
        <v>0</v>
      </c>
      <c r="U17" s="122">
        <v>1000</v>
      </c>
      <c r="V17" s="122">
        <v>0</v>
      </c>
      <c r="W17" s="122">
        <v>0</v>
      </c>
    </row>
    <row r="18" spans="2:29" x14ac:dyDescent="0.25">
      <c r="B18" s="13" t="str">
        <f>[1]Nomenclature!C11</f>
        <v>SE17</v>
      </c>
      <c r="C18" s="122"/>
      <c r="D18" s="226"/>
      <c r="E18" s="227"/>
      <c r="F18" s="231"/>
      <c r="G18" s="232"/>
      <c r="H18" s="230"/>
      <c r="I18" s="231"/>
      <c r="J18" s="232"/>
      <c r="K18" s="230"/>
      <c r="L18" s="231"/>
      <c r="M18" s="232"/>
      <c r="N18" s="230"/>
      <c r="O18" s="231"/>
      <c r="P18" s="155"/>
      <c r="Q18" s="234"/>
    </row>
    <row r="19" spans="2:29" x14ac:dyDescent="0.25">
      <c r="B19" s="13"/>
      <c r="C19" s="122" t="s">
        <v>179</v>
      </c>
      <c r="D19" s="226"/>
      <c r="E19" s="230">
        <f t="shared" ref="E19:P19" si="7">F13</f>
        <v>795.7</v>
      </c>
      <c r="F19" s="231">
        <f t="shared" si="7"/>
        <v>631.4</v>
      </c>
      <c r="G19" s="232">
        <f t="shared" si="7"/>
        <v>853.6</v>
      </c>
      <c r="H19" s="230">
        <f t="shared" si="7"/>
        <v>991.1</v>
      </c>
      <c r="I19" s="231">
        <f t="shared" si="7"/>
        <v>1185.8</v>
      </c>
      <c r="J19" s="232">
        <f t="shared" si="7"/>
        <v>1035.0999999999999</v>
      </c>
      <c r="K19" s="230">
        <f t="shared" si="7"/>
        <v>993.30000000000018</v>
      </c>
      <c r="L19" s="231">
        <f t="shared" si="7"/>
        <v>1031.8</v>
      </c>
      <c r="M19" s="232">
        <f t="shared" si="7"/>
        <v>942.7</v>
      </c>
      <c r="N19" s="230">
        <f t="shared" si="7"/>
        <v>939.4</v>
      </c>
      <c r="O19" s="231">
        <f t="shared" si="7"/>
        <v>880</v>
      </c>
      <c r="P19" s="154">
        <f t="shared" si="7"/>
        <v>0</v>
      </c>
      <c r="Q19" s="234"/>
      <c r="R19" s="122" t="s">
        <v>245</v>
      </c>
      <c r="S19" s="122" t="s">
        <v>74</v>
      </c>
      <c r="T19" s="122" t="s">
        <v>75</v>
      </c>
      <c r="U19" s="122" t="s">
        <v>76</v>
      </c>
      <c r="V19" s="122" t="s">
        <v>77</v>
      </c>
      <c r="W19" s="122" t="s">
        <v>78</v>
      </c>
      <c r="X19" s="122" t="s">
        <v>79</v>
      </c>
      <c r="Y19" s="122" t="s">
        <v>80</v>
      </c>
      <c r="Z19" s="122" t="s">
        <v>81</v>
      </c>
      <c r="AA19" s="122" t="s">
        <v>82</v>
      </c>
      <c r="AB19" s="122" t="s">
        <v>83</v>
      </c>
      <c r="AC19" s="122" t="s">
        <v>84</v>
      </c>
    </row>
    <row r="20" spans="2:29" x14ac:dyDescent="0.25">
      <c r="B20" s="13"/>
      <c r="C20" s="122" t="s">
        <v>180</v>
      </c>
      <c r="D20" s="226"/>
      <c r="E20" s="230">
        <f>W8-[1]Nomenclature!D11-S23</f>
        <v>289.21499999999997</v>
      </c>
      <c r="F20" s="231">
        <f t="shared" ref="F20:P20" si="8">E21+E20-E19-T23</f>
        <v>-31.57</v>
      </c>
      <c r="G20" s="232">
        <f t="shared" si="8"/>
        <v>-42.680000000000007</v>
      </c>
      <c r="H20" s="230">
        <f t="shared" si="8"/>
        <v>-49.555000000000121</v>
      </c>
      <c r="I20" s="231">
        <f t="shared" si="8"/>
        <v>-59.289999999999885</v>
      </c>
      <c r="J20" s="232">
        <f t="shared" si="8"/>
        <v>-51.754999999999995</v>
      </c>
      <c r="K20" s="230">
        <f t="shared" si="8"/>
        <v>-49.665000000000013</v>
      </c>
      <c r="L20" s="231">
        <f t="shared" si="8"/>
        <v>-51.59</v>
      </c>
      <c r="M20" s="232">
        <f t="shared" si="8"/>
        <v>-47.135000000000005</v>
      </c>
      <c r="N20" s="230">
        <f t="shared" si="8"/>
        <v>-46.97</v>
      </c>
      <c r="O20" s="231">
        <f t="shared" si="8"/>
        <v>-44</v>
      </c>
      <c r="P20" s="154">
        <f t="shared" si="8"/>
        <v>0</v>
      </c>
      <c r="Q20" s="234"/>
      <c r="R20" s="122" t="s">
        <v>106</v>
      </c>
      <c r="S20" s="122">
        <f t="shared" ref="S20:AC20" si="9">F7*$R$41</f>
        <v>399.3</v>
      </c>
      <c r="T20" s="122">
        <f t="shared" si="9"/>
        <v>288.40000000000003</v>
      </c>
      <c r="U20" s="122">
        <f t="shared" si="9"/>
        <v>388.20000000000005</v>
      </c>
      <c r="V20" s="122">
        <f t="shared" si="9"/>
        <v>447.3</v>
      </c>
      <c r="W20" s="122">
        <f t="shared" si="9"/>
        <v>535.9</v>
      </c>
      <c r="X20" s="122">
        <f t="shared" si="9"/>
        <v>477.20000000000005</v>
      </c>
      <c r="Y20" s="122">
        <f t="shared" si="9"/>
        <v>463.90000000000003</v>
      </c>
      <c r="Z20" s="122">
        <f t="shared" si="9"/>
        <v>482.8</v>
      </c>
      <c r="AA20" s="122">
        <f t="shared" si="9"/>
        <v>463.8</v>
      </c>
      <c r="AB20" s="122">
        <f t="shared" si="9"/>
        <v>378.3</v>
      </c>
      <c r="AC20" s="122">
        <f t="shared" si="9"/>
        <v>350.8</v>
      </c>
    </row>
    <row r="21" spans="2:29" x14ac:dyDescent="0.25">
      <c r="B21" s="13"/>
      <c r="C21" s="122" t="s">
        <v>181</v>
      </c>
      <c r="D21" s="226"/>
      <c r="E21" s="230">
        <f>MAX(0,E19-E20)</f>
        <v>506.48500000000007</v>
      </c>
      <c r="F21" s="231">
        <f t="shared" ref="F21:P21" si="10">MAX(0,F19-F20)</f>
        <v>662.97</v>
      </c>
      <c r="G21" s="232">
        <f t="shared" si="10"/>
        <v>896.28</v>
      </c>
      <c r="H21" s="230">
        <f t="shared" si="10"/>
        <v>1040.6550000000002</v>
      </c>
      <c r="I21" s="231">
        <f t="shared" si="10"/>
        <v>1245.0899999999999</v>
      </c>
      <c r="J21" s="232">
        <f t="shared" si="10"/>
        <v>1086.855</v>
      </c>
      <c r="K21" s="230">
        <f t="shared" si="10"/>
        <v>1042.9650000000001</v>
      </c>
      <c r="L21" s="231">
        <f t="shared" si="10"/>
        <v>1083.3899999999999</v>
      </c>
      <c r="M21" s="232">
        <f t="shared" si="10"/>
        <v>989.83500000000004</v>
      </c>
      <c r="N21" s="230">
        <f t="shared" si="10"/>
        <v>986.37</v>
      </c>
      <c r="O21" s="231">
        <f t="shared" si="10"/>
        <v>924</v>
      </c>
      <c r="P21" s="154">
        <f t="shared" si="10"/>
        <v>0</v>
      </c>
      <c r="Q21" s="234"/>
      <c r="R21" s="122" t="s">
        <v>107</v>
      </c>
      <c r="S21" s="122">
        <f t="shared" ref="S21:AC21" si="11">F11*$R$41</f>
        <v>97.7</v>
      </c>
      <c r="T21" s="122">
        <f t="shared" si="11"/>
        <v>57.400000000000006</v>
      </c>
      <c r="U21" s="122">
        <f t="shared" si="11"/>
        <v>77.600000000000009</v>
      </c>
      <c r="V21" s="122">
        <f t="shared" si="11"/>
        <v>90.100000000000009</v>
      </c>
      <c r="W21" s="122">
        <f t="shared" si="11"/>
        <v>107.80000000000001</v>
      </c>
      <c r="X21" s="122">
        <f t="shared" si="11"/>
        <v>94.100000000000009</v>
      </c>
      <c r="Y21" s="122">
        <f t="shared" si="11"/>
        <v>90.300000000000011</v>
      </c>
      <c r="Z21" s="122">
        <f t="shared" si="11"/>
        <v>93.800000000000011</v>
      </c>
      <c r="AA21" s="122">
        <f t="shared" si="11"/>
        <v>85.7</v>
      </c>
      <c r="AB21" s="122">
        <f t="shared" si="11"/>
        <v>85.4</v>
      </c>
      <c r="AC21" s="122">
        <f t="shared" si="11"/>
        <v>80</v>
      </c>
    </row>
    <row r="22" spans="2:29" x14ac:dyDescent="0.25">
      <c r="B22" s="13" t="str">
        <f>[1]Nomenclature!C12</f>
        <v>P25</v>
      </c>
      <c r="C22" s="122"/>
      <c r="D22" s="226"/>
      <c r="E22" s="227"/>
      <c r="F22" s="231"/>
      <c r="G22" s="232"/>
      <c r="H22" s="230"/>
      <c r="I22" s="231"/>
      <c r="J22" s="232"/>
      <c r="K22" s="230"/>
      <c r="L22" s="231"/>
      <c r="M22" s="232"/>
      <c r="N22" s="230"/>
      <c r="O22" s="231"/>
      <c r="P22" s="155"/>
      <c r="Q22" s="234"/>
      <c r="R22" s="131" t="s">
        <v>111</v>
      </c>
      <c r="S22" s="122">
        <f t="shared" ref="S22:AC22" si="12">D27*$T$41</f>
        <v>25.324250000000006</v>
      </c>
      <c r="T22" s="122">
        <f t="shared" si="12"/>
        <v>33.148500000000006</v>
      </c>
      <c r="U22" s="122">
        <f t="shared" si="12"/>
        <v>44.814</v>
      </c>
      <c r="V22" s="122">
        <f t="shared" si="12"/>
        <v>52.032750000000014</v>
      </c>
      <c r="W22" s="122">
        <f t="shared" si="12"/>
        <v>62.2545</v>
      </c>
      <c r="X22" s="122">
        <f t="shared" si="12"/>
        <v>54.342750000000002</v>
      </c>
      <c r="Y22" s="122">
        <f t="shared" si="12"/>
        <v>52.148250000000012</v>
      </c>
      <c r="Z22" s="122">
        <f t="shared" si="12"/>
        <v>54.169499999999999</v>
      </c>
      <c r="AA22" s="122">
        <f t="shared" si="12"/>
        <v>49.491750000000003</v>
      </c>
      <c r="AB22" s="122">
        <f t="shared" si="12"/>
        <v>49.3185</v>
      </c>
      <c r="AC22" s="122">
        <f t="shared" si="12"/>
        <v>46.2</v>
      </c>
    </row>
    <row r="23" spans="2:29" x14ac:dyDescent="0.25">
      <c r="B23" s="13"/>
      <c r="C23" s="122" t="s">
        <v>179</v>
      </c>
      <c r="D23" s="226"/>
      <c r="E23" s="230">
        <f t="shared" ref="E23:P23" si="13">F9+F13</f>
        <v>3613</v>
      </c>
      <c r="F23" s="231">
        <f t="shared" si="13"/>
        <v>3803.7999999999997</v>
      </c>
      <c r="G23" s="232">
        <f t="shared" si="13"/>
        <v>5123.8</v>
      </c>
      <c r="H23" s="230">
        <f t="shared" si="13"/>
        <v>5911.4000000000005</v>
      </c>
      <c r="I23" s="231">
        <f t="shared" si="13"/>
        <v>7080.7000000000007</v>
      </c>
      <c r="J23" s="232">
        <f t="shared" si="13"/>
        <v>6284.2999999999993</v>
      </c>
      <c r="K23" s="230">
        <f t="shared" si="13"/>
        <v>6096.2</v>
      </c>
      <c r="L23" s="231">
        <f t="shared" si="13"/>
        <v>6342.6</v>
      </c>
      <c r="M23" s="232">
        <f t="shared" si="13"/>
        <v>6044.5</v>
      </c>
      <c r="N23" s="230">
        <f t="shared" si="13"/>
        <v>5100.7</v>
      </c>
      <c r="O23" s="231">
        <f t="shared" si="13"/>
        <v>4738.7999999999993</v>
      </c>
      <c r="P23" s="154">
        <f t="shared" si="13"/>
        <v>0</v>
      </c>
      <c r="Q23" s="234"/>
      <c r="R23" s="131" t="s">
        <v>109</v>
      </c>
      <c r="S23" s="122">
        <f t="shared" ref="S23:AC23" si="14">E19*$T$41</f>
        <v>39.785000000000004</v>
      </c>
      <c r="T23" s="122">
        <f t="shared" si="14"/>
        <v>31.57</v>
      </c>
      <c r="U23" s="122">
        <f t="shared" si="14"/>
        <v>42.680000000000007</v>
      </c>
      <c r="V23" s="122">
        <f t="shared" si="14"/>
        <v>49.555000000000007</v>
      </c>
      <c r="W23" s="122">
        <f t="shared" si="14"/>
        <v>59.29</v>
      </c>
      <c r="X23" s="122">
        <f t="shared" si="14"/>
        <v>51.754999999999995</v>
      </c>
      <c r="Y23" s="122">
        <f t="shared" si="14"/>
        <v>49.665000000000013</v>
      </c>
      <c r="Z23" s="122">
        <f t="shared" si="14"/>
        <v>51.59</v>
      </c>
      <c r="AA23" s="122">
        <f t="shared" si="14"/>
        <v>47.135000000000005</v>
      </c>
      <c r="AB23" s="122">
        <f t="shared" si="14"/>
        <v>46.97</v>
      </c>
      <c r="AC23" s="122">
        <f t="shared" si="14"/>
        <v>44</v>
      </c>
    </row>
    <row r="24" spans="2:29" ht="15.75" thickBot="1" x14ac:dyDescent="0.3">
      <c r="B24" s="13"/>
      <c r="C24" s="122" t="s">
        <v>180</v>
      </c>
      <c r="D24" s="226"/>
      <c r="E24" s="230">
        <f>Z8-[1]Nomenclature!D12</f>
        <v>2204</v>
      </c>
      <c r="F24" s="231">
        <f>E25+E24-E23</f>
        <v>0</v>
      </c>
      <c r="G24" s="232">
        <f t="shared" ref="G24:P24" si="15">F25+F24-F23</f>
        <v>0</v>
      </c>
      <c r="H24" s="230">
        <f t="shared" si="15"/>
        <v>0</v>
      </c>
      <c r="I24" s="231">
        <f t="shared" si="15"/>
        <v>0</v>
      </c>
      <c r="J24" s="232">
        <f t="shared" si="15"/>
        <v>0</v>
      </c>
      <c r="K24" s="230">
        <f t="shared" si="15"/>
        <v>0</v>
      </c>
      <c r="L24" s="231">
        <f t="shared" si="15"/>
        <v>0</v>
      </c>
      <c r="M24" s="232">
        <f t="shared" si="15"/>
        <v>0</v>
      </c>
      <c r="N24" s="230">
        <f t="shared" si="15"/>
        <v>0</v>
      </c>
      <c r="O24" s="231">
        <f t="shared" si="15"/>
        <v>0</v>
      </c>
      <c r="P24" s="154">
        <f t="shared" si="15"/>
        <v>0</v>
      </c>
      <c r="Q24" s="234"/>
    </row>
    <row r="25" spans="2:29" x14ac:dyDescent="0.25">
      <c r="B25" s="13"/>
      <c r="C25" s="122" t="s">
        <v>181</v>
      </c>
      <c r="D25" s="226"/>
      <c r="E25" s="230">
        <f>MAX(0,E23-E24)</f>
        <v>1409</v>
      </c>
      <c r="F25" s="231">
        <f t="shared" ref="F25:P25" si="16">MAX(0,F23-F24)</f>
        <v>3803.7999999999997</v>
      </c>
      <c r="G25" s="232">
        <f t="shared" si="16"/>
        <v>5123.8</v>
      </c>
      <c r="H25" s="230">
        <f t="shared" si="16"/>
        <v>5911.4000000000005</v>
      </c>
      <c r="I25" s="231">
        <f t="shared" si="16"/>
        <v>7080.7000000000007</v>
      </c>
      <c r="J25" s="232">
        <f t="shared" si="16"/>
        <v>6284.2999999999993</v>
      </c>
      <c r="K25" s="230">
        <f t="shared" si="16"/>
        <v>6096.2</v>
      </c>
      <c r="L25" s="231">
        <f t="shared" si="16"/>
        <v>6342.6</v>
      </c>
      <c r="M25" s="232">
        <f t="shared" si="16"/>
        <v>6044.5</v>
      </c>
      <c r="N25" s="230">
        <f t="shared" si="16"/>
        <v>5100.7</v>
      </c>
      <c r="O25" s="231">
        <f t="shared" si="16"/>
        <v>4738.7999999999993</v>
      </c>
      <c r="P25" s="154">
        <f t="shared" si="16"/>
        <v>0</v>
      </c>
      <c r="Q25" s="234"/>
      <c r="R25" s="77" t="s">
        <v>246</v>
      </c>
      <c r="S25" s="56" t="s">
        <v>74</v>
      </c>
      <c r="T25" s="56" t="s">
        <v>75</v>
      </c>
      <c r="U25" s="56" t="s">
        <v>76</v>
      </c>
      <c r="V25" s="56" t="s">
        <v>77</v>
      </c>
      <c r="W25" s="56" t="s">
        <v>78</v>
      </c>
      <c r="X25" s="56" t="s">
        <v>79</v>
      </c>
      <c r="Y25" s="56" t="s">
        <v>80</v>
      </c>
      <c r="Z25" s="56" t="s">
        <v>81</v>
      </c>
      <c r="AA25" s="56" t="s">
        <v>82</v>
      </c>
      <c r="AB25" s="56" t="s">
        <v>83</v>
      </c>
      <c r="AC25" s="57" t="s">
        <v>84</v>
      </c>
    </row>
    <row r="26" spans="2:29" x14ac:dyDescent="0.25">
      <c r="B26" s="13" t="str">
        <f>[1]Nomenclature!C13</f>
        <v>P24</v>
      </c>
      <c r="C26" s="122"/>
      <c r="D26" s="226"/>
      <c r="E26" s="230"/>
      <c r="F26" s="231"/>
      <c r="G26" s="232"/>
      <c r="H26" s="230"/>
      <c r="I26" s="231"/>
      <c r="J26" s="232"/>
      <c r="K26" s="230"/>
      <c r="L26" s="231"/>
      <c r="M26" s="232"/>
      <c r="N26" s="230"/>
      <c r="O26" s="231"/>
      <c r="P26" s="154"/>
      <c r="Q26" s="234"/>
      <c r="R26" s="13" t="s">
        <v>106</v>
      </c>
      <c r="S26" s="122">
        <v>0</v>
      </c>
      <c r="T26" s="122">
        <v>0</v>
      </c>
      <c r="U26" s="122">
        <v>0</v>
      </c>
      <c r="V26" s="122">
        <v>0</v>
      </c>
      <c r="W26" s="122">
        <v>0</v>
      </c>
      <c r="X26" s="122">
        <v>0</v>
      </c>
      <c r="Y26" s="122">
        <v>0</v>
      </c>
      <c r="Z26" s="122">
        <v>0</v>
      </c>
      <c r="AA26" s="122">
        <v>0</v>
      </c>
      <c r="AB26" s="122">
        <v>0</v>
      </c>
      <c r="AC26" s="122">
        <v>0</v>
      </c>
    </row>
    <row r="27" spans="2:29" x14ac:dyDescent="0.25">
      <c r="B27" s="13"/>
      <c r="C27" s="122" t="s">
        <v>179</v>
      </c>
      <c r="D27" s="230">
        <f t="shared" ref="D27:P27" si="17">E21</f>
        <v>506.48500000000007</v>
      </c>
      <c r="E27" s="231">
        <f t="shared" si="17"/>
        <v>662.97</v>
      </c>
      <c r="F27" s="232">
        <f t="shared" si="17"/>
        <v>896.28</v>
      </c>
      <c r="G27" s="230">
        <f t="shared" si="17"/>
        <v>1040.6550000000002</v>
      </c>
      <c r="H27" s="231">
        <f t="shared" si="17"/>
        <v>1245.0899999999999</v>
      </c>
      <c r="I27" s="232">
        <f t="shared" si="17"/>
        <v>1086.855</v>
      </c>
      <c r="J27" s="230">
        <f t="shared" si="17"/>
        <v>1042.9650000000001</v>
      </c>
      <c r="K27" s="231">
        <f t="shared" si="17"/>
        <v>1083.3899999999999</v>
      </c>
      <c r="L27" s="232">
        <f t="shared" si="17"/>
        <v>989.83500000000004</v>
      </c>
      <c r="M27" s="230">
        <f t="shared" si="17"/>
        <v>986.37</v>
      </c>
      <c r="N27" s="231">
        <f t="shared" si="17"/>
        <v>924</v>
      </c>
      <c r="O27" s="154">
        <f t="shared" si="17"/>
        <v>0</v>
      </c>
      <c r="P27" s="154">
        <f t="shared" si="17"/>
        <v>0</v>
      </c>
      <c r="Q27" s="234"/>
      <c r="R27" s="13" t="s">
        <v>107</v>
      </c>
      <c r="S27" s="122">
        <v>0</v>
      </c>
      <c r="T27" s="122">
        <v>0</v>
      </c>
      <c r="U27" s="122">
        <v>0</v>
      </c>
      <c r="V27" s="122">
        <v>0</v>
      </c>
      <c r="W27" s="122">
        <v>0</v>
      </c>
      <c r="X27" s="122">
        <v>0</v>
      </c>
      <c r="Y27" s="122">
        <v>0</v>
      </c>
      <c r="Z27" s="122">
        <v>0</v>
      </c>
      <c r="AA27" s="122">
        <v>0</v>
      </c>
      <c r="AB27" s="122">
        <v>0</v>
      </c>
      <c r="AC27" s="122">
        <v>0</v>
      </c>
    </row>
    <row r="28" spans="2:29" x14ac:dyDescent="0.25">
      <c r="B28" s="13"/>
      <c r="C28" s="122" t="s">
        <v>180</v>
      </c>
      <c r="D28" s="230">
        <f>MRP!Y8-S22</f>
        <v>774.67574999999999</v>
      </c>
      <c r="E28" s="231">
        <f t="shared" ref="E28:P28" si="18">D29+D28-D27-T22</f>
        <v>235.04224999999991</v>
      </c>
      <c r="F28" s="232">
        <f t="shared" si="18"/>
        <v>-44.814</v>
      </c>
      <c r="G28" s="230">
        <f t="shared" si="18"/>
        <v>-52.032750000000014</v>
      </c>
      <c r="H28" s="231">
        <f t="shared" si="18"/>
        <v>-62.2545</v>
      </c>
      <c r="I28" s="232">
        <f t="shared" si="18"/>
        <v>-54.342750000000002</v>
      </c>
      <c r="J28" s="230">
        <f t="shared" si="18"/>
        <v>-52.148250000000012</v>
      </c>
      <c r="K28" s="231">
        <f t="shared" si="18"/>
        <v>-54.169499999999999</v>
      </c>
      <c r="L28" s="232">
        <f t="shared" si="18"/>
        <v>-49.491750000000003</v>
      </c>
      <c r="M28" s="230">
        <f t="shared" si="18"/>
        <v>-49.318500000000114</v>
      </c>
      <c r="N28" s="231">
        <f t="shared" si="18"/>
        <v>-46.199999999999889</v>
      </c>
      <c r="O28" s="154">
        <f t="shared" si="18"/>
        <v>0</v>
      </c>
      <c r="P28" s="154">
        <f t="shared" si="18"/>
        <v>0</v>
      </c>
      <c r="Q28" s="234"/>
      <c r="R28" s="235" t="s">
        <v>108</v>
      </c>
      <c r="S28" s="122">
        <v>0</v>
      </c>
      <c r="T28" s="122">
        <v>0</v>
      </c>
      <c r="U28" s="122">
        <v>0</v>
      </c>
      <c r="V28" s="122">
        <v>0</v>
      </c>
      <c r="W28" s="122">
        <v>0</v>
      </c>
      <c r="X28" s="122">
        <v>0</v>
      </c>
      <c r="Y28" s="122">
        <v>0</v>
      </c>
      <c r="Z28" s="122">
        <v>0</v>
      </c>
      <c r="AA28" s="122">
        <v>0</v>
      </c>
      <c r="AB28" s="122">
        <v>0</v>
      </c>
      <c r="AC28" s="122">
        <v>0</v>
      </c>
    </row>
    <row r="29" spans="2:29" x14ac:dyDescent="0.25">
      <c r="B29" s="13"/>
      <c r="C29" s="122" t="s">
        <v>181</v>
      </c>
      <c r="D29" s="230">
        <f>MAX(0,D27-D28)</f>
        <v>0</v>
      </c>
      <c r="E29" s="231">
        <f t="shared" ref="E29:P29" si="19">MAX(0,E27-E28)</f>
        <v>427.92775000000012</v>
      </c>
      <c r="F29" s="232">
        <f t="shared" si="19"/>
        <v>941.09399999999994</v>
      </c>
      <c r="G29" s="230">
        <f t="shared" si="19"/>
        <v>1092.6877500000003</v>
      </c>
      <c r="H29" s="231">
        <f t="shared" si="19"/>
        <v>1307.3444999999999</v>
      </c>
      <c r="I29" s="232">
        <f t="shared" si="19"/>
        <v>1141.19775</v>
      </c>
      <c r="J29" s="230">
        <f t="shared" si="19"/>
        <v>1095.1132500000001</v>
      </c>
      <c r="K29" s="231">
        <f t="shared" si="19"/>
        <v>1137.5594999999998</v>
      </c>
      <c r="L29" s="232">
        <f t="shared" si="19"/>
        <v>1039.3267499999999</v>
      </c>
      <c r="M29" s="230">
        <f t="shared" si="19"/>
        <v>1035.6885000000002</v>
      </c>
      <c r="N29" s="231">
        <f t="shared" si="19"/>
        <v>970.19999999999993</v>
      </c>
      <c r="O29" s="154">
        <f t="shared" si="19"/>
        <v>0</v>
      </c>
      <c r="P29" s="154">
        <f t="shared" si="19"/>
        <v>0</v>
      </c>
      <c r="Q29" s="234"/>
      <c r="R29" s="235" t="s">
        <v>109</v>
      </c>
      <c r="S29" s="122">
        <v>0</v>
      </c>
      <c r="T29" s="122">
        <v>0</v>
      </c>
      <c r="U29" s="122">
        <v>0</v>
      </c>
      <c r="V29" s="122">
        <v>0</v>
      </c>
      <c r="W29" s="122">
        <v>0</v>
      </c>
      <c r="X29" s="122">
        <v>0</v>
      </c>
      <c r="Y29" s="122">
        <v>0</v>
      </c>
      <c r="Z29" s="122">
        <v>0</v>
      </c>
      <c r="AA29" s="122">
        <v>0</v>
      </c>
      <c r="AB29" s="122">
        <v>0</v>
      </c>
      <c r="AC29" s="122">
        <v>0</v>
      </c>
    </row>
    <row r="30" spans="2:29" x14ac:dyDescent="0.25">
      <c r="B30" s="13" t="str">
        <f>[1]Nomenclature!C14</f>
        <v>P23</v>
      </c>
      <c r="C30" s="122"/>
      <c r="D30" s="230"/>
      <c r="E30" s="231"/>
      <c r="F30" s="232"/>
      <c r="G30" s="230"/>
      <c r="H30" s="231"/>
      <c r="I30" s="232"/>
      <c r="J30" s="230"/>
      <c r="K30" s="231"/>
      <c r="L30" s="232"/>
      <c r="M30" s="230"/>
      <c r="N30" s="231"/>
      <c r="O30" s="154"/>
      <c r="P30" s="154"/>
      <c r="Q30" s="234"/>
      <c r="R30" s="235" t="s">
        <v>113</v>
      </c>
      <c r="S30" s="122">
        <v>0</v>
      </c>
      <c r="T30" s="122">
        <v>0</v>
      </c>
      <c r="U30" s="154">
        <f>D53</f>
        <v>330.20000000000073</v>
      </c>
      <c r="V30" s="122">
        <v>0</v>
      </c>
      <c r="W30" s="122">
        <v>0</v>
      </c>
      <c r="X30" s="122">
        <v>0</v>
      </c>
      <c r="Y30" s="122">
        <v>0</v>
      </c>
      <c r="Z30" s="122">
        <v>0</v>
      </c>
      <c r="AA30" s="122">
        <v>0</v>
      </c>
      <c r="AB30" s="122">
        <v>0</v>
      </c>
      <c r="AC30" s="122">
        <v>0</v>
      </c>
    </row>
    <row r="31" spans="2:29" x14ac:dyDescent="0.25">
      <c r="B31" s="13"/>
      <c r="C31" s="122" t="s">
        <v>179</v>
      </c>
      <c r="D31" s="230">
        <f t="shared" ref="D31:P31" si="20">E17</f>
        <v>1642.3000000000002</v>
      </c>
      <c r="E31" s="231">
        <f t="shared" si="20"/>
        <v>3172.3999999999996</v>
      </c>
      <c r="F31" s="232">
        <f t="shared" si="20"/>
        <v>4270.2</v>
      </c>
      <c r="G31" s="230">
        <f t="shared" si="20"/>
        <v>4920.3</v>
      </c>
      <c r="H31" s="231">
        <f t="shared" si="20"/>
        <v>5894.9000000000005</v>
      </c>
      <c r="I31" s="232">
        <f t="shared" si="20"/>
        <v>5249.2</v>
      </c>
      <c r="J31" s="230">
        <f t="shared" si="20"/>
        <v>5102.8999999999996</v>
      </c>
      <c r="K31" s="231">
        <f t="shared" si="20"/>
        <v>5310.8</v>
      </c>
      <c r="L31" s="232">
        <f t="shared" si="20"/>
        <v>5101.8</v>
      </c>
      <c r="M31" s="230">
        <f t="shared" si="20"/>
        <v>4161.3</v>
      </c>
      <c r="N31" s="231">
        <f t="shared" si="20"/>
        <v>3858.7999999999997</v>
      </c>
      <c r="O31" s="154">
        <f t="shared" si="20"/>
        <v>0</v>
      </c>
      <c r="P31" s="154">
        <f t="shared" si="20"/>
        <v>0</v>
      </c>
      <c r="Q31" s="234"/>
      <c r="R31" s="235" t="s">
        <v>114</v>
      </c>
      <c r="S31" s="122">
        <v>0</v>
      </c>
      <c r="T31" s="122">
        <v>0</v>
      </c>
      <c r="U31" s="122">
        <v>0</v>
      </c>
      <c r="V31" s="154">
        <f>D48</f>
        <v>519.05400000000009</v>
      </c>
      <c r="W31" s="122">
        <v>0</v>
      </c>
      <c r="X31" s="122">
        <v>0</v>
      </c>
      <c r="Y31" s="122">
        <v>0</v>
      </c>
      <c r="Z31" s="122">
        <v>0</v>
      </c>
      <c r="AA31" s="122">
        <v>0</v>
      </c>
      <c r="AB31" s="122">
        <v>0</v>
      </c>
      <c r="AC31" s="122">
        <v>0</v>
      </c>
    </row>
    <row r="32" spans="2:29" x14ac:dyDescent="0.25">
      <c r="B32" s="13"/>
      <c r="C32" s="122" t="s">
        <v>180</v>
      </c>
      <c r="D32" s="230">
        <f>X8-[1]Nomenclature!D14</f>
        <v>1675</v>
      </c>
      <c r="E32" s="231">
        <f>D33+D32-D31</f>
        <v>32.699999999999818</v>
      </c>
      <c r="F32" s="232">
        <f t="shared" ref="F32:P32" si="21">E33+E32-E31</f>
        <v>0</v>
      </c>
      <c r="G32" s="230">
        <f t="shared" si="21"/>
        <v>0</v>
      </c>
      <c r="H32" s="231">
        <f t="shared" si="21"/>
        <v>0</v>
      </c>
      <c r="I32" s="232">
        <f t="shared" si="21"/>
        <v>0</v>
      </c>
      <c r="J32" s="230">
        <f t="shared" si="21"/>
        <v>0</v>
      </c>
      <c r="K32" s="231">
        <f t="shared" si="21"/>
        <v>0</v>
      </c>
      <c r="L32" s="232">
        <f t="shared" si="21"/>
        <v>0</v>
      </c>
      <c r="M32" s="230">
        <f t="shared" si="21"/>
        <v>0</v>
      </c>
      <c r="N32" s="231">
        <f t="shared" si="21"/>
        <v>0</v>
      </c>
      <c r="O32" s="154">
        <f t="shared" si="21"/>
        <v>0</v>
      </c>
      <c r="P32" s="154">
        <f t="shared" si="21"/>
        <v>0</v>
      </c>
      <c r="Q32" s="234"/>
      <c r="R32" s="235" t="s">
        <v>115</v>
      </c>
      <c r="S32" s="122">
        <v>0</v>
      </c>
      <c r="T32" s="122">
        <v>0</v>
      </c>
      <c r="U32" s="122">
        <v>0</v>
      </c>
      <c r="V32" s="122">
        <v>0</v>
      </c>
      <c r="W32" s="122">
        <v>0</v>
      </c>
      <c r="X32" s="122">
        <v>0</v>
      </c>
      <c r="Y32" s="122">
        <v>0</v>
      </c>
      <c r="Z32" s="122">
        <v>0</v>
      </c>
      <c r="AA32" s="122">
        <v>0</v>
      </c>
      <c r="AB32" s="122">
        <v>0</v>
      </c>
      <c r="AC32" s="122">
        <v>0</v>
      </c>
    </row>
    <row r="33" spans="2:29" ht="15.75" thickBot="1" x14ac:dyDescent="0.3">
      <c r="B33" s="13"/>
      <c r="C33" s="122" t="s">
        <v>181</v>
      </c>
      <c r="D33" s="230">
        <f>MAX(0,D31-D32)</f>
        <v>0</v>
      </c>
      <c r="E33" s="231">
        <f t="shared" ref="E33:P33" si="22">MAX(0,E31-E32)</f>
        <v>3139.7</v>
      </c>
      <c r="F33" s="232">
        <f t="shared" si="22"/>
        <v>4270.2</v>
      </c>
      <c r="G33" s="230">
        <f t="shared" si="22"/>
        <v>4920.3</v>
      </c>
      <c r="H33" s="231">
        <f t="shared" si="22"/>
        <v>5894.9000000000005</v>
      </c>
      <c r="I33" s="232">
        <f t="shared" si="22"/>
        <v>5249.2</v>
      </c>
      <c r="J33" s="230">
        <f t="shared" si="22"/>
        <v>5102.8999999999996</v>
      </c>
      <c r="K33" s="231">
        <f t="shared" si="22"/>
        <v>5310.8</v>
      </c>
      <c r="L33" s="232">
        <f t="shared" si="22"/>
        <v>5101.8</v>
      </c>
      <c r="M33" s="230">
        <f t="shared" si="22"/>
        <v>4161.3</v>
      </c>
      <c r="N33" s="231">
        <f t="shared" si="22"/>
        <v>3858.7999999999997</v>
      </c>
      <c r="O33" s="154">
        <f t="shared" si="22"/>
        <v>0</v>
      </c>
      <c r="P33" s="154">
        <f t="shared" si="22"/>
        <v>0</v>
      </c>
      <c r="Q33" s="234"/>
      <c r="R33" s="236" t="s">
        <v>116</v>
      </c>
      <c r="S33" s="92">
        <v>0</v>
      </c>
      <c r="T33" s="156">
        <f>D38</f>
        <v>1336.6</v>
      </c>
      <c r="U33" s="92">
        <v>0</v>
      </c>
      <c r="V33" s="92">
        <v>0</v>
      </c>
      <c r="W33" s="92">
        <v>0</v>
      </c>
      <c r="X33" s="92">
        <v>0</v>
      </c>
      <c r="Y33" s="92">
        <v>0</v>
      </c>
      <c r="Z33" s="92">
        <v>0</v>
      </c>
      <c r="AA33" s="92">
        <v>0</v>
      </c>
      <c r="AB33" s="92">
        <v>0</v>
      </c>
      <c r="AC33" s="92">
        <v>0</v>
      </c>
    </row>
    <row r="34" spans="2:29" x14ac:dyDescent="0.25">
      <c r="B34" s="13" t="s">
        <v>116</v>
      </c>
      <c r="C34" s="122"/>
      <c r="D34" s="227"/>
      <c r="E34" s="228"/>
      <c r="F34" s="226"/>
      <c r="G34" s="230"/>
      <c r="H34" s="231"/>
      <c r="I34" s="232"/>
      <c r="J34" s="230"/>
      <c r="K34" s="231"/>
      <c r="L34" s="232"/>
      <c r="M34" s="230"/>
      <c r="N34" s="231"/>
      <c r="O34" s="154"/>
      <c r="P34" s="154"/>
    </row>
    <row r="35" spans="2:29" x14ac:dyDescent="0.25">
      <c r="B35" s="13"/>
      <c r="C35" s="122" t="s">
        <v>179</v>
      </c>
      <c r="D35" s="230">
        <f t="shared" ref="D35:P35" si="23">E25</f>
        <v>1409</v>
      </c>
      <c r="E35" s="231">
        <f t="shared" si="23"/>
        <v>3803.7999999999997</v>
      </c>
      <c r="F35" s="232">
        <f t="shared" si="23"/>
        <v>5123.8</v>
      </c>
      <c r="G35" s="230">
        <f t="shared" si="23"/>
        <v>5911.4000000000005</v>
      </c>
      <c r="H35" s="231">
        <f t="shared" si="23"/>
        <v>7080.7000000000007</v>
      </c>
      <c r="I35" s="232">
        <f t="shared" si="23"/>
        <v>6284.2999999999993</v>
      </c>
      <c r="J35" s="230">
        <f t="shared" si="23"/>
        <v>6096.2</v>
      </c>
      <c r="K35" s="231">
        <f t="shared" si="23"/>
        <v>6342.6</v>
      </c>
      <c r="L35" s="232">
        <f t="shared" si="23"/>
        <v>6044.5</v>
      </c>
      <c r="M35" s="230">
        <f t="shared" si="23"/>
        <v>5100.7</v>
      </c>
      <c r="N35" s="231">
        <f t="shared" si="23"/>
        <v>4738.7999999999993</v>
      </c>
      <c r="O35" s="154">
        <f t="shared" si="23"/>
        <v>0</v>
      </c>
      <c r="P35" s="154">
        <f t="shared" si="23"/>
        <v>0</v>
      </c>
    </row>
    <row r="36" spans="2:29" x14ac:dyDescent="0.25">
      <c r="B36" s="13"/>
      <c r="C36" s="122" t="s">
        <v>180</v>
      </c>
      <c r="D36" s="230">
        <f>AA8</f>
        <v>6000</v>
      </c>
      <c r="E36" s="231">
        <f>D37+D36-D35+W15</f>
        <v>7591</v>
      </c>
      <c r="F36" s="232">
        <f t="shared" ref="F36:P36" si="24">E37+E36-E35</f>
        <v>3787.2000000000003</v>
      </c>
      <c r="G36" s="230">
        <f t="shared" si="24"/>
        <v>0</v>
      </c>
      <c r="H36" s="231">
        <f t="shared" si="24"/>
        <v>0</v>
      </c>
      <c r="I36" s="232">
        <f t="shared" si="24"/>
        <v>0</v>
      </c>
      <c r="J36" s="230">
        <f t="shared" si="24"/>
        <v>0</v>
      </c>
      <c r="K36" s="231">
        <f t="shared" si="24"/>
        <v>0</v>
      </c>
      <c r="L36" s="232">
        <f t="shared" si="24"/>
        <v>0</v>
      </c>
      <c r="M36" s="230">
        <f t="shared" si="24"/>
        <v>0</v>
      </c>
      <c r="N36" s="231">
        <f t="shared" si="24"/>
        <v>0</v>
      </c>
      <c r="O36" s="154">
        <f t="shared" si="24"/>
        <v>0</v>
      </c>
      <c r="P36" s="154">
        <f t="shared" si="24"/>
        <v>0</v>
      </c>
      <c r="R36" s="270" t="s">
        <v>247</v>
      </c>
      <c r="S36" s="270"/>
    </row>
    <row r="37" spans="2:29" x14ac:dyDescent="0.25">
      <c r="B37" s="13"/>
      <c r="C37" s="122" t="s">
        <v>181</v>
      </c>
      <c r="D37" s="230">
        <f t="shared" ref="D37:P37" si="25">MAX(0,D35-D36)</f>
        <v>0</v>
      </c>
      <c r="E37" s="231">
        <f t="shared" si="25"/>
        <v>0</v>
      </c>
      <c r="F37" s="232">
        <f t="shared" si="25"/>
        <v>1336.6</v>
      </c>
      <c r="G37" s="230">
        <f t="shared" si="25"/>
        <v>5911.4000000000005</v>
      </c>
      <c r="H37" s="231">
        <f t="shared" si="25"/>
        <v>7080.7000000000007</v>
      </c>
      <c r="I37" s="232">
        <f t="shared" si="25"/>
        <v>6284.2999999999993</v>
      </c>
      <c r="J37" s="230">
        <f t="shared" si="25"/>
        <v>6096.2</v>
      </c>
      <c r="K37" s="231">
        <f t="shared" si="25"/>
        <v>6342.6</v>
      </c>
      <c r="L37" s="232">
        <f t="shared" si="25"/>
        <v>6044.5</v>
      </c>
      <c r="M37" s="230">
        <f t="shared" si="25"/>
        <v>5100.7</v>
      </c>
      <c r="N37" s="231">
        <f t="shared" si="25"/>
        <v>4738.7999999999993</v>
      </c>
      <c r="O37" s="154">
        <f t="shared" si="25"/>
        <v>0</v>
      </c>
      <c r="P37" s="154">
        <f t="shared" si="25"/>
        <v>0</v>
      </c>
      <c r="R37" s="122" t="s">
        <v>106</v>
      </c>
      <c r="S37" s="122">
        <v>1500</v>
      </c>
    </row>
    <row r="38" spans="2:29" x14ac:dyDescent="0.25">
      <c r="B38" s="13"/>
      <c r="C38" s="122" t="s">
        <v>198</v>
      </c>
      <c r="D38" s="237">
        <f>F37</f>
        <v>1336.6</v>
      </c>
      <c r="E38" s="231">
        <f t="shared" ref="E38:O38" si="26">G37</f>
        <v>5911.4000000000005</v>
      </c>
      <c r="F38" s="232">
        <f t="shared" si="26"/>
        <v>7080.7000000000007</v>
      </c>
      <c r="G38" s="230">
        <f t="shared" si="26"/>
        <v>6284.2999999999993</v>
      </c>
      <c r="H38" s="231">
        <f t="shared" si="26"/>
        <v>6096.2</v>
      </c>
      <c r="I38" s="232">
        <f t="shared" si="26"/>
        <v>6342.6</v>
      </c>
      <c r="J38" s="230">
        <f t="shared" si="26"/>
        <v>6044.5</v>
      </c>
      <c r="K38" s="231">
        <f t="shared" si="26"/>
        <v>5100.7</v>
      </c>
      <c r="L38" s="232">
        <f t="shared" si="26"/>
        <v>4738.7999999999993</v>
      </c>
      <c r="M38" s="230">
        <f t="shared" si="26"/>
        <v>0</v>
      </c>
      <c r="N38" s="231">
        <f t="shared" si="26"/>
        <v>0</v>
      </c>
      <c r="O38" s="154">
        <f t="shared" si="26"/>
        <v>0</v>
      </c>
      <c r="P38" s="154" t="e">
        <f>#REF!</f>
        <v>#REF!</v>
      </c>
      <c r="R38" s="122" t="s">
        <v>107</v>
      </c>
      <c r="S38" s="122">
        <v>480</v>
      </c>
    </row>
    <row r="39" spans="2:29" x14ac:dyDescent="0.25">
      <c r="B39" s="13" t="s">
        <v>115</v>
      </c>
      <c r="C39" s="122"/>
      <c r="D39" s="230"/>
      <c r="E39" s="231"/>
      <c r="F39" s="232"/>
      <c r="G39" s="230"/>
      <c r="H39" s="231"/>
      <c r="I39" s="232"/>
      <c r="J39" s="230"/>
      <c r="K39" s="231"/>
      <c r="L39" s="232"/>
      <c r="M39" s="230"/>
      <c r="N39" s="231"/>
      <c r="O39" s="154"/>
      <c r="P39" s="154"/>
    </row>
    <row r="40" spans="2:29" x14ac:dyDescent="0.25">
      <c r="B40" s="13"/>
      <c r="C40" s="122" t="s">
        <v>179</v>
      </c>
      <c r="D40" s="230">
        <f t="shared" ref="D40:P40" si="27">E17+E21+D29+D33</f>
        <v>2148.7850000000003</v>
      </c>
      <c r="E40" s="231">
        <f t="shared" si="27"/>
        <v>7402.9977499999995</v>
      </c>
      <c r="F40" s="232">
        <f t="shared" si="27"/>
        <v>10377.773999999999</v>
      </c>
      <c r="G40" s="230">
        <f t="shared" si="27"/>
        <v>11973.94275</v>
      </c>
      <c r="H40" s="231">
        <f t="shared" si="27"/>
        <v>14342.234500000002</v>
      </c>
      <c r="I40" s="232">
        <f t="shared" si="27"/>
        <v>12726.45275</v>
      </c>
      <c r="J40" s="230">
        <f t="shared" si="27"/>
        <v>12343.87825</v>
      </c>
      <c r="K40" s="231">
        <f t="shared" si="27"/>
        <v>12842.549500000001</v>
      </c>
      <c r="L40" s="232">
        <f t="shared" si="27"/>
        <v>12232.761750000001</v>
      </c>
      <c r="M40" s="230">
        <f t="shared" si="27"/>
        <v>10344.658500000001</v>
      </c>
      <c r="N40" s="231">
        <f t="shared" si="27"/>
        <v>9611.7999999999993</v>
      </c>
      <c r="O40" s="154">
        <f t="shared" si="27"/>
        <v>0</v>
      </c>
      <c r="P40" s="154">
        <f t="shared" si="27"/>
        <v>0</v>
      </c>
      <c r="R40" s="270" t="s">
        <v>248</v>
      </c>
      <c r="S40" s="270"/>
      <c r="T40" s="270" t="s">
        <v>249</v>
      </c>
      <c r="U40" s="270"/>
    </row>
    <row r="41" spans="2:29" x14ac:dyDescent="0.25">
      <c r="B41" s="13"/>
      <c r="C41" s="122" t="s">
        <v>180</v>
      </c>
      <c r="D41" s="230">
        <f>AB8</f>
        <v>20000</v>
      </c>
      <c r="E41" s="231">
        <f>D42+D41-D40+V15</f>
        <v>29851.215</v>
      </c>
      <c r="F41" s="232">
        <f>E42+E41-E40</f>
        <v>22448.217250000002</v>
      </c>
      <c r="G41" s="230">
        <f t="shared" ref="G41:P41" si="28">F42+F41-F40</f>
        <v>12070.443250000002</v>
      </c>
      <c r="H41" s="231">
        <f t="shared" si="28"/>
        <v>96.500500000001921</v>
      </c>
      <c r="I41" s="232">
        <f t="shared" si="28"/>
        <v>0</v>
      </c>
      <c r="J41" s="230">
        <f t="shared" si="28"/>
        <v>0</v>
      </c>
      <c r="K41" s="231">
        <f t="shared" si="28"/>
        <v>0</v>
      </c>
      <c r="L41" s="232">
        <f t="shared" si="28"/>
        <v>0</v>
      </c>
      <c r="M41" s="230">
        <f t="shared" si="28"/>
        <v>0</v>
      </c>
      <c r="N41" s="231">
        <f t="shared" si="28"/>
        <v>0</v>
      </c>
      <c r="O41" s="154">
        <f t="shared" si="28"/>
        <v>0</v>
      </c>
      <c r="P41" s="154">
        <f t="shared" si="28"/>
        <v>0</v>
      </c>
      <c r="R41" s="270">
        <v>0.1</v>
      </c>
      <c r="S41" s="270"/>
      <c r="T41" s="270">
        <v>0.05</v>
      </c>
      <c r="U41" s="270"/>
    </row>
    <row r="42" spans="2:29" x14ac:dyDescent="0.25">
      <c r="B42" s="13"/>
      <c r="C42" s="122" t="s">
        <v>181</v>
      </c>
      <c r="D42" s="230">
        <f>MAX(0,D40-D41)</f>
        <v>0</v>
      </c>
      <c r="E42" s="231">
        <f t="shared" ref="E42:P42" si="29">MAX(0,E40-E41)</f>
        <v>0</v>
      </c>
      <c r="F42" s="232">
        <f t="shared" si="29"/>
        <v>0</v>
      </c>
      <c r="G42" s="230">
        <f t="shared" si="29"/>
        <v>0</v>
      </c>
      <c r="H42" s="231">
        <f t="shared" si="29"/>
        <v>14245.734</v>
      </c>
      <c r="I42" s="232">
        <f t="shared" si="29"/>
        <v>12726.45275</v>
      </c>
      <c r="J42" s="230">
        <f t="shared" si="29"/>
        <v>12343.87825</v>
      </c>
      <c r="K42" s="231">
        <f t="shared" si="29"/>
        <v>12842.549500000001</v>
      </c>
      <c r="L42" s="232">
        <f t="shared" si="29"/>
        <v>12232.761750000001</v>
      </c>
      <c r="M42" s="230">
        <f t="shared" si="29"/>
        <v>10344.658500000001</v>
      </c>
      <c r="N42" s="231">
        <f t="shared" si="29"/>
        <v>9611.7999999999993</v>
      </c>
      <c r="O42" s="154">
        <f t="shared" si="29"/>
        <v>0</v>
      </c>
      <c r="P42" s="154">
        <f t="shared" si="29"/>
        <v>0</v>
      </c>
      <c r="R42" s="278"/>
      <c r="S42" s="278"/>
      <c r="T42" s="278"/>
      <c r="U42" s="278"/>
    </row>
    <row r="43" spans="2:29" x14ac:dyDescent="0.25">
      <c r="B43" s="13"/>
      <c r="C43" s="122" t="s">
        <v>198</v>
      </c>
      <c r="D43" s="230">
        <v>0</v>
      </c>
      <c r="E43" s="231">
        <f>G42</f>
        <v>0</v>
      </c>
      <c r="F43" s="232">
        <f t="shared" ref="F43:P43" si="30">H42</f>
        <v>14245.734</v>
      </c>
      <c r="G43" s="230">
        <f t="shared" si="30"/>
        <v>12726.45275</v>
      </c>
      <c r="H43" s="231">
        <f t="shared" si="30"/>
        <v>12343.87825</v>
      </c>
      <c r="I43" s="232">
        <f t="shared" si="30"/>
        <v>12842.549500000001</v>
      </c>
      <c r="J43" s="230">
        <f t="shared" si="30"/>
        <v>12232.761750000001</v>
      </c>
      <c r="K43" s="231">
        <f t="shared" si="30"/>
        <v>10344.658500000001</v>
      </c>
      <c r="L43" s="232">
        <f t="shared" si="30"/>
        <v>9611.7999999999993</v>
      </c>
      <c r="M43" s="230">
        <f t="shared" si="30"/>
        <v>0</v>
      </c>
      <c r="N43" s="231">
        <f t="shared" si="30"/>
        <v>0</v>
      </c>
      <c r="O43" s="154">
        <f t="shared" si="30"/>
        <v>0</v>
      </c>
      <c r="P43" s="154">
        <f t="shared" si="30"/>
        <v>0</v>
      </c>
    </row>
    <row r="44" spans="2:29" x14ac:dyDescent="0.25">
      <c r="B44" s="13" t="s">
        <v>114</v>
      </c>
      <c r="C44" s="122"/>
      <c r="D44" s="230"/>
      <c r="E44" s="231"/>
      <c r="F44" s="232"/>
      <c r="G44" s="230"/>
      <c r="H44" s="231"/>
      <c r="I44" s="232"/>
      <c r="J44" s="230"/>
      <c r="K44" s="231"/>
      <c r="L44" s="232"/>
      <c r="M44" s="230"/>
      <c r="N44" s="231"/>
      <c r="O44" s="154"/>
      <c r="P44" s="154"/>
    </row>
    <row r="45" spans="2:29" x14ac:dyDescent="0.25">
      <c r="B45" s="13"/>
      <c r="C45" s="122" t="s">
        <v>179</v>
      </c>
      <c r="D45" s="230">
        <f t="shared" ref="D45:P45" si="31">D29</f>
        <v>0</v>
      </c>
      <c r="E45" s="231">
        <f t="shared" si="31"/>
        <v>427.92775000000012</v>
      </c>
      <c r="F45" s="232">
        <f t="shared" si="31"/>
        <v>941.09399999999994</v>
      </c>
      <c r="G45" s="230">
        <f t="shared" si="31"/>
        <v>1092.6877500000003</v>
      </c>
      <c r="H45" s="231">
        <f t="shared" si="31"/>
        <v>1307.3444999999999</v>
      </c>
      <c r="I45" s="232">
        <f t="shared" si="31"/>
        <v>1141.19775</v>
      </c>
      <c r="J45" s="230">
        <f t="shared" si="31"/>
        <v>1095.1132500000001</v>
      </c>
      <c r="K45" s="231">
        <f t="shared" si="31"/>
        <v>1137.5594999999998</v>
      </c>
      <c r="L45" s="232">
        <f t="shared" si="31"/>
        <v>1039.3267499999999</v>
      </c>
      <c r="M45" s="230">
        <f t="shared" si="31"/>
        <v>1035.6885000000002</v>
      </c>
      <c r="N45" s="231">
        <f t="shared" si="31"/>
        <v>970.19999999999993</v>
      </c>
      <c r="O45" s="154">
        <f t="shared" si="31"/>
        <v>0</v>
      </c>
      <c r="P45" s="154">
        <f t="shared" si="31"/>
        <v>0</v>
      </c>
    </row>
    <row r="46" spans="2:29" x14ac:dyDescent="0.25">
      <c r="B46" s="13"/>
      <c r="C46" s="122" t="s">
        <v>180</v>
      </c>
      <c r="D46" s="230">
        <f>AC8</f>
        <v>750</v>
      </c>
      <c r="E46" s="231">
        <f>D47+D46-D45+U15</f>
        <v>1750</v>
      </c>
      <c r="F46" s="232">
        <f>E47+E46-E45+U16</f>
        <v>1822.0722499999999</v>
      </c>
      <c r="G46" s="230">
        <f>F47+F46-F45+U17</f>
        <v>1880.9782500000001</v>
      </c>
      <c r="H46" s="231">
        <f>G47+G46-G45</f>
        <v>788.29049999999984</v>
      </c>
      <c r="I46" s="232">
        <f t="shared" ref="I46:P46" si="32">H47+H46-H45</f>
        <v>0</v>
      </c>
      <c r="J46" s="230">
        <f t="shared" si="32"/>
        <v>0</v>
      </c>
      <c r="K46" s="231">
        <f t="shared" si="32"/>
        <v>0</v>
      </c>
      <c r="L46" s="232">
        <f t="shared" si="32"/>
        <v>0</v>
      </c>
      <c r="M46" s="230">
        <f t="shared" si="32"/>
        <v>0</v>
      </c>
      <c r="N46" s="231">
        <f t="shared" si="32"/>
        <v>0</v>
      </c>
      <c r="O46" s="154">
        <f t="shared" si="32"/>
        <v>0</v>
      </c>
      <c r="P46" s="154">
        <f t="shared" si="32"/>
        <v>0</v>
      </c>
    </row>
    <row r="47" spans="2:29" x14ac:dyDescent="0.25">
      <c r="B47" s="13"/>
      <c r="C47" s="122" t="s">
        <v>181</v>
      </c>
      <c r="D47" s="230">
        <f>MAX(0,D45-D46)</f>
        <v>0</v>
      </c>
      <c r="E47" s="231">
        <f t="shared" ref="E47:P47" si="33">MAX(0,E45-E46)</f>
        <v>0</v>
      </c>
      <c r="F47" s="232">
        <f t="shared" si="33"/>
        <v>0</v>
      </c>
      <c r="G47" s="230">
        <f t="shared" si="33"/>
        <v>0</v>
      </c>
      <c r="H47" s="231">
        <f t="shared" si="33"/>
        <v>519.05400000000009</v>
      </c>
      <c r="I47" s="232">
        <f t="shared" si="33"/>
        <v>1141.19775</v>
      </c>
      <c r="J47" s="230">
        <f t="shared" si="33"/>
        <v>1095.1132500000001</v>
      </c>
      <c r="K47" s="231">
        <f t="shared" si="33"/>
        <v>1137.5594999999998</v>
      </c>
      <c r="L47" s="232">
        <f t="shared" si="33"/>
        <v>1039.3267499999999</v>
      </c>
      <c r="M47" s="230">
        <f t="shared" si="33"/>
        <v>1035.6885000000002</v>
      </c>
      <c r="N47" s="231">
        <f t="shared" si="33"/>
        <v>970.19999999999993</v>
      </c>
      <c r="O47" s="154">
        <f t="shared" si="33"/>
        <v>0</v>
      </c>
      <c r="P47" s="154">
        <f t="shared" si="33"/>
        <v>0</v>
      </c>
    </row>
    <row r="48" spans="2:29" x14ac:dyDescent="0.25">
      <c r="B48" s="13"/>
      <c r="C48" s="122" t="s">
        <v>198</v>
      </c>
      <c r="D48" s="237">
        <f>H47</f>
        <v>519.05400000000009</v>
      </c>
      <c r="E48" s="231">
        <f t="shared" ref="E48:J48" si="34">I47</f>
        <v>1141.19775</v>
      </c>
      <c r="F48" s="232">
        <f t="shared" si="34"/>
        <v>1095.1132500000001</v>
      </c>
      <c r="G48" s="230">
        <f t="shared" si="34"/>
        <v>1137.5594999999998</v>
      </c>
      <c r="H48" s="231">
        <f t="shared" si="34"/>
        <v>1039.3267499999999</v>
      </c>
      <c r="I48" s="232">
        <f t="shared" si="34"/>
        <v>1035.6885000000002</v>
      </c>
      <c r="J48" s="230">
        <f t="shared" si="34"/>
        <v>970.19999999999993</v>
      </c>
      <c r="K48" s="231">
        <f>Q47</f>
        <v>0</v>
      </c>
      <c r="L48" s="232">
        <f>R47</f>
        <v>0</v>
      </c>
      <c r="M48" s="230">
        <f>S47</f>
        <v>0</v>
      </c>
      <c r="N48" s="231">
        <f>T47</f>
        <v>0</v>
      </c>
      <c r="O48" s="154">
        <f t="shared" ref="O48:P48" si="35">U47</f>
        <v>0</v>
      </c>
      <c r="P48" s="154">
        <f t="shared" si="35"/>
        <v>0</v>
      </c>
    </row>
    <row r="49" spans="2:16" x14ac:dyDescent="0.25">
      <c r="B49" s="13" t="s">
        <v>113</v>
      </c>
      <c r="C49" s="122"/>
      <c r="D49" s="230"/>
      <c r="E49" s="231"/>
      <c r="F49" s="232"/>
      <c r="G49" s="230"/>
      <c r="H49" s="231"/>
      <c r="I49" s="232"/>
      <c r="J49" s="230"/>
      <c r="K49" s="231"/>
      <c r="L49" s="232"/>
      <c r="M49" s="230"/>
      <c r="N49" s="231"/>
      <c r="O49" s="154"/>
      <c r="P49" s="154"/>
    </row>
    <row r="50" spans="2:16" x14ac:dyDescent="0.25">
      <c r="B50" s="13"/>
      <c r="C50" s="122" t="s">
        <v>179</v>
      </c>
      <c r="D50" s="230">
        <f t="shared" ref="D50:P50" si="36">D33</f>
        <v>0</v>
      </c>
      <c r="E50" s="231">
        <f t="shared" si="36"/>
        <v>3139.7</v>
      </c>
      <c r="F50" s="232">
        <f t="shared" si="36"/>
        <v>4270.2</v>
      </c>
      <c r="G50" s="230">
        <f t="shared" si="36"/>
        <v>4920.3</v>
      </c>
      <c r="H50" s="231">
        <f t="shared" si="36"/>
        <v>5894.9000000000005</v>
      </c>
      <c r="I50" s="232">
        <f t="shared" si="36"/>
        <v>5249.2</v>
      </c>
      <c r="J50" s="230">
        <f t="shared" si="36"/>
        <v>5102.8999999999996</v>
      </c>
      <c r="K50" s="231">
        <f t="shared" si="36"/>
        <v>5310.8</v>
      </c>
      <c r="L50" s="232">
        <f t="shared" si="36"/>
        <v>5101.8</v>
      </c>
      <c r="M50" s="230">
        <f t="shared" si="36"/>
        <v>4161.3</v>
      </c>
      <c r="N50" s="231">
        <f t="shared" si="36"/>
        <v>3858.7999999999997</v>
      </c>
      <c r="O50" s="154">
        <f t="shared" si="36"/>
        <v>0</v>
      </c>
      <c r="P50" s="154">
        <f t="shared" si="36"/>
        <v>0</v>
      </c>
    </row>
    <row r="51" spans="2:16" x14ac:dyDescent="0.25">
      <c r="B51" s="13"/>
      <c r="C51" s="122" t="s">
        <v>180</v>
      </c>
      <c r="D51" s="230">
        <f>AD8</f>
        <v>5000</v>
      </c>
      <c r="E51" s="231">
        <f>D52+D51-D50+T15</f>
        <v>7000</v>
      </c>
      <c r="F51" s="232">
        <f>E52+E51-E50+T16</f>
        <v>8860.2999999999993</v>
      </c>
      <c r="G51" s="230">
        <f>F52+F51-F50</f>
        <v>4590.0999999999995</v>
      </c>
      <c r="H51" s="231">
        <f t="shared" ref="H51:P51" si="37">G52+G51-G50</f>
        <v>0</v>
      </c>
      <c r="I51" s="232">
        <f t="shared" si="37"/>
        <v>0</v>
      </c>
      <c r="J51" s="230">
        <f t="shared" si="37"/>
        <v>0</v>
      </c>
      <c r="K51" s="231">
        <f t="shared" si="37"/>
        <v>0</v>
      </c>
      <c r="L51" s="232">
        <f t="shared" si="37"/>
        <v>0</v>
      </c>
      <c r="M51" s="230">
        <f t="shared" si="37"/>
        <v>0</v>
      </c>
      <c r="N51" s="231">
        <f t="shared" si="37"/>
        <v>0</v>
      </c>
      <c r="O51" s="154">
        <f t="shared" si="37"/>
        <v>0</v>
      </c>
      <c r="P51" s="154">
        <f t="shared" si="37"/>
        <v>0</v>
      </c>
    </row>
    <row r="52" spans="2:16" x14ac:dyDescent="0.25">
      <c r="B52" s="13"/>
      <c r="C52" s="122" t="s">
        <v>181</v>
      </c>
      <c r="D52" s="230">
        <f>MAX(0,D50-D51)</f>
        <v>0</v>
      </c>
      <c r="E52" s="231">
        <f t="shared" ref="E52:P52" si="38">MAX(0,E50-E51)</f>
        <v>0</v>
      </c>
      <c r="F52" s="232">
        <f t="shared" si="38"/>
        <v>0</v>
      </c>
      <c r="G52" s="230">
        <f t="shared" si="38"/>
        <v>330.20000000000073</v>
      </c>
      <c r="H52" s="231">
        <f t="shared" si="38"/>
        <v>5894.9000000000005</v>
      </c>
      <c r="I52" s="232">
        <f t="shared" si="38"/>
        <v>5249.2</v>
      </c>
      <c r="J52" s="230">
        <f t="shared" si="38"/>
        <v>5102.8999999999996</v>
      </c>
      <c r="K52" s="231">
        <f t="shared" si="38"/>
        <v>5310.8</v>
      </c>
      <c r="L52" s="232">
        <f t="shared" si="38"/>
        <v>5101.8</v>
      </c>
      <c r="M52" s="230">
        <f t="shared" si="38"/>
        <v>4161.3</v>
      </c>
      <c r="N52" s="231">
        <f t="shared" si="38"/>
        <v>3858.7999999999997</v>
      </c>
      <c r="O52" s="154">
        <f t="shared" si="38"/>
        <v>0</v>
      </c>
      <c r="P52" s="154">
        <f t="shared" si="38"/>
        <v>0</v>
      </c>
    </row>
    <row r="53" spans="2:16" ht="15.75" thickBot="1" x14ac:dyDescent="0.3">
      <c r="B53" s="14"/>
      <c r="C53" s="153" t="s">
        <v>198</v>
      </c>
      <c r="D53" s="238">
        <f>G52</f>
        <v>330.20000000000073</v>
      </c>
      <c r="E53" s="239">
        <f t="shared" ref="E53:K53" si="39">H52</f>
        <v>5894.9000000000005</v>
      </c>
      <c r="F53" s="240">
        <f t="shared" si="39"/>
        <v>5249.2</v>
      </c>
      <c r="G53" s="241">
        <f t="shared" si="39"/>
        <v>5102.8999999999996</v>
      </c>
      <c r="H53" s="239">
        <f t="shared" si="39"/>
        <v>5310.8</v>
      </c>
      <c r="I53" s="240">
        <f t="shared" si="39"/>
        <v>5101.8</v>
      </c>
      <c r="J53" s="241">
        <f t="shared" si="39"/>
        <v>4161.3</v>
      </c>
      <c r="K53" s="239">
        <f t="shared" si="39"/>
        <v>3858.7999999999997</v>
      </c>
      <c r="L53" s="240">
        <f>Q52</f>
        <v>0</v>
      </c>
      <c r="M53" s="241" t="e">
        <f>#REF!</f>
        <v>#REF!</v>
      </c>
      <c r="N53" s="239" t="e">
        <f>#REF!</f>
        <v>#REF!</v>
      </c>
      <c r="O53" s="156">
        <f t="shared" ref="O53:P53" si="40">T36</f>
        <v>0</v>
      </c>
      <c r="P53" s="156">
        <f t="shared" si="40"/>
        <v>0</v>
      </c>
    </row>
  </sheetData>
  <mergeCells count="7">
    <mergeCell ref="R42:S42"/>
    <mergeCell ref="T42:U42"/>
    <mergeCell ref="R36:S36"/>
    <mergeCell ref="R40:S40"/>
    <mergeCell ref="T40:U40"/>
    <mergeCell ref="R41:S41"/>
    <mergeCell ref="T41:U41"/>
  </mergeCells>
  <conditionalFormatting sqref="D29">
    <cfRule type="cellIs" dxfId="5" priority="6" operator="greaterThan">
      <formula>0</formula>
    </cfRule>
  </conditionalFormatting>
  <conditionalFormatting sqref="D33">
    <cfRule type="cellIs" dxfId="4" priority="5" operator="greaterThan">
      <formula>0</formula>
    </cfRule>
  </conditionalFormatting>
  <conditionalFormatting sqref="D38">
    <cfRule type="cellIs" dxfId="3" priority="4" operator="greaterThan">
      <formula>0</formula>
    </cfRule>
  </conditionalFormatting>
  <conditionalFormatting sqref="D43">
    <cfRule type="cellIs" dxfId="2" priority="3" operator="greaterThan">
      <formula>0</formula>
    </cfRule>
  </conditionalFormatting>
  <conditionalFormatting sqref="D48">
    <cfRule type="cellIs" dxfId="1" priority="2" operator="greaterThan">
      <formula>0</formula>
    </cfRule>
  </conditionalFormatting>
  <conditionalFormatting sqref="D53">
    <cfRule type="cellIs" dxfId="0" priority="1" operator="greater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AA53"/>
  <sheetViews>
    <sheetView topLeftCell="A25" workbookViewId="0">
      <selection activeCell="B5" sqref="B5:N5"/>
    </sheetView>
  </sheetViews>
  <sheetFormatPr baseColWidth="10" defaultRowHeight="15" x14ac:dyDescent="0.25"/>
  <cols>
    <col min="1" max="15" width="11.42578125" style="2"/>
    <col min="16" max="16" width="26" style="2" customWidth="1"/>
    <col min="17" max="18" width="11.42578125" style="2"/>
    <col min="19" max="19" width="26.140625" style="2" customWidth="1"/>
    <col min="20" max="16384" width="11.42578125" style="2"/>
  </cols>
  <sheetData>
    <row r="4" spans="2:27" ht="15.75" thickBot="1" x14ac:dyDescent="0.3"/>
    <row r="5" spans="2:27" x14ac:dyDescent="0.25">
      <c r="B5" s="77" t="str">
        <f>[2]Nomenclature!C7</f>
        <v>Composants</v>
      </c>
      <c r="C5" s="56"/>
      <c r="D5" s="56" t="s">
        <v>74</v>
      </c>
      <c r="E5" s="56" t="s">
        <v>75</v>
      </c>
      <c r="F5" s="56" t="s">
        <v>76</v>
      </c>
      <c r="G5" s="56" t="s">
        <v>77</v>
      </c>
      <c r="H5" s="56" t="s">
        <v>78</v>
      </c>
      <c r="I5" s="56" t="s">
        <v>79</v>
      </c>
      <c r="J5" s="56" t="s">
        <v>80</v>
      </c>
      <c r="K5" s="56" t="s">
        <v>81</v>
      </c>
      <c r="L5" s="56" t="s">
        <v>82</v>
      </c>
      <c r="M5" s="56" t="s">
        <v>83</v>
      </c>
      <c r="N5" s="57" t="s">
        <v>84</v>
      </c>
      <c r="P5" s="137"/>
      <c r="Q5" s="138" t="s">
        <v>106</v>
      </c>
      <c r="R5" s="138" t="s">
        <v>107</v>
      </c>
      <c r="S5" s="138" t="s">
        <v>108</v>
      </c>
      <c r="T5" s="138" t="s">
        <v>109</v>
      </c>
      <c r="U5" s="138" t="s">
        <v>110</v>
      </c>
      <c r="V5" s="138" t="s">
        <v>111</v>
      </c>
      <c r="W5" s="138" t="s">
        <v>112</v>
      </c>
      <c r="X5" s="138" t="s">
        <v>116</v>
      </c>
      <c r="Y5" s="138" t="s">
        <v>115</v>
      </c>
      <c r="Z5" s="138" t="s">
        <v>114</v>
      </c>
      <c r="AA5" s="139" t="s">
        <v>113</v>
      </c>
    </row>
    <row r="6" spans="2:27" x14ac:dyDescent="0.25">
      <c r="B6" s="13" t="str">
        <f>[2]Nomenclature!C8</f>
        <v>P1</v>
      </c>
      <c r="C6" s="122"/>
      <c r="D6" s="122"/>
      <c r="E6" s="122"/>
      <c r="F6" s="122"/>
      <c r="G6" s="122"/>
      <c r="H6" s="122"/>
      <c r="I6" s="122"/>
      <c r="J6" s="122"/>
      <c r="K6" s="122"/>
      <c r="L6" s="122"/>
      <c r="M6" s="122"/>
      <c r="N6" s="80"/>
      <c r="P6" s="140" t="s">
        <v>126</v>
      </c>
      <c r="Q6" s="93">
        <v>4</v>
      </c>
      <c r="R6" s="93">
        <v>40</v>
      </c>
      <c r="S6" s="93">
        <v>40</v>
      </c>
      <c r="T6" s="93">
        <v>40</v>
      </c>
      <c r="U6" s="93">
        <v>4</v>
      </c>
      <c r="V6" s="93">
        <v>40</v>
      </c>
      <c r="W6" s="93">
        <v>4</v>
      </c>
      <c r="X6" s="122"/>
      <c r="Y6" s="122"/>
      <c r="Z6" s="122"/>
      <c r="AA6" s="80"/>
    </row>
    <row r="7" spans="2:27" x14ac:dyDescent="0.25">
      <c r="B7" s="13"/>
      <c r="C7" s="122" t="s">
        <v>179</v>
      </c>
      <c r="D7" s="154">
        <f>[2]Nomenclature!E8</f>
        <v>2493</v>
      </c>
      <c r="E7" s="154">
        <f>[2]Nomenclature!F8</f>
        <v>2884</v>
      </c>
      <c r="F7" s="154">
        <f>[2]Nomenclature!G8</f>
        <v>3882</v>
      </c>
      <c r="G7" s="154">
        <f>[2]Nomenclature!H8</f>
        <v>4473</v>
      </c>
      <c r="H7" s="154">
        <f>[2]Nomenclature!I8</f>
        <v>5359</v>
      </c>
      <c r="I7" s="154">
        <f>[2]Nomenclature!J8</f>
        <v>4772</v>
      </c>
      <c r="J7" s="154">
        <f>[2]Nomenclature!K8</f>
        <v>4639</v>
      </c>
      <c r="K7" s="154">
        <f>[2]Nomenclature!L8</f>
        <v>4828</v>
      </c>
      <c r="L7" s="154">
        <f>[2]Nomenclature!M8</f>
        <v>4638</v>
      </c>
      <c r="M7" s="154">
        <f>[2]Nomenclature!N8</f>
        <v>3783</v>
      </c>
      <c r="N7" s="155">
        <f>[2]Nomenclature!O8</f>
        <v>3508</v>
      </c>
      <c r="P7" s="140" t="s">
        <v>127</v>
      </c>
      <c r="Q7" s="93">
        <v>2.66</v>
      </c>
      <c r="R7" s="93">
        <v>24</v>
      </c>
      <c r="S7" s="93">
        <v>3.2</v>
      </c>
      <c r="T7" s="93">
        <v>48</v>
      </c>
      <c r="U7" s="93">
        <v>4.8</v>
      </c>
      <c r="V7" s="93">
        <v>240</v>
      </c>
      <c r="W7" s="93">
        <v>9.6</v>
      </c>
      <c r="X7" s="122"/>
      <c r="Y7" s="122"/>
      <c r="Z7" s="122"/>
      <c r="AA7" s="80"/>
    </row>
    <row r="8" spans="2:27" x14ac:dyDescent="0.25">
      <c r="B8" s="13"/>
      <c r="C8" s="122" t="s">
        <v>180</v>
      </c>
      <c r="D8" s="154">
        <f>Q8-[2]Nomenclature!D8-(X18/6)+4*300+200</f>
        <v>1190</v>
      </c>
      <c r="E8" s="154">
        <f>D9-D7+D8-$X$18/6</f>
        <v>-385</v>
      </c>
      <c r="F8" s="154">
        <f t="shared" ref="F8:I8" si="0">E9-E7+E8-$X$18/6</f>
        <v>-385</v>
      </c>
      <c r="G8" s="154">
        <f t="shared" si="0"/>
        <v>-385</v>
      </c>
      <c r="H8" s="154">
        <f t="shared" si="0"/>
        <v>-385</v>
      </c>
      <c r="I8" s="154">
        <f t="shared" si="0"/>
        <v>-385</v>
      </c>
      <c r="J8" s="154">
        <f t="shared" ref="J8:N8" si="1">I9-I7+I8</f>
        <v>0</v>
      </c>
      <c r="K8" s="154">
        <f t="shared" si="1"/>
        <v>0</v>
      </c>
      <c r="L8" s="154">
        <f t="shared" si="1"/>
        <v>0</v>
      </c>
      <c r="M8" s="154">
        <f t="shared" si="1"/>
        <v>0</v>
      </c>
      <c r="N8" s="155">
        <f t="shared" si="1"/>
        <v>0</v>
      </c>
      <c r="P8" s="140" t="s">
        <v>128</v>
      </c>
      <c r="Q8" s="93">
        <v>2500</v>
      </c>
      <c r="R8" s="93">
        <v>500</v>
      </c>
      <c r="S8" s="93">
        <v>3500</v>
      </c>
      <c r="T8" s="93">
        <v>800</v>
      </c>
      <c r="U8" s="93">
        <v>4000</v>
      </c>
      <c r="V8" s="93">
        <v>800</v>
      </c>
      <c r="W8" s="93">
        <v>5000</v>
      </c>
      <c r="X8" s="122">
        <v>6000</v>
      </c>
      <c r="Y8" s="122">
        <v>20000</v>
      </c>
      <c r="Z8" s="122">
        <v>750</v>
      </c>
      <c r="AA8" s="80">
        <v>5000</v>
      </c>
    </row>
    <row r="9" spans="2:27" x14ac:dyDescent="0.25">
      <c r="B9" s="13"/>
      <c r="C9" s="122" t="s">
        <v>181</v>
      </c>
      <c r="D9" s="154">
        <f>MAX(0,D7-D8)</f>
        <v>1303</v>
      </c>
      <c r="E9" s="154">
        <f t="shared" ref="E9:N9" si="2">MAX(0,E7-E8)</f>
        <v>3269</v>
      </c>
      <c r="F9" s="154">
        <f t="shared" si="2"/>
        <v>4267</v>
      </c>
      <c r="G9" s="154">
        <f t="shared" si="2"/>
        <v>4858</v>
      </c>
      <c r="H9" s="154">
        <f t="shared" si="2"/>
        <v>5744</v>
      </c>
      <c r="I9" s="154">
        <f t="shared" si="2"/>
        <v>5157</v>
      </c>
      <c r="J9" s="154">
        <f t="shared" si="2"/>
        <v>4639</v>
      </c>
      <c r="K9" s="154">
        <f t="shared" si="2"/>
        <v>4828</v>
      </c>
      <c r="L9" s="154">
        <f t="shared" si="2"/>
        <v>4638</v>
      </c>
      <c r="M9" s="154">
        <f t="shared" si="2"/>
        <v>3783</v>
      </c>
      <c r="N9" s="155">
        <f t="shared" si="2"/>
        <v>3508</v>
      </c>
      <c r="P9" s="140" t="s">
        <v>130</v>
      </c>
      <c r="Q9" s="93" t="s">
        <v>129</v>
      </c>
      <c r="R9" s="93" t="s">
        <v>129</v>
      </c>
      <c r="S9" s="93">
        <v>18.899999999999999</v>
      </c>
      <c r="T9" s="93">
        <v>129.58000000000001</v>
      </c>
      <c r="U9" s="93">
        <v>15.24</v>
      </c>
      <c r="V9" s="93">
        <v>117.39</v>
      </c>
      <c r="W9" s="93">
        <v>3.5</v>
      </c>
      <c r="X9" s="122"/>
      <c r="Y9" s="122"/>
      <c r="Z9" s="122"/>
      <c r="AA9" s="80"/>
    </row>
    <row r="10" spans="2:27" ht="15.75" thickBot="1" x14ac:dyDescent="0.3">
      <c r="B10" s="13" t="str">
        <f>[2]Nomenclature!C9</f>
        <v>P2</v>
      </c>
      <c r="C10" s="122"/>
      <c r="D10" s="154"/>
      <c r="E10" s="154"/>
      <c r="F10" s="154"/>
      <c r="G10" s="154"/>
      <c r="H10" s="154"/>
      <c r="I10" s="154"/>
      <c r="J10" s="154"/>
      <c r="K10" s="154"/>
      <c r="L10" s="154"/>
      <c r="M10" s="154"/>
      <c r="N10" s="155"/>
      <c r="P10" s="141" t="s">
        <v>131</v>
      </c>
      <c r="Q10" s="95" t="s">
        <v>129</v>
      </c>
      <c r="R10" s="95" t="s">
        <v>129</v>
      </c>
      <c r="S10" s="95">
        <f>1/100</f>
        <v>0.01</v>
      </c>
      <c r="T10" s="95">
        <f>1/100</f>
        <v>0.01</v>
      </c>
      <c r="U10" s="95">
        <f>10/100</f>
        <v>0.1</v>
      </c>
      <c r="V10" s="95">
        <f>5/100</f>
        <v>0.05</v>
      </c>
      <c r="W10" s="95">
        <f>5/100</f>
        <v>0.05</v>
      </c>
      <c r="X10" s="92"/>
      <c r="Y10" s="92"/>
      <c r="Z10" s="92"/>
      <c r="AA10" s="79"/>
    </row>
    <row r="11" spans="2:27" ht="15.75" thickBot="1" x14ac:dyDescent="0.3">
      <c r="B11" s="13"/>
      <c r="C11" s="122" t="s">
        <v>179</v>
      </c>
      <c r="D11" s="154">
        <f>[2]Nomenclature!E9</f>
        <v>497</v>
      </c>
      <c r="E11" s="154">
        <f>[2]Nomenclature!F9</f>
        <v>574</v>
      </c>
      <c r="F11" s="154">
        <f>[2]Nomenclature!G9</f>
        <v>776</v>
      </c>
      <c r="G11" s="154">
        <f>[2]Nomenclature!H9</f>
        <v>901</v>
      </c>
      <c r="H11" s="154">
        <f>[2]Nomenclature!I9</f>
        <v>1078</v>
      </c>
      <c r="I11" s="154">
        <f>[2]Nomenclature!J9</f>
        <v>941</v>
      </c>
      <c r="J11" s="154">
        <f>[2]Nomenclature!K9</f>
        <v>903</v>
      </c>
      <c r="K11" s="154">
        <f>[2]Nomenclature!L9</f>
        <v>938</v>
      </c>
      <c r="L11" s="154">
        <f>[2]Nomenclature!M9</f>
        <v>857</v>
      </c>
      <c r="M11" s="154">
        <f>[2]Nomenclature!N9</f>
        <v>854</v>
      </c>
      <c r="N11" s="155">
        <f>[2]Nomenclature!O9</f>
        <v>800</v>
      </c>
    </row>
    <row r="12" spans="2:27" x14ac:dyDescent="0.25">
      <c r="B12" s="13"/>
      <c r="C12" s="122" t="s">
        <v>180</v>
      </c>
      <c r="D12" s="154">
        <f>R8-[2]Nomenclature!D9-X27/6+5*50</f>
        <v>201.16666666666669</v>
      </c>
      <c r="E12" s="154">
        <f>D13+D12-D11-$X$27/6</f>
        <v>-77.833333333333329</v>
      </c>
      <c r="F12" s="154">
        <f t="shared" ref="F12:I12" si="3">E13+E12-E11-$X$27/6</f>
        <v>-77.833333333333329</v>
      </c>
      <c r="G12" s="154">
        <f t="shared" si="3"/>
        <v>-77.833333333333329</v>
      </c>
      <c r="H12" s="154">
        <f t="shared" si="3"/>
        <v>-77.833333333333329</v>
      </c>
      <c r="I12" s="154">
        <f t="shared" si="3"/>
        <v>-77.833333333333329</v>
      </c>
      <c r="J12" s="154">
        <f t="shared" ref="J12:N12" si="4">I13+I12-I11</f>
        <v>0</v>
      </c>
      <c r="K12" s="154">
        <f t="shared" si="4"/>
        <v>0</v>
      </c>
      <c r="L12" s="154">
        <f t="shared" si="4"/>
        <v>0</v>
      </c>
      <c r="M12" s="154">
        <f t="shared" si="4"/>
        <v>0</v>
      </c>
      <c r="N12" s="155">
        <f t="shared" si="4"/>
        <v>0</v>
      </c>
      <c r="P12" s="77" t="s">
        <v>182</v>
      </c>
      <c r="Q12" s="56"/>
      <c r="R12" s="56"/>
      <c r="S12" s="56" t="s">
        <v>183</v>
      </c>
      <c r="T12" s="56" t="s">
        <v>184</v>
      </c>
      <c r="U12" s="56" t="s">
        <v>185</v>
      </c>
      <c r="V12" s="56" t="s">
        <v>186</v>
      </c>
      <c r="W12" s="56" t="s">
        <v>187</v>
      </c>
      <c r="X12" s="57" t="s">
        <v>167</v>
      </c>
    </row>
    <row r="13" spans="2:27" x14ac:dyDescent="0.25">
      <c r="B13" s="13"/>
      <c r="C13" s="122" t="s">
        <v>181</v>
      </c>
      <c r="D13" s="154">
        <f>MAX(0,D11-D12)</f>
        <v>295.83333333333331</v>
      </c>
      <c r="E13" s="154">
        <f t="shared" ref="E13:N13" si="5">MAX(0,E11-E12)</f>
        <v>651.83333333333337</v>
      </c>
      <c r="F13" s="154">
        <f t="shared" si="5"/>
        <v>853.83333333333337</v>
      </c>
      <c r="G13" s="154">
        <f t="shared" si="5"/>
        <v>978.83333333333337</v>
      </c>
      <c r="H13" s="154">
        <f t="shared" si="5"/>
        <v>1155.8333333333333</v>
      </c>
      <c r="I13" s="154">
        <f t="shared" si="5"/>
        <v>1018.8333333333334</v>
      </c>
      <c r="J13" s="154">
        <f t="shared" si="5"/>
        <v>903</v>
      </c>
      <c r="K13" s="154">
        <f t="shared" si="5"/>
        <v>938</v>
      </c>
      <c r="L13" s="154">
        <f t="shared" si="5"/>
        <v>857</v>
      </c>
      <c r="M13" s="154">
        <f t="shared" si="5"/>
        <v>854</v>
      </c>
      <c r="N13" s="155">
        <f t="shared" si="5"/>
        <v>800</v>
      </c>
      <c r="P13" s="13" t="s">
        <v>188</v>
      </c>
      <c r="Q13" s="122">
        <v>1.65</v>
      </c>
      <c r="R13" s="122"/>
      <c r="S13" s="122"/>
      <c r="T13" s="122"/>
      <c r="U13" s="122"/>
      <c r="V13" s="122"/>
      <c r="W13" s="122"/>
      <c r="X13" s="80"/>
    </row>
    <row r="14" spans="2:27" x14ac:dyDescent="0.25">
      <c r="B14" s="13" t="str">
        <f>[2]Nomenclature!C10</f>
        <v>SE16</v>
      </c>
      <c r="C14" s="122"/>
      <c r="D14" s="154"/>
      <c r="E14" s="154"/>
      <c r="F14" s="154"/>
      <c r="G14" s="154"/>
      <c r="H14" s="154"/>
      <c r="I14" s="154"/>
      <c r="J14" s="154"/>
      <c r="K14" s="154"/>
      <c r="L14" s="154"/>
      <c r="M14" s="154"/>
      <c r="N14" s="155"/>
      <c r="P14" s="13" t="s">
        <v>189</v>
      </c>
      <c r="Q14" s="122"/>
      <c r="R14" s="122"/>
      <c r="S14" s="152">
        <v>906.13527499999998</v>
      </c>
      <c r="T14" s="152">
        <v>1124.7882500000003</v>
      </c>
      <c r="U14" s="152">
        <v>606.34010000000058</v>
      </c>
      <c r="V14" s="152">
        <v>562.93602499999997</v>
      </c>
      <c r="W14" s="152">
        <v>768.58405000000039</v>
      </c>
      <c r="X14" s="80"/>
    </row>
    <row r="15" spans="2:27" x14ac:dyDescent="0.25">
      <c r="B15" s="13"/>
      <c r="C15" s="122" t="s">
        <v>179</v>
      </c>
      <c r="D15" s="154">
        <f>D9</f>
        <v>1303</v>
      </c>
      <c r="E15" s="154">
        <f t="shared" ref="E15:N15" si="6">E9</f>
        <v>3269</v>
      </c>
      <c r="F15" s="154">
        <f t="shared" si="6"/>
        <v>4267</v>
      </c>
      <c r="G15" s="154">
        <f t="shared" si="6"/>
        <v>4858</v>
      </c>
      <c r="H15" s="154">
        <f t="shared" si="6"/>
        <v>5744</v>
      </c>
      <c r="I15" s="154">
        <f t="shared" si="6"/>
        <v>5157</v>
      </c>
      <c r="J15" s="154">
        <f t="shared" si="6"/>
        <v>4639</v>
      </c>
      <c r="K15" s="154">
        <f t="shared" si="6"/>
        <v>4828</v>
      </c>
      <c r="L15" s="154">
        <f t="shared" si="6"/>
        <v>4638</v>
      </c>
      <c r="M15" s="154">
        <f t="shared" si="6"/>
        <v>3783</v>
      </c>
      <c r="N15" s="155">
        <f t="shared" si="6"/>
        <v>3508</v>
      </c>
      <c r="O15" s="5"/>
      <c r="P15" s="13" t="s">
        <v>190</v>
      </c>
      <c r="Q15" s="122"/>
      <c r="R15" s="122"/>
      <c r="S15" s="122">
        <v>226.08892906883932</v>
      </c>
      <c r="T15" s="122">
        <v>282.212835498662</v>
      </c>
      <c r="U15" s="122">
        <v>144.93675977703484</v>
      </c>
      <c r="V15" s="122">
        <v>138.7069117878921</v>
      </c>
      <c r="W15" s="122">
        <v>195.61366344101901</v>
      </c>
      <c r="X15" s="80"/>
    </row>
    <row r="16" spans="2:27" x14ac:dyDescent="0.25">
      <c r="B16" s="13"/>
      <c r="C16" s="122" t="s">
        <v>180</v>
      </c>
      <c r="D16" s="154">
        <f>S8-[2]Nomenclature!D10</f>
        <v>1175</v>
      </c>
      <c r="E16" s="154">
        <f>D17+D16-D15</f>
        <v>0</v>
      </c>
      <c r="F16" s="154">
        <f t="shared" ref="F16:N16" si="7">E17+E16-E15</f>
        <v>0</v>
      </c>
      <c r="G16" s="154">
        <f t="shared" si="7"/>
        <v>0</v>
      </c>
      <c r="H16" s="154">
        <f t="shared" si="7"/>
        <v>0</v>
      </c>
      <c r="I16" s="154">
        <f t="shared" si="7"/>
        <v>0</v>
      </c>
      <c r="J16" s="154">
        <f t="shared" si="7"/>
        <v>0</v>
      </c>
      <c r="K16" s="154">
        <f t="shared" si="7"/>
        <v>0</v>
      </c>
      <c r="L16" s="154">
        <f t="shared" si="7"/>
        <v>0</v>
      </c>
      <c r="M16" s="154">
        <f t="shared" si="7"/>
        <v>0</v>
      </c>
      <c r="N16" s="155">
        <f t="shared" si="7"/>
        <v>0</v>
      </c>
      <c r="P16" s="13" t="s">
        <v>191</v>
      </c>
      <c r="Q16" s="122"/>
      <c r="R16" s="122"/>
      <c r="S16" s="122">
        <v>1</v>
      </c>
      <c r="T16" s="122">
        <v>1</v>
      </c>
      <c r="U16" s="122">
        <v>1</v>
      </c>
      <c r="V16" s="122">
        <v>1</v>
      </c>
      <c r="W16" s="122">
        <v>1</v>
      </c>
      <c r="X16" s="80"/>
    </row>
    <row r="17" spans="2:24" x14ac:dyDescent="0.25">
      <c r="B17" s="13"/>
      <c r="C17" s="122" t="s">
        <v>181</v>
      </c>
      <c r="D17" s="154">
        <f>MAX(0,D15-D16)</f>
        <v>128</v>
      </c>
      <c r="E17" s="154">
        <f t="shared" ref="E17:N17" si="8">MAX(0,E15-E16)</f>
        <v>3269</v>
      </c>
      <c r="F17" s="154">
        <f t="shared" si="8"/>
        <v>4267</v>
      </c>
      <c r="G17" s="154">
        <f t="shared" si="8"/>
        <v>4858</v>
      </c>
      <c r="H17" s="154">
        <f t="shared" si="8"/>
        <v>5744</v>
      </c>
      <c r="I17" s="154">
        <f t="shared" si="8"/>
        <v>5157</v>
      </c>
      <c r="J17" s="154">
        <f t="shared" si="8"/>
        <v>4639</v>
      </c>
      <c r="K17" s="154">
        <f t="shared" si="8"/>
        <v>4828</v>
      </c>
      <c r="L17" s="154">
        <f t="shared" si="8"/>
        <v>4638</v>
      </c>
      <c r="M17" s="154">
        <f t="shared" si="8"/>
        <v>3783</v>
      </c>
      <c r="N17" s="155">
        <f t="shared" si="8"/>
        <v>3508</v>
      </c>
      <c r="P17" s="13" t="s">
        <v>192</v>
      </c>
      <c r="Q17" s="122"/>
      <c r="R17" s="122"/>
      <c r="S17" s="122">
        <v>0.25</v>
      </c>
      <c r="T17" s="122">
        <v>0.25</v>
      </c>
      <c r="U17" s="122">
        <v>0.25</v>
      </c>
      <c r="V17" s="122">
        <v>0.25</v>
      </c>
      <c r="W17" s="122">
        <v>0.25</v>
      </c>
      <c r="X17" s="80"/>
    </row>
    <row r="18" spans="2:24" ht="15.75" thickBot="1" x14ac:dyDescent="0.3">
      <c r="B18" s="13" t="str">
        <f>[2]Nomenclature!C11</f>
        <v>SE17</v>
      </c>
      <c r="C18" s="122"/>
      <c r="D18" s="154"/>
      <c r="E18" s="154"/>
      <c r="F18" s="154"/>
      <c r="G18" s="154"/>
      <c r="H18" s="154"/>
      <c r="I18" s="154"/>
      <c r="J18" s="154"/>
      <c r="K18" s="154"/>
      <c r="L18" s="154"/>
      <c r="M18" s="154"/>
      <c r="N18" s="155"/>
      <c r="P18" s="14" t="s">
        <v>193</v>
      </c>
      <c r="Q18" s="92"/>
      <c r="R18" s="92"/>
      <c r="S18" s="92">
        <v>528.08706869633079</v>
      </c>
      <c r="T18" s="92">
        <v>657.34615144807674</v>
      </c>
      <c r="U18" s="92">
        <v>346.04667686339707</v>
      </c>
      <c r="V18" s="92">
        <v>326.03961544334618</v>
      </c>
      <c r="W18" s="92">
        <v>452.42745893409244</v>
      </c>
      <c r="X18" s="79">
        <f>ROUNDUP(2309.94697138524,0)</f>
        <v>2310</v>
      </c>
    </row>
    <row r="19" spans="2:24" x14ac:dyDescent="0.25">
      <c r="B19" s="13"/>
      <c r="C19" s="122" t="s">
        <v>179</v>
      </c>
      <c r="D19" s="154">
        <f>D13</f>
        <v>295.83333333333331</v>
      </c>
      <c r="E19" s="154">
        <f t="shared" ref="E19:N19" si="9">E13</f>
        <v>651.83333333333337</v>
      </c>
      <c r="F19" s="154">
        <f t="shared" si="9"/>
        <v>853.83333333333337</v>
      </c>
      <c r="G19" s="154">
        <f t="shared" si="9"/>
        <v>978.83333333333337</v>
      </c>
      <c r="H19" s="154">
        <f t="shared" si="9"/>
        <v>1155.8333333333333</v>
      </c>
      <c r="I19" s="154">
        <f t="shared" si="9"/>
        <v>1018.8333333333334</v>
      </c>
      <c r="J19" s="154">
        <f t="shared" si="9"/>
        <v>903</v>
      </c>
      <c r="K19" s="154">
        <f t="shared" si="9"/>
        <v>938</v>
      </c>
      <c r="L19" s="154">
        <f t="shared" si="9"/>
        <v>857</v>
      </c>
      <c r="M19" s="154">
        <f t="shared" si="9"/>
        <v>854</v>
      </c>
      <c r="N19" s="155">
        <f t="shared" si="9"/>
        <v>800</v>
      </c>
      <c r="P19" s="55"/>
      <c r="Q19" s="55"/>
      <c r="R19" s="55"/>
      <c r="S19" s="55"/>
      <c r="T19" s="55"/>
      <c r="U19" s="55"/>
      <c r="V19" s="55"/>
      <c r="W19" s="55"/>
      <c r="X19" s="55"/>
    </row>
    <row r="20" spans="2:24" ht="15.75" thickBot="1" x14ac:dyDescent="0.3">
      <c r="B20" s="13"/>
      <c r="C20" s="122" t="s">
        <v>180</v>
      </c>
      <c r="D20" s="154">
        <f>T8-[2]Nomenclature!D11</f>
        <v>329</v>
      </c>
      <c r="E20" s="154">
        <f>D21+D20-D19</f>
        <v>33.166666666666686</v>
      </c>
      <c r="F20" s="154">
        <f t="shared" ref="F20:N20" si="10">E21+E20-E19</f>
        <v>0</v>
      </c>
      <c r="G20" s="154">
        <f t="shared" si="10"/>
        <v>0</v>
      </c>
      <c r="H20" s="154">
        <f t="shared" si="10"/>
        <v>0</v>
      </c>
      <c r="I20" s="154">
        <f t="shared" si="10"/>
        <v>0</v>
      </c>
      <c r="J20" s="154">
        <f t="shared" si="10"/>
        <v>0</v>
      </c>
      <c r="K20" s="154">
        <f t="shared" si="10"/>
        <v>0</v>
      </c>
      <c r="L20" s="154">
        <f t="shared" si="10"/>
        <v>0</v>
      </c>
      <c r="M20" s="154">
        <f t="shared" si="10"/>
        <v>0</v>
      </c>
      <c r="N20" s="155">
        <f t="shared" si="10"/>
        <v>0</v>
      </c>
      <c r="P20" s="8"/>
      <c r="Q20" s="8"/>
      <c r="R20" s="8"/>
      <c r="S20" s="8"/>
      <c r="T20" s="8"/>
      <c r="U20" s="8"/>
      <c r="V20" s="8"/>
      <c r="W20" s="8"/>
      <c r="X20" s="8"/>
    </row>
    <row r="21" spans="2:24" x14ac:dyDescent="0.25">
      <c r="B21" s="13"/>
      <c r="C21" s="122" t="s">
        <v>181</v>
      </c>
      <c r="D21" s="154">
        <f>MAX(0,D19-D20)</f>
        <v>0</v>
      </c>
      <c r="E21" s="154">
        <f t="shared" ref="E21:N21" si="11">MAX(0,E19-E20)</f>
        <v>618.66666666666674</v>
      </c>
      <c r="F21" s="154">
        <f t="shared" si="11"/>
        <v>853.83333333333337</v>
      </c>
      <c r="G21" s="154">
        <f t="shared" si="11"/>
        <v>978.83333333333337</v>
      </c>
      <c r="H21" s="154">
        <f t="shared" si="11"/>
        <v>1155.8333333333333</v>
      </c>
      <c r="I21" s="154">
        <f t="shared" si="11"/>
        <v>1018.8333333333334</v>
      </c>
      <c r="J21" s="154">
        <f t="shared" si="11"/>
        <v>903</v>
      </c>
      <c r="K21" s="154">
        <f t="shared" si="11"/>
        <v>938</v>
      </c>
      <c r="L21" s="154">
        <f t="shared" si="11"/>
        <v>857</v>
      </c>
      <c r="M21" s="154">
        <f t="shared" si="11"/>
        <v>854</v>
      </c>
      <c r="N21" s="155">
        <f t="shared" si="11"/>
        <v>800</v>
      </c>
      <c r="P21" s="77" t="s">
        <v>182</v>
      </c>
      <c r="Q21" s="56"/>
      <c r="R21" s="56"/>
      <c r="S21" s="56" t="s">
        <v>183</v>
      </c>
      <c r="T21" s="56" t="s">
        <v>184</v>
      </c>
      <c r="U21" s="56" t="s">
        <v>185</v>
      </c>
      <c r="V21" s="56" t="s">
        <v>186</v>
      </c>
      <c r="W21" s="56" t="s">
        <v>187</v>
      </c>
      <c r="X21" s="57" t="s">
        <v>167</v>
      </c>
    </row>
    <row r="22" spans="2:24" x14ac:dyDescent="0.25">
      <c r="B22" s="13" t="str">
        <f>[2]Nomenclature!C12</f>
        <v>P25</v>
      </c>
      <c r="C22" s="122"/>
      <c r="D22" s="154"/>
      <c r="E22" s="154"/>
      <c r="F22" s="154"/>
      <c r="G22" s="154"/>
      <c r="H22" s="154"/>
      <c r="I22" s="154"/>
      <c r="J22" s="154"/>
      <c r="K22" s="154"/>
      <c r="L22" s="154"/>
      <c r="M22" s="154"/>
      <c r="N22" s="155"/>
      <c r="P22" s="13" t="s">
        <v>188</v>
      </c>
      <c r="Q22" s="122">
        <v>1.65</v>
      </c>
      <c r="R22" s="122"/>
      <c r="S22" s="122"/>
      <c r="T22" s="122"/>
      <c r="U22" s="122"/>
      <c r="V22" s="122"/>
      <c r="W22" s="122"/>
      <c r="X22" s="80"/>
    </row>
    <row r="23" spans="2:24" x14ac:dyDescent="0.25">
      <c r="B23" s="13"/>
      <c r="C23" s="122" t="s">
        <v>179</v>
      </c>
      <c r="D23" s="154">
        <f>D9+D13</f>
        <v>1598.8333333333333</v>
      </c>
      <c r="E23" s="154">
        <f t="shared" ref="E23:N23" si="12">E9+E13</f>
        <v>3920.8333333333335</v>
      </c>
      <c r="F23" s="154">
        <f t="shared" si="12"/>
        <v>5120.833333333333</v>
      </c>
      <c r="G23" s="154">
        <f t="shared" si="12"/>
        <v>5836.833333333333</v>
      </c>
      <c r="H23" s="154">
        <f t="shared" si="12"/>
        <v>6899.833333333333</v>
      </c>
      <c r="I23" s="154">
        <f t="shared" si="12"/>
        <v>6175.833333333333</v>
      </c>
      <c r="J23" s="154">
        <f t="shared" si="12"/>
        <v>5542</v>
      </c>
      <c r="K23" s="154">
        <f t="shared" si="12"/>
        <v>5766</v>
      </c>
      <c r="L23" s="154">
        <f t="shared" si="12"/>
        <v>5495</v>
      </c>
      <c r="M23" s="154">
        <f t="shared" si="12"/>
        <v>4637</v>
      </c>
      <c r="N23" s="155">
        <f t="shared" si="12"/>
        <v>4308</v>
      </c>
      <c r="P23" s="13" t="s">
        <v>189</v>
      </c>
      <c r="Q23" s="122"/>
      <c r="R23" s="122"/>
      <c r="S23" s="152">
        <v>329.5562849999996</v>
      </c>
      <c r="T23" s="152">
        <v>180.14129722222211</v>
      </c>
      <c r="U23" s="152">
        <v>153.90836427777779</v>
      </c>
      <c r="V23" s="152">
        <v>70.754857611111106</v>
      </c>
      <c r="W23" s="152">
        <v>70.754857611111106</v>
      </c>
      <c r="X23" s="80"/>
    </row>
    <row r="24" spans="2:24" x14ac:dyDescent="0.25">
      <c r="B24" s="13"/>
      <c r="C24" s="122" t="s">
        <v>180</v>
      </c>
      <c r="D24" s="154">
        <f>W8-[2]Nomenclature!D12</f>
        <v>2204</v>
      </c>
      <c r="E24" s="154">
        <f>D25+D24-D23</f>
        <v>605.16666666666674</v>
      </c>
      <c r="F24" s="154">
        <f t="shared" ref="F24:N24" si="13">E25+E24-E23</f>
        <v>0</v>
      </c>
      <c r="G24" s="154">
        <f t="shared" si="13"/>
        <v>0</v>
      </c>
      <c r="H24" s="154">
        <f t="shared" si="13"/>
        <v>0</v>
      </c>
      <c r="I24" s="154">
        <f t="shared" si="13"/>
        <v>0</v>
      </c>
      <c r="J24" s="154">
        <f t="shared" si="13"/>
        <v>0</v>
      </c>
      <c r="K24" s="154">
        <f t="shared" si="13"/>
        <v>0</v>
      </c>
      <c r="L24" s="154">
        <f t="shared" si="13"/>
        <v>0</v>
      </c>
      <c r="M24" s="154">
        <f t="shared" si="13"/>
        <v>0</v>
      </c>
      <c r="N24" s="155">
        <f t="shared" si="13"/>
        <v>0</v>
      </c>
      <c r="P24" s="13" t="s">
        <v>190</v>
      </c>
      <c r="Q24" s="122"/>
      <c r="R24" s="122"/>
      <c r="S24" s="122">
        <v>76.341255367466033</v>
      </c>
      <c r="T24" s="122">
        <v>44.713128153148162</v>
      </c>
      <c r="U24" s="122">
        <v>39.447027297914275</v>
      </c>
      <c r="V24" s="122">
        <v>18.895529667644379</v>
      </c>
      <c r="W24" s="122">
        <v>18.895529667644379</v>
      </c>
      <c r="X24" s="80"/>
    </row>
    <row r="25" spans="2:24" x14ac:dyDescent="0.25">
      <c r="B25" s="13"/>
      <c r="C25" s="122" t="s">
        <v>181</v>
      </c>
      <c r="D25" s="154">
        <f>MAX(0,D23-D24)</f>
        <v>0</v>
      </c>
      <c r="E25" s="154">
        <f t="shared" ref="E25:N25" si="14">MAX(0,E23-E24)</f>
        <v>3315.666666666667</v>
      </c>
      <c r="F25" s="154">
        <f t="shared" si="14"/>
        <v>5120.833333333333</v>
      </c>
      <c r="G25" s="154">
        <f t="shared" si="14"/>
        <v>5836.833333333333</v>
      </c>
      <c r="H25" s="154">
        <f t="shared" si="14"/>
        <v>6899.833333333333</v>
      </c>
      <c r="I25" s="154">
        <f t="shared" si="14"/>
        <v>6175.833333333333</v>
      </c>
      <c r="J25" s="154">
        <f t="shared" si="14"/>
        <v>5542</v>
      </c>
      <c r="K25" s="154">
        <f t="shared" si="14"/>
        <v>5766</v>
      </c>
      <c r="L25" s="154">
        <f t="shared" si="14"/>
        <v>5495</v>
      </c>
      <c r="M25" s="154">
        <f t="shared" si="14"/>
        <v>4637</v>
      </c>
      <c r="N25" s="155">
        <f t="shared" si="14"/>
        <v>4308</v>
      </c>
      <c r="P25" s="13" t="s">
        <v>191</v>
      </c>
      <c r="Q25" s="122"/>
      <c r="R25" s="122"/>
      <c r="S25" s="122">
        <v>1</v>
      </c>
      <c r="T25" s="122">
        <v>1</v>
      </c>
      <c r="U25" s="122">
        <v>1</v>
      </c>
      <c r="V25" s="122">
        <v>1</v>
      </c>
      <c r="W25" s="122">
        <v>1</v>
      </c>
      <c r="X25" s="80"/>
    </row>
    <row r="26" spans="2:24" x14ac:dyDescent="0.25">
      <c r="B26" s="13" t="str">
        <f>[2]Nomenclature!C13</f>
        <v>P24</v>
      </c>
      <c r="C26" s="122"/>
      <c r="D26" s="154"/>
      <c r="E26" s="154"/>
      <c r="F26" s="154"/>
      <c r="G26" s="154"/>
      <c r="H26" s="154"/>
      <c r="I26" s="154"/>
      <c r="J26" s="154"/>
      <c r="K26" s="154"/>
      <c r="L26" s="154"/>
      <c r="M26" s="154"/>
      <c r="N26" s="155"/>
      <c r="P26" s="13" t="s">
        <v>192</v>
      </c>
      <c r="Q26" s="122"/>
      <c r="R26" s="122"/>
      <c r="S26" s="122">
        <v>0.25</v>
      </c>
      <c r="T26" s="122">
        <v>0.25</v>
      </c>
      <c r="U26" s="122">
        <v>0.25</v>
      </c>
      <c r="V26" s="122">
        <v>0.25</v>
      </c>
      <c r="W26" s="122">
        <v>0.25</v>
      </c>
      <c r="X26" s="80"/>
    </row>
    <row r="27" spans="2:24" ht="15.75" thickBot="1" x14ac:dyDescent="0.3">
      <c r="B27" s="13"/>
      <c r="C27" s="122" t="s">
        <v>179</v>
      </c>
      <c r="D27" s="154">
        <f>D21</f>
        <v>0</v>
      </c>
      <c r="E27" s="154">
        <f t="shared" ref="E27:N27" si="15">E21</f>
        <v>618.66666666666674</v>
      </c>
      <c r="F27" s="154">
        <f t="shared" si="15"/>
        <v>853.83333333333337</v>
      </c>
      <c r="G27" s="154">
        <f t="shared" si="15"/>
        <v>978.83333333333337</v>
      </c>
      <c r="H27" s="154">
        <f t="shared" si="15"/>
        <v>1155.8333333333333</v>
      </c>
      <c r="I27" s="154">
        <f t="shared" si="15"/>
        <v>1018.8333333333334</v>
      </c>
      <c r="J27" s="154">
        <f t="shared" si="15"/>
        <v>903</v>
      </c>
      <c r="K27" s="154">
        <f t="shared" si="15"/>
        <v>938</v>
      </c>
      <c r="L27" s="154">
        <f t="shared" si="15"/>
        <v>857</v>
      </c>
      <c r="M27" s="154">
        <f t="shared" si="15"/>
        <v>854</v>
      </c>
      <c r="N27" s="155">
        <f t="shared" si="15"/>
        <v>800</v>
      </c>
      <c r="P27" s="14" t="s">
        <v>193</v>
      </c>
      <c r="Q27" s="92"/>
      <c r="R27" s="92"/>
      <c r="S27" s="92">
        <v>185.32920409444611</v>
      </c>
      <c r="T27" s="92">
        <v>104.71254466503812</v>
      </c>
      <c r="U27" s="92">
        <v>90.923152308579944</v>
      </c>
      <c r="V27" s="92">
        <v>42.707012780782591</v>
      </c>
      <c r="W27" s="92">
        <v>42.707012780782591</v>
      </c>
      <c r="X27" s="79">
        <f>ROUNDUP(466.378926629629,0)</f>
        <v>467</v>
      </c>
    </row>
    <row r="28" spans="2:24" x14ac:dyDescent="0.25">
      <c r="B28" s="13"/>
      <c r="C28" s="122" t="s">
        <v>180</v>
      </c>
      <c r="D28" s="154">
        <f>'MRP (1)'!V8-[2]Nomenclature!D13</f>
        <v>329</v>
      </c>
      <c r="E28" s="154">
        <f>D29+D28-D27</f>
        <v>329</v>
      </c>
      <c r="F28" s="154">
        <f t="shared" ref="F28:N28" si="16">E29+E28-E27</f>
        <v>0</v>
      </c>
      <c r="G28" s="154">
        <f t="shared" si="16"/>
        <v>0</v>
      </c>
      <c r="H28" s="154">
        <f t="shared" si="16"/>
        <v>0</v>
      </c>
      <c r="I28" s="154">
        <f t="shared" si="16"/>
        <v>0</v>
      </c>
      <c r="J28" s="154">
        <f t="shared" si="16"/>
        <v>0</v>
      </c>
      <c r="K28" s="154">
        <f t="shared" si="16"/>
        <v>0</v>
      </c>
      <c r="L28" s="154">
        <f t="shared" si="16"/>
        <v>0</v>
      </c>
      <c r="M28" s="154">
        <f t="shared" si="16"/>
        <v>0</v>
      </c>
      <c r="N28" s="155">
        <f t="shared" si="16"/>
        <v>0</v>
      </c>
    </row>
    <row r="29" spans="2:24" x14ac:dyDescent="0.25">
      <c r="B29" s="13"/>
      <c r="C29" s="122" t="s">
        <v>181</v>
      </c>
      <c r="D29" s="154">
        <f>MAX(0,D27-D28)</f>
        <v>0</v>
      </c>
      <c r="E29" s="154">
        <f t="shared" ref="E29:N29" si="17">MAX(0,E27-E28)</f>
        <v>289.66666666666674</v>
      </c>
      <c r="F29" s="154">
        <f t="shared" si="17"/>
        <v>853.83333333333337</v>
      </c>
      <c r="G29" s="154">
        <f t="shared" si="17"/>
        <v>978.83333333333337</v>
      </c>
      <c r="H29" s="154">
        <f t="shared" si="17"/>
        <v>1155.8333333333333</v>
      </c>
      <c r="I29" s="154">
        <f t="shared" si="17"/>
        <v>1018.8333333333334</v>
      </c>
      <c r="J29" s="154">
        <f t="shared" si="17"/>
        <v>903</v>
      </c>
      <c r="K29" s="154">
        <f t="shared" si="17"/>
        <v>938</v>
      </c>
      <c r="L29" s="154">
        <f t="shared" si="17"/>
        <v>857</v>
      </c>
      <c r="M29" s="154">
        <f t="shared" si="17"/>
        <v>854</v>
      </c>
      <c r="N29" s="155">
        <f t="shared" si="17"/>
        <v>800</v>
      </c>
    </row>
    <row r="30" spans="2:24" x14ac:dyDescent="0.25">
      <c r="B30" s="13" t="str">
        <f>[2]Nomenclature!C14</f>
        <v>P23</v>
      </c>
      <c r="C30" s="122"/>
      <c r="D30" s="154"/>
      <c r="E30" s="154"/>
      <c r="F30" s="154"/>
      <c r="G30" s="154"/>
      <c r="H30" s="154"/>
      <c r="I30" s="154"/>
      <c r="J30" s="154"/>
      <c r="K30" s="154"/>
      <c r="L30" s="154"/>
      <c r="M30" s="154"/>
      <c r="N30" s="155"/>
      <c r="P30" s="122" t="s">
        <v>194</v>
      </c>
      <c r="Q30" s="122" t="s">
        <v>113</v>
      </c>
      <c r="R30" s="122" t="s">
        <v>114</v>
      </c>
      <c r="S30" s="122" t="s">
        <v>115</v>
      </c>
      <c r="T30" s="131" t="s">
        <v>116</v>
      </c>
    </row>
    <row r="31" spans="2:24" x14ac:dyDescent="0.25">
      <c r="B31" s="13"/>
      <c r="C31" s="122" t="s">
        <v>179</v>
      </c>
      <c r="D31" s="154">
        <f>D17</f>
        <v>128</v>
      </c>
      <c r="E31" s="154">
        <f t="shared" ref="E31:N31" si="18">E17</f>
        <v>3269</v>
      </c>
      <c r="F31" s="154">
        <f t="shared" si="18"/>
        <v>4267</v>
      </c>
      <c r="G31" s="154">
        <f t="shared" si="18"/>
        <v>4858</v>
      </c>
      <c r="H31" s="154">
        <f t="shared" si="18"/>
        <v>5744</v>
      </c>
      <c r="I31" s="154">
        <f t="shared" si="18"/>
        <v>5157</v>
      </c>
      <c r="J31" s="154">
        <f t="shared" si="18"/>
        <v>4639</v>
      </c>
      <c r="K31" s="154">
        <f t="shared" si="18"/>
        <v>4828</v>
      </c>
      <c r="L31" s="154">
        <f t="shared" si="18"/>
        <v>4638</v>
      </c>
      <c r="M31" s="154">
        <f t="shared" si="18"/>
        <v>3783</v>
      </c>
      <c r="N31" s="155">
        <f t="shared" si="18"/>
        <v>3508</v>
      </c>
      <c r="P31" s="122" t="s">
        <v>195</v>
      </c>
      <c r="Q31" s="122">
        <v>2000</v>
      </c>
      <c r="R31" s="122">
        <v>1000</v>
      </c>
      <c r="S31" s="122">
        <v>12000</v>
      </c>
      <c r="T31" s="122">
        <v>3000</v>
      </c>
    </row>
    <row r="32" spans="2:24" x14ac:dyDescent="0.25">
      <c r="B32" s="13"/>
      <c r="C32" s="122" t="s">
        <v>180</v>
      </c>
      <c r="D32" s="154">
        <f>U8-[2]Nomenclature!D14</f>
        <v>1675</v>
      </c>
      <c r="E32" s="154">
        <f>D33+D32-D31</f>
        <v>1547</v>
      </c>
      <c r="F32" s="154">
        <f t="shared" ref="F32:N32" si="19">E33+E32-E31</f>
        <v>0</v>
      </c>
      <c r="G32" s="154">
        <f t="shared" si="19"/>
        <v>0</v>
      </c>
      <c r="H32" s="154">
        <f t="shared" si="19"/>
        <v>0</v>
      </c>
      <c r="I32" s="154">
        <f t="shared" si="19"/>
        <v>0</v>
      </c>
      <c r="J32" s="154">
        <f t="shared" si="19"/>
        <v>0</v>
      </c>
      <c r="K32" s="154">
        <f t="shared" si="19"/>
        <v>0</v>
      </c>
      <c r="L32" s="154">
        <f t="shared" si="19"/>
        <v>0</v>
      </c>
      <c r="M32" s="154">
        <f t="shared" si="19"/>
        <v>0</v>
      </c>
      <c r="N32" s="155">
        <f t="shared" si="19"/>
        <v>0</v>
      </c>
      <c r="P32" s="122" t="s">
        <v>196</v>
      </c>
      <c r="Q32" s="122">
        <v>5000</v>
      </c>
      <c r="R32" s="122">
        <v>500</v>
      </c>
      <c r="S32" s="122">
        <v>0</v>
      </c>
      <c r="T32" s="122">
        <v>0</v>
      </c>
    </row>
    <row r="33" spans="2:20" x14ac:dyDescent="0.25">
      <c r="B33" s="13"/>
      <c r="C33" s="122" t="s">
        <v>181</v>
      </c>
      <c r="D33" s="154">
        <f>MAX(0,D31-D32)</f>
        <v>0</v>
      </c>
      <c r="E33" s="154">
        <f t="shared" ref="E33:N33" si="20">MAX(0,E31-E32)</f>
        <v>1722</v>
      </c>
      <c r="F33" s="154">
        <f t="shared" si="20"/>
        <v>4267</v>
      </c>
      <c r="G33" s="154">
        <f t="shared" si="20"/>
        <v>4858</v>
      </c>
      <c r="H33" s="154">
        <f t="shared" si="20"/>
        <v>5744</v>
      </c>
      <c r="I33" s="154">
        <f t="shared" si="20"/>
        <v>5157</v>
      </c>
      <c r="J33" s="154">
        <f t="shared" si="20"/>
        <v>4639</v>
      </c>
      <c r="K33" s="154">
        <f t="shared" si="20"/>
        <v>4828</v>
      </c>
      <c r="L33" s="154">
        <f t="shared" si="20"/>
        <v>4638</v>
      </c>
      <c r="M33" s="154">
        <f t="shared" si="20"/>
        <v>3783</v>
      </c>
      <c r="N33" s="155">
        <f t="shared" si="20"/>
        <v>3508</v>
      </c>
      <c r="P33" s="122" t="s">
        <v>197</v>
      </c>
      <c r="Q33" s="122">
        <v>0</v>
      </c>
      <c r="R33" s="122">
        <v>1000</v>
      </c>
      <c r="S33" s="122">
        <v>0</v>
      </c>
      <c r="T33" s="122">
        <v>0</v>
      </c>
    </row>
    <row r="34" spans="2:20" x14ac:dyDescent="0.25">
      <c r="B34" s="13" t="s">
        <v>116</v>
      </c>
      <c r="C34" s="122"/>
      <c r="D34" s="154"/>
      <c r="E34" s="154"/>
      <c r="F34" s="154"/>
      <c r="G34" s="154"/>
      <c r="H34" s="154"/>
      <c r="I34" s="154"/>
      <c r="J34" s="154"/>
      <c r="K34" s="154"/>
      <c r="L34" s="154"/>
      <c r="M34" s="154"/>
      <c r="N34" s="155"/>
    </row>
    <row r="35" spans="2:20" x14ac:dyDescent="0.25">
      <c r="B35" s="13"/>
      <c r="C35" s="122" t="s">
        <v>179</v>
      </c>
      <c r="D35" s="154">
        <f>D25</f>
        <v>0</v>
      </c>
      <c r="E35" s="154">
        <f t="shared" ref="E35:N35" si="21">E25</f>
        <v>3315.666666666667</v>
      </c>
      <c r="F35" s="154">
        <f t="shared" si="21"/>
        <v>5120.833333333333</v>
      </c>
      <c r="G35" s="154">
        <f t="shared" si="21"/>
        <v>5836.833333333333</v>
      </c>
      <c r="H35" s="154">
        <f t="shared" si="21"/>
        <v>6899.833333333333</v>
      </c>
      <c r="I35" s="154">
        <f t="shared" si="21"/>
        <v>6175.833333333333</v>
      </c>
      <c r="J35" s="154">
        <f t="shared" si="21"/>
        <v>5542</v>
      </c>
      <c r="K35" s="154">
        <f t="shared" si="21"/>
        <v>5766</v>
      </c>
      <c r="L35" s="154">
        <f t="shared" si="21"/>
        <v>5495</v>
      </c>
      <c r="M35" s="154">
        <f t="shared" si="21"/>
        <v>4637</v>
      </c>
      <c r="N35" s="155">
        <f t="shared" si="21"/>
        <v>4308</v>
      </c>
    </row>
    <row r="36" spans="2:20" x14ac:dyDescent="0.25">
      <c r="B36" s="13"/>
      <c r="C36" s="122" t="s">
        <v>180</v>
      </c>
      <c r="D36" s="154">
        <f>X8-[2]Nomenclature!D16</f>
        <v>3204</v>
      </c>
      <c r="E36" s="154">
        <f>D37+D36-D35+T31</f>
        <v>6204</v>
      </c>
      <c r="F36" s="154">
        <f t="shared" ref="F36:N36" si="22">E37+E36-E35</f>
        <v>2888.333333333333</v>
      </c>
      <c r="G36" s="154">
        <f t="shared" si="22"/>
        <v>0</v>
      </c>
      <c r="H36" s="154">
        <f t="shared" si="22"/>
        <v>0</v>
      </c>
      <c r="I36" s="154">
        <f t="shared" si="22"/>
        <v>0</v>
      </c>
      <c r="J36" s="154">
        <f t="shared" si="22"/>
        <v>0</v>
      </c>
      <c r="K36" s="154">
        <f t="shared" si="22"/>
        <v>0</v>
      </c>
      <c r="L36" s="154">
        <f t="shared" si="22"/>
        <v>0</v>
      </c>
      <c r="M36" s="154">
        <f t="shared" si="22"/>
        <v>0</v>
      </c>
      <c r="N36" s="155">
        <f t="shared" si="22"/>
        <v>0</v>
      </c>
    </row>
    <row r="37" spans="2:20" x14ac:dyDescent="0.25">
      <c r="B37" s="13"/>
      <c r="C37" s="122" t="s">
        <v>181</v>
      </c>
      <c r="D37" s="154">
        <f t="shared" ref="D37:N37" si="23">MAX(0,D35-D36)</f>
        <v>0</v>
      </c>
      <c r="E37" s="154">
        <f t="shared" si="23"/>
        <v>0</v>
      </c>
      <c r="F37" s="154">
        <f t="shared" si="23"/>
        <v>2232.5</v>
      </c>
      <c r="G37" s="154">
        <f t="shared" si="23"/>
        <v>5836.833333333333</v>
      </c>
      <c r="H37" s="154">
        <f t="shared" si="23"/>
        <v>6899.833333333333</v>
      </c>
      <c r="I37" s="154">
        <f t="shared" si="23"/>
        <v>6175.833333333333</v>
      </c>
      <c r="J37" s="154">
        <f t="shared" si="23"/>
        <v>5542</v>
      </c>
      <c r="K37" s="154">
        <f t="shared" si="23"/>
        <v>5766</v>
      </c>
      <c r="L37" s="154">
        <f t="shared" si="23"/>
        <v>5495</v>
      </c>
      <c r="M37" s="154">
        <f t="shared" si="23"/>
        <v>4637</v>
      </c>
      <c r="N37" s="155">
        <f t="shared" si="23"/>
        <v>4308</v>
      </c>
    </row>
    <row r="38" spans="2:20" x14ac:dyDescent="0.25">
      <c r="B38" s="13"/>
      <c r="C38" s="122" t="s">
        <v>198</v>
      </c>
      <c r="D38" s="154">
        <f t="shared" ref="D38:L38" si="24">F37</f>
        <v>2232.5</v>
      </c>
      <c r="E38" s="154">
        <f t="shared" si="24"/>
        <v>5836.833333333333</v>
      </c>
      <c r="F38" s="154">
        <f t="shared" si="24"/>
        <v>6899.833333333333</v>
      </c>
      <c r="G38" s="154">
        <f t="shared" si="24"/>
        <v>6175.833333333333</v>
      </c>
      <c r="H38" s="154">
        <f t="shared" si="24"/>
        <v>5542</v>
      </c>
      <c r="I38" s="154">
        <f t="shared" si="24"/>
        <v>5766</v>
      </c>
      <c r="J38" s="154">
        <f t="shared" si="24"/>
        <v>5495</v>
      </c>
      <c r="K38" s="154">
        <f t="shared" si="24"/>
        <v>4637</v>
      </c>
      <c r="L38" s="154">
        <f t="shared" si="24"/>
        <v>4308</v>
      </c>
      <c r="M38" s="154">
        <v>0</v>
      </c>
      <c r="N38" s="155">
        <v>0</v>
      </c>
    </row>
    <row r="39" spans="2:20" x14ac:dyDescent="0.25">
      <c r="B39" s="13" t="s">
        <v>115</v>
      </c>
      <c r="C39" s="122"/>
      <c r="D39" s="154"/>
      <c r="E39" s="154"/>
      <c r="F39" s="154"/>
      <c r="G39" s="154"/>
      <c r="H39" s="154"/>
      <c r="I39" s="154"/>
      <c r="J39" s="154"/>
      <c r="K39" s="154"/>
      <c r="L39" s="154"/>
      <c r="M39" s="154"/>
      <c r="N39" s="155"/>
    </row>
    <row r="40" spans="2:20" x14ac:dyDescent="0.25">
      <c r="B40" s="13"/>
      <c r="C40" s="122" t="s">
        <v>179</v>
      </c>
      <c r="D40" s="154">
        <f t="shared" ref="D40:N40" si="25">D17+D21+D29+D33</f>
        <v>128</v>
      </c>
      <c r="E40" s="154">
        <f t="shared" si="25"/>
        <v>5899.3333333333339</v>
      </c>
      <c r="F40" s="154">
        <f t="shared" si="25"/>
        <v>10241.666666666666</v>
      </c>
      <c r="G40" s="154">
        <f t="shared" si="25"/>
        <v>11673.666666666666</v>
      </c>
      <c r="H40" s="154">
        <f t="shared" si="25"/>
        <v>13799.666666666666</v>
      </c>
      <c r="I40" s="154">
        <f t="shared" si="25"/>
        <v>12351.666666666666</v>
      </c>
      <c r="J40" s="154">
        <f t="shared" si="25"/>
        <v>11084</v>
      </c>
      <c r="K40" s="154">
        <f t="shared" si="25"/>
        <v>11532</v>
      </c>
      <c r="L40" s="154">
        <f t="shared" si="25"/>
        <v>10990</v>
      </c>
      <c r="M40" s="154">
        <f t="shared" si="25"/>
        <v>9274</v>
      </c>
      <c r="N40" s="155">
        <f t="shared" si="25"/>
        <v>8616</v>
      </c>
    </row>
    <row r="41" spans="2:20" x14ac:dyDescent="0.25">
      <c r="B41" s="13"/>
      <c r="C41" s="122" t="s">
        <v>180</v>
      </c>
      <c r="D41" s="154">
        <f>Y8-[2]Nomenclature!D15</f>
        <v>14408</v>
      </c>
      <c r="E41" s="154">
        <f>D42+D41-D40+S31</f>
        <v>26280</v>
      </c>
      <c r="F41" s="154">
        <f>E42+E41-E40</f>
        <v>20380.666666666664</v>
      </c>
      <c r="G41" s="154">
        <f t="shared" ref="G41:N41" si="26">F42+F41-F40</f>
        <v>10138.999999999998</v>
      </c>
      <c r="H41" s="154">
        <f t="shared" si="26"/>
        <v>0</v>
      </c>
      <c r="I41" s="154">
        <f t="shared" si="26"/>
        <v>0</v>
      </c>
      <c r="J41" s="154">
        <f t="shared" si="26"/>
        <v>0</v>
      </c>
      <c r="K41" s="154">
        <f t="shared" si="26"/>
        <v>0</v>
      </c>
      <c r="L41" s="154">
        <f t="shared" si="26"/>
        <v>0</v>
      </c>
      <c r="M41" s="154">
        <f t="shared" si="26"/>
        <v>0</v>
      </c>
      <c r="N41" s="155">
        <f t="shared" si="26"/>
        <v>0</v>
      </c>
    </row>
    <row r="42" spans="2:20" x14ac:dyDescent="0.25">
      <c r="B42" s="13"/>
      <c r="C42" s="122" t="s">
        <v>181</v>
      </c>
      <c r="D42" s="154">
        <f>MAX(0,D40-D41)</f>
        <v>0</v>
      </c>
      <c r="E42" s="154">
        <f t="shared" ref="E42:N42" si="27">MAX(0,E40-E41)</f>
        <v>0</v>
      </c>
      <c r="F42" s="154">
        <f t="shared" si="27"/>
        <v>0</v>
      </c>
      <c r="G42" s="154">
        <f t="shared" si="27"/>
        <v>1534.6666666666679</v>
      </c>
      <c r="H42" s="154">
        <f t="shared" si="27"/>
        <v>13799.666666666666</v>
      </c>
      <c r="I42" s="154">
        <f t="shared" si="27"/>
        <v>12351.666666666666</v>
      </c>
      <c r="J42" s="154">
        <f t="shared" si="27"/>
        <v>11084</v>
      </c>
      <c r="K42" s="154">
        <f t="shared" si="27"/>
        <v>11532</v>
      </c>
      <c r="L42" s="154">
        <f t="shared" si="27"/>
        <v>10990</v>
      </c>
      <c r="M42" s="154">
        <f t="shared" si="27"/>
        <v>9274</v>
      </c>
      <c r="N42" s="155">
        <f t="shared" si="27"/>
        <v>8616</v>
      </c>
    </row>
    <row r="43" spans="2:20" x14ac:dyDescent="0.25">
      <c r="B43" s="13"/>
      <c r="C43" s="122" t="s">
        <v>198</v>
      </c>
      <c r="D43" s="154">
        <v>0</v>
      </c>
      <c r="E43" s="154">
        <f>G42</f>
        <v>1534.6666666666679</v>
      </c>
      <c r="F43" s="154">
        <f t="shared" ref="F43:N43" si="28">H42</f>
        <v>13799.666666666666</v>
      </c>
      <c r="G43" s="154">
        <f t="shared" si="28"/>
        <v>12351.666666666666</v>
      </c>
      <c r="H43" s="154">
        <f t="shared" si="28"/>
        <v>11084</v>
      </c>
      <c r="I43" s="154">
        <f t="shared" si="28"/>
        <v>11532</v>
      </c>
      <c r="J43" s="154">
        <f t="shared" si="28"/>
        <v>10990</v>
      </c>
      <c r="K43" s="154">
        <f t="shared" si="28"/>
        <v>9274</v>
      </c>
      <c r="L43" s="154">
        <f t="shared" si="28"/>
        <v>8616</v>
      </c>
      <c r="M43" s="154">
        <f t="shared" si="28"/>
        <v>0</v>
      </c>
      <c r="N43" s="154">
        <f t="shared" si="28"/>
        <v>0</v>
      </c>
    </row>
    <row r="44" spans="2:20" x14ac:dyDescent="0.25">
      <c r="B44" s="13" t="s">
        <v>114</v>
      </c>
      <c r="C44" s="122"/>
      <c r="D44" s="154"/>
      <c r="E44" s="154"/>
      <c r="F44" s="154"/>
      <c r="G44" s="154"/>
      <c r="H44" s="154"/>
      <c r="I44" s="154"/>
      <c r="J44" s="154"/>
      <c r="K44" s="154"/>
      <c r="L44" s="154"/>
      <c r="M44" s="154"/>
      <c r="N44" s="155"/>
    </row>
    <row r="45" spans="2:20" x14ac:dyDescent="0.25">
      <c r="B45" s="13"/>
      <c r="C45" s="122" t="s">
        <v>179</v>
      </c>
      <c r="D45" s="154">
        <f>D29</f>
        <v>0</v>
      </c>
      <c r="E45" s="154">
        <f t="shared" ref="E45:N45" si="29">E29</f>
        <v>289.66666666666674</v>
      </c>
      <c r="F45" s="154">
        <f t="shared" si="29"/>
        <v>853.83333333333337</v>
      </c>
      <c r="G45" s="154">
        <f t="shared" si="29"/>
        <v>978.83333333333337</v>
      </c>
      <c r="H45" s="154">
        <f t="shared" si="29"/>
        <v>1155.8333333333333</v>
      </c>
      <c r="I45" s="154">
        <f t="shared" si="29"/>
        <v>1018.8333333333334</v>
      </c>
      <c r="J45" s="154">
        <f t="shared" si="29"/>
        <v>903</v>
      </c>
      <c r="K45" s="154">
        <f t="shared" si="29"/>
        <v>938</v>
      </c>
      <c r="L45" s="154">
        <f t="shared" si="29"/>
        <v>857</v>
      </c>
      <c r="M45" s="154">
        <f t="shared" si="29"/>
        <v>854</v>
      </c>
      <c r="N45" s="155">
        <f t="shared" si="29"/>
        <v>800</v>
      </c>
    </row>
    <row r="46" spans="2:20" x14ac:dyDescent="0.25">
      <c r="B46" s="13"/>
      <c r="C46" s="122" t="s">
        <v>180</v>
      </c>
      <c r="D46" s="154">
        <f>Z8-[2]Nomenclature!D18</f>
        <v>279</v>
      </c>
      <c r="E46" s="154">
        <f>D47+D46-D45+R31</f>
        <v>1279</v>
      </c>
      <c r="F46" s="154">
        <f>E47+E46-E45+R32</f>
        <v>1489.3333333333333</v>
      </c>
      <c r="G46" s="154">
        <f>F47+F46-F45+R33</f>
        <v>1635.5</v>
      </c>
      <c r="H46" s="154">
        <f>G47+G46-G45</f>
        <v>656.66666666666663</v>
      </c>
      <c r="I46" s="154">
        <f t="shared" ref="I46:N46" si="30">H47+H46-H45</f>
        <v>0</v>
      </c>
      <c r="J46" s="154">
        <f t="shared" si="30"/>
        <v>0</v>
      </c>
      <c r="K46" s="154">
        <f t="shared" si="30"/>
        <v>0</v>
      </c>
      <c r="L46" s="154">
        <f t="shared" si="30"/>
        <v>0</v>
      </c>
      <c r="M46" s="154">
        <f t="shared" si="30"/>
        <v>0</v>
      </c>
      <c r="N46" s="155">
        <f t="shared" si="30"/>
        <v>0</v>
      </c>
    </row>
    <row r="47" spans="2:20" x14ac:dyDescent="0.25">
      <c r="B47" s="13"/>
      <c r="C47" s="122" t="s">
        <v>181</v>
      </c>
      <c r="D47" s="154">
        <f>MAX(0,D45-D46)</f>
        <v>0</v>
      </c>
      <c r="E47" s="154">
        <f t="shared" ref="E47:N47" si="31">MAX(0,E45-E46)</f>
        <v>0</v>
      </c>
      <c r="F47" s="154">
        <f t="shared" si="31"/>
        <v>0</v>
      </c>
      <c r="G47" s="154">
        <f t="shared" si="31"/>
        <v>0</v>
      </c>
      <c r="H47" s="154">
        <f t="shared" si="31"/>
        <v>499.16666666666663</v>
      </c>
      <c r="I47" s="154">
        <f t="shared" si="31"/>
        <v>1018.8333333333334</v>
      </c>
      <c r="J47" s="154">
        <f t="shared" si="31"/>
        <v>903</v>
      </c>
      <c r="K47" s="154">
        <f t="shared" si="31"/>
        <v>938</v>
      </c>
      <c r="L47" s="154">
        <f t="shared" si="31"/>
        <v>857</v>
      </c>
      <c r="M47" s="154">
        <f t="shared" si="31"/>
        <v>854</v>
      </c>
      <c r="N47" s="155">
        <f t="shared" si="31"/>
        <v>800</v>
      </c>
    </row>
    <row r="48" spans="2:20" x14ac:dyDescent="0.25">
      <c r="B48" s="13"/>
      <c r="C48" s="122" t="s">
        <v>198</v>
      </c>
      <c r="D48" s="154">
        <f>H47</f>
        <v>499.16666666666663</v>
      </c>
      <c r="E48" s="154">
        <f t="shared" ref="E48:N48" si="32">I47</f>
        <v>1018.8333333333334</v>
      </c>
      <c r="F48" s="154">
        <f t="shared" si="32"/>
        <v>903</v>
      </c>
      <c r="G48" s="154">
        <f t="shared" si="32"/>
        <v>938</v>
      </c>
      <c r="H48" s="154">
        <f t="shared" si="32"/>
        <v>857</v>
      </c>
      <c r="I48" s="154">
        <f t="shared" si="32"/>
        <v>854</v>
      </c>
      <c r="J48" s="154">
        <f t="shared" si="32"/>
        <v>800</v>
      </c>
      <c r="K48" s="154">
        <f t="shared" si="32"/>
        <v>0</v>
      </c>
      <c r="L48" s="154">
        <f t="shared" si="32"/>
        <v>0</v>
      </c>
      <c r="M48" s="154">
        <f t="shared" si="32"/>
        <v>0</v>
      </c>
      <c r="N48" s="154">
        <f t="shared" si="32"/>
        <v>0</v>
      </c>
    </row>
    <row r="49" spans="2:14" x14ac:dyDescent="0.25">
      <c r="B49" s="13" t="s">
        <v>113</v>
      </c>
      <c r="C49" s="122"/>
      <c r="D49" s="154"/>
      <c r="E49" s="154"/>
      <c r="F49" s="154"/>
      <c r="G49" s="154"/>
      <c r="H49" s="154"/>
      <c r="I49" s="154"/>
      <c r="J49" s="154"/>
      <c r="K49" s="154"/>
      <c r="L49" s="154"/>
      <c r="M49" s="154"/>
      <c r="N49" s="155"/>
    </row>
    <row r="50" spans="2:14" x14ac:dyDescent="0.25">
      <c r="B50" s="13"/>
      <c r="C50" s="122" t="s">
        <v>179</v>
      </c>
      <c r="D50" s="154">
        <f>D33</f>
        <v>0</v>
      </c>
      <c r="E50" s="154">
        <f t="shared" ref="E50:N50" si="33">E33</f>
        <v>1722</v>
      </c>
      <c r="F50" s="154">
        <f t="shared" si="33"/>
        <v>4267</v>
      </c>
      <c r="G50" s="154">
        <f t="shared" si="33"/>
        <v>4858</v>
      </c>
      <c r="H50" s="154">
        <f t="shared" si="33"/>
        <v>5744</v>
      </c>
      <c r="I50" s="154">
        <f t="shared" si="33"/>
        <v>5157</v>
      </c>
      <c r="J50" s="154">
        <f t="shared" si="33"/>
        <v>4639</v>
      </c>
      <c r="K50" s="154">
        <f t="shared" si="33"/>
        <v>4828</v>
      </c>
      <c r="L50" s="154">
        <f t="shared" si="33"/>
        <v>4638</v>
      </c>
      <c r="M50" s="154">
        <f t="shared" si="33"/>
        <v>3783</v>
      </c>
      <c r="N50" s="155">
        <f t="shared" si="33"/>
        <v>3508</v>
      </c>
    </row>
    <row r="51" spans="2:14" x14ac:dyDescent="0.25">
      <c r="B51" s="13"/>
      <c r="C51" s="122" t="s">
        <v>180</v>
      </c>
      <c r="D51" s="154">
        <f>AA8-[2]Nomenclature!D17</f>
        <v>2675</v>
      </c>
      <c r="E51" s="154">
        <f>D52+D51-D50+Q31</f>
        <v>4675</v>
      </c>
      <c r="F51" s="154">
        <f>E52+E51-E50+Q32</f>
        <v>7953</v>
      </c>
      <c r="G51" s="154">
        <f>F52+F51-F50</f>
        <v>3686</v>
      </c>
      <c r="H51" s="154">
        <f t="shared" ref="H51:N51" si="34">G52+G51-G50</f>
        <v>0</v>
      </c>
      <c r="I51" s="154">
        <f t="shared" si="34"/>
        <v>0</v>
      </c>
      <c r="J51" s="154">
        <f t="shared" si="34"/>
        <v>0</v>
      </c>
      <c r="K51" s="154">
        <f t="shared" si="34"/>
        <v>0</v>
      </c>
      <c r="L51" s="154">
        <f t="shared" si="34"/>
        <v>0</v>
      </c>
      <c r="M51" s="154">
        <f t="shared" si="34"/>
        <v>0</v>
      </c>
      <c r="N51" s="155">
        <f t="shared" si="34"/>
        <v>0</v>
      </c>
    </row>
    <row r="52" spans="2:14" x14ac:dyDescent="0.25">
      <c r="B52" s="13"/>
      <c r="C52" s="122" t="s">
        <v>181</v>
      </c>
      <c r="D52" s="154">
        <f>MAX(0,D50-D51)</f>
        <v>0</v>
      </c>
      <c r="E52" s="154">
        <f t="shared" ref="E52:N52" si="35">MAX(0,E50-E51)</f>
        <v>0</v>
      </c>
      <c r="F52" s="154">
        <f t="shared" si="35"/>
        <v>0</v>
      </c>
      <c r="G52" s="154">
        <f t="shared" si="35"/>
        <v>1172</v>
      </c>
      <c r="H52" s="154">
        <f t="shared" si="35"/>
        <v>5744</v>
      </c>
      <c r="I52" s="154">
        <f t="shared" si="35"/>
        <v>5157</v>
      </c>
      <c r="J52" s="154">
        <f t="shared" si="35"/>
        <v>4639</v>
      </c>
      <c r="K52" s="154">
        <f t="shared" si="35"/>
        <v>4828</v>
      </c>
      <c r="L52" s="154">
        <f t="shared" si="35"/>
        <v>4638</v>
      </c>
      <c r="M52" s="154">
        <f t="shared" si="35"/>
        <v>3783</v>
      </c>
      <c r="N52" s="155">
        <f t="shared" si="35"/>
        <v>3508</v>
      </c>
    </row>
    <row r="53" spans="2:14" ht="15.75" thickBot="1" x14ac:dyDescent="0.3">
      <c r="B53" s="14"/>
      <c r="C53" s="153" t="s">
        <v>198</v>
      </c>
      <c r="D53" s="156">
        <f>G52</f>
        <v>1172</v>
      </c>
      <c r="E53" s="156">
        <f t="shared" ref="E53:N53" si="36">H52</f>
        <v>5744</v>
      </c>
      <c r="F53" s="156">
        <f t="shared" si="36"/>
        <v>5157</v>
      </c>
      <c r="G53" s="156">
        <f t="shared" si="36"/>
        <v>4639</v>
      </c>
      <c r="H53" s="156">
        <f t="shared" si="36"/>
        <v>4828</v>
      </c>
      <c r="I53" s="156">
        <f t="shared" si="36"/>
        <v>4638</v>
      </c>
      <c r="J53" s="156">
        <f t="shared" si="36"/>
        <v>3783</v>
      </c>
      <c r="K53" s="156">
        <f t="shared" si="36"/>
        <v>3508</v>
      </c>
      <c r="L53" s="156">
        <f t="shared" si="36"/>
        <v>0</v>
      </c>
      <c r="M53" s="156">
        <f t="shared" si="36"/>
        <v>0</v>
      </c>
      <c r="N53" s="156">
        <f t="shared" si="36"/>
        <v>0</v>
      </c>
    </row>
  </sheetData>
  <pageMargins left="0.7" right="0.7" top="0.75" bottom="0.75" header="0.3" footer="0.3"/>
  <pageSetup paperSize="9" orientation="portrait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5"/>
  <sheetViews>
    <sheetView topLeftCell="F1" zoomScaleNormal="100" workbookViewId="0">
      <selection activeCell="N6" sqref="N6"/>
    </sheetView>
  </sheetViews>
  <sheetFormatPr baseColWidth="10" defaultRowHeight="15" x14ac:dyDescent="0.25"/>
  <cols>
    <col min="2" max="2" width="16.28515625" customWidth="1"/>
    <col min="4" max="4" width="18.140625" customWidth="1"/>
    <col min="5" max="5" width="18" customWidth="1"/>
    <col min="8" max="8" width="27.28515625" bestFit="1" customWidth="1"/>
  </cols>
  <sheetData>
    <row r="1" spans="2:19" thickBot="1" x14ac:dyDescent="0.35"/>
    <row r="2" spans="2:19" x14ac:dyDescent="0.25">
      <c r="B2" s="281" t="s">
        <v>122</v>
      </c>
      <c r="C2" s="282"/>
      <c r="D2" s="282"/>
      <c r="E2" s="282"/>
      <c r="F2" s="283"/>
      <c r="H2" s="259" t="s">
        <v>133</v>
      </c>
      <c r="I2" s="260"/>
      <c r="J2" s="260"/>
      <c r="K2" s="260"/>
      <c r="L2" s="260"/>
      <c r="M2" s="260"/>
      <c r="N2" s="260"/>
      <c r="O2" s="260"/>
      <c r="P2" s="260"/>
      <c r="Q2" s="260"/>
      <c r="R2" s="260"/>
      <c r="S2" s="261"/>
    </row>
    <row r="3" spans="2:19" ht="15.75" thickBot="1" x14ac:dyDescent="0.3">
      <c r="B3" s="284"/>
      <c r="C3" s="285"/>
      <c r="D3" s="285"/>
      <c r="E3" s="285"/>
      <c r="F3" s="286"/>
      <c r="H3" s="269"/>
      <c r="I3" s="279"/>
      <c r="J3" s="279"/>
      <c r="K3" s="279"/>
      <c r="L3" s="279"/>
      <c r="M3" s="279"/>
      <c r="N3" s="279"/>
      <c r="O3" s="279"/>
      <c r="P3" s="279"/>
      <c r="Q3" s="279"/>
      <c r="R3" s="279"/>
      <c r="S3" s="280"/>
    </row>
    <row r="4" spans="2:19" ht="15.75" thickBot="1" x14ac:dyDescent="0.3">
      <c r="B4" s="63" t="s">
        <v>125</v>
      </c>
      <c r="C4" s="64" t="s">
        <v>124</v>
      </c>
      <c r="D4" s="65" t="s">
        <v>120</v>
      </c>
      <c r="E4" s="65" t="s">
        <v>121</v>
      </c>
      <c r="F4" s="66" t="s">
        <v>123</v>
      </c>
      <c r="H4" s="114" t="s">
        <v>132</v>
      </c>
      <c r="I4" s="109" t="s">
        <v>106</v>
      </c>
      <c r="J4" s="67" t="s">
        <v>107</v>
      </c>
      <c r="K4" s="67" t="s">
        <v>108</v>
      </c>
      <c r="L4" s="67" t="s">
        <v>109</v>
      </c>
      <c r="M4" s="67" t="s">
        <v>110</v>
      </c>
      <c r="N4" s="67" t="s">
        <v>111</v>
      </c>
      <c r="O4" s="68" t="s">
        <v>112</v>
      </c>
      <c r="P4" s="109" t="s">
        <v>113</v>
      </c>
      <c r="Q4" s="67" t="s">
        <v>114</v>
      </c>
      <c r="R4" s="67" t="s">
        <v>115</v>
      </c>
      <c r="S4" s="68" t="s">
        <v>116</v>
      </c>
    </row>
    <row r="5" spans="2:19" x14ac:dyDescent="0.25">
      <c r="B5" s="268" t="s">
        <v>105</v>
      </c>
      <c r="C5" s="58" t="s">
        <v>106</v>
      </c>
      <c r="D5" s="56">
        <v>1</v>
      </c>
      <c r="E5" s="56">
        <v>0</v>
      </c>
      <c r="F5" s="57">
        <f>SUM(D5:E5)</f>
        <v>1</v>
      </c>
      <c r="H5" s="115" t="s">
        <v>126</v>
      </c>
      <c r="I5" s="97">
        <v>4</v>
      </c>
      <c r="J5" s="93">
        <v>40</v>
      </c>
      <c r="K5" s="93">
        <v>40</v>
      </c>
      <c r="L5" s="93">
        <v>40</v>
      </c>
      <c r="M5" s="93">
        <v>4</v>
      </c>
      <c r="N5" s="93">
        <v>40</v>
      </c>
      <c r="O5" s="94">
        <v>4</v>
      </c>
      <c r="P5" s="97" t="s">
        <v>129</v>
      </c>
      <c r="Q5" s="93" t="s">
        <v>129</v>
      </c>
      <c r="R5" s="93" t="s">
        <v>129</v>
      </c>
      <c r="S5" s="94" t="s">
        <v>129</v>
      </c>
    </row>
    <row r="6" spans="2:19" ht="15.75" thickBot="1" x14ac:dyDescent="0.3">
      <c r="B6" s="267"/>
      <c r="C6" s="59" t="s">
        <v>107</v>
      </c>
      <c r="D6" s="10">
        <v>0</v>
      </c>
      <c r="E6" s="10">
        <v>1</v>
      </c>
      <c r="F6" s="11">
        <f t="shared" ref="F6:F15" si="0">SUM(D6:E6)</f>
        <v>1</v>
      </c>
      <c r="H6" s="115" t="s">
        <v>127</v>
      </c>
      <c r="I6" s="97">
        <v>2.66</v>
      </c>
      <c r="J6" s="93">
        <v>24</v>
      </c>
      <c r="K6" s="93">
        <v>3.2</v>
      </c>
      <c r="L6" s="93">
        <v>48</v>
      </c>
      <c r="M6" s="93">
        <v>4.8</v>
      </c>
      <c r="N6" s="93">
        <v>240</v>
      </c>
      <c r="O6" s="94">
        <v>9.6</v>
      </c>
      <c r="P6" s="97" t="s">
        <v>129</v>
      </c>
      <c r="Q6" s="93" t="s">
        <v>129</v>
      </c>
      <c r="R6" s="93" t="s">
        <v>129</v>
      </c>
      <c r="S6" s="94" t="s">
        <v>129</v>
      </c>
    </row>
    <row r="7" spans="2:19" x14ac:dyDescent="0.25">
      <c r="B7" s="268" t="s">
        <v>117</v>
      </c>
      <c r="C7" s="58" t="s">
        <v>108</v>
      </c>
      <c r="D7" s="56">
        <v>1</v>
      </c>
      <c r="E7" s="56">
        <v>0</v>
      </c>
      <c r="F7" s="57">
        <f t="shared" si="0"/>
        <v>1</v>
      </c>
      <c r="H7" s="115" t="s">
        <v>128</v>
      </c>
      <c r="I7" s="97" t="s">
        <v>129</v>
      </c>
      <c r="J7" s="93" t="s">
        <v>129</v>
      </c>
      <c r="K7" s="93">
        <v>3500</v>
      </c>
      <c r="L7" s="93">
        <v>800</v>
      </c>
      <c r="M7" s="93">
        <v>4000</v>
      </c>
      <c r="N7" s="93">
        <v>800</v>
      </c>
      <c r="O7" s="94">
        <v>5000</v>
      </c>
      <c r="P7" s="97">
        <v>5000</v>
      </c>
      <c r="Q7" s="93">
        <v>750</v>
      </c>
      <c r="R7" s="93">
        <v>20000</v>
      </c>
      <c r="S7" s="94">
        <v>6000</v>
      </c>
    </row>
    <row r="8" spans="2:19" ht="15.75" thickBot="1" x14ac:dyDescent="0.3">
      <c r="B8" s="267"/>
      <c r="C8" s="59" t="s">
        <v>109</v>
      </c>
      <c r="D8" s="10">
        <v>0</v>
      </c>
      <c r="E8" s="10">
        <v>1</v>
      </c>
      <c r="F8" s="11">
        <f t="shared" si="0"/>
        <v>1</v>
      </c>
      <c r="H8" s="115" t="s">
        <v>130</v>
      </c>
      <c r="I8" s="97" t="s">
        <v>129</v>
      </c>
      <c r="J8" s="93" t="s">
        <v>129</v>
      </c>
      <c r="K8" s="106">
        <v>18.899999999999999</v>
      </c>
      <c r="L8" s="106">
        <v>129.58000000000001</v>
      </c>
      <c r="M8" s="106">
        <v>15.24</v>
      </c>
      <c r="N8" s="106">
        <v>117.39</v>
      </c>
      <c r="O8" s="107">
        <v>3.5</v>
      </c>
      <c r="P8" s="97" t="s">
        <v>129</v>
      </c>
      <c r="Q8" s="93" t="s">
        <v>129</v>
      </c>
      <c r="R8" s="93" t="s">
        <v>129</v>
      </c>
      <c r="S8" s="94" t="s">
        <v>129</v>
      </c>
    </row>
    <row r="9" spans="2:19" x14ac:dyDescent="0.25">
      <c r="B9" s="268" t="s">
        <v>118</v>
      </c>
      <c r="C9" s="58" t="s">
        <v>110</v>
      </c>
      <c r="D9" s="56">
        <v>1</v>
      </c>
      <c r="E9" s="56">
        <v>0</v>
      </c>
      <c r="F9" s="57">
        <f t="shared" si="0"/>
        <v>1</v>
      </c>
      <c r="H9" s="115" t="s">
        <v>143</v>
      </c>
      <c r="I9" s="113" t="s">
        <v>129</v>
      </c>
      <c r="J9" s="111" t="s">
        <v>129</v>
      </c>
      <c r="K9" s="111" t="s">
        <v>129</v>
      </c>
      <c r="L9" s="111" t="s">
        <v>129</v>
      </c>
      <c r="M9" s="111" t="s">
        <v>129</v>
      </c>
      <c r="N9" s="111" t="s">
        <v>129</v>
      </c>
      <c r="O9" s="112" t="s">
        <v>129</v>
      </c>
      <c r="P9" s="110">
        <v>11.43</v>
      </c>
      <c r="Q9" s="106">
        <v>76.22</v>
      </c>
      <c r="R9" s="106">
        <v>3.05</v>
      </c>
      <c r="S9" s="107">
        <v>1.98</v>
      </c>
    </row>
    <row r="10" spans="2:19" x14ac:dyDescent="0.25">
      <c r="B10" s="266"/>
      <c r="C10" s="60" t="s">
        <v>111</v>
      </c>
      <c r="D10" s="7">
        <v>0</v>
      </c>
      <c r="E10" s="7">
        <v>1</v>
      </c>
      <c r="F10" s="9">
        <f t="shared" si="0"/>
        <v>1</v>
      </c>
      <c r="H10" s="115" t="s">
        <v>131</v>
      </c>
      <c r="I10" s="97" t="s">
        <v>129</v>
      </c>
      <c r="J10" s="93" t="s">
        <v>129</v>
      </c>
      <c r="K10" s="108">
        <v>0.01</v>
      </c>
      <c r="L10" s="108">
        <v>0.01</v>
      </c>
      <c r="M10" s="108">
        <v>0.1</v>
      </c>
      <c r="N10" s="108">
        <v>0.05</v>
      </c>
      <c r="O10" s="117">
        <v>0.01</v>
      </c>
      <c r="P10" s="118">
        <v>0.01</v>
      </c>
      <c r="Q10" s="108">
        <v>0.01</v>
      </c>
      <c r="R10" s="108">
        <v>0.01</v>
      </c>
      <c r="S10" s="117">
        <v>0.01</v>
      </c>
    </row>
    <row r="11" spans="2:19" ht="15.75" thickBot="1" x14ac:dyDescent="0.3">
      <c r="B11" s="267"/>
      <c r="C11" s="59" t="s">
        <v>112</v>
      </c>
      <c r="D11" s="10">
        <v>1</v>
      </c>
      <c r="E11" s="10">
        <v>1</v>
      </c>
      <c r="F11" s="11">
        <f t="shared" si="0"/>
        <v>2</v>
      </c>
      <c r="H11" s="115" t="s">
        <v>144</v>
      </c>
      <c r="I11" s="113" t="s">
        <v>129</v>
      </c>
      <c r="J11" s="111" t="s">
        <v>129</v>
      </c>
      <c r="K11" s="111" t="s">
        <v>129</v>
      </c>
      <c r="L11" s="111" t="s">
        <v>129</v>
      </c>
      <c r="M11" s="111" t="s">
        <v>129</v>
      </c>
      <c r="N11" s="111" t="s">
        <v>129</v>
      </c>
      <c r="O11" s="112" t="s">
        <v>129</v>
      </c>
      <c r="P11" s="113">
        <v>50000</v>
      </c>
      <c r="Q11" s="111">
        <v>50000</v>
      </c>
      <c r="R11" s="111">
        <v>50000</v>
      </c>
      <c r="S11" s="112">
        <v>50000</v>
      </c>
    </row>
    <row r="12" spans="2:19" ht="15.75" thickBot="1" x14ac:dyDescent="0.3">
      <c r="B12" s="265" t="s">
        <v>119</v>
      </c>
      <c r="C12" s="61" t="s">
        <v>113</v>
      </c>
      <c r="D12" s="55">
        <v>1</v>
      </c>
      <c r="E12" s="55">
        <v>0</v>
      </c>
      <c r="F12" s="62">
        <f t="shared" si="0"/>
        <v>1</v>
      </c>
      <c r="H12" s="116" t="s">
        <v>145</v>
      </c>
      <c r="I12" s="121" t="s">
        <v>129</v>
      </c>
      <c r="J12" s="119" t="s">
        <v>129</v>
      </c>
      <c r="K12" s="119" t="s">
        <v>129</v>
      </c>
      <c r="L12" s="119" t="s">
        <v>129</v>
      </c>
      <c r="M12" s="119" t="s">
        <v>129</v>
      </c>
      <c r="N12" s="119" t="s">
        <v>129</v>
      </c>
      <c r="O12" s="120" t="s">
        <v>129</v>
      </c>
      <c r="P12" s="69">
        <v>2</v>
      </c>
      <c r="Q12" s="95">
        <v>3</v>
      </c>
      <c r="R12" s="95">
        <v>1</v>
      </c>
      <c r="S12" s="96">
        <v>1</v>
      </c>
    </row>
    <row r="13" spans="2:19" x14ac:dyDescent="0.25">
      <c r="B13" s="266"/>
      <c r="C13" s="60" t="s">
        <v>114</v>
      </c>
      <c r="D13" s="7">
        <v>0</v>
      </c>
      <c r="E13" s="7">
        <v>1</v>
      </c>
      <c r="F13" s="9">
        <f t="shared" si="0"/>
        <v>1</v>
      </c>
    </row>
    <row r="14" spans="2:19" x14ac:dyDescent="0.25">
      <c r="B14" s="266"/>
      <c r="C14" s="60" t="s">
        <v>115</v>
      </c>
      <c r="D14" s="7">
        <v>2</v>
      </c>
      <c r="E14" s="7">
        <v>2</v>
      </c>
      <c r="F14" s="9">
        <f t="shared" si="0"/>
        <v>4</v>
      </c>
    </row>
    <row r="15" spans="2:19" ht="15.75" thickBot="1" x14ac:dyDescent="0.3">
      <c r="B15" s="267"/>
      <c r="C15" s="59" t="s">
        <v>116</v>
      </c>
      <c r="D15" s="10">
        <v>1</v>
      </c>
      <c r="E15" s="10">
        <v>1</v>
      </c>
      <c r="F15" s="11">
        <f t="shared" si="0"/>
        <v>2</v>
      </c>
    </row>
    <row r="19" spans="1:10" x14ac:dyDescent="0.25">
      <c r="G19" s="43"/>
    </row>
    <row r="20" spans="1:10" x14ac:dyDescent="0.25">
      <c r="A20" s="43"/>
      <c r="B20" s="43"/>
      <c r="C20" s="43"/>
      <c r="D20" s="43"/>
      <c r="E20" s="43"/>
      <c r="F20" s="43"/>
      <c r="H20" s="43"/>
      <c r="I20" s="43"/>
      <c r="J20" s="43"/>
    </row>
    <row r="21" spans="1:10" x14ac:dyDescent="0.25">
      <c r="A21" s="43"/>
      <c r="B21" s="43"/>
      <c r="C21" s="43"/>
      <c r="D21" s="43"/>
      <c r="E21" s="43"/>
      <c r="F21" s="43"/>
      <c r="G21" s="43"/>
      <c r="H21" s="43"/>
      <c r="I21" s="43"/>
      <c r="J21" s="43"/>
    </row>
    <row r="22" spans="1:10" x14ac:dyDescent="0.25">
      <c r="A22" s="43"/>
      <c r="B22" s="43"/>
      <c r="C22" s="43"/>
      <c r="D22" s="43"/>
      <c r="E22" s="43"/>
      <c r="F22" s="43"/>
      <c r="G22" s="43"/>
      <c r="H22" s="43"/>
      <c r="I22" s="43"/>
      <c r="J22" s="43"/>
    </row>
    <row r="23" spans="1:10" x14ac:dyDescent="0.25">
      <c r="A23" s="43"/>
      <c r="B23" s="43"/>
      <c r="C23" s="43"/>
      <c r="D23" s="43"/>
      <c r="E23" s="43"/>
      <c r="F23" s="43"/>
      <c r="G23" s="43"/>
      <c r="H23" s="43"/>
      <c r="I23" s="43"/>
      <c r="J23" s="43"/>
    </row>
    <row r="25" spans="1:10" x14ac:dyDescent="0.25">
      <c r="A25" s="43"/>
      <c r="B25" s="43"/>
      <c r="C25" s="43"/>
      <c r="D25" s="43"/>
      <c r="E25" s="43"/>
      <c r="F25" s="43"/>
      <c r="G25" s="43"/>
      <c r="H25" s="43"/>
      <c r="I25" s="43"/>
      <c r="J25" s="43"/>
    </row>
  </sheetData>
  <mergeCells count="6">
    <mergeCell ref="H2:S3"/>
    <mergeCell ref="B5:B6"/>
    <mergeCell ref="B7:B8"/>
    <mergeCell ref="B9:B11"/>
    <mergeCell ref="B12:B15"/>
    <mergeCell ref="B2:F3"/>
  </mergeCells>
  <pageMargins left="0.7" right="0.7" top="0.75" bottom="0.75" header="0.3" footer="0.3"/>
  <pageSetup paperSize="9" orientation="portrait"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T21"/>
  <sheetViews>
    <sheetView tabSelected="1" topLeftCell="D1" workbookViewId="0">
      <selection activeCell="R22" sqref="R22"/>
    </sheetView>
  </sheetViews>
  <sheetFormatPr baseColWidth="10" defaultRowHeight="15" x14ac:dyDescent="0.25"/>
  <cols>
    <col min="2" max="2" width="17.5703125" bestFit="1" customWidth="1"/>
    <col min="3" max="3" width="15.140625" bestFit="1" customWidth="1"/>
    <col min="4" max="4" width="12.85546875" style="2" customWidth="1"/>
    <col min="18" max="18" width="15.7109375" bestFit="1" customWidth="1"/>
  </cols>
  <sheetData>
    <row r="1" spans="2:20" ht="15.75" thickBot="1" x14ac:dyDescent="0.3"/>
    <row r="2" spans="2:20" ht="15.75" thickBot="1" x14ac:dyDescent="0.3">
      <c r="B2" s="209" t="s">
        <v>134</v>
      </c>
      <c r="C2" s="210"/>
      <c r="D2" s="210" t="s">
        <v>0</v>
      </c>
      <c r="E2" s="210" t="s">
        <v>74</v>
      </c>
      <c r="F2" s="210" t="s">
        <v>75</v>
      </c>
      <c r="G2" s="210" t="s">
        <v>76</v>
      </c>
      <c r="H2" s="210" t="s">
        <v>77</v>
      </c>
      <c r="I2" s="210" t="s">
        <v>78</v>
      </c>
      <c r="J2" s="210" t="s">
        <v>79</v>
      </c>
      <c r="K2" s="210" t="s">
        <v>80</v>
      </c>
      <c r="L2" s="210" t="s">
        <v>81</v>
      </c>
      <c r="M2" s="210" t="s">
        <v>82</v>
      </c>
      <c r="N2" s="210" t="s">
        <v>83</v>
      </c>
      <c r="O2" s="211" t="s">
        <v>84</v>
      </c>
      <c r="Q2" s="290" t="s">
        <v>132</v>
      </c>
      <c r="R2" s="77" t="s">
        <v>205</v>
      </c>
      <c r="S2" s="57">
        <v>12</v>
      </c>
    </row>
    <row r="3" spans="2:20" x14ac:dyDescent="0.25">
      <c r="B3" s="208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2"/>
      <c r="Q3" s="291"/>
      <c r="R3" s="158" t="s">
        <v>250</v>
      </c>
      <c r="S3" s="159">
        <v>0.9</v>
      </c>
    </row>
    <row r="4" spans="2:20" x14ac:dyDescent="0.25">
      <c r="B4" s="287" t="s">
        <v>106</v>
      </c>
      <c r="C4" s="190" t="s">
        <v>199</v>
      </c>
      <c r="D4" s="190"/>
      <c r="E4" s="219">
        <f>MRP!E9</f>
        <v>0</v>
      </c>
      <c r="F4" s="219">
        <f>MRP!F9</f>
        <v>2817.3</v>
      </c>
      <c r="G4" s="219">
        <f>MRP!G9</f>
        <v>3172.3999999999996</v>
      </c>
      <c r="H4" s="219">
        <f>MRP!H9</f>
        <v>4270.2</v>
      </c>
      <c r="I4" s="219">
        <f>MRP!I9</f>
        <v>4920.3</v>
      </c>
      <c r="J4" s="219">
        <f>MRP!J9</f>
        <v>5894.9000000000005</v>
      </c>
      <c r="K4" s="219">
        <f>MRP!K9</f>
        <v>5249.2</v>
      </c>
      <c r="L4" s="219">
        <f>MRP!L9</f>
        <v>5102.8999999999996</v>
      </c>
      <c r="M4" s="219">
        <f>MRP!M9</f>
        <v>5310.8</v>
      </c>
      <c r="N4" s="219">
        <f>MRP!N9</f>
        <v>5101.8</v>
      </c>
      <c r="O4" s="219">
        <f>MRP!O9</f>
        <v>4161.3</v>
      </c>
      <c r="Q4" s="291"/>
      <c r="R4" s="13" t="s">
        <v>206</v>
      </c>
      <c r="S4" s="80">
        <f>S2*(1-S3)*40</f>
        <v>47.999999999999986</v>
      </c>
    </row>
    <row r="5" spans="2:20" x14ac:dyDescent="0.25">
      <c r="B5" s="287"/>
      <c r="C5" s="190" t="s">
        <v>200</v>
      </c>
      <c r="D5" s="190"/>
      <c r="E5" s="190">
        <f>E4*'Nomenclature &amp; données'!$I$6/60</f>
        <v>0</v>
      </c>
      <c r="F5" s="190">
        <f>F4*'Nomenclature &amp; données'!$I$6/60</f>
        <v>124.90030000000002</v>
      </c>
      <c r="G5" s="190">
        <f>G4*'Nomenclature &amp; données'!$I$6/60</f>
        <v>140.64306666666664</v>
      </c>
      <c r="H5" s="190">
        <f>H4*'Nomenclature &amp; données'!$I$6/60</f>
        <v>189.31219999999999</v>
      </c>
      <c r="I5" s="190">
        <f>I4*'Nomenclature &amp; données'!$I$6/60</f>
        <v>218.13330000000002</v>
      </c>
      <c r="J5" s="190">
        <f>J4*'Nomenclature &amp; données'!$I$6/60</f>
        <v>261.34056666666669</v>
      </c>
      <c r="K5" s="190">
        <f>K4*'Nomenclature &amp; données'!$I$6/60</f>
        <v>232.71453333333332</v>
      </c>
      <c r="L5" s="190">
        <f>L4*'Nomenclature &amp; données'!$I$6/60</f>
        <v>226.22856666666667</v>
      </c>
      <c r="M5" s="190">
        <f>M4*'Nomenclature &amp; données'!$I$6/60</f>
        <v>235.44546666666668</v>
      </c>
      <c r="N5" s="190">
        <f>N4*'Nomenclature &amp; données'!$I$6/60</f>
        <v>226.1798</v>
      </c>
      <c r="O5" s="190">
        <f>O4*'Nomenclature &amp; données'!$I$6/60</f>
        <v>184.48430000000002</v>
      </c>
      <c r="Q5" s="291"/>
      <c r="R5" s="158" t="s">
        <v>174</v>
      </c>
      <c r="S5" s="159">
        <v>0.3</v>
      </c>
      <c r="T5" s="163" t="s">
        <v>221</v>
      </c>
    </row>
    <row r="6" spans="2:20" x14ac:dyDescent="0.25">
      <c r="B6" s="208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2"/>
      <c r="Q6" s="291"/>
      <c r="R6" s="13" t="s">
        <v>207</v>
      </c>
      <c r="S6" s="80">
        <f>S4*0.3</f>
        <v>14.399999999999995</v>
      </c>
    </row>
    <row r="7" spans="2:20" x14ac:dyDescent="0.25">
      <c r="B7" s="288" t="s">
        <v>107</v>
      </c>
      <c r="C7" s="220" t="s">
        <v>199</v>
      </c>
      <c r="D7" s="220"/>
      <c r="E7" s="221">
        <f>MRP!E13</f>
        <v>0</v>
      </c>
      <c r="F7" s="221">
        <f>MRP!F13</f>
        <v>795.7</v>
      </c>
      <c r="G7" s="221">
        <f>MRP!G13</f>
        <v>631.4</v>
      </c>
      <c r="H7" s="221">
        <f>MRP!H13</f>
        <v>853.6</v>
      </c>
      <c r="I7" s="221">
        <f>MRP!I13</f>
        <v>991.1</v>
      </c>
      <c r="J7" s="221">
        <f>MRP!J13</f>
        <v>1185.8</v>
      </c>
      <c r="K7" s="221">
        <f>MRP!K13</f>
        <v>1035.0999999999999</v>
      </c>
      <c r="L7" s="221">
        <f>MRP!L13</f>
        <v>993.30000000000018</v>
      </c>
      <c r="M7" s="221">
        <f>MRP!M13</f>
        <v>1031.8</v>
      </c>
      <c r="N7" s="221">
        <f>MRP!N13</f>
        <v>942.7</v>
      </c>
      <c r="O7" s="221">
        <f>MRP!O13</f>
        <v>939.4</v>
      </c>
      <c r="Q7" s="291"/>
      <c r="R7" s="13" t="s">
        <v>208</v>
      </c>
      <c r="S7" s="80">
        <f>S4+S6</f>
        <v>62.399999999999977</v>
      </c>
    </row>
    <row r="8" spans="2:20" ht="15.75" thickBot="1" x14ac:dyDescent="0.3">
      <c r="B8" s="289"/>
      <c r="C8" s="222" t="s">
        <v>200</v>
      </c>
      <c r="D8" s="222"/>
      <c r="E8" s="222">
        <f>E7*'Nomenclature &amp; données'!$J$6/60</f>
        <v>0</v>
      </c>
      <c r="F8" s="222">
        <f>F7*'Nomenclature &amp; données'!$J$6/60</f>
        <v>318.28000000000003</v>
      </c>
      <c r="G8" s="222">
        <f>G7*'Nomenclature &amp; données'!$J$6/60</f>
        <v>252.55999999999997</v>
      </c>
      <c r="H8" s="222">
        <f>H7*'Nomenclature &amp; données'!$J$6/60</f>
        <v>341.44</v>
      </c>
      <c r="I8" s="222">
        <f>I7*'Nomenclature &amp; données'!$J$6/60</f>
        <v>396.44</v>
      </c>
      <c r="J8" s="222">
        <f>J7*'Nomenclature &amp; données'!$J$6/60</f>
        <v>474.31999999999994</v>
      </c>
      <c r="K8" s="222">
        <f>K7*'Nomenclature &amp; données'!$J$6/60</f>
        <v>414.03999999999996</v>
      </c>
      <c r="L8" s="222">
        <f>L7*'Nomenclature &amp; données'!$J$6/60</f>
        <v>397.32000000000005</v>
      </c>
      <c r="M8" s="222">
        <f>M7*'Nomenclature &amp; données'!$J$6/60</f>
        <v>412.71999999999997</v>
      </c>
      <c r="N8" s="222">
        <f>N7*'Nomenclature &amp; données'!$J$6/60</f>
        <v>377.08000000000004</v>
      </c>
      <c r="O8" s="223">
        <f>O7*'Nomenclature &amp; données'!$J$6/60</f>
        <v>375.76</v>
      </c>
      <c r="Q8" s="291"/>
      <c r="R8" s="158" t="s">
        <v>209</v>
      </c>
      <c r="S8" s="159">
        <v>0.5</v>
      </c>
    </row>
    <row r="9" spans="2:20" ht="15.75" thickBot="1" x14ac:dyDescent="0.3">
      <c r="B9" s="216"/>
      <c r="C9" s="217"/>
      <c r="D9" s="217"/>
      <c r="E9" s="217"/>
      <c r="F9" s="217"/>
      <c r="G9" s="217"/>
      <c r="H9" s="217"/>
      <c r="I9" s="217"/>
      <c r="J9" s="217"/>
      <c r="K9" s="217"/>
      <c r="L9" s="217"/>
      <c r="M9" s="217"/>
      <c r="N9" s="217"/>
      <c r="O9" s="218"/>
      <c r="Q9" s="292"/>
      <c r="R9" s="160" t="s">
        <v>210</v>
      </c>
      <c r="S9" s="161">
        <v>40</v>
      </c>
    </row>
    <row r="10" spans="2:20" x14ac:dyDescent="0.25">
      <c r="B10" s="293" t="s">
        <v>201</v>
      </c>
      <c r="C10" s="56" t="s">
        <v>204</v>
      </c>
      <c r="D10" s="56"/>
      <c r="E10" s="56">
        <f>E5+E8</f>
        <v>0</v>
      </c>
      <c r="F10" s="56">
        <f t="shared" ref="F10:O10" si="0">F5+F8</f>
        <v>443.18030000000005</v>
      </c>
      <c r="G10" s="56">
        <f t="shared" si="0"/>
        <v>393.20306666666659</v>
      </c>
      <c r="H10" s="56">
        <f t="shared" si="0"/>
        <v>530.75220000000002</v>
      </c>
      <c r="I10" s="56">
        <f t="shared" si="0"/>
        <v>614.57330000000002</v>
      </c>
      <c r="J10" s="56">
        <f t="shared" si="0"/>
        <v>735.66056666666668</v>
      </c>
      <c r="K10" s="56">
        <f t="shared" si="0"/>
        <v>646.75453333333326</v>
      </c>
      <c r="L10" s="56">
        <f t="shared" si="0"/>
        <v>623.54856666666672</v>
      </c>
      <c r="M10" s="56">
        <f t="shared" si="0"/>
        <v>648.16546666666659</v>
      </c>
      <c r="N10" s="56">
        <f t="shared" si="0"/>
        <v>603.25980000000004</v>
      </c>
      <c r="O10" s="57">
        <f t="shared" si="0"/>
        <v>560.24430000000007</v>
      </c>
      <c r="R10" s="162" t="s">
        <v>215</v>
      </c>
      <c r="S10">
        <v>10.29</v>
      </c>
    </row>
    <row r="11" spans="2:20" x14ac:dyDescent="0.25">
      <c r="B11" s="294"/>
      <c r="C11" s="122" t="s">
        <v>202</v>
      </c>
      <c r="D11" s="122"/>
      <c r="E11" s="122">
        <f>44</f>
        <v>44</v>
      </c>
      <c r="F11" s="122">
        <f>44</f>
        <v>44</v>
      </c>
      <c r="G11" s="122">
        <f>44</f>
        <v>44</v>
      </c>
      <c r="H11" s="122">
        <f>44</f>
        <v>44</v>
      </c>
      <c r="I11" s="122">
        <f>44</f>
        <v>44</v>
      </c>
      <c r="J11" s="122">
        <f>44</f>
        <v>44</v>
      </c>
      <c r="K11" s="122">
        <f>44</f>
        <v>44</v>
      </c>
      <c r="L11" s="122">
        <f>44</f>
        <v>44</v>
      </c>
      <c r="M11" s="122">
        <f>44</f>
        <v>44</v>
      </c>
      <c r="N11" s="122">
        <f>44</f>
        <v>44</v>
      </c>
      <c r="O11" s="80">
        <f>44</f>
        <v>44</v>
      </c>
      <c r="R11" s="162" t="s">
        <v>216</v>
      </c>
      <c r="S11">
        <v>17.149999999999999</v>
      </c>
    </row>
    <row r="12" spans="2:20" x14ac:dyDescent="0.25">
      <c r="B12" s="294"/>
      <c r="C12" s="122" t="s">
        <v>203</v>
      </c>
      <c r="D12" s="122"/>
      <c r="E12" s="122">
        <f>ROUNDUP(E10+E11,0)</f>
        <v>44</v>
      </c>
      <c r="F12" s="122">
        <f t="shared" ref="F12:O12" si="1">ROUNDUP(F10+F11,0)</f>
        <v>488</v>
      </c>
      <c r="G12" s="122">
        <f t="shared" si="1"/>
        <v>438</v>
      </c>
      <c r="H12" s="122">
        <f t="shared" si="1"/>
        <v>575</v>
      </c>
      <c r="I12" s="122">
        <f t="shared" si="1"/>
        <v>659</v>
      </c>
      <c r="J12" s="122">
        <f t="shared" si="1"/>
        <v>780</v>
      </c>
      <c r="K12" s="122">
        <f t="shared" si="1"/>
        <v>691</v>
      </c>
      <c r="L12" s="122">
        <f t="shared" si="1"/>
        <v>668</v>
      </c>
      <c r="M12" s="122">
        <f t="shared" si="1"/>
        <v>693</v>
      </c>
      <c r="N12" s="122">
        <f t="shared" si="1"/>
        <v>648</v>
      </c>
      <c r="O12" s="80">
        <f t="shared" si="1"/>
        <v>605</v>
      </c>
      <c r="R12" s="162" t="s">
        <v>217</v>
      </c>
      <c r="S12">
        <v>823.22</v>
      </c>
    </row>
    <row r="13" spans="2:20" x14ac:dyDescent="0.25">
      <c r="B13" s="294"/>
      <c r="C13" s="122" t="s">
        <v>211</v>
      </c>
      <c r="D13" s="122">
        <v>12</v>
      </c>
      <c r="E13" s="122">
        <v>12</v>
      </c>
      <c r="F13" s="154">
        <v>12</v>
      </c>
      <c r="G13" s="122">
        <v>0</v>
      </c>
      <c r="H13" s="122">
        <v>0</v>
      </c>
      <c r="I13" s="122">
        <v>0</v>
      </c>
      <c r="J13" s="122">
        <v>0</v>
      </c>
      <c r="K13" s="122">
        <v>0</v>
      </c>
      <c r="L13" s="122">
        <v>0</v>
      </c>
      <c r="M13" s="122">
        <v>0</v>
      </c>
      <c r="N13" s="122">
        <v>0</v>
      </c>
      <c r="O13" s="80">
        <v>0</v>
      </c>
      <c r="R13" s="162" t="s">
        <v>218</v>
      </c>
      <c r="S13">
        <v>411.61</v>
      </c>
    </row>
    <row r="14" spans="2:20" x14ac:dyDescent="0.25">
      <c r="B14" s="294"/>
      <c r="C14" s="122" t="s">
        <v>212</v>
      </c>
      <c r="D14" s="122">
        <v>0</v>
      </c>
      <c r="E14" s="122">
        <f>E13/D13</f>
        <v>1</v>
      </c>
      <c r="F14" s="122">
        <f t="shared" ref="F14:O14" si="2">F13/E13</f>
        <v>1</v>
      </c>
      <c r="G14" s="122">
        <f>G13/F13</f>
        <v>0</v>
      </c>
      <c r="H14" s="122" t="e">
        <f t="shared" si="2"/>
        <v>#DIV/0!</v>
      </c>
      <c r="I14" s="122" t="e">
        <f t="shared" si="2"/>
        <v>#DIV/0!</v>
      </c>
      <c r="J14" s="122" t="e">
        <f t="shared" si="2"/>
        <v>#DIV/0!</v>
      </c>
      <c r="K14" s="122" t="e">
        <f t="shared" si="2"/>
        <v>#DIV/0!</v>
      </c>
      <c r="L14" s="122" t="e">
        <f t="shared" si="2"/>
        <v>#DIV/0!</v>
      </c>
      <c r="M14" s="122" t="e">
        <f t="shared" si="2"/>
        <v>#DIV/0!</v>
      </c>
      <c r="N14" s="122" t="e">
        <f t="shared" si="2"/>
        <v>#DIV/0!</v>
      </c>
      <c r="O14" s="80" t="e">
        <f t="shared" si="2"/>
        <v>#DIV/0!</v>
      </c>
      <c r="R14" s="162" t="s">
        <v>219</v>
      </c>
      <c r="S14">
        <v>40</v>
      </c>
    </row>
    <row r="15" spans="2:20" x14ac:dyDescent="0.25">
      <c r="B15" s="294"/>
      <c r="C15" s="122" t="s">
        <v>213</v>
      </c>
      <c r="D15" s="122"/>
      <c r="E15" s="122">
        <f>MAX(E12-E13*$S$14,0)</f>
        <v>0</v>
      </c>
      <c r="F15" s="122">
        <f t="shared" ref="F15:O15" si="3">MAX(F12-F13*$S$14,0)</f>
        <v>8</v>
      </c>
      <c r="G15" s="122">
        <f t="shared" si="3"/>
        <v>438</v>
      </c>
      <c r="H15" s="122">
        <f t="shared" si="3"/>
        <v>575</v>
      </c>
      <c r="I15" s="122">
        <f t="shared" si="3"/>
        <v>659</v>
      </c>
      <c r="J15" s="122">
        <f t="shared" si="3"/>
        <v>780</v>
      </c>
      <c r="K15" s="122">
        <f t="shared" si="3"/>
        <v>691</v>
      </c>
      <c r="L15" s="122">
        <f t="shared" si="3"/>
        <v>668</v>
      </c>
      <c r="M15" s="122">
        <f t="shared" si="3"/>
        <v>693</v>
      </c>
      <c r="N15" s="122">
        <f t="shared" si="3"/>
        <v>648</v>
      </c>
      <c r="O15" s="80">
        <f t="shared" si="3"/>
        <v>605</v>
      </c>
    </row>
    <row r="16" spans="2:20" x14ac:dyDescent="0.25">
      <c r="B16" s="294"/>
      <c r="C16" s="122" t="s">
        <v>220</v>
      </c>
      <c r="D16" s="122">
        <f>D13*($S$3)*$S$14*(1+$S$5)</f>
        <v>561.6</v>
      </c>
      <c r="E16" s="122">
        <f t="shared" ref="E16:O16" si="4">E13*($S$3)*$S$14*(1+$S$5)</f>
        <v>561.6</v>
      </c>
      <c r="F16" s="122">
        <f t="shared" si="4"/>
        <v>561.6</v>
      </c>
      <c r="G16" s="122">
        <f t="shared" si="4"/>
        <v>0</v>
      </c>
      <c r="H16" s="122">
        <f t="shared" si="4"/>
        <v>0</v>
      </c>
      <c r="I16" s="122">
        <f t="shared" si="4"/>
        <v>0</v>
      </c>
      <c r="J16" s="122">
        <f t="shared" si="4"/>
        <v>0</v>
      </c>
      <c r="K16" s="122">
        <f t="shared" si="4"/>
        <v>0</v>
      </c>
      <c r="L16" s="122">
        <f t="shared" si="4"/>
        <v>0</v>
      </c>
      <c r="M16" s="122">
        <f t="shared" si="4"/>
        <v>0</v>
      </c>
      <c r="N16" s="122">
        <f t="shared" si="4"/>
        <v>0</v>
      </c>
      <c r="O16" s="122">
        <f t="shared" si="4"/>
        <v>0</v>
      </c>
    </row>
    <row r="17" spans="2:18" x14ac:dyDescent="0.25">
      <c r="B17" s="294"/>
      <c r="C17" s="122" t="s">
        <v>223</v>
      </c>
      <c r="D17" s="122"/>
      <c r="E17" s="122">
        <f>MAX(E13-D13,0)</f>
        <v>0</v>
      </c>
      <c r="F17" s="122">
        <f t="shared" ref="F17:O17" si="5">MAX(F13-E13,0)</f>
        <v>0</v>
      </c>
      <c r="G17" s="122">
        <f t="shared" si="5"/>
        <v>0</v>
      </c>
      <c r="H17" s="122">
        <f t="shared" si="5"/>
        <v>0</v>
      </c>
      <c r="I17" s="122">
        <f t="shared" si="5"/>
        <v>0</v>
      </c>
      <c r="J17" s="122">
        <f t="shared" si="5"/>
        <v>0</v>
      </c>
      <c r="K17" s="122">
        <f t="shared" si="5"/>
        <v>0</v>
      </c>
      <c r="L17" s="122">
        <f t="shared" si="5"/>
        <v>0</v>
      </c>
      <c r="M17" s="122">
        <f t="shared" si="5"/>
        <v>0</v>
      </c>
      <c r="N17" s="122">
        <f t="shared" si="5"/>
        <v>0</v>
      </c>
      <c r="O17" s="80">
        <f t="shared" si="5"/>
        <v>0</v>
      </c>
    </row>
    <row r="18" spans="2:18" x14ac:dyDescent="0.25">
      <c r="B18" s="294"/>
      <c r="C18" s="122" t="s">
        <v>224</v>
      </c>
      <c r="D18" s="122"/>
      <c r="E18" s="122">
        <f>MIN(E13-D13,0)</f>
        <v>0</v>
      </c>
      <c r="F18" s="122">
        <f t="shared" ref="F18:O18" si="6">MIN(F13-E13,0)</f>
        <v>0</v>
      </c>
      <c r="G18" s="122">
        <f t="shared" si="6"/>
        <v>-12</v>
      </c>
      <c r="H18" s="122">
        <f t="shared" si="6"/>
        <v>0</v>
      </c>
      <c r="I18" s="122">
        <f t="shared" si="6"/>
        <v>0</v>
      </c>
      <c r="J18" s="122">
        <f t="shared" si="6"/>
        <v>0</v>
      </c>
      <c r="K18" s="122">
        <f t="shared" si="6"/>
        <v>0</v>
      </c>
      <c r="L18" s="122">
        <f t="shared" si="6"/>
        <v>0</v>
      </c>
      <c r="M18" s="122">
        <f t="shared" si="6"/>
        <v>0</v>
      </c>
      <c r="N18" s="122">
        <f t="shared" si="6"/>
        <v>0</v>
      </c>
      <c r="O18" s="80">
        <f t="shared" si="6"/>
        <v>0</v>
      </c>
    </row>
    <row r="19" spans="2:18" x14ac:dyDescent="0.25">
      <c r="B19" s="294"/>
      <c r="C19" s="122"/>
      <c r="D19" s="122"/>
      <c r="E19" s="122"/>
      <c r="F19" s="122"/>
      <c r="G19" s="122"/>
      <c r="H19" s="122"/>
      <c r="I19" s="122"/>
      <c r="J19" s="122"/>
      <c r="K19" s="122"/>
      <c r="L19" s="122"/>
      <c r="M19" s="122"/>
      <c r="N19" s="122"/>
      <c r="O19" s="80"/>
    </row>
    <row r="20" spans="2:18" ht="15.75" thickBot="1" x14ac:dyDescent="0.3">
      <c r="B20" s="295"/>
      <c r="C20" s="92" t="s">
        <v>243</v>
      </c>
      <c r="D20" s="92"/>
      <c r="E20" s="92">
        <f>(E13*$S$3)*$S$10*$S$14+ABS(E13*$S$3-D13*$S$3)*$S$12+$E$15*$S$11</f>
        <v>4445.2800000000007</v>
      </c>
      <c r="F20" s="92">
        <f t="shared" ref="F20:O20" si="7">(F13*$S$3)*$S$10*$S$14+ABS(F13*$S$3-E13*$S$3)*$S$12+$E$15*$S$11</f>
        <v>4445.2800000000007</v>
      </c>
      <c r="G20" s="92">
        <f t="shared" si="7"/>
        <v>8890.7760000000017</v>
      </c>
      <c r="H20" s="92">
        <f t="shared" si="7"/>
        <v>0</v>
      </c>
      <c r="I20" s="92">
        <f t="shared" si="7"/>
        <v>0</v>
      </c>
      <c r="J20" s="92">
        <f t="shared" si="7"/>
        <v>0</v>
      </c>
      <c r="K20" s="92">
        <f t="shared" si="7"/>
        <v>0</v>
      </c>
      <c r="L20" s="92">
        <f t="shared" si="7"/>
        <v>0</v>
      </c>
      <c r="M20" s="92">
        <f t="shared" si="7"/>
        <v>0</v>
      </c>
      <c r="N20" s="92">
        <f t="shared" si="7"/>
        <v>0</v>
      </c>
      <c r="O20" s="92">
        <f t="shared" si="7"/>
        <v>0</v>
      </c>
    </row>
    <row r="21" spans="2:18" x14ac:dyDescent="0.25">
      <c r="Q21" t="s">
        <v>251</v>
      </c>
      <c r="R21">
        <f>SUM(E20,F20,G20,H20,I20,J20,K20,L20,M20,N20,O20)</f>
        <v>17781.336000000003</v>
      </c>
    </row>
  </sheetData>
  <mergeCells count="4">
    <mergeCell ref="B4:B5"/>
    <mergeCell ref="B7:B8"/>
    <mergeCell ref="Q2:Q9"/>
    <mergeCell ref="B10:B20"/>
  </mergeCell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T20"/>
  <sheetViews>
    <sheetView topLeftCell="B1" workbookViewId="0">
      <selection activeCell="F15" sqref="F15"/>
    </sheetView>
  </sheetViews>
  <sheetFormatPr baseColWidth="10" defaultRowHeight="15" x14ac:dyDescent="0.25"/>
  <cols>
    <col min="1" max="1" width="11.42578125" style="2"/>
    <col min="2" max="2" width="17.5703125" style="2" bestFit="1" customWidth="1"/>
    <col min="3" max="3" width="15.140625" style="2" bestFit="1" customWidth="1"/>
    <col min="4" max="4" width="12.85546875" style="2" customWidth="1"/>
    <col min="5" max="17" width="11.42578125" style="2"/>
    <col min="18" max="18" width="15.7109375" style="2" bestFit="1" customWidth="1"/>
    <col min="19" max="16384" width="11.42578125" style="2"/>
  </cols>
  <sheetData>
    <row r="1" spans="2:20" ht="15.75" thickBot="1" x14ac:dyDescent="0.3"/>
    <row r="2" spans="2:20" ht="15.75" thickBot="1" x14ac:dyDescent="0.3">
      <c r="B2" s="209" t="s">
        <v>134</v>
      </c>
      <c r="C2" s="210"/>
      <c r="D2" s="210" t="s">
        <v>0</v>
      </c>
      <c r="E2" s="210" t="s">
        <v>74</v>
      </c>
      <c r="F2" s="210" t="s">
        <v>75</v>
      </c>
      <c r="G2" s="210" t="s">
        <v>76</v>
      </c>
      <c r="H2" s="210" t="s">
        <v>77</v>
      </c>
      <c r="I2" s="210" t="s">
        <v>78</v>
      </c>
      <c r="J2" s="210" t="s">
        <v>79</v>
      </c>
      <c r="K2" s="210" t="s">
        <v>80</v>
      </c>
      <c r="L2" s="210" t="s">
        <v>81</v>
      </c>
      <c r="M2" s="210" t="s">
        <v>82</v>
      </c>
      <c r="N2" s="210" t="s">
        <v>83</v>
      </c>
      <c r="O2" s="211" t="s">
        <v>84</v>
      </c>
      <c r="Q2" s="290" t="s">
        <v>132</v>
      </c>
      <c r="R2" s="77" t="s">
        <v>205</v>
      </c>
      <c r="S2" s="57">
        <v>18</v>
      </c>
    </row>
    <row r="3" spans="2:20" x14ac:dyDescent="0.25">
      <c r="B3" s="208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2"/>
      <c r="Q3" s="291"/>
      <c r="R3" s="158" t="s">
        <v>250</v>
      </c>
      <c r="S3" s="159">
        <v>0.9</v>
      </c>
    </row>
    <row r="4" spans="2:20" x14ac:dyDescent="0.25">
      <c r="B4" s="287" t="s">
        <v>108</v>
      </c>
      <c r="C4" s="190" t="s">
        <v>199</v>
      </c>
      <c r="D4" s="190"/>
      <c r="E4" s="219">
        <f>MRP!E17</f>
        <v>1642.3000000000002</v>
      </c>
      <c r="F4" s="219">
        <f>MRP!F17</f>
        <v>3172.3999999999996</v>
      </c>
      <c r="G4" s="219">
        <f>MRP!G17</f>
        <v>4270.2</v>
      </c>
      <c r="H4" s="219">
        <f>MRP!H17</f>
        <v>4920.3</v>
      </c>
      <c r="I4" s="219">
        <f>MRP!I17</f>
        <v>5894.9000000000005</v>
      </c>
      <c r="J4" s="219">
        <f>MRP!J17</f>
        <v>5249.2</v>
      </c>
      <c r="K4" s="219">
        <f>MRP!K17</f>
        <v>5102.8999999999996</v>
      </c>
      <c r="L4" s="219">
        <f>MRP!L17</f>
        <v>5310.8</v>
      </c>
      <c r="M4" s="219">
        <f>MRP!M17</f>
        <v>5101.8</v>
      </c>
      <c r="N4" s="219">
        <f>MRP!N17</f>
        <v>4161.3</v>
      </c>
      <c r="O4" s="219">
        <f>MRP!O17</f>
        <v>3858.7999999999997</v>
      </c>
      <c r="Q4" s="291"/>
      <c r="R4" s="13" t="s">
        <v>206</v>
      </c>
      <c r="S4" s="80">
        <f>S2*(1-S3)*40</f>
        <v>71.999999999999986</v>
      </c>
    </row>
    <row r="5" spans="2:20" x14ac:dyDescent="0.25">
      <c r="B5" s="287"/>
      <c r="C5" s="190" t="s">
        <v>200</v>
      </c>
      <c r="D5" s="190"/>
      <c r="E5" s="190">
        <f>E4*'Nomenclature &amp; données'!$K$6/60</f>
        <v>87.589333333333343</v>
      </c>
      <c r="F5" s="190">
        <f>F4*'Nomenclature &amp; données'!$K$6/60</f>
        <v>169.19466666666668</v>
      </c>
      <c r="G5" s="190">
        <f>G4*'Nomenclature &amp; données'!$K$6/60</f>
        <v>227.744</v>
      </c>
      <c r="H5" s="190">
        <f>H4*'Nomenclature &amp; données'!$K$6/60</f>
        <v>262.416</v>
      </c>
      <c r="I5" s="190">
        <f>I4*'Nomenclature &amp; données'!$K$6/60</f>
        <v>314.39466666666675</v>
      </c>
      <c r="J5" s="190">
        <f>J4*'Nomenclature &amp; données'!$K$6/60</f>
        <v>279.95733333333334</v>
      </c>
      <c r="K5" s="190">
        <f>K4*'Nomenclature &amp; données'!$K$6/60</f>
        <v>272.15466666666663</v>
      </c>
      <c r="L5" s="190">
        <f>L4*'Nomenclature &amp; données'!$K$6/60</f>
        <v>283.24266666666671</v>
      </c>
      <c r="M5" s="190">
        <f>M4*'Nomenclature &amp; données'!$K$6/60</f>
        <v>272.09600000000006</v>
      </c>
      <c r="N5" s="190">
        <f>N4*'Nomenclature &amp; données'!$K$6/60</f>
        <v>221.93600000000004</v>
      </c>
      <c r="O5" s="191">
        <f>O4*'Nomenclature &amp; données'!$K$6/60</f>
        <v>205.80266666666665</v>
      </c>
      <c r="Q5" s="291"/>
      <c r="R5" s="158" t="s">
        <v>174</v>
      </c>
      <c r="S5" s="159">
        <v>0.3</v>
      </c>
      <c r="T5" s="163" t="s">
        <v>221</v>
      </c>
    </row>
    <row r="6" spans="2:20" x14ac:dyDescent="0.25">
      <c r="B6" s="208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2"/>
      <c r="Q6" s="291"/>
      <c r="R6" s="13" t="s">
        <v>207</v>
      </c>
      <c r="S6" s="80">
        <f>S4*0.3</f>
        <v>21.599999999999994</v>
      </c>
    </row>
    <row r="7" spans="2:20" x14ac:dyDescent="0.25">
      <c r="B7" s="288" t="s">
        <v>109</v>
      </c>
      <c r="C7" s="220" t="s">
        <v>199</v>
      </c>
      <c r="D7" s="220"/>
      <c r="E7" s="221">
        <f>MRP!E21</f>
        <v>506.48500000000007</v>
      </c>
      <c r="F7" s="221">
        <f>MRP!F21</f>
        <v>662.97</v>
      </c>
      <c r="G7" s="221">
        <f>MRP!G21</f>
        <v>896.28</v>
      </c>
      <c r="H7" s="221">
        <f>MRP!H21</f>
        <v>1040.6550000000002</v>
      </c>
      <c r="I7" s="221">
        <f>MRP!I21</f>
        <v>1245.0899999999999</v>
      </c>
      <c r="J7" s="221">
        <f>MRP!J21</f>
        <v>1086.855</v>
      </c>
      <c r="K7" s="221">
        <f>MRP!K21</f>
        <v>1042.9650000000001</v>
      </c>
      <c r="L7" s="221">
        <f>MRP!L21</f>
        <v>1083.3899999999999</v>
      </c>
      <c r="M7" s="221">
        <f>MRP!M21</f>
        <v>989.83500000000004</v>
      </c>
      <c r="N7" s="221">
        <f>MRP!N21</f>
        <v>986.37</v>
      </c>
      <c r="O7" s="221">
        <f>MRP!O21</f>
        <v>924</v>
      </c>
      <c r="Q7" s="291"/>
      <c r="R7" s="13" t="s">
        <v>208</v>
      </c>
      <c r="S7" s="80">
        <f>S4+S6</f>
        <v>93.59999999999998</v>
      </c>
    </row>
    <row r="8" spans="2:20" ht="15.75" thickBot="1" x14ac:dyDescent="0.3">
      <c r="B8" s="289"/>
      <c r="C8" s="222" t="s">
        <v>200</v>
      </c>
      <c r="D8" s="222"/>
      <c r="E8" s="222">
        <f>E7*'Nomenclature &amp; données'!$L$6/60</f>
        <v>405.18800000000005</v>
      </c>
      <c r="F8" s="222">
        <f>F7*'Nomenclature &amp; données'!$L$6/60</f>
        <v>530.37599999999998</v>
      </c>
      <c r="G8" s="222">
        <f>G7*'Nomenclature &amp; données'!$L$6/60</f>
        <v>717.024</v>
      </c>
      <c r="H8" s="222">
        <f>H7*'Nomenclature &amp; données'!$L$6/60</f>
        <v>832.52400000000011</v>
      </c>
      <c r="I8" s="222">
        <f>I7*'Nomenclature &amp; données'!$L$6/60</f>
        <v>996.07199999999989</v>
      </c>
      <c r="J8" s="222">
        <f>J7*'Nomenclature &amp; données'!$L$6/60</f>
        <v>869.48400000000004</v>
      </c>
      <c r="K8" s="222">
        <f>K7*'Nomenclature &amp; données'!$L$6/60</f>
        <v>834.37200000000007</v>
      </c>
      <c r="L8" s="222">
        <f>L7*'Nomenclature &amp; données'!$L$6/60</f>
        <v>866.71199999999988</v>
      </c>
      <c r="M8" s="222">
        <f>M7*'Nomenclature &amp; données'!$L$6/60</f>
        <v>791.86800000000005</v>
      </c>
      <c r="N8" s="222">
        <f>N7*'Nomenclature &amp; données'!$L$6/60</f>
        <v>789.096</v>
      </c>
      <c r="O8" s="223">
        <f>O7*'Nomenclature &amp; données'!$L$6/60</f>
        <v>739.2</v>
      </c>
      <c r="Q8" s="291"/>
      <c r="R8" s="158" t="s">
        <v>209</v>
      </c>
      <c r="S8" s="159">
        <v>0.5</v>
      </c>
    </row>
    <row r="9" spans="2:20" ht="15.75" thickBot="1" x14ac:dyDescent="0.3">
      <c r="B9" s="212"/>
      <c r="C9" s="213"/>
      <c r="D9" s="213"/>
      <c r="E9" s="213"/>
      <c r="F9" s="213"/>
      <c r="G9" s="213"/>
      <c r="H9" s="213"/>
      <c r="I9" s="213"/>
      <c r="J9" s="213"/>
      <c r="K9" s="213"/>
      <c r="L9" s="213"/>
      <c r="M9" s="213"/>
      <c r="N9" s="213"/>
      <c r="O9" s="214"/>
      <c r="Q9" s="292"/>
      <c r="R9" s="160" t="s">
        <v>210</v>
      </c>
      <c r="S9" s="161">
        <v>40</v>
      </c>
    </row>
    <row r="10" spans="2:20" x14ac:dyDescent="0.25">
      <c r="B10" s="293" t="s">
        <v>201</v>
      </c>
      <c r="C10" s="56" t="s">
        <v>204</v>
      </c>
      <c r="D10" s="56"/>
      <c r="E10" s="56">
        <f>E5+E8</f>
        <v>492.77733333333339</v>
      </c>
      <c r="F10" s="56">
        <f t="shared" ref="F10:O10" si="0">F5+F8</f>
        <v>699.57066666666663</v>
      </c>
      <c r="G10" s="56">
        <f t="shared" si="0"/>
        <v>944.76800000000003</v>
      </c>
      <c r="H10" s="56">
        <f t="shared" si="0"/>
        <v>1094.94</v>
      </c>
      <c r="I10" s="56">
        <f t="shared" si="0"/>
        <v>1310.4666666666667</v>
      </c>
      <c r="J10" s="56">
        <f t="shared" si="0"/>
        <v>1149.4413333333334</v>
      </c>
      <c r="K10" s="56">
        <f t="shared" si="0"/>
        <v>1106.5266666666666</v>
      </c>
      <c r="L10" s="56">
        <f t="shared" si="0"/>
        <v>1149.9546666666665</v>
      </c>
      <c r="M10" s="56">
        <f t="shared" si="0"/>
        <v>1063.9640000000002</v>
      </c>
      <c r="N10" s="56">
        <f t="shared" si="0"/>
        <v>1011.032</v>
      </c>
      <c r="O10" s="57">
        <f t="shared" si="0"/>
        <v>945.00266666666676</v>
      </c>
      <c r="R10" s="162" t="s">
        <v>215</v>
      </c>
      <c r="S10" s="2">
        <v>11.43</v>
      </c>
    </row>
    <row r="11" spans="2:20" x14ac:dyDescent="0.25">
      <c r="B11" s="294"/>
      <c r="C11" s="122" t="s">
        <v>202</v>
      </c>
      <c r="D11" s="122"/>
      <c r="E11" s="122">
        <v>80</v>
      </c>
      <c r="F11" s="122">
        <v>80</v>
      </c>
      <c r="G11" s="122">
        <v>80</v>
      </c>
      <c r="H11" s="122">
        <v>80</v>
      </c>
      <c r="I11" s="122">
        <v>80</v>
      </c>
      <c r="J11" s="122">
        <v>80</v>
      </c>
      <c r="K11" s="122">
        <v>80</v>
      </c>
      <c r="L11" s="122">
        <v>80</v>
      </c>
      <c r="M11" s="122">
        <v>80</v>
      </c>
      <c r="N11" s="122">
        <v>80</v>
      </c>
      <c r="O11" s="80">
        <v>80</v>
      </c>
      <c r="R11" s="162" t="s">
        <v>216</v>
      </c>
      <c r="S11" s="2">
        <v>19.059999999999999</v>
      </c>
    </row>
    <row r="12" spans="2:20" x14ac:dyDescent="0.25">
      <c r="B12" s="294"/>
      <c r="C12" s="122" t="s">
        <v>203</v>
      </c>
      <c r="D12" s="122"/>
      <c r="E12" s="122">
        <f>ROUNDUP(E10+E11,0)</f>
        <v>573</v>
      </c>
      <c r="F12" s="122">
        <f t="shared" ref="F12:O12" si="1">ROUNDUP(F10+F11,0)</f>
        <v>780</v>
      </c>
      <c r="G12" s="122">
        <f t="shared" si="1"/>
        <v>1025</v>
      </c>
      <c r="H12" s="122">
        <f t="shared" si="1"/>
        <v>1175</v>
      </c>
      <c r="I12" s="122">
        <f t="shared" si="1"/>
        <v>1391</v>
      </c>
      <c r="J12" s="122">
        <f t="shared" si="1"/>
        <v>1230</v>
      </c>
      <c r="K12" s="122">
        <f t="shared" si="1"/>
        <v>1187</v>
      </c>
      <c r="L12" s="122">
        <f t="shared" si="1"/>
        <v>1230</v>
      </c>
      <c r="M12" s="122">
        <f t="shared" si="1"/>
        <v>1144</v>
      </c>
      <c r="N12" s="122">
        <f t="shared" si="1"/>
        <v>1092</v>
      </c>
      <c r="O12" s="80">
        <f t="shared" si="1"/>
        <v>1026</v>
      </c>
      <c r="R12" s="162" t="s">
        <v>217</v>
      </c>
      <c r="S12" s="2">
        <v>823.22</v>
      </c>
    </row>
    <row r="13" spans="2:20" x14ac:dyDescent="0.25">
      <c r="B13" s="294"/>
      <c r="C13" s="122" t="s">
        <v>211</v>
      </c>
      <c r="D13" s="122">
        <v>18</v>
      </c>
      <c r="E13" s="122">
        <v>18</v>
      </c>
      <c r="F13" s="122">
        <v>18</v>
      </c>
      <c r="G13" s="122"/>
      <c r="H13" s="122"/>
      <c r="I13" s="122"/>
      <c r="J13" s="122"/>
      <c r="K13" s="122"/>
      <c r="L13" s="122"/>
      <c r="M13" s="122"/>
      <c r="N13" s="122"/>
      <c r="O13" s="80"/>
      <c r="R13" s="162" t="s">
        <v>218</v>
      </c>
      <c r="S13" s="2">
        <v>411.61</v>
      </c>
    </row>
    <row r="14" spans="2:20" x14ac:dyDescent="0.25">
      <c r="B14" s="294"/>
      <c r="C14" s="122" t="s">
        <v>212</v>
      </c>
      <c r="D14" s="122">
        <v>0</v>
      </c>
      <c r="E14" s="122">
        <f>E13/D13</f>
        <v>1</v>
      </c>
      <c r="F14" s="122">
        <f t="shared" ref="F14:O14" si="2">F13/E13</f>
        <v>1</v>
      </c>
      <c r="G14" s="122">
        <f t="shared" si="2"/>
        <v>0</v>
      </c>
      <c r="H14" s="122" t="e">
        <f t="shared" si="2"/>
        <v>#DIV/0!</v>
      </c>
      <c r="I14" s="122" t="e">
        <f t="shared" si="2"/>
        <v>#DIV/0!</v>
      </c>
      <c r="J14" s="122" t="e">
        <f t="shared" si="2"/>
        <v>#DIV/0!</v>
      </c>
      <c r="K14" s="122" t="e">
        <f t="shared" si="2"/>
        <v>#DIV/0!</v>
      </c>
      <c r="L14" s="122" t="e">
        <f t="shared" si="2"/>
        <v>#DIV/0!</v>
      </c>
      <c r="M14" s="122" t="e">
        <f t="shared" si="2"/>
        <v>#DIV/0!</v>
      </c>
      <c r="N14" s="122" t="e">
        <f t="shared" si="2"/>
        <v>#DIV/0!</v>
      </c>
      <c r="O14" s="80" t="e">
        <f t="shared" si="2"/>
        <v>#DIV/0!</v>
      </c>
      <c r="R14" s="162" t="s">
        <v>219</v>
      </c>
      <c r="S14" s="2">
        <v>40</v>
      </c>
    </row>
    <row r="15" spans="2:20" x14ac:dyDescent="0.25">
      <c r="B15" s="294"/>
      <c r="C15" s="122" t="s">
        <v>213</v>
      </c>
      <c r="D15" s="122"/>
      <c r="E15" s="122">
        <f>MAX(E12-E13*$S$14,0)</f>
        <v>0</v>
      </c>
      <c r="F15" s="122">
        <f t="shared" ref="F15:O15" si="3">MAX(F12-F13*$S$14,0)</f>
        <v>60</v>
      </c>
      <c r="G15" s="122">
        <f t="shared" si="3"/>
        <v>1025</v>
      </c>
      <c r="H15" s="122">
        <f t="shared" si="3"/>
        <v>1175</v>
      </c>
      <c r="I15" s="122">
        <f t="shared" si="3"/>
        <v>1391</v>
      </c>
      <c r="J15" s="122">
        <f t="shared" si="3"/>
        <v>1230</v>
      </c>
      <c r="K15" s="122">
        <f t="shared" si="3"/>
        <v>1187</v>
      </c>
      <c r="L15" s="122">
        <f t="shared" si="3"/>
        <v>1230</v>
      </c>
      <c r="M15" s="122">
        <f t="shared" si="3"/>
        <v>1144</v>
      </c>
      <c r="N15" s="122">
        <f t="shared" si="3"/>
        <v>1092</v>
      </c>
      <c r="O15" s="80">
        <f t="shared" si="3"/>
        <v>1026</v>
      </c>
    </row>
    <row r="16" spans="2:20" x14ac:dyDescent="0.25">
      <c r="B16" s="294"/>
      <c r="C16" s="122" t="s">
        <v>220</v>
      </c>
      <c r="D16" s="122">
        <f>D13*($S$3)*$S$14*(1+$S$5)</f>
        <v>842.4</v>
      </c>
      <c r="E16" s="122">
        <f t="shared" ref="E16:O16" si="4">E13*($S$3)*$S$14*(1+$S$5)</f>
        <v>842.4</v>
      </c>
      <c r="F16" s="122">
        <f t="shared" si="4"/>
        <v>842.4</v>
      </c>
      <c r="G16" s="122">
        <f t="shared" si="4"/>
        <v>0</v>
      </c>
      <c r="H16" s="122">
        <f t="shared" si="4"/>
        <v>0</v>
      </c>
      <c r="I16" s="122">
        <f t="shared" si="4"/>
        <v>0</v>
      </c>
      <c r="J16" s="122">
        <f t="shared" si="4"/>
        <v>0</v>
      </c>
      <c r="K16" s="122">
        <f t="shared" si="4"/>
        <v>0</v>
      </c>
      <c r="L16" s="122">
        <f t="shared" si="4"/>
        <v>0</v>
      </c>
      <c r="M16" s="122">
        <f t="shared" si="4"/>
        <v>0</v>
      </c>
      <c r="N16" s="122">
        <f t="shared" si="4"/>
        <v>0</v>
      </c>
      <c r="O16" s="122">
        <f t="shared" si="4"/>
        <v>0</v>
      </c>
    </row>
    <row r="17" spans="2:15" x14ac:dyDescent="0.25">
      <c r="B17" s="294"/>
      <c r="C17" s="122" t="s">
        <v>223</v>
      </c>
      <c r="D17" s="122"/>
      <c r="E17" s="122">
        <f>MAX(E13-D13,0)</f>
        <v>0</v>
      </c>
      <c r="F17" s="122">
        <f t="shared" ref="F17:O17" si="5">MAX(F13-E13,0)</f>
        <v>0</v>
      </c>
      <c r="G17" s="122">
        <f t="shared" si="5"/>
        <v>0</v>
      </c>
      <c r="H17" s="122">
        <f t="shared" si="5"/>
        <v>0</v>
      </c>
      <c r="I17" s="122">
        <f t="shared" si="5"/>
        <v>0</v>
      </c>
      <c r="J17" s="122">
        <f t="shared" si="5"/>
        <v>0</v>
      </c>
      <c r="K17" s="122">
        <f t="shared" si="5"/>
        <v>0</v>
      </c>
      <c r="L17" s="122">
        <f t="shared" si="5"/>
        <v>0</v>
      </c>
      <c r="M17" s="122">
        <f t="shared" si="5"/>
        <v>0</v>
      </c>
      <c r="N17" s="122">
        <f t="shared" si="5"/>
        <v>0</v>
      </c>
      <c r="O17" s="80">
        <f t="shared" si="5"/>
        <v>0</v>
      </c>
    </row>
    <row r="18" spans="2:15" x14ac:dyDescent="0.25">
      <c r="B18" s="294"/>
      <c r="C18" s="122" t="s">
        <v>224</v>
      </c>
      <c r="D18" s="122"/>
      <c r="E18" s="122">
        <f>MIN(E13-D13,0)</f>
        <v>0</v>
      </c>
      <c r="F18" s="122">
        <f t="shared" ref="F18:O18" si="6">MIN(F13-E13,0)</f>
        <v>0</v>
      </c>
      <c r="G18" s="122">
        <f t="shared" si="6"/>
        <v>-18</v>
      </c>
      <c r="H18" s="122">
        <f t="shared" si="6"/>
        <v>0</v>
      </c>
      <c r="I18" s="122">
        <f t="shared" si="6"/>
        <v>0</v>
      </c>
      <c r="J18" s="122">
        <f t="shared" si="6"/>
        <v>0</v>
      </c>
      <c r="K18" s="122">
        <f t="shared" si="6"/>
        <v>0</v>
      </c>
      <c r="L18" s="122">
        <f t="shared" si="6"/>
        <v>0</v>
      </c>
      <c r="M18" s="122">
        <f t="shared" si="6"/>
        <v>0</v>
      </c>
      <c r="N18" s="122">
        <f t="shared" si="6"/>
        <v>0</v>
      </c>
      <c r="O18" s="80">
        <f t="shared" si="6"/>
        <v>0</v>
      </c>
    </row>
    <row r="19" spans="2:15" x14ac:dyDescent="0.25">
      <c r="B19" s="294"/>
      <c r="C19" s="122"/>
      <c r="D19" s="122"/>
      <c r="E19" s="122"/>
      <c r="F19" s="122"/>
      <c r="G19" s="122"/>
      <c r="H19" s="122"/>
      <c r="I19" s="122"/>
      <c r="J19" s="122"/>
      <c r="K19" s="122"/>
      <c r="L19" s="122"/>
      <c r="M19" s="122"/>
      <c r="N19" s="122"/>
      <c r="O19" s="80"/>
    </row>
    <row r="20" spans="2:15" ht="15.75" thickBot="1" x14ac:dyDescent="0.3">
      <c r="B20" s="295"/>
      <c r="C20" s="92" t="s">
        <v>214</v>
      </c>
      <c r="D20" s="92"/>
      <c r="E20" s="92">
        <f>E13*$S$3*$S$10*$S$14+ABS(E13-D13)*$S$3*$S$12+E15*$S$11</f>
        <v>7406.6399999999994</v>
      </c>
      <c r="F20" s="92">
        <f t="shared" ref="F20:O20" si="7">F13*$S$3*$S$10*$S$14+ABS(F13-E13)*$S$3*$S$12+F15*$S$11</f>
        <v>8550.24</v>
      </c>
      <c r="G20" s="92">
        <f t="shared" si="7"/>
        <v>32872.664000000004</v>
      </c>
      <c r="H20" s="92">
        <f t="shared" si="7"/>
        <v>22395.5</v>
      </c>
      <c r="I20" s="92">
        <f t="shared" si="7"/>
        <v>26512.46</v>
      </c>
      <c r="J20" s="92">
        <f t="shared" si="7"/>
        <v>23443.8</v>
      </c>
      <c r="K20" s="92">
        <f t="shared" si="7"/>
        <v>22624.219999999998</v>
      </c>
      <c r="L20" s="92">
        <f t="shared" si="7"/>
        <v>23443.8</v>
      </c>
      <c r="M20" s="92">
        <f t="shared" si="7"/>
        <v>21804.639999999999</v>
      </c>
      <c r="N20" s="92">
        <f t="shared" si="7"/>
        <v>20813.519999999997</v>
      </c>
      <c r="O20" s="92">
        <f t="shared" si="7"/>
        <v>19555.559999999998</v>
      </c>
    </row>
  </sheetData>
  <mergeCells count="4">
    <mergeCell ref="Q2:Q9"/>
    <mergeCell ref="B4:B5"/>
    <mergeCell ref="B7:B8"/>
    <mergeCell ref="B10:B20"/>
  </mergeCells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T23"/>
  <sheetViews>
    <sheetView workbookViewId="0">
      <selection activeCell="F16" sqref="F16"/>
    </sheetView>
  </sheetViews>
  <sheetFormatPr baseColWidth="10" defaultRowHeight="15" x14ac:dyDescent="0.25"/>
  <cols>
    <col min="1" max="1" width="11.42578125" style="2"/>
    <col min="2" max="2" width="17.5703125" style="2" bestFit="1" customWidth="1"/>
    <col min="3" max="3" width="15.140625" style="2" bestFit="1" customWidth="1"/>
    <col min="4" max="4" width="12.85546875" style="2" customWidth="1"/>
    <col min="5" max="17" width="11.42578125" style="2"/>
    <col min="18" max="18" width="15.7109375" style="2" bestFit="1" customWidth="1"/>
    <col min="19" max="16384" width="11.42578125" style="2"/>
  </cols>
  <sheetData>
    <row r="1" spans="2:20" ht="15.75" thickBot="1" x14ac:dyDescent="0.3"/>
    <row r="2" spans="2:20" ht="15.75" thickBot="1" x14ac:dyDescent="0.3">
      <c r="B2" s="209" t="s">
        <v>134</v>
      </c>
      <c r="C2" s="210"/>
      <c r="D2" s="210" t="s">
        <v>0</v>
      </c>
      <c r="E2" s="210" t="s">
        <v>74</v>
      </c>
      <c r="F2" s="210" t="s">
        <v>75</v>
      </c>
      <c r="G2" s="210" t="s">
        <v>76</v>
      </c>
      <c r="H2" s="210" t="s">
        <v>77</v>
      </c>
      <c r="I2" s="210" t="s">
        <v>78</v>
      </c>
      <c r="J2" s="210" t="s">
        <v>79</v>
      </c>
      <c r="K2" s="210" t="s">
        <v>80</v>
      </c>
      <c r="L2" s="210" t="s">
        <v>81</v>
      </c>
      <c r="M2" s="210" t="s">
        <v>82</v>
      </c>
      <c r="N2" s="210" t="s">
        <v>83</v>
      </c>
      <c r="O2" s="211" t="s">
        <v>84</v>
      </c>
      <c r="Q2" s="290" t="s">
        <v>132</v>
      </c>
      <c r="R2" s="77" t="s">
        <v>205</v>
      </c>
      <c r="S2" s="57">
        <v>70</v>
      </c>
    </row>
    <row r="3" spans="2:20" x14ac:dyDescent="0.25">
      <c r="B3" s="208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2"/>
      <c r="Q3" s="291"/>
      <c r="R3" s="158" t="s">
        <v>250</v>
      </c>
      <c r="S3" s="159">
        <v>0.9</v>
      </c>
    </row>
    <row r="4" spans="2:20" x14ac:dyDescent="0.25">
      <c r="B4" s="296" t="s">
        <v>110</v>
      </c>
      <c r="C4" s="169" t="s">
        <v>199</v>
      </c>
      <c r="D4" s="169"/>
      <c r="E4" s="224">
        <f>MRP!E33</f>
        <v>3139.7</v>
      </c>
      <c r="F4" s="224">
        <f>MRP!F33</f>
        <v>4270.2</v>
      </c>
      <c r="G4" s="224">
        <f>MRP!G33</f>
        <v>4920.3</v>
      </c>
      <c r="H4" s="224">
        <f>MRP!H33</f>
        <v>5894.9000000000005</v>
      </c>
      <c r="I4" s="224">
        <f>MRP!I33</f>
        <v>5249.2</v>
      </c>
      <c r="J4" s="224">
        <f>MRP!J33</f>
        <v>5102.8999999999996</v>
      </c>
      <c r="K4" s="224">
        <f>MRP!K33</f>
        <v>5310.8</v>
      </c>
      <c r="L4" s="224">
        <f>MRP!L33</f>
        <v>5101.8</v>
      </c>
      <c r="M4" s="224">
        <f>MRP!M33</f>
        <v>4161.3</v>
      </c>
      <c r="N4" s="224">
        <f>MRP!N33</f>
        <v>3858.7999999999997</v>
      </c>
      <c r="O4" s="224">
        <f>MRP!O33</f>
        <v>0</v>
      </c>
      <c r="Q4" s="291"/>
      <c r="R4" s="13" t="s">
        <v>206</v>
      </c>
      <c r="S4" s="80">
        <f>S2*(1-S3)*40</f>
        <v>279.99999999999994</v>
      </c>
    </row>
    <row r="5" spans="2:20" x14ac:dyDescent="0.25">
      <c r="B5" s="296"/>
      <c r="C5" s="169" t="s">
        <v>200</v>
      </c>
      <c r="D5" s="169"/>
      <c r="E5" s="169">
        <f>E4*'Nomenclature &amp; données'!$M$6/60</f>
        <v>251.17599999999996</v>
      </c>
      <c r="F5" s="169">
        <f>F4*'Nomenclature &amp; données'!$M$6/60</f>
        <v>341.61599999999999</v>
      </c>
      <c r="G5" s="169">
        <f>G4*'Nomenclature &amp; données'!$M$6/60</f>
        <v>393.62399999999997</v>
      </c>
      <c r="H5" s="169">
        <f>H4*'Nomenclature &amp; données'!$M$6/60</f>
        <v>471.59199999999998</v>
      </c>
      <c r="I5" s="169">
        <f>I4*'Nomenclature &amp; données'!$M$6/60</f>
        <v>419.93599999999998</v>
      </c>
      <c r="J5" s="169">
        <f>J4*'Nomenclature &amp; données'!$M$6/60</f>
        <v>408.23199999999997</v>
      </c>
      <c r="K5" s="169">
        <f>K4*'Nomenclature &amp; données'!$M$6/60</f>
        <v>424.86399999999998</v>
      </c>
      <c r="L5" s="169">
        <f>L4*'Nomenclature &amp; données'!$M$6/60</f>
        <v>408.14400000000001</v>
      </c>
      <c r="M5" s="169">
        <f>M4*'Nomenclature &amp; données'!$M$6/60</f>
        <v>332.90400000000005</v>
      </c>
      <c r="N5" s="169">
        <f>N4*'Nomenclature &amp; données'!$M$6/60</f>
        <v>308.70399999999995</v>
      </c>
      <c r="O5" s="173">
        <f>O4*'Nomenclature &amp; données'!$M$6/60</f>
        <v>0</v>
      </c>
      <c r="Q5" s="291"/>
      <c r="R5" s="158" t="s">
        <v>174</v>
      </c>
      <c r="S5" s="159">
        <v>0.5</v>
      </c>
      <c r="T5" s="163" t="s">
        <v>222</v>
      </c>
    </row>
    <row r="6" spans="2:20" x14ac:dyDescent="0.25">
      <c r="B6" s="208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2"/>
      <c r="Q6" s="291"/>
      <c r="R6" s="13" t="s">
        <v>207</v>
      </c>
      <c r="S6" s="80">
        <f>S4*0.3</f>
        <v>83.999999999999986</v>
      </c>
    </row>
    <row r="7" spans="2:20" x14ac:dyDescent="0.25">
      <c r="B7" s="287" t="s">
        <v>111</v>
      </c>
      <c r="C7" s="190" t="s">
        <v>199</v>
      </c>
      <c r="D7" s="190"/>
      <c r="E7" s="219">
        <f>MRP!E29</f>
        <v>427.92775000000012</v>
      </c>
      <c r="F7" s="219">
        <f>MRP!F29</f>
        <v>941.09399999999994</v>
      </c>
      <c r="G7" s="219">
        <f>MRP!G29</f>
        <v>1092.6877500000003</v>
      </c>
      <c r="H7" s="219">
        <f>MRP!H29</f>
        <v>1307.3444999999999</v>
      </c>
      <c r="I7" s="219">
        <f>MRP!I29</f>
        <v>1141.19775</v>
      </c>
      <c r="J7" s="219">
        <f>MRP!J29</f>
        <v>1095.1132500000001</v>
      </c>
      <c r="K7" s="219">
        <f>MRP!K29</f>
        <v>1137.5594999999998</v>
      </c>
      <c r="L7" s="219">
        <f>MRP!L29</f>
        <v>1039.3267499999999</v>
      </c>
      <c r="M7" s="219">
        <f>MRP!M29</f>
        <v>1035.6885000000002</v>
      </c>
      <c r="N7" s="219">
        <f>MRP!N29</f>
        <v>970.19999999999993</v>
      </c>
      <c r="O7" s="219">
        <f>MRP!O29</f>
        <v>0</v>
      </c>
      <c r="Q7" s="291"/>
      <c r="R7" s="13" t="s">
        <v>208</v>
      </c>
      <c r="S7" s="80">
        <f>S4+S6</f>
        <v>363.99999999999994</v>
      </c>
    </row>
    <row r="8" spans="2:20" x14ac:dyDescent="0.25">
      <c r="B8" s="287"/>
      <c r="C8" s="190" t="s">
        <v>200</v>
      </c>
      <c r="D8" s="190"/>
      <c r="E8" s="190">
        <f>E7*'Nomenclature &amp; données'!$N$6/60</f>
        <v>1711.7110000000005</v>
      </c>
      <c r="F8" s="190">
        <f>F7*'Nomenclature &amp; données'!$N$6/60</f>
        <v>3764.3759999999997</v>
      </c>
      <c r="G8" s="190">
        <f>G7*'Nomenclature &amp; données'!$N$6/60</f>
        <v>4370.7510000000011</v>
      </c>
      <c r="H8" s="190">
        <f>H7*'Nomenclature &amp; données'!$N$6/60</f>
        <v>5229.3779999999997</v>
      </c>
      <c r="I8" s="190">
        <f>I7*'Nomenclature &amp; données'!$N$6/60</f>
        <v>4564.7910000000002</v>
      </c>
      <c r="J8" s="190">
        <f>J7*'Nomenclature &amp; données'!$N$6/60</f>
        <v>4380.4530000000004</v>
      </c>
      <c r="K8" s="190">
        <f>K7*'Nomenclature &amp; données'!$N$6/60</f>
        <v>4550.2379999999994</v>
      </c>
      <c r="L8" s="190">
        <f>L7*'Nomenclature &amp; données'!$N$6/60</f>
        <v>4157.3069999999998</v>
      </c>
      <c r="M8" s="190">
        <f>M7*'Nomenclature &amp; données'!$N$6/60</f>
        <v>4142.7540000000008</v>
      </c>
      <c r="N8" s="190">
        <f>N7*'Nomenclature &amp; données'!$N$6/60</f>
        <v>3880.7999999999997</v>
      </c>
      <c r="O8" s="191">
        <f>O7*'Nomenclature &amp; données'!$N$6/60</f>
        <v>0</v>
      </c>
      <c r="Q8" s="291"/>
      <c r="R8" s="158" t="s">
        <v>209</v>
      </c>
      <c r="S8" s="159">
        <v>0.5</v>
      </c>
    </row>
    <row r="9" spans="2:20" ht="15.75" thickBot="1" x14ac:dyDescent="0.3">
      <c r="B9" s="21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2"/>
      <c r="Q9" s="291"/>
      <c r="R9" s="160" t="s">
        <v>210</v>
      </c>
      <c r="S9" s="161">
        <v>150</v>
      </c>
    </row>
    <row r="10" spans="2:20" x14ac:dyDescent="0.25">
      <c r="B10" s="288" t="s">
        <v>112</v>
      </c>
      <c r="C10" s="220" t="s">
        <v>199</v>
      </c>
      <c r="D10" s="220"/>
      <c r="E10" s="221">
        <f>MRP!E25</f>
        <v>1409</v>
      </c>
      <c r="F10" s="221">
        <f>MRP!F25</f>
        <v>3803.7999999999997</v>
      </c>
      <c r="G10" s="221">
        <f>MRP!G25</f>
        <v>5123.8</v>
      </c>
      <c r="H10" s="221">
        <f>MRP!H25</f>
        <v>5911.4000000000005</v>
      </c>
      <c r="I10" s="221">
        <f>MRP!I25</f>
        <v>7080.7000000000007</v>
      </c>
      <c r="J10" s="221">
        <f>MRP!J25</f>
        <v>6284.2999999999993</v>
      </c>
      <c r="K10" s="221">
        <f>MRP!K25</f>
        <v>6096.2</v>
      </c>
      <c r="L10" s="221">
        <f>MRP!L25</f>
        <v>6342.6</v>
      </c>
      <c r="M10" s="221">
        <f>MRP!M25</f>
        <v>6044.5</v>
      </c>
      <c r="N10" s="221">
        <f>MRP!N25</f>
        <v>5100.7</v>
      </c>
      <c r="O10" s="221">
        <f>MRP!O25</f>
        <v>4738.7999999999993</v>
      </c>
      <c r="Q10" s="291"/>
      <c r="R10" s="162" t="s">
        <v>215</v>
      </c>
      <c r="S10" s="2">
        <v>9.5299999999999994</v>
      </c>
    </row>
    <row r="11" spans="2:20" ht="15.75" thickBot="1" x14ac:dyDescent="0.3">
      <c r="B11" s="289"/>
      <c r="C11" s="222" t="s">
        <v>200</v>
      </c>
      <c r="D11" s="222"/>
      <c r="E11" s="222">
        <f>E10*'Nomenclature &amp; données'!$O$6/60</f>
        <v>225.44</v>
      </c>
      <c r="F11" s="222">
        <f>F10*'Nomenclature &amp; données'!$O$6/60</f>
        <v>608.60799999999995</v>
      </c>
      <c r="G11" s="222">
        <f>G10*'Nomenclature &amp; données'!$O$6/60</f>
        <v>819.80800000000011</v>
      </c>
      <c r="H11" s="222">
        <f>H10*'Nomenclature &amp; données'!$O$6/60</f>
        <v>945.82400000000007</v>
      </c>
      <c r="I11" s="222">
        <f>I10*'Nomenclature &amp; données'!$O$6/60</f>
        <v>1132.912</v>
      </c>
      <c r="J11" s="222">
        <f>J10*'Nomenclature &amp; données'!$O$6/60</f>
        <v>1005.4879999999998</v>
      </c>
      <c r="K11" s="222">
        <f>K10*'Nomenclature &amp; données'!$O$6/60</f>
        <v>975.39199999999994</v>
      </c>
      <c r="L11" s="222">
        <f>L10*'Nomenclature &amp; données'!$O$6/60</f>
        <v>1014.816</v>
      </c>
      <c r="M11" s="222">
        <f>M10*'Nomenclature &amp; données'!$O$6/60</f>
        <v>967.12</v>
      </c>
      <c r="N11" s="222">
        <f>N10*'Nomenclature &amp; données'!$O$6/60</f>
        <v>816.11199999999985</v>
      </c>
      <c r="O11" s="223">
        <f>O10*'Nomenclature &amp; données'!$O$6/60</f>
        <v>758.20799999999986</v>
      </c>
      <c r="Q11" s="291"/>
      <c r="R11" s="162" t="s">
        <v>216</v>
      </c>
      <c r="S11" s="2">
        <v>15.24</v>
      </c>
    </row>
    <row r="12" spans="2:20" ht="15.75" thickBot="1" x14ac:dyDescent="0.3">
      <c r="B12" s="216"/>
      <c r="C12" s="217"/>
      <c r="D12" s="217"/>
      <c r="E12" s="217"/>
      <c r="F12" s="217"/>
      <c r="G12" s="217"/>
      <c r="H12" s="217"/>
      <c r="I12" s="217"/>
      <c r="J12" s="217"/>
      <c r="K12" s="217"/>
      <c r="L12" s="217"/>
      <c r="M12" s="217"/>
      <c r="N12" s="217"/>
      <c r="O12" s="218"/>
      <c r="Q12" s="292"/>
      <c r="R12" s="162" t="s">
        <v>217</v>
      </c>
      <c r="S12" s="2">
        <v>823.22</v>
      </c>
    </row>
    <row r="13" spans="2:20" x14ac:dyDescent="0.25">
      <c r="B13" s="293" t="s">
        <v>201</v>
      </c>
      <c r="C13" s="56" t="s">
        <v>204</v>
      </c>
      <c r="D13" s="56"/>
      <c r="E13" s="56">
        <f>E5+E8</f>
        <v>1962.8870000000004</v>
      </c>
      <c r="F13" s="56">
        <f t="shared" ref="F13:O13" si="0">F5+F8</f>
        <v>4105.9920000000002</v>
      </c>
      <c r="G13" s="56">
        <f t="shared" si="0"/>
        <v>4764.3750000000009</v>
      </c>
      <c r="H13" s="56">
        <f t="shared" si="0"/>
        <v>5700.9699999999993</v>
      </c>
      <c r="I13" s="56">
        <f t="shared" si="0"/>
        <v>4984.7269999999999</v>
      </c>
      <c r="J13" s="56">
        <f t="shared" si="0"/>
        <v>4788.6850000000004</v>
      </c>
      <c r="K13" s="56">
        <f t="shared" si="0"/>
        <v>4975.101999999999</v>
      </c>
      <c r="L13" s="56">
        <f t="shared" si="0"/>
        <v>4565.451</v>
      </c>
      <c r="M13" s="56">
        <f t="shared" si="0"/>
        <v>4475.6580000000013</v>
      </c>
      <c r="N13" s="56">
        <f t="shared" si="0"/>
        <v>4189.5039999999999</v>
      </c>
      <c r="O13" s="57">
        <f t="shared" si="0"/>
        <v>0</v>
      </c>
      <c r="R13" s="162" t="s">
        <v>218</v>
      </c>
      <c r="S13" s="2">
        <v>411.61</v>
      </c>
    </row>
    <row r="14" spans="2:20" x14ac:dyDescent="0.25">
      <c r="B14" s="294"/>
      <c r="C14" s="122" t="s">
        <v>202</v>
      </c>
      <c r="D14" s="122"/>
      <c r="E14" s="122">
        <f>48</f>
        <v>48</v>
      </c>
      <c r="F14" s="122">
        <f>48</f>
        <v>48</v>
      </c>
      <c r="G14" s="122">
        <f>48</f>
        <v>48</v>
      </c>
      <c r="H14" s="122">
        <f>48</f>
        <v>48</v>
      </c>
      <c r="I14" s="122">
        <f>48</f>
        <v>48</v>
      </c>
      <c r="J14" s="122">
        <f>48</f>
        <v>48</v>
      </c>
      <c r="K14" s="122">
        <f>48</f>
        <v>48</v>
      </c>
      <c r="L14" s="122">
        <f>48</f>
        <v>48</v>
      </c>
      <c r="M14" s="122">
        <f>48</f>
        <v>48</v>
      </c>
      <c r="N14" s="122">
        <f>48</f>
        <v>48</v>
      </c>
      <c r="O14" s="80">
        <f>48</f>
        <v>48</v>
      </c>
      <c r="R14" s="162" t="s">
        <v>219</v>
      </c>
      <c r="S14" s="2">
        <v>40</v>
      </c>
    </row>
    <row r="15" spans="2:20" x14ac:dyDescent="0.25">
      <c r="B15" s="294"/>
      <c r="C15" s="122" t="s">
        <v>203</v>
      </c>
      <c r="D15" s="122"/>
      <c r="E15" s="122">
        <f>ROUNDUP(E13+E14,0)</f>
        <v>2011</v>
      </c>
      <c r="F15" s="122">
        <f t="shared" ref="F15:O15" si="1">ROUNDUP(F13+F14,0)</f>
        <v>4154</v>
      </c>
      <c r="G15" s="122">
        <f t="shared" si="1"/>
        <v>4813</v>
      </c>
      <c r="H15" s="122">
        <f t="shared" si="1"/>
        <v>5749</v>
      </c>
      <c r="I15" s="122">
        <f t="shared" si="1"/>
        <v>5033</v>
      </c>
      <c r="J15" s="122">
        <f t="shared" si="1"/>
        <v>4837</v>
      </c>
      <c r="K15" s="122">
        <f t="shared" si="1"/>
        <v>5024</v>
      </c>
      <c r="L15" s="122">
        <f t="shared" si="1"/>
        <v>4614</v>
      </c>
      <c r="M15" s="122">
        <f t="shared" si="1"/>
        <v>4524</v>
      </c>
      <c r="N15" s="122">
        <f t="shared" si="1"/>
        <v>4238</v>
      </c>
      <c r="O15" s="80">
        <f t="shared" si="1"/>
        <v>48</v>
      </c>
    </row>
    <row r="16" spans="2:20" x14ac:dyDescent="0.25">
      <c r="B16" s="294"/>
      <c r="C16" s="122" t="s">
        <v>211</v>
      </c>
      <c r="D16" s="122">
        <v>70</v>
      </c>
      <c r="E16" s="122">
        <v>70</v>
      </c>
      <c r="F16" s="122">
        <v>105</v>
      </c>
      <c r="G16" s="122"/>
      <c r="H16" s="122"/>
      <c r="I16" s="122"/>
      <c r="J16" s="122"/>
      <c r="K16" s="122"/>
      <c r="L16" s="122"/>
      <c r="M16" s="122"/>
      <c r="N16" s="122"/>
      <c r="O16" s="80"/>
    </row>
    <row r="17" spans="2:15" x14ac:dyDescent="0.25">
      <c r="B17" s="294"/>
      <c r="C17" s="122" t="s">
        <v>212</v>
      </c>
      <c r="D17" s="122">
        <v>0</v>
      </c>
      <c r="E17" s="122">
        <f>E16/D16</f>
        <v>1</v>
      </c>
      <c r="F17" s="122">
        <f t="shared" ref="F17:O17" si="2">F16/E16</f>
        <v>1.5</v>
      </c>
      <c r="G17" s="122">
        <f t="shared" si="2"/>
        <v>0</v>
      </c>
      <c r="H17" s="122" t="e">
        <f t="shared" si="2"/>
        <v>#DIV/0!</v>
      </c>
      <c r="I17" s="122" t="e">
        <f t="shared" si="2"/>
        <v>#DIV/0!</v>
      </c>
      <c r="J17" s="122" t="e">
        <f t="shared" si="2"/>
        <v>#DIV/0!</v>
      </c>
      <c r="K17" s="122" t="e">
        <f t="shared" si="2"/>
        <v>#DIV/0!</v>
      </c>
      <c r="L17" s="122" t="e">
        <f t="shared" si="2"/>
        <v>#DIV/0!</v>
      </c>
      <c r="M17" s="122" t="e">
        <f t="shared" si="2"/>
        <v>#DIV/0!</v>
      </c>
      <c r="N17" s="122" t="e">
        <f t="shared" si="2"/>
        <v>#DIV/0!</v>
      </c>
      <c r="O17" s="80" t="e">
        <f t="shared" si="2"/>
        <v>#DIV/0!</v>
      </c>
    </row>
    <row r="18" spans="2:15" x14ac:dyDescent="0.25">
      <c r="B18" s="294"/>
      <c r="C18" s="122" t="s">
        <v>213</v>
      </c>
      <c r="D18" s="122"/>
      <c r="E18" s="122">
        <f>MAX(E15-E16*$S$14,0)</f>
        <v>0</v>
      </c>
      <c r="F18" s="122">
        <f t="shared" ref="F18:O18" si="3">MAX(F15-F16*$S$14,0)</f>
        <v>0</v>
      </c>
      <c r="G18" s="122">
        <f t="shared" si="3"/>
        <v>4813</v>
      </c>
      <c r="H18" s="122">
        <f t="shared" si="3"/>
        <v>5749</v>
      </c>
      <c r="I18" s="122">
        <f t="shared" si="3"/>
        <v>5033</v>
      </c>
      <c r="J18" s="122">
        <f t="shared" si="3"/>
        <v>4837</v>
      </c>
      <c r="K18" s="122">
        <f t="shared" si="3"/>
        <v>5024</v>
      </c>
      <c r="L18" s="122">
        <f t="shared" si="3"/>
        <v>4614</v>
      </c>
      <c r="M18" s="122">
        <f t="shared" si="3"/>
        <v>4524</v>
      </c>
      <c r="N18" s="122">
        <f t="shared" si="3"/>
        <v>4238</v>
      </c>
      <c r="O18" s="80">
        <f t="shared" si="3"/>
        <v>48</v>
      </c>
    </row>
    <row r="19" spans="2:15" x14ac:dyDescent="0.25">
      <c r="B19" s="294"/>
      <c r="C19" s="122" t="s">
        <v>220</v>
      </c>
      <c r="D19" s="122">
        <f>D16*($S$3)*$S$14*(1+$S$5)</f>
        <v>3780</v>
      </c>
      <c r="E19" s="122">
        <f t="shared" ref="E19:O19" si="4">E16*($S$3)*$S$14*(1+$S$5)</f>
        <v>3780</v>
      </c>
      <c r="F19" s="122">
        <f t="shared" si="4"/>
        <v>5670</v>
      </c>
      <c r="G19" s="122">
        <f t="shared" si="4"/>
        <v>0</v>
      </c>
      <c r="H19" s="122">
        <f t="shared" si="4"/>
        <v>0</v>
      </c>
      <c r="I19" s="122">
        <f t="shared" si="4"/>
        <v>0</v>
      </c>
      <c r="J19" s="122">
        <f t="shared" si="4"/>
        <v>0</v>
      </c>
      <c r="K19" s="122">
        <f t="shared" si="4"/>
        <v>0</v>
      </c>
      <c r="L19" s="122">
        <f t="shared" si="4"/>
        <v>0</v>
      </c>
      <c r="M19" s="122">
        <f t="shared" si="4"/>
        <v>0</v>
      </c>
      <c r="N19" s="122">
        <f t="shared" si="4"/>
        <v>0</v>
      </c>
      <c r="O19" s="122">
        <f t="shared" si="4"/>
        <v>0</v>
      </c>
    </row>
    <row r="20" spans="2:15" x14ac:dyDescent="0.25">
      <c r="B20" s="294"/>
      <c r="C20" s="122" t="s">
        <v>223</v>
      </c>
      <c r="D20" s="122"/>
      <c r="E20" s="122">
        <f>MAX(E16-D16,0)</f>
        <v>0</v>
      </c>
      <c r="F20" s="122">
        <f t="shared" ref="F20:O20" si="5">MAX(F16-E16,0)</f>
        <v>35</v>
      </c>
      <c r="G20" s="122">
        <f t="shared" si="5"/>
        <v>0</v>
      </c>
      <c r="H20" s="122">
        <f t="shared" si="5"/>
        <v>0</v>
      </c>
      <c r="I20" s="122">
        <f t="shared" si="5"/>
        <v>0</v>
      </c>
      <c r="J20" s="122">
        <f t="shared" si="5"/>
        <v>0</v>
      </c>
      <c r="K20" s="122">
        <f t="shared" si="5"/>
        <v>0</v>
      </c>
      <c r="L20" s="122">
        <f t="shared" si="5"/>
        <v>0</v>
      </c>
      <c r="M20" s="122">
        <f t="shared" si="5"/>
        <v>0</v>
      </c>
      <c r="N20" s="122">
        <f t="shared" si="5"/>
        <v>0</v>
      </c>
      <c r="O20" s="80">
        <f t="shared" si="5"/>
        <v>0</v>
      </c>
    </row>
    <row r="21" spans="2:15" x14ac:dyDescent="0.25">
      <c r="B21" s="294"/>
      <c r="C21" s="122" t="s">
        <v>224</v>
      </c>
      <c r="D21" s="122"/>
      <c r="E21" s="122">
        <f>MIN(E16-D16,0)</f>
        <v>0</v>
      </c>
      <c r="F21" s="122">
        <f t="shared" ref="F21:O21" si="6">MIN(F16-E16,0)</f>
        <v>0</v>
      </c>
      <c r="G21" s="122">
        <f t="shared" si="6"/>
        <v>-105</v>
      </c>
      <c r="H21" s="122">
        <f t="shared" si="6"/>
        <v>0</v>
      </c>
      <c r="I21" s="122">
        <f t="shared" si="6"/>
        <v>0</v>
      </c>
      <c r="J21" s="122">
        <f t="shared" si="6"/>
        <v>0</v>
      </c>
      <c r="K21" s="122">
        <f t="shared" si="6"/>
        <v>0</v>
      </c>
      <c r="L21" s="122">
        <f t="shared" si="6"/>
        <v>0</v>
      </c>
      <c r="M21" s="122">
        <f t="shared" si="6"/>
        <v>0</v>
      </c>
      <c r="N21" s="122">
        <f t="shared" si="6"/>
        <v>0</v>
      </c>
      <c r="O21" s="80">
        <f t="shared" si="6"/>
        <v>0</v>
      </c>
    </row>
    <row r="22" spans="2:15" x14ac:dyDescent="0.25">
      <c r="B22" s="294"/>
      <c r="C22" s="122"/>
      <c r="D22" s="122"/>
      <c r="E22" s="122"/>
      <c r="F22" s="122"/>
      <c r="G22" s="122"/>
      <c r="H22" s="122"/>
      <c r="I22" s="122"/>
      <c r="J22" s="122"/>
      <c r="K22" s="122"/>
      <c r="L22" s="122"/>
      <c r="M22" s="122"/>
      <c r="N22" s="122"/>
      <c r="O22" s="80"/>
    </row>
    <row r="23" spans="2:15" ht="15.75" thickBot="1" x14ac:dyDescent="0.3">
      <c r="B23" s="295"/>
      <c r="C23" s="92" t="s">
        <v>214</v>
      </c>
      <c r="D23" s="92"/>
      <c r="E23" s="92">
        <f>E16*$S$3*$S$10*$S$14+ABS(E16-D16)*$S$3*$S$12+E18*$S$11</f>
        <v>24015.599999999999</v>
      </c>
      <c r="F23" s="92">
        <f>F16*$S$3*$S$10*$S$14+ABS(F16-E16)*$S$3*$S$12+F18*$S$11</f>
        <v>61954.829999999994</v>
      </c>
      <c r="G23" s="92">
        <f t="shared" ref="G23:O23" si="7">G16*$S$3*$S$10*$S$14+ABS(G16-F16)*$S$3*$S$12+G18*$S$11</f>
        <v>151144.41</v>
      </c>
      <c r="H23" s="92">
        <f t="shared" si="7"/>
        <v>87614.76</v>
      </c>
      <c r="I23" s="92">
        <f t="shared" si="7"/>
        <v>76702.92</v>
      </c>
      <c r="J23" s="92">
        <f t="shared" si="7"/>
        <v>73715.88</v>
      </c>
      <c r="K23" s="92">
        <f t="shared" si="7"/>
        <v>76565.759999999995</v>
      </c>
      <c r="L23" s="92">
        <f t="shared" si="7"/>
        <v>70317.36</v>
      </c>
      <c r="M23" s="92">
        <f t="shared" si="7"/>
        <v>68945.759999999995</v>
      </c>
      <c r="N23" s="92">
        <f t="shared" si="7"/>
        <v>64587.12</v>
      </c>
      <c r="O23" s="92">
        <f t="shared" si="7"/>
        <v>731.52</v>
      </c>
    </row>
  </sheetData>
  <mergeCells count="5">
    <mergeCell ref="Q2:Q12"/>
    <mergeCell ref="B4:B5"/>
    <mergeCell ref="B7:B8"/>
    <mergeCell ref="B10:B11"/>
    <mergeCell ref="B13:B23"/>
  </mergeCells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8"/>
  <sheetViews>
    <sheetView topLeftCell="A7" workbookViewId="0">
      <selection activeCell="D28" sqref="D28"/>
    </sheetView>
  </sheetViews>
  <sheetFormatPr baseColWidth="10" defaultRowHeight="15" x14ac:dyDescent="0.25"/>
  <cols>
    <col min="2" max="2" width="15.28515625" customWidth="1"/>
  </cols>
  <sheetData>
    <row r="1" spans="1:16" s="2" customFormat="1" ht="15.75" thickBot="1" x14ac:dyDescent="0.3">
      <c r="C1" s="203" t="s">
        <v>74</v>
      </c>
      <c r="D1" s="204" t="s">
        <v>75</v>
      </c>
      <c r="E1" s="204" t="s">
        <v>76</v>
      </c>
      <c r="F1" s="204" t="s">
        <v>77</v>
      </c>
      <c r="G1" s="204" t="s">
        <v>78</v>
      </c>
      <c r="H1" s="204" t="s">
        <v>79</v>
      </c>
      <c r="I1" s="204" t="s">
        <v>80</v>
      </c>
      <c r="J1" s="204" t="s">
        <v>81</v>
      </c>
      <c r="K1" s="204" t="s">
        <v>82</v>
      </c>
      <c r="L1" s="204" t="s">
        <v>83</v>
      </c>
      <c r="M1" s="205" t="s">
        <v>84</v>
      </c>
    </row>
    <row r="2" spans="1:16" x14ac:dyDescent="0.25">
      <c r="A2" s="297" t="s">
        <v>228</v>
      </c>
      <c r="B2" s="174" t="s">
        <v>225</v>
      </c>
      <c r="C2" s="201">
        <f>'Prod At 1'!E13</f>
        <v>12</v>
      </c>
      <c r="D2" s="201">
        <f>'Prod At 1'!F13</f>
        <v>12</v>
      </c>
      <c r="E2" s="201">
        <f>'Prod At 1'!G13</f>
        <v>0</v>
      </c>
      <c r="F2" s="201">
        <f>'Prod At 1'!H13</f>
        <v>0</v>
      </c>
      <c r="G2" s="201">
        <f>'Prod At 1'!I13</f>
        <v>0</v>
      </c>
      <c r="H2" s="201">
        <f>'Prod At 1'!J13</f>
        <v>0</v>
      </c>
      <c r="I2" s="201">
        <f>'Prod At 1'!K13</f>
        <v>0</v>
      </c>
      <c r="J2" s="201">
        <f>'Prod At 1'!L13</f>
        <v>0</v>
      </c>
      <c r="K2" s="201">
        <f>'Prod At 1'!M13</f>
        <v>0</v>
      </c>
      <c r="L2" s="201">
        <f>'Prod At 1'!N13</f>
        <v>0</v>
      </c>
      <c r="M2" s="202">
        <f>'Prod At 1'!O13</f>
        <v>0</v>
      </c>
      <c r="O2" s="164" t="s">
        <v>217</v>
      </c>
      <c r="P2" s="51">
        <v>823.22</v>
      </c>
    </row>
    <row r="3" spans="1:16" ht="15.75" thickBot="1" x14ac:dyDescent="0.3">
      <c r="A3" s="298"/>
      <c r="B3" s="175" t="s">
        <v>226</v>
      </c>
      <c r="C3" s="176">
        <f>'Prod At 1'!E17</f>
        <v>0</v>
      </c>
      <c r="D3" s="176">
        <f>'Prod At 1'!F17</f>
        <v>0</v>
      </c>
      <c r="E3" s="176">
        <f>'Prod At 1'!G17</f>
        <v>0</v>
      </c>
      <c r="F3" s="176">
        <f>'Prod At 1'!H17</f>
        <v>0</v>
      </c>
      <c r="G3" s="176">
        <f>'Prod At 1'!I17</f>
        <v>0</v>
      </c>
      <c r="H3" s="176">
        <f>'Prod At 1'!J17</f>
        <v>0</v>
      </c>
      <c r="I3" s="176">
        <f>'Prod At 1'!K17</f>
        <v>0</v>
      </c>
      <c r="J3" s="176">
        <f>'Prod At 1'!L17</f>
        <v>0</v>
      </c>
      <c r="K3" s="176">
        <f>'Prod At 1'!M17</f>
        <v>0</v>
      </c>
      <c r="L3" s="176">
        <f>'Prod At 1'!N17</f>
        <v>0</v>
      </c>
      <c r="M3" s="177">
        <f>'Prod At 1'!O17</f>
        <v>0</v>
      </c>
      <c r="O3" s="165" t="s">
        <v>218</v>
      </c>
      <c r="P3" s="54">
        <v>411.61</v>
      </c>
    </row>
    <row r="4" spans="1:16" x14ac:dyDescent="0.25">
      <c r="A4" s="298"/>
      <c r="B4" s="175" t="s">
        <v>227</v>
      </c>
      <c r="C4" s="176">
        <f>'Prod At 1'!E18</f>
        <v>0</v>
      </c>
      <c r="D4" s="176">
        <f>'Prod At 1'!F18</f>
        <v>0</v>
      </c>
      <c r="E4" s="176">
        <f>'Prod At 1'!G18</f>
        <v>-12</v>
      </c>
      <c r="F4" s="176">
        <f>'Prod At 1'!H18</f>
        <v>0</v>
      </c>
      <c r="G4" s="176">
        <f>'Prod At 1'!I18</f>
        <v>0</v>
      </c>
      <c r="H4" s="176">
        <f>'Prod At 1'!J18</f>
        <v>0</v>
      </c>
      <c r="I4" s="176">
        <f>'Prod At 1'!K18</f>
        <v>0</v>
      </c>
      <c r="J4" s="176">
        <f>'Prod At 1'!L18</f>
        <v>0</v>
      </c>
      <c r="K4" s="176">
        <f>'Prod At 1'!M18</f>
        <v>0</v>
      </c>
      <c r="L4" s="176">
        <f>'Prod At 1'!N18</f>
        <v>0</v>
      </c>
      <c r="M4" s="177">
        <f>'Prod At 1'!O18</f>
        <v>0</v>
      </c>
    </row>
    <row r="5" spans="1:16" s="2" customFormat="1" ht="15.75" thickBot="1" x14ac:dyDescent="0.3">
      <c r="A5" s="299"/>
      <c r="B5" s="178" t="s">
        <v>239</v>
      </c>
      <c r="C5" s="179">
        <f>'Prod At 1'!E20</f>
        <v>4445.2800000000007</v>
      </c>
      <c r="D5" s="179">
        <f>'Prod At 1'!F20</f>
        <v>4445.2800000000007</v>
      </c>
      <c r="E5" s="179">
        <f>'Prod At 1'!G20</f>
        <v>8890.7760000000017</v>
      </c>
      <c r="F5" s="179">
        <f>'Prod At 1'!H20</f>
        <v>0</v>
      </c>
      <c r="G5" s="179">
        <f>'Prod At 1'!I20</f>
        <v>0</v>
      </c>
      <c r="H5" s="179">
        <f>'Prod At 1'!J20</f>
        <v>0</v>
      </c>
      <c r="I5" s="179">
        <f>'Prod At 1'!K20</f>
        <v>0</v>
      </c>
      <c r="J5" s="179">
        <f>'Prod At 1'!L20</f>
        <v>0</v>
      </c>
      <c r="K5" s="179">
        <f>'Prod At 1'!M20</f>
        <v>0</v>
      </c>
      <c r="L5" s="179">
        <f>'Prod At 1'!N20</f>
        <v>0</v>
      </c>
      <c r="M5" s="180">
        <f>'Prod At 1'!O20</f>
        <v>0</v>
      </c>
    </row>
    <row r="6" spans="1:16" ht="15.75" thickBot="1" x14ac:dyDescent="0.3"/>
    <row r="7" spans="1:16" x14ac:dyDescent="0.25">
      <c r="A7" s="300" t="s">
        <v>229</v>
      </c>
      <c r="B7" s="181" t="s">
        <v>225</v>
      </c>
      <c r="C7" s="182">
        <f>'Prod At 2'!E13</f>
        <v>18</v>
      </c>
      <c r="D7" s="182">
        <f>'Prod At 2'!F13</f>
        <v>18</v>
      </c>
      <c r="E7" s="182">
        <f>'Prod At 2'!G13</f>
        <v>0</v>
      </c>
      <c r="F7" s="182">
        <f>'Prod At 2'!H13</f>
        <v>0</v>
      </c>
      <c r="G7" s="182">
        <f>'Prod At 2'!I13</f>
        <v>0</v>
      </c>
      <c r="H7" s="182">
        <f>'Prod At 2'!J13</f>
        <v>0</v>
      </c>
      <c r="I7" s="182">
        <f>'Prod At 2'!K13</f>
        <v>0</v>
      </c>
      <c r="J7" s="182">
        <f>'Prod At 2'!L13</f>
        <v>0</v>
      </c>
      <c r="K7" s="182">
        <f>'Prod At 2'!M13</f>
        <v>0</v>
      </c>
      <c r="L7" s="182">
        <f>'Prod At 2'!N13</f>
        <v>0</v>
      </c>
      <c r="M7" s="183">
        <f>'Prod At 2'!O13</f>
        <v>0</v>
      </c>
    </row>
    <row r="8" spans="1:16" x14ac:dyDescent="0.25">
      <c r="A8" s="301"/>
      <c r="B8" s="184" t="s">
        <v>226</v>
      </c>
      <c r="C8" s="185">
        <f>'Prod At 2'!E17</f>
        <v>0</v>
      </c>
      <c r="D8" s="185">
        <f>'Prod At 2'!F17</f>
        <v>0</v>
      </c>
      <c r="E8" s="185">
        <f>'Prod At 2'!G17</f>
        <v>0</v>
      </c>
      <c r="F8" s="185">
        <f>'Prod At 2'!H17</f>
        <v>0</v>
      </c>
      <c r="G8" s="185">
        <f>'Prod At 2'!I17</f>
        <v>0</v>
      </c>
      <c r="H8" s="185">
        <f>'Prod At 2'!J17</f>
        <v>0</v>
      </c>
      <c r="I8" s="185">
        <f>'Prod At 2'!K17</f>
        <v>0</v>
      </c>
      <c r="J8" s="185">
        <f>'Prod At 2'!L17</f>
        <v>0</v>
      </c>
      <c r="K8" s="185">
        <f>'Prod At 2'!M17</f>
        <v>0</v>
      </c>
      <c r="L8" s="185">
        <f>'Prod At 2'!N17</f>
        <v>0</v>
      </c>
      <c r="M8" s="186">
        <f>'Prod At 2'!O17</f>
        <v>0</v>
      </c>
    </row>
    <row r="9" spans="1:16" x14ac:dyDescent="0.25">
      <c r="A9" s="301"/>
      <c r="B9" s="184" t="s">
        <v>227</v>
      </c>
      <c r="C9" s="185">
        <f>'Prod At 2'!E18</f>
        <v>0</v>
      </c>
      <c r="D9" s="185">
        <f>'Prod At 2'!F18</f>
        <v>0</v>
      </c>
      <c r="E9" s="185">
        <f>'Prod At 2'!G18</f>
        <v>-18</v>
      </c>
      <c r="F9" s="185">
        <f>'Prod At 2'!H18</f>
        <v>0</v>
      </c>
      <c r="G9" s="185">
        <f>'Prod At 2'!I18</f>
        <v>0</v>
      </c>
      <c r="H9" s="185">
        <f>'Prod At 2'!J18</f>
        <v>0</v>
      </c>
      <c r="I9" s="185">
        <f>'Prod At 2'!K18</f>
        <v>0</v>
      </c>
      <c r="J9" s="185">
        <f>'Prod At 2'!L18</f>
        <v>0</v>
      </c>
      <c r="K9" s="185">
        <f>'Prod At 2'!M18</f>
        <v>0</v>
      </c>
      <c r="L9" s="185">
        <f>'Prod At 2'!N18</f>
        <v>0</v>
      </c>
      <c r="M9" s="186">
        <f>'Prod At 2'!O18</f>
        <v>0</v>
      </c>
    </row>
    <row r="10" spans="1:16" s="2" customFormat="1" ht="15.75" thickBot="1" x14ac:dyDescent="0.3">
      <c r="A10" s="302"/>
      <c r="B10" s="187" t="s">
        <v>240</v>
      </c>
      <c r="C10" s="188">
        <f>'Prod At 2'!E20</f>
        <v>7406.6399999999994</v>
      </c>
      <c r="D10" s="188">
        <f>'Prod At 2'!F20</f>
        <v>8550.24</v>
      </c>
      <c r="E10" s="188">
        <f>'Prod At 2'!G20</f>
        <v>32872.664000000004</v>
      </c>
      <c r="F10" s="188">
        <f>'Prod At 2'!H20</f>
        <v>22395.5</v>
      </c>
      <c r="G10" s="188">
        <f>'Prod At 2'!I20</f>
        <v>26512.46</v>
      </c>
      <c r="H10" s="188">
        <f>'Prod At 2'!J20</f>
        <v>23443.8</v>
      </c>
      <c r="I10" s="188">
        <f>'Prod At 2'!K20</f>
        <v>22624.219999999998</v>
      </c>
      <c r="J10" s="188">
        <f>'Prod At 2'!L20</f>
        <v>23443.8</v>
      </c>
      <c r="K10" s="188">
        <f>'Prod At 2'!M20</f>
        <v>21804.639999999999</v>
      </c>
      <c r="L10" s="188">
        <f>'Prod At 2'!N20</f>
        <v>20813.519999999997</v>
      </c>
      <c r="M10" s="189">
        <f>'Prod At 2'!O20</f>
        <v>19555.559999999998</v>
      </c>
    </row>
    <row r="11" spans="1:16" ht="15.75" thickBot="1" x14ac:dyDescent="0.3"/>
    <row r="12" spans="1:16" x14ac:dyDescent="0.25">
      <c r="A12" s="303" t="s">
        <v>230</v>
      </c>
      <c r="B12" s="192" t="s">
        <v>225</v>
      </c>
      <c r="C12" s="193">
        <f>'Prod At 3'!E16</f>
        <v>70</v>
      </c>
      <c r="D12" s="193">
        <f>'Prod At 3'!F16</f>
        <v>105</v>
      </c>
      <c r="E12" s="193">
        <f>'Prod At 3'!G16</f>
        <v>0</v>
      </c>
      <c r="F12" s="193">
        <f>'Prod At 3'!H16</f>
        <v>0</v>
      </c>
      <c r="G12" s="193">
        <f>'Prod At 3'!I16</f>
        <v>0</v>
      </c>
      <c r="H12" s="193">
        <f>'Prod At 3'!J16</f>
        <v>0</v>
      </c>
      <c r="I12" s="193">
        <f>'Prod At 3'!K16</f>
        <v>0</v>
      </c>
      <c r="J12" s="193">
        <f>'Prod At 3'!L16</f>
        <v>0</v>
      </c>
      <c r="K12" s="193">
        <f>'Prod At 3'!M16</f>
        <v>0</v>
      </c>
      <c r="L12" s="193">
        <f>'Prod At 3'!N16</f>
        <v>0</v>
      </c>
      <c r="M12" s="194">
        <f>'Prod At 3'!O16</f>
        <v>0</v>
      </c>
    </row>
    <row r="13" spans="1:16" x14ac:dyDescent="0.25">
      <c r="A13" s="304"/>
      <c r="B13" s="195" t="s">
        <v>226</v>
      </c>
      <c r="C13" s="196">
        <f>'Prod At 3'!E20</f>
        <v>0</v>
      </c>
      <c r="D13" s="196">
        <f>'Prod At 3'!F20</f>
        <v>35</v>
      </c>
      <c r="E13" s="196">
        <f>'Prod At 3'!G20</f>
        <v>0</v>
      </c>
      <c r="F13" s="196">
        <f>'Prod At 3'!H20</f>
        <v>0</v>
      </c>
      <c r="G13" s="196">
        <f>'Prod At 3'!I20</f>
        <v>0</v>
      </c>
      <c r="H13" s="196">
        <f>'Prod At 3'!J20</f>
        <v>0</v>
      </c>
      <c r="I13" s="196">
        <f>'Prod At 3'!K20</f>
        <v>0</v>
      </c>
      <c r="J13" s="196">
        <f>'Prod At 3'!L20</f>
        <v>0</v>
      </c>
      <c r="K13" s="196">
        <f>'Prod At 3'!M20</f>
        <v>0</v>
      </c>
      <c r="L13" s="196">
        <f>'Prod At 3'!N20</f>
        <v>0</v>
      </c>
      <c r="M13" s="197">
        <f>'Prod At 3'!O20</f>
        <v>0</v>
      </c>
    </row>
    <row r="14" spans="1:16" x14ac:dyDescent="0.25">
      <c r="A14" s="304"/>
      <c r="B14" s="195" t="s">
        <v>227</v>
      </c>
      <c r="C14" s="196">
        <f>'Prod At 3'!E21</f>
        <v>0</v>
      </c>
      <c r="D14" s="196">
        <f>'Prod At 3'!F21</f>
        <v>0</v>
      </c>
      <c r="E14" s="196">
        <f>'Prod At 3'!G21</f>
        <v>-105</v>
      </c>
      <c r="F14" s="196">
        <f>'Prod At 3'!H21</f>
        <v>0</v>
      </c>
      <c r="G14" s="196">
        <f>'Prod At 3'!I21</f>
        <v>0</v>
      </c>
      <c r="H14" s="196">
        <f>'Prod At 3'!J21</f>
        <v>0</v>
      </c>
      <c r="I14" s="196">
        <f>'Prod At 3'!K21</f>
        <v>0</v>
      </c>
      <c r="J14" s="196">
        <f>'Prod At 3'!L21</f>
        <v>0</v>
      </c>
      <c r="K14" s="196">
        <f>'Prod At 3'!M21</f>
        <v>0</v>
      </c>
      <c r="L14" s="196">
        <f>'Prod At 3'!N21</f>
        <v>0</v>
      </c>
      <c r="M14" s="197">
        <f>'Prod At 3'!O21</f>
        <v>0</v>
      </c>
    </row>
    <row r="15" spans="1:16" s="2" customFormat="1" ht="15.75" thickBot="1" x14ac:dyDescent="0.3">
      <c r="A15" s="305"/>
      <c r="B15" s="198" t="s">
        <v>241</v>
      </c>
      <c r="C15" s="199">
        <f>'Prod At 3'!E23</f>
        <v>24015.599999999999</v>
      </c>
      <c r="D15" s="199">
        <f>'Prod At 3'!F23</f>
        <v>61954.829999999994</v>
      </c>
      <c r="E15" s="199">
        <f>'Prod At 3'!G23</f>
        <v>151144.41</v>
      </c>
      <c r="F15" s="199">
        <f>'Prod At 3'!H23</f>
        <v>87614.76</v>
      </c>
      <c r="G15" s="199">
        <f>'Prod At 3'!I23</f>
        <v>76702.92</v>
      </c>
      <c r="H15" s="199">
        <f>'Prod At 3'!J23</f>
        <v>73715.88</v>
      </c>
      <c r="I15" s="199">
        <f>'Prod At 3'!K23</f>
        <v>76565.759999999995</v>
      </c>
      <c r="J15" s="199">
        <f>'Prod At 3'!L23</f>
        <v>70317.36</v>
      </c>
      <c r="K15" s="199">
        <f>'Prod At 3'!M23</f>
        <v>68945.759999999995</v>
      </c>
      <c r="L15" s="199">
        <f>'Prod At 3'!N23</f>
        <v>64587.12</v>
      </c>
      <c r="M15" s="200">
        <f>'Prod At 3'!O23</f>
        <v>731.52</v>
      </c>
    </row>
    <row r="16" spans="1:16" s="2" customFormat="1" ht="15.75" thickBot="1" x14ac:dyDescent="0.3">
      <c r="A16" s="157"/>
    </row>
    <row r="17" spans="1:13" s="2" customFormat="1" ht="15.75" thickBot="1" x14ac:dyDescent="0.3">
      <c r="B17" s="170" t="s">
        <v>238</v>
      </c>
      <c r="C17" s="171">
        <f>SUM(C5,C10,C15)</f>
        <v>35867.519999999997</v>
      </c>
      <c r="D17" s="171">
        <f t="shared" ref="D17:M17" si="0">SUM(D5,D10,D15)</f>
        <v>74950.349999999991</v>
      </c>
      <c r="E17" s="171">
        <f t="shared" si="0"/>
        <v>192907.85</v>
      </c>
      <c r="F17" s="171">
        <f t="shared" si="0"/>
        <v>110010.26</v>
      </c>
      <c r="G17" s="171">
        <f t="shared" si="0"/>
        <v>103215.38</v>
      </c>
      <c r="H17" s="171">
        <f t="shared" si="0"/>
        <v>97159.680000000008</v>
      </c>
      <c r="I17" s="171">
        <f t="shared" si="0"/>
        <v>99189.98</v>
      </c>
      <c r="J17" s="171">
        <f t="shared" si="0"/>
        <v>93761.16</v>
      </c>
      <c r="K17" s="171">
        <f t="shared" si="0"/>
        <v>90750.399999999994</v>
      </c>
      <c r="L17" s="171">
        <f t="shared" si="0"/>
        <v>85400.639999999999</v>
      </c>
      <c r="M17" s="172">
        <f t="shared" si="0"/>
        <v>20287.079999999998</v>
      </c>
    </row>
    <row r="18" spans="1:13" s="2" customFormat="1" ht="15.75" thickBot="1" x14ac:dyDescent="0.3">
      <c r="A18" s="157"/>
    </row>
    <row r="19" spans="1:13" x14ac:dyDescent="0.25">
      <c r="B19" s="77" t="s">
        <v>231</v>
      </c>
      <c r="C19" s="56">
        <f t="shared" ref="C19:M19" si="1">C3+C8+C13</f>
        <v>0</v>
      </c>
      <c r="D19" s="56">
        <f t="shared" si="1"/>
        <v>35</v>
      </c>
      <c r="E19" s="56">
        <f t="shared" si="1"/>
        <v>0</v>
      </c>
      <c r="F19" s="56">
        <f t="shared" si="1"/>
        <v>0</v>
      </c>
      <c r="G19" s="56">
        <f t="shared" si="1"/>
        <v>0</v>
      </c>
      <c r="H19" s="56">
        <f t="shared" si="1"/>
        <v>0</v>
      </c>
      <c r="I19" s="56">
        <f t="shared" si="1"/>
        <v>0</v>
      </c>
      <c r="J19" s="56">
        <f t="shared" si="1"/>
        <v>0</v>
      </c>
      <c r="K19" s="56">
        <f t="shared" si="1"/>
        <v>0</v>
      </c>
      <c r="L19" s="56">
        <f t="shared" si="1"/>
        <v>0</v>
      </c>
      <c r="M19" s="57">
        <f t="shared" si="1"/>
        <v>0</v>
      </c>
    </row>
    <row r="20" spans="1:13" s="2" customFormat="1" x14ac:dyDescent="0.25">
      <c r="B20" s="166" t="s">
        <v>233</v>
      </c>
      <c r="C20" s="122">
        <f t="shared" ref="C20:M20" si="2">C19*$P$2</f>
        <v>0</v>
      </c>
      <c r="D20" s="122">
        <f t="shared" si="2"/>
        <v>28812.7</v>
      </c>
      <c r="E20" s="122">
        <f t="shared" si="2"/>
        <v>0</v>
      </c>
      <c r="F20" s="122">
        <f t="shared" si="2"/>
        <v>0</v>
      </c>
      <c r="G20" s="122">
        <f t="shared" si="2"/>
        <v>0</v>
      </c>
      <c r="H20" s="122">
        <f t="shared" si="2"/>
        <v>0</v>
      </c>
      <c r="I20" s="122">
        <f t="shared" si="2"/>
        <v>0</v>
      </c>
      <c r="J20" s="122">
        <f t="shared" si="2"/>
        <v>0</v>
      </c>
      <c r="K20" s="122">
        <f t="shared" si="2"/>
        <v>0</v>
      </c>
      <c r="L20" s="122">
        <f t="shared" si="2"/>
        <v>0</v>
      </c>
      <c r="M20" s="80">
        <f t="shared" si="2"/>
        <v>0</v>
      </c>
    </row>
    <row r="21" spans="1:13" x14ac:dyDescent="0.25">
      <c r="B21" s="13" t="s">
        <v>232</v>
      </c>
      <c r="C21" s="122">
        <f t="shared" ref="C21:M21" si="3">+C4+C9+C14</f>
        <v>0</v>
      </c>
      <c r="D21" s="122">
        <f t="shared" si="3"/>
        <v>0</v>
      </c>
      <c r="E21" s="122">
        <f t="shared" si="3"/>
        <v>-135</v>
      </c>
      <c r="F21" s="122">
        <f t="shared" si="3"/>
        <v>0</v>
      </c>
      <c r="G21" s="122">
        <f t="shared" si="3"/>
        <v>0</v>
      </c>
      <c r="H21" s="122">
        <f t="shared" si="3"/>
        <v>0</v>
      </c>
      <c r="I21" s="122">
        <f t="shared" si="3"/>
        <v>0</v>
      </c>
      <c r="J21" s="122">
        <f t="shared" si="3"/>
        <v>0</v>
      </c>
      <c r="K21" s="122">
        <f t="shared" si="3"/>
        <v>0</v>
      </c>
      <c r="L21" s="122">
        <f t="shared" si="3"/>
        <v>0</v>
      </c>
      <c r="M21" s="80">
        <f t="shared" si="3"/>
        <v>0</v>
      </c>
    </row>
    <row r="22" spans="1:13" s="2" customFormat="1" x14ac:dyDescent="0.25">
      <c r="B22" s="167" t="s">
        <v>234</v>
      </c>
      <c r="C22" s="122">
        <f t="shared" ref="C22:M22" si="4">$P$2*ABS(C21)</f>
        <v>0</v>
      </c>
      <c r="D22" s="122">
        <f t="shared" si="4"/>
        <v>0</v>
      </c>
      <c r="E22" s="122">
        <f t="shared" si="4"/>
        <v>111134.7</v>
      </c>
      <c r="F22" s="122">
        <f t="shared" si="4"/>
        <v>0</v>
      </c>
      <c r="G22" s="122">
        <f t="shared" si="4"/>
        <v>0</v>
      </c>
      <c r="H22" s="122">
        <f t="shared" si="4"/>
        <v>0</v>
      </c>
      <c r="I22" s="122">
        <f t="shared" si="4"/>
        <v>0</v>
      </c>
      <c r="J22" s="122">
        <f t="shared" si="4"/>
        <v>0</v>
      </c>
      <c r="K22" s="122">
        <f t="shared" si="4"/>
        <v>0</v>
      </c>
      <c r="L22" s="122">
        <f t="shared" si="4"/>
        <v>0</v>
      </c>
      <c r="M22" s="80">
        <f t="shared" si="4"/>
        <v>0</v>
      </c>
    </row>
    <row r="23" spans="1:13" x14ac:dyDescent="0.25">
      <c r="B23" s="13" t="s">
        <v>237</v>
      </c>
      <c r="C23" s="122">
        <f>C19+C21</f>
        <v>0</v>
      </c>
      <c r="D23" s="122">
        <f t="shared" ref="D23:M23" si="5">D19+D21</f>
        <v>35</v>
      </c>
      <c r="E23" s="122">
        <f t="shared" si="5"/>
        <v>-135</v>
      </c>
      <c r="F23" s="122">
        <f t="shared" si="5"/>
        <v>0</v>
      </c>
      <c r="G23" s="122">
        <f t="shared" si="5"/>
        <v>0</v>
      </c>
      <c r="H23" s="122">
        <f t="shared" si="5"/>
        <v>0</v>
      </c>
      <c r="I23" s="122">
        <f t="shared" si="5"/>
        <v>0</v>
      </c>
      <c r="J23" s="122">
        <f t="shared" si="5"/>
        <v>0</v>
      </c>
      <c r="K23" s="122">
        <f t="shared" si="5"/>
        <v>0</v>
      </c>
      <c r="L23" s="122">
        <f t="shared" si="5"/>
        <v>0</v>
      </c>
      <c r="M23" s="80">
        <f t="shared" si="5"/>
        <v>0</v>
      </c>
    </row>
    <row r="24" spans="1:13" s="2" customFormat="1" x14ac:dyDescent="0.25">
      <c r="B24" s="13" t="s">
        <v>236</v>
      </c>
      <c r="C24" s="122">
        <f>ABS(IF(C23&gt;=0,C19-C23,C21-C23))/2</f>
        <v>0</v>
      </c>
      <c r="D24" s="122">
        <f t="shared" ref="D24:M24" si="6">ABS(IF(D23&gt;=0,D19-D23,D21-D23))</f>
        <v>0</v>
      </c>
      <c r="E24" s="122">
        <f t="shared" si="6"/>
        <v>0</v>
      </c>
      <c r="F24" s="122">
        <f t="shared" si="6"/>
        <v>0</v>
      </c>
      <c r="G24" s="122">
        <f t="shared" si="6"/>
        <v>0</v>
      </c>
      <c r="H24" s="122">
        <f t="shared" si="6"/>
        <v>0</v>
      </c>
      <c r="I24" s="122">
        <f t="shared" si="6"/>
        <v>0</v>
      </c>
      <c r="J24" s="122">
        <f t="shared" si="6"/>
        <v>0</v>
      </c>
      <c r="K24" s="122">
        <f t="shared" si="6"/>
        <v>0</v>
      </c>
      <c r="L24" s="122">
        <f t="shared" si="6"/>
        <v>0</v>
      </c>
      <c r="M24" s="80">
        <f t="shared" si="6"/>
        <v>0</v>
      </c>
    </row>
    <row r="25" spans="1:13" x14ac:dyDescent="0.25">
      <c r="B25" s="167" t="s">
        <v>235</v>
      </c>
      <c r="C25" s="122">
        <f t="shared" ref="C25:M25" si="7">ABS(C23*$P$2)</f>
        <v>0</v>
      </c>
      <c r="D25" s="122">
        <f t="shared" si="7"/>
        <v>28812.7</v>
      </c>
      <c r="E25" s="122">
        <f t="shared" si="7"/>
        <v>111134.7</v>
      </c>
      <c r="F25" s="122">
        <f t="shared" si="7"/>
        <v>0</v>
      </c>
      <c r="G25" s="122">
        <f t="shared" si="7"/>
        <v>0</v>
      </c>
      <c r="H25" s="122">
        <f t="shared" si="7"/>
        <v>0</v>
      </c>
      <c r="I25" s="122">
        <f t="shared" si="7"/>
        <v>0</v>
      </c>
      <c r="J25" s="122">
        <f t="shared" si="7"/>
        <v>0</v>
      </c>
      <c r="K25" s="122">
        <f t="shared" si="7"/>
        <v>0</v>
      </c>
      <c r="L25" s="122">
        <f t="shared" si="7"/>
        <v>0</v>
      </c>
      <c r="M25" s="80">
        <f t="shared" si="7"/>
        <v>0</v>
      </c>
    </row>
    <row r="26" spans="1:13" ht="15.75" thickBot="1" x14ac:dyDescent="0.3">
      <c r="B26" s="168" t="s">
        <v>218</v>
      </c>
      <c r="C26" s="92">
        <f>C24*P3</f>
        <v>0</v>
      </c>
      <c r="D26" s="92">
        <f t="shared" ref="D26:M26" si="8">D24*Q2</f>
        <v>0</v>
      </c>
      <c r="E26" s="92">
        <f t="shared" si="8"/>
        <v>0</v>
      </c>
      <c r="F26" s="92">
        <f t="shared" si="8"/>
        <v>0</v>
      </c>
      <c r="G26" s="92">
        <f t="shared" si="8"/>
        <v>0</v>
      </c>
      <c r="H26" s="92">
        <f t="shared" si="8"/>
        <v>0</v>
      </c>
      <c r="I26" s="92">
        <f t="shared" si="8"/>
        <v>0</v>
      </c>
      <c r="J26" s="92">
        <f t="shared" si="8"/>
        <v>0</v>
      </c>
      <c r="K26" s="92">
        <f t="shared" si="8"/>
        <v>0</v>
      </c>
      <c r="L26" s="92">
        <f t="shared" si="8"/>
        <v>0</v>
      </c>
      <c r="M26" s="79">
        <f t="shared" si="8"/>
        <v>0</v>
      </c>
    </row>
    <row r="27" spans="1:13" ht="15.75" thickBot="1" x14ac:dyDescent="0.3"/>
    <row r="28" spans="1:13" ht="15.75" thickBot="1" x14ac:dyDescent="0.3">
      <c r="B28" s="206" t="s">
        <v>242</v>
      </c>
      <c r="C28" s="207">
        <f t="shared" ref="C28" si="9">C17-C25+C26</f>
        <v>35867.519999999997</v>
      </c>
      <c r="D28" s="207">
        <f>D17+D26+IF(D24&lt;&gt;0,-D25,0)</f>
        <v>74950.349999999991</v>
      </c>
      <c r="E28" s="207">
        <f t="shared" ref="E28:M28" si="10">E17+E26+IF(E24&lt;&gt;0,-E25,0)</f>
        <v>192907.85</v>
      </c>
      <c r="F28" s="207">
        <f t="shared" si="10"/>
        <v>110010.26</v>
      </c>
      <c r="G28" s="207">
        <f t="shared" si="10"/>
        <v>103215.38</v>
      </c>
      <c r="H28" s="207">
        <f t="shared" si="10"/>
        <v>97159.680000000008</v>
      </c>
      <c r="I28" s="207">
        <f t="shared" si="10"/>
        <v>99189.98</v>
      </c>
      <c r="J28" s="207">
        <f t="shared" si="10"/>
        <v>93761.16</v>
      </c>
      <c r="K28" s="207">
        <f t="shared" si="10"/>
        <v>90750.399999999994</v>
      </c>
      <c r="L28" s="207">
        <f t="shared" si="10"/>
        <v>85400.639999999999</v>
      </c>
      <c r="M28" s="207">
        <f t="shared" si="10"/>
        <v>20287.079999999998</v>
      </c>
    </row>
  </sheetData>
  <mergeCells count="3">
    <mergeCell ref="A2:A5"/>
    <mergeCell ref="A7:A10"/>
    <mergeCell ref="A12:A1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28</vt:i4>
      </vt:variant>
    </vt:vector>
  </HeadingPairs>
  <TitlesOfParts>
    <vt:vector size="28" baseType="lpstr">
      <vt:lpstr>Prévisions générales</vt:lpstr>
      <vt:lpstr>P1_Entrepôt 1</vt:lpstr>
      <vt:lpstr>P1_Entrepôt 2</vt:lpstr>
      <vt:lpstr>P1_Entrepôt 3</vt:lpstr>
      <vt:lpstr>P1_Entrepôt 4</vt:lpstr>
      <vt:lpstr>P1_Entrepôt 5</vt:lpstr>
      <vt:lpstr>P1_Total</vt:lpstr>
      <vt:lpstr>P2_Entrepôt 1</vt:lpstr>
      <vt:lpstr>P2_Entrepôt 2</vt:lpstr>
      <vt:lpstr>P2_Entrepôt 3</vt:lpstr>
      <vt:lpstr>P2_Entrepôt 4</vt:lpstr>
      <vt:lpstr>P2_Entrepôt 5</vt:lpstr>
      <vt:lpstr>P2_Total</vt:lpstr>
      <vt:lpstr>Temps Opératoires</vt:lpstr>
      <vt:lpstr>Appro M38</vt:lpstr>
      <vt:lpstr>Appro M39</vt:lpstr>
      <vt:lpstr>Appro M40</vt:lpstr>
      <vt:lpstr>Appro M41</vt:lpstr>
      <vt:lpstr>Besoins Bruts</vt:lpstr>
      <vt:lpstr>Nomenclature MRP</vt:lpstr>
      <vt:lpstr>Gantt</vt:lpstr>
      <vt:lpstr>MRP</vt:lpstr>
      <vt:lpstr>MRP (1)</vt:lpstr>
      <vt:lpstr>Nomenclature &amp; données</vt:lpstr>
      <vt:lpstr>Prod At 1</vt:lpstr>
      <vt:lpstr>Prod At 2</vt:lpstr>
      <vt:lpstr>Prod At 3</vt:lpstr>
      <vt:lpstr>Synthèse Prod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Matthieu</cp:lastModifiedBy>
  <dcterms:created xsi:type="dcterms:W3CDTF">2013-12-27T15:18:12Z</dcterms:created>
  <dcterms:modified xsi:type="dcterms:W3CDTF">2014-01-10T08:44:39Z</dcterms:modified>
</cp:coreProperties>
</file>