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240" windowWidth="23400" windowHeight="9855"/>
  </bookViews>
  <sheets>
    <sheet name="CONVENTIONNELLE" sheetId="1" r:id="rId1"/>
    <sheet name="MODULAIRE" sheetId="2" r:id="rId2"/>
  </sheets>
  <definedNames>
    <definedName name="_xlnm._FilterDatabase" localSheetId="0" hidden="1">CONVENTIONNELLE!$A$1:$A$169</definedName>
    <definedName name="_xlnm._FilterDatabase" localSheetId="1" hidden="1">MODULAIRE!$C$1:$C$105</definedName>
  </definedNames>
  <calcPr calcId="145621"/>
</workbook>
</file>

<file path=xl/calcChain.xml><?xml version="1.0" encoding="utf-8"?>
<calcChain xmlns="http://schemas.openxmlformats.org/spreadsheetml/2006/main">
  <c r="B155" i="1" l="1"/>
  <c r="B154" i="1"/>
  <c r="B153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 l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 l="1"/>
  <c r="B88" i="1"/>
  <c r="B89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8" i="1"/>
  <c r="B67" i="1"/>
  <c r="B69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 l="1"/>
  <c r="B43" i="1"/>
  <c r="B42" i="1"/>
  <c r="B41" i="1"/>
  <c r="B40" i="1"/>
  <c r="B39" i="1"/>
  <c r="B38" i="1"/>
  <c r="B37" i="1"/>
  <c r="B36" i="1"/>
  <c r="B35" i="1"/>
  <c r="B33" i="1"/>
  <c r="B34" i="1"/>
  <c r="B32" i="1"/>
  <c r="B31" i="1"/>
  <c r="B30" i="1"/>
  <c r="B29" i="1"/>
  <c r="B28" i="1"/>
  <c r="B27" i="1"/>
  <c r="B26" i="1"/>
  <c r="B25" i="1"/>
  <c r="B24" i="1"/>
  <c r="B23" i="1"/>
  <c r="B22" i="1"/>
  <c r="B19" i="1"/>
  <c r="B20" i="1"/>
  <c r="B21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B3" i="2"/>
  <c r="B2" i="2"/>
  <c r="B4" i="2"/>
  <c r="B5" i="2"/>
  <c r="B7" i="2"/>
  <c r="B6" i="2"/>
  <c r="B8" i="2"/>
  <c r="B9" i="2"/>
  <c r="B11" i="2"/>
  <c r="B10" i="2"/>
  <c r="B12" i="2"/>
  <c r="B14" i="2"/>
  <c r="B13" i="2"/>
  <c r="B16" i="2"/>
  <c r="B15" i="2"/>
  <c r="B17" i="2"/>
  <c r="B18" i="2"/>
  <c r="B20" i="2"/>
  <c r="B19" i="2"/>
  <c r="B21" i="2"/>
  <c r="B22" i="2"/>
  <c r="B24" i="2"/>
  <c r="B23" i="2"/>
  <c r="B25" i="2"/>
  <c r="B26" i="2"/>
  <c r="B27" i="2"/>
  <c r="B28" i="2"/>
  <c r="B29" i="2"/>
  <c r="B30" i="2"/>
  <c r="B31" i="2"/>
  <c r="B32" i="2"/>
  <c r="B34" i="2"/>
  <c r="B33" i="2"/>
  <c r="B35" i="2"/>
  <c r="B36" i="2"/>
  <c r="B37" i="2"/>
  <c r="B39" i="2" l="1"/>
  <c r="B38" i="2"/>
  <c r="B40" i="2"/>
  <c r="B41" i="2"/>
  <c r="B42" i="2"/>
  <c r="B43" i="2"/>
  <c r="B44" i="2"/>
  <c r="B45" i="2"/>
  <c r="B46" i="2"/>
  <c r="B47" i="2"/>
  <c r="B48" i="2"/>
  <c r="B49" i="2"/>
  <c r="B51" i="2"/>
  <c r="B50" i="2"/>
  <c r="B52" i="2"/>
  <c r="B53" i="2"/>
  <c r="B54" i="2"/>
  <c r="B55" i="2"/>
  <c r="B56" i="2"/>
  <c r="B57" i="2"/>
  <c r="B58" i="2"/>
  <c r="B59" i="2"/>
  <c r="B60" i="2" l="1"/>
  <c r="B62" i="2"/>
  <c r="B61" i="2"/>
  <c r="B64" i="2"/>
  <c r="B63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 l="1"/>
  <c r="B80" i="2"/>
  <c r="B81" i="2"/>
  <c r="B82" i="2"/>
  <c r="B83" i="2"/>
  <c r="B85" i="2"/>
  <c r="B84" i="2"/>
  <c r="B87" i="2"/>
  <c r="B86" i="2"/>
  <c r="B88" i="2"/>
  <c r="B89" i="2"/>
  <c r="B90" i="2"/>
  <c r="B91" i="2" l="1"/>
  <c r="B97" i="2"/>
  <c r="B93" i="2"/>
  <c r="B92" i="2"/>
  <c r="B94" i="2"/>
  <c r="B95" i="2"/>
  <c r="B96" i="2"/>
  <c r="B98" i="2"/>
  <c r="B99" i="2"/>
  <c r="B100" i="2"/>
  <c r="B101" i="2"/>
  <c r="B103" i="2"/>
  <c r="B104" i="2"/>
  <c r="B105" i="2"/>
  <c r="B102" i="2"/>
</calcChain>
</file>

<file path=xl/sharedStrings.xml><?xml version="1.0" encoding="utf-8"?>
<sst xmlns="http://schemas.openxmlformats.org/spreadsheetml/2006/main" count="281" uniqueCount="279">
  <si>
    <t>F545.34880.200.01</t>
  </si>
  <si>
    <t>D361.10026.202.01</t>
  </si>
  <si>
    <t>D546.18702.200.01</t>
  </si>
  <si>
    <t>D752.18011.201.01</t>
  </si>
  <si>
    <t>D752.18006.200.01</t>
  </si>
  <si>
    <t>D546.18626.202.05</t>
  </si>
  <si>
    <t>D545.10152.201.05</t>
  </si>
  <si>
    <t>L541.20356.202.01</t>
  </si>
  <si>
    <t>D546.18752.202.01</t>
  </si>
  <si>
    <t>F545.30677.200.90</t>
  </si>
  <si>
    <t>M545.11523.202.00</t>
  </si>
  <si>
    <t>D546.18736.000.05</t>
  </si>
  <si>
    <t>D546.30802.201.01</t>
  </si>
  <si>
    <t>D546.18601.202.05</t>
  </si>
  <si>
    <t>D546.18601.200.05</t>
  </si>
  <si>
    <t>D546.18600.202.05</t>
  </si>
  <si>
    <t>D546.18600.200.05</t>
  </si>
  <si>
    <t>D546.30802.200.01</t>
  </si>
  <si>
    <t>F545.31159.203.01</t>
  </si>
  <si>
    <t>D545.10162.201.00</t>
  </si>
  <si>
    <t>D545.10162.200.00</t>
  </si>
  <si>
    <t>D545.30303.000.01</t>
  </si>
  <si>
    <t>D546.18604.203.06</t>
  </si>
  <si>
    <t>D546.18604.202.06</t>
  </si>
  <si>
    <t>D545.30368.000.01</t>
  </si>
  <si>
    <t>D545.30110.200.05</t>
  </si>
  <si>
    <t>V541.10066.202.01</t>
  </si>
  <si>
    <t>V541.10060.202.00</t>
  </si>
  <si>
    <t>V541.10058.002.00</t>
  </si>
  <si>
    <t>V541.10417.202.02</t>
  </si>
  <si>
    <t>V541.10416.202.02</t>
  </si>
  <si>
    <t>V541.10415.202.02</t>
  </si>
  <si>
    <t>F545.12844.200.02</t>
  </si>
  <si>
    <t>V541.10414.202.02</t>
  </si>
  <si>
    <t>V541.10413.202.02</t>
  </si>
  <si>
    <t>V541.10412.202.02</t>
  </si>
  <si>
    <t>L545.16937.200.01</t>
  </si>
  <si>
    <t>L545.10763.202.01</t>
  </si>
  <si>
    <t>L545.15921.202.01</t>
  </si>
  <si>
    <t>L545.12763.203.01</t>
  </si>
  <si>
    <t>L290.10519.200.00</t>
  </si>
  <si>
    <t>A361.15007.215.00</t>
  </si>
  <si>
    <t>D752.18011.200.01</t>
  </si>
  <si>
    <t>D752.18006.201.01</t>
  </si>
  <si>
    <t>D546.30714.200.00</t>
  </si>
  <si>
    <t>D545.10152.200.05</t>
  </si>
  <si>
    <t>M545.11498.200.00</t>
  </si>
  <si>
    <t>F545.31037.203.01</t>
  </si>
  <si>
    <t>D546.18549.202.02</t>
  </si>
  <si>
    <t>L541.20364.200.40</t>
  </si>
  <si>
    <t>M545.11324.201.00</t>
  </si>
  <si>
    <t>M545.11324.200.00</t>
  </si>
  <si>
    <t>D752.18008.201.01</t>
  </si>
  <si>
    <t>D752.18008.200.01</t>
  </si>
  <si>
    <t>D752.18007.201.01</t>
  </si>
  <si>
    <t>D546.18626.203.05</t>
  </si>
  <si>
    <t>M545.11541.202.00</t>
  </si>
  <si>
    <t>M545.11541.200.00</t>
  </si>
  <si>
    <t>M545.11498.202.00</t>
  </si>
  <si>
    <t>F545.34858.200.40</t>
  </si>
  <si>
    <t>D546.18550.200.02</t>
  </si>
  <si>
    <t>D546.18549.200.02</t>
  </si>
  <si>
    <t>D545.21107.200.01</t>
  </si>
  <si>
    <t>D981.17311.200.00</t>
  </si>
  <si>
    <t>L541.20353.200.25</t>
  </si>
  <si>
    <t>D546.18550.202.02</t>
  </si>
  <si>
    <t>L541.20355.200.00</t>
  </si>
  <si>
    <t>L545.18971.200.00</t>
  </si>
  <si>
    <t>L541.20350.200.00</t>
  </si>
  <si>
    <t>D752.18007.200.01</t>
  </si>
  <si>
    <t>L541.20488.204.40</t>
  </si>
  <si>
    <t>L541.20489.204.40</t>
  </si>
  <si>
    <t>L545.10861.201.01</t>
  </si>
  <si>
    <t>L541.20352.200.25</t>
  </si>
  <si>
    <t>M545.11224.200.00</t>
  </si>
  <si>
    <t>L545.10763.203.01</t>
  </si>
  <si>
    <t>L545.10861.200.01</t>
  </si>
  <si>
    <t>L545.16971.201.00</t>
  </si>
  <si>
    <t>L545.15540.002.00</t>
  </si>
  <si>
    <t>L545.10701.200.00</t>
  </si>
  <si>
    <t>L545.15770.200.00</t>
  </si>
  <si>
    <t>L545.12763.202.01</t>
  </si>
  <si>
    <t>F545.34174.001.02</t>
  </si>
  <si>
    <t>F545.34174.000.02</t>
  </si>
  <si>
    <t>L545.15818.200.02</t>
  </si>
  <si>
    <t>L545.15753.201.01</t>
  </si>
  <si>
    <t>L545.15753.200.01</t>
  </si>
  <si>
    <t>L545.19068.200.01</t>
  </si>
  <si>
    <t>L545.16971.200.00</t>
  </si>
  <si>
    <t>L545.17921.203.01</t>
  </si>
  <si>
    <t>L545.10909.200.00</t>
  </si>
  <si>
    <t>L545.10885.201.01</t>
  </si>
  <si>
    <t>L545.10664.200.00</t>
  </si>
  <si>
    <t>L545.19097.200.05</t>
  </si>
  <si>
    <t>L545.19068.203.01</t>
  </si>
  <si>
    <t>L545.10885.200.01</t>
  </si>
  <si>
    <t>A361.10055.016.00</t>
  </si>
  <si>
    <t>L545.10883.200.02</t>
  </si>
  <si>
    <t>L545.10878.200.02</t>
  </si>
  <si>
    <t>L545.18971.203.00</t>
  </si>
  <si>
    <t>L545.15805.200.01</t>
  </si>
  <si>
    <t>V541.10057.204.00</t>
  </si>
  <si>
    <t>L545.19097.201.02</t>
  </si>
  <si>
    <t>L545.10662.201.01</t>
  </si>
  <si>
    <t>L545.10662.200.01</t>
  </si>
  <si>
    <t>L545.19093.201.01</t>
  </si>
  <si>
    <t>L545.19093.200.01</t>
  </si>
  <si>
    <t>L545.16960.203.00</t>
  </si>
  <si>
    <t>L545.16960.200.00</t>
  </si>
  <si>
    <t>L545.15841.205.01</t>
  </si>
  <si>
    <t>S542.12213.200.01</t>
  </si>
  <si>
    <t>L545.15823.200.02</t>
  </si>
  <si>
    <t>L717.10024.200.00</t>
  </si>
  <si>
    <t>L541.20348.200.00</t>
  </si>
  <si>
    <t>L545.15841.204.01</t>
  </si>
  <si>
    <t>L545.17921.202.01</t>
  </si>
  <si>
    <t>L545.15921.203.01</t>
  </si>
  <si>
    <t>L545.10923.203.01</t>
  </si>
  <si>
    <t>L545.10923.202.01</t>
  </si>
  <si>
    <t>L545.10657.204.05</t>
  </si>
  <si>
    <t>F545.31363.200.00</t>
  </si>
  <si>
    <t>F545.31291.200.40</t>
  </si>
  <si>
    <t>L545.19098.203.02</t>
  </si>
  <si>
    <t>L545.19044.202.01</t>
  </si>
  <si>
    <t>F545.31291.203.40</t>
  </si>
  <si>
    <t>D545.21060.200.01</t>
  </si>
  <si>
    <t>A546.12162.503.01</t>
  </si>
  <si>
    <t>A546.12162.502.01</t>
  </si>
  <si>
    <t>S543.12215.202.01</t>
  </si>
  <si>
    <t>L545.10658.200.05</t>
  </si>
  <si>
    <t>L545.12923.203.01</t>
  </si>
  <si>
    <t>L545.12923.202.01</t>
  </si>
  <si>
    <t>F545.31704.200.01</t>
  </si>
  <si>
    <t>F545.31159.200.01</t>
  </si>
  <si>
    <t>L545.10659.204.05</t>
  </si>
  <si>
    <t>F545.34349.200.00</t>
  </si>
  <si>
    <t>F545.30658.202.00</t>
  </si>
  <si>
    <t>F545.31037.200.01</t>
  </si>
  <si>
    <t>F545.31704.201.01</t>
  </si>
  <si>
    <t>D546.18724.200.00</t>
  </si>
  <si>
    <t>L545.19098.200.05</t>
  </si>
  <si>
    <t>D752.10041.201.01</t>
  </si>
  <si>
    <t>L545.10700.200.00</t>
  </si>
  <si>
    <t>D545.21104.200.01</t>
  </si>
  <si>
    <t>D541.10162.000.00</t>
  </si>
  <si>
    <t>D545.10162.201.40</t>
  </si>
  <si>
    <t>F545.10763.202.00</t>
  </si>
  <si>
    <t>D541.10161.200.00</t>
  </si>
  <si>
    <t>D541.10159.200.00</t>
  </si>
  <si>
    <t>D541.10158.200.00</t>
  </si>
  <si>
    <t>D541.10160.200.00</t>
  </si>
  <si>
    <t>D541.10142.200.00</t>
  </si>
  <si>
    <t>S543.12215.204.01</t>
  </si>
  <si>
    <t>D541.10143.200.01</t>
  </si>
  <si>
    <t>D541.10141.200.01</t>
  </si>
  <si>
    <t>V887.10674.200.00</t>
  </si>
  <si>
    <t>V887.10674.201.00</t>
  </si>
  <si>
    <t>V887.10658.200.00</t>
  </si>
  <si>
    <t>D752.10041.200.01</t>
  </si>
  <si>
    <t>D541.10101.000.00</t>
  </si>
  <si>
    <t>D545.10162.200.40</t>
  </si>
  <si>
    <t>D545.21107.201.01</t>
  </si>
  <si>
    <t>D545.21104.201.01</t>
  </si>
  <si>
    <t>F541.20024.200.03</t>
  </si>
  <si>
    <t>D546.30446.203.00</t>
  </si>
  <si>
    <t>D546.18550.202.90</t>
  </si>
  <si>
    <t>M545.11374.200.00</t>
  </si>
  <si>
    <t>REF.</t>
  </si>
  <si>
    <t>NOM</t>
  </si>
  <si>
    <t>F545.34679.200.05</t>
  </si>
  <si>
    <t>D546.18544.202.05</t>
  </si>
  <si>
    <t>F545.34572.200.01</t>
  </si>
  <si>
    <t>F545.34859.200.00</t>
  </si>
  <si>
    <t>F545.34511.200.05</t>
  </si>
  <si>
    <t>F545.34772.200.01</t>
  </si>
  <si>
    <t>F545.34735.200.00</t>
  </si>
  <si>
    <t>F545.32611.200.01</t>
  </si>
  <si>
    <t>F545.34720.200.00</t>
  </si>
  <si>
    <t>D546.10070.201.01</t>
  </si>
  <si>
    <t>D546.18617.202.05</t>
  </si>
  <si>
    <t>D546.18607.203.05</t>
  </si>
  <si>
    <t>D546.18607.202.05</t>
  </si>
  <si>
    <t>D546.18605.203.05</t>
  </si>
  <si>
    <t>D546.18605.202.05</t>
  </si>
  <si>
    <t>D546.10334.200.00</t>
  </si>
  <si>
    <t>D546.10333.200.00</t>
  </si>
  <si>
    <t>D546.10332.200.00</t>
  </si>
  <si>
    <t>F545.12539.200.00</t>
  </si>
  <si>
    <t>F545.12364.200.01</t>
  </si>
  <si>
    <t>F545.12246.000.01</t>
  </si>
  <si>
    <t>D545.18038.200.00</t>
  </si>
  <si>
    <t>D545.18033.200.00</t>
  </si>
  <si>
    <t>D546.18743.201.00</t>
  </si>
  <si>
    <t>L541.20062.200.02</t>
  </si>
  <si>
    <t>D546.18743.200.00</t>
  </si>
  <si>
    <t>F545.34530.200.02</t>
  </si>
  <si>
    <t>F545.12535.000.00</t>
  </si>
  <si>
    <t>D546.18627.202.01</t>
  </si>
  <si>
    <t>F545.32643.200.00</t>
  </si>
  <si>
    <t>F545.34852.000.00</t>
  </si>
  <si>
    <t>F545.34861.200.00</t>
  </si>
  <si>
    <t>F545.34824.200.02</t>
  </si>
  <si>
    <t>F545.34567.001.00</t>
  </si>
  <si>
    <t>F545.34536.200.01</t>
  </si>
  <si>
    <t>D546.10070.200.01</t>
  </si>
  <si>
    <t>F545.31263.201.00</t>
  </si>
  <si>
    <t>F545.34579.200.00</t>
  </si>
  <si>
    <t>F545.34832.200.00</t>
  </si>
  <si>
    <t>F545.32610.200.00</t>
  </si>
  <si>
    <t>F545.34567.000.00</t>
  </si>
  <si>
    <t>D546.10091.200.00</t>
  </si>
  <si>
    <t>F545.34579.202.00</t>
  </si>
  <si>
    <t>F545.12557.200.00</t>
  </si>
  <si>
    <t>F545.34927.200.00</t>
  </si>
  <si>
    <t>D546.30896.200.03</t>
  </si>
  <si>
    <t>F545.34581.201.01</t>
  </si>
  <si>
    <t>F545.34581.200.01</t>
  </si>
  <si>
    <t>L545.10786.202.00</t>
  </si>
  <si>
    <t>A752.15025.202.01</t>
  </si>
  <si>
    <t>F545.34342.000.00</t>
  </si>
  <si>
    <t>L545.19086.200.05</t>
  </si>
  <si>
    <t>L545.19082.200.05</t>
  </si>
  <si>
    <t>L545.15758.200.01</t>
  </si>
  <si>
    <t>L545.10653.202.05</t>
  </si>
  <si>
    <t>L545.15575.000.00</t>
  </si>
  <si>
    <t>L545.19051.200.00</t>
  </si>
  <si>
    <t>L545.10786.203.00</t>
  </si>
  <si>
    <t>L545.10867.200.01</t>
  </si>
  <si>
    <t>F545.34347.200.00</t>
  </si>
  <si>
    <t>L545.19301.200.00</t>
  </si>
  <si>
    <t>A752.15025.203.01</t>
  </si>
  <si>
    <t>L545.10566.000.00</t>
  </si>
  <si>
    <t>L545.10838.200.01</t>
  </si>
  <si>
    <t>L545.19305.200.00</t>
  </si>
  <si>
    <t>L545.16979.200.00</t>
  </si>
  <si>
    <t>L545.16969.200.00</t>
  </si>
  <si>
    <t>L545.18979.200.00</t>
  </si>
  <si>
    <t>L545.10654.202.05</t>
  </si>
  <si>
    <t>L545.18969.200.00</t>
  </si>
  <si>
    <t>L545.19055.200.00</t>
  </si>
  <si>
    <t>L545.17923.201.01</t>
  </si>
  <si>
    <t>L545.17923.200.01</t>
  </si>
  <si>
    <t>L545.10924.201.01</t>
  </si>
  <si>
    <t>F545.30547.200.00</t>
  </si>
  <si>
    <t>L545.10924.200.01</t>
  </si>
  <si>
    <t>L545.10983.200.00</t>
  </si>
  <si>
    <t>F545.34343.001.00</t>
  </si>
  <si>
    <t>F545.34343.000.00</t>
  </si>
  <si>
    <t>L545.12924.200.01</t>
  </si>
  <si>
    <t>L545.12924.201.01</t>
  </si>
  <si>
    <t>F545.34342.001.00</t>
  </si>
  <si>
    <t>F545.31703.201.01</t>
  </si>
  <si>
    <t>F545.31703.200.01</t>
  </si>
  <si>
    <t>L545.15923.200.01</t>
  </si>
  <si>
    <t>L545.15923.201.01</t>
  </si>
  <si>
    <t>F545.31337.201.00</t>
  </si>
  <si>
    <t>F545.31263.200.00</t>
  </si>
  <si>
    <t>L545.10983.201.00</t>
  </si>
  <si>
    <t>F545.32606.200.00</t>
  </si>
  <si>
    <t>D546.30731.200.00</t>
  </si>
  <si>
    <t>F545.32091.200.05</t>
  </si>
  <si>
    <t>F545.32097.200.01</t>
  </si>
  <si>
    <t>F545.32231.200.05</t>
  </si>
  <si>
    <t>F545.32230.200.05</t>
  </si>
  <si>
    <t>D546.30638.200.00</t>
  </si>
  <si>
    <t>F545.32076.201.03</t>
  </si>
  <si>
    <t>F545.32130.201.00</t>
  </si>
  <si>
    <t>D546.30896.200.01</t>
  </si>
  <si>
    <t>F545.30333.202.00</t>
  </si>
  <si>
    <t>F545.32076.200.03</t>
  </si>
  <si>
    <t>F545.32096.200.05</t>
  </si>
  <si>
    <t>L545.10178.000.00</t>
  </si>
  <si>
    <t>F545.30757.201.01</t>
  </si>
  <si>
    <t>REF</t>
  </si>
  <si>
    <t>DESIGNATION</t>
  </si>
  <si>
    <t>SUIVI</t>
  </si>
  <si>
    <t>OF</t>
  </si>
  <si>
    <t>EN STOCK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</si>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</sst>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u/>
      <sz val="11"/>
      <color theme="10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1" fillId="0" borderId="13" xfId="0" applyFont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0" xfId="0" applyFont="1" applyBorder="1"/>
    <xf numFmtId="0" fontId="3" fillId="0" borderId="2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1903"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68"/>
  <sheetViews>
    <sheetView tabSelected="1" topLeftCell="A43" zoomScale="85" zoomScaleNormal="85" workbookViewId="0">
      <selection activeCell="C6" sqref="C6"/>
    </sheetView>
  </sheetViews>
  <sheetFormatPr baseColWidth="10" defaultRowHeight="14.25" x14ac:dyDescent="0.2"/>
  <cols>
    <col min="1" max="1" width="17.625" style="7" customWidth="1"/>
    <col min="2" max="2" width="35.625" style="7" customWidth="1"/>
    <col min="3" max="3" width="15.625" style="7" customWidth="1"/>
    <col min="4" max="4" width="41.875" style="7" customWidth="1"/>
    <col min="5" max="5" width="15.625" style="27" customWidth="1"/>
    <col min="6" max="20" width="15.625" style="28" customWidth="1"/>
    <col min="21" max="21" width="15.625" style="29" customWidth="1"/>
    <col min="22" max="16384" width="11" style="1"/>
  </cols>
  <sheetData>
    <row r="1" spans="1:21" s="25" customFormat="1" ht="24.95" customHeight="1" thickBot="1" x14ac:dyDescent="0.25">
      <c r="A1" s="23" t="s">
        <v>167</v>
      </c>
      <c r="B1" s="23" t="s">
        <v>168</v>
      </c>
      <c r="C1" s="23" t="s">
        <v>275</v>
      </c>
      <c r="D1" s="23" t="s">
        <v>278</v>
      </c>
      <c r="E1" s="31" t="s">
        <v>276</v>
      </c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3"/>
    </row>
    <row r="2" spans="1:21" ht="20.100000000000001" customHeight="1" x14ac:dyDescent="0.2">
      <c r="A2" s="17" t="s">
        <v>96</v>
      </c>
      <c r="B2" s="18" t="str">
        <f>HYPERLINK("http://xeron.fr.eu.airbus.corp:8020/copedoc/servlet/JSVisualisation?Langue=fr&amp;RefPlan=A36110055&amp;NumPlanche=2&amp;IndicePlanche=F00&amp;FormatFichier=TIF&amp;NomFichier=A36110055_F00_002.TIF","SUPPORTS EQUIPES")</f>
        <v>SUPPORTS EQUIPES</v>
      </c>
      <c r="C2" s="19"/>
      <c r="D2" s="19"/>
      <c r="E2" s="20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2"/>
    </row>
    <row r="3" spans="1:21" ht="20.100000000000001" customHeight="1" x14ac:dyDescent="0.2">
      <c r="A3" s="10" t="s">
        <v>41</v>
      </c>
      <c r="B3" s="8" t="str">
        <f>HYPERLINK("http://xeron.fr.eu.airbus.corp:8020/copedoc/servlet/JSVisualisation?Langue=fr&amp;RefPlan=A36115007&amp;NumPlanche=2&amp;IndicePlanche=C00&amp;FormatFichier=TIF&amp;NomFichier=A36115007_C00_002.TIF","CIRCUIT D'AIR AMONT ECHANGEUR")</f>
        <v>CIRCUIT D'AIR AMONT ECHANGEUR</v>
      </c>
      <c r="C3" s="19"/>
      <c r="D3" s="19"/>
      <c r="E3" s="1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/>
    </row>
    <row r="4" spans="1:21" ht="20.100000000000001" customHeight="1" x14ac:dyDescent="0.2">
      <c r="A4" s="10" t="s">
        <v>127</v>
      </c>
      <c r="B4" s="8" t="str">
        <f>HYPERLINK("http://xeron.fr.eu.airbus.corp:8020/copedoc/servlet/JSVisualisation?Langue=fr&amp;RefPlan=A54612162&amp;NumPlanche=3&amp;IndicePlanche=G00&amp;FormatFichier=TIF&amp;NomFichier=A54612162_G00_003.TIF","RENFORT DE PORTE")</f>
        <v>RENFORT DE PORTE</v>
      </c>
      <c r="C4" s="19"/>
      <c r="D4" s="19"/>
      <c r="E4" s="1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3"/>
    </row>
    <row r="5" spans="1:21" ht="20.100000000000001" customHeight="1" x14ac:dyDescent="0.2">
      <c r="A5" s="10" t="s">
        <v>126</v>
      </c>
      <c r="B5" s="8" t="str">
        <f>HYPERLINK("http://xeron.fr.eu.airbus.corp:8020/copedoc/servlet/JSVisualisation?Langue=fr&amp;RefPlan=A54612162&amp;NumPlanche=3&amp;IndicePlanche=G00&amp;FormatFichier=TIF&amp;NomFichier=A54612162_G00_003.TIF","RENFORT DE PORTE")</f>
        <v>RENFORT DE PORTE</v>
      </c>
      <c r="C5" s="19"/>
      <c r="D5" s="19"/>
      <c r="E5" s="1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3"/>
    </row>
    <row r="6" spans="1:21" ht="20.100000000000001" customHeight="1" x14ac:dyDescent="0.2">
      <c r="A6" s="10" t="s">
        <v>1</v>
      </c>
      <c r="B6" s="8" t="str">
        <f>HYPERLINK("http://xeron.fr.eu.airbus.corp:8020/copedoc/servlet/JSVisualisation?Langue=fr&amp;RefPlan=D36110026&amp;NumPlanche=3&amp;IndicePlanche=E00&amp;FormatFichier=TIF&amp;NomFichier=D36110026_E00_003.TIF","GOULOTTE")</f>
        <v>GOULOTTE</v>
      </c>
      <c r="C6" s="19"/>
      <c r="D6" s="19"/>
      <c r="E6" s="1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3"/>
    </row>
    <row r="7" spans="1:21" ht="20.100000000000001" customHeight="1" x14ac:dyDescent="0.2">
      <c r="A7" s="10" t="s">
        <v>159</v>
      </c>
      <c r="B7" s="8" t="str">
        <f>HYPERLINK("http://xeron.fr.eu.airbus.corp:8020/copedoc/servlet/JSVisualisation?Langue=fr&amp;RefPlan=D54110101&amp;NumPlanche=1&amp;IndicePlanche=A00&amp;FormatFichier=JPG&amp;NomFichier=D54110101_A00_001.JPG","COURONNE 12H EQUIPEE")</f>
        <v>COURONNE 12H EQUIPEE</v>
      </c>
      <c r="C7" s="19"/>
      <c r="D7" s="19"/>
      <c r="E7" s="1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3"/>
    </row>
    <row r="8" spans="1:21" ht="20.100000000000001" customHeight="1" x14ac:dyDescent="0.2">
      <c r="A8" s="10" t="s">
        <v>154</v>
      </c>
      <c r="B8" s="8" t="str">
        <f>HYPERLINK("http://xeron.fr.eu.airbus.corp:8020/copedoc/servlet/JSVisualisation?Langue=fr&amp;RefPlan=D54110141&amp;NumPlanche=1&amp;IndicePlanche=A00&amp;FormatFichier=JPG&amp;NomFichier=D54110141_A00_001.JPG","BOUCLIER 3H")</f>
        <v>BOUCLIER 3H</v>
      </c>
      <c r="C8" s="19"/>
      <c r="D8" s="19"/>
      <c r="E8" s="1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3"/>
    </row>
    <row r="9" spans="1:21" ht="20.100000000000001" customHeight="1" x14ac:dyDescent="0.2">
      <c r="A9" s="10" t="s">
        <v>151</v>
      </c>
      <c r="B9" s="8" t="str">
        <f>HYPERLINK("http://xeron.fr.eu.airbus.corp:8020/copedoc/servlet/JSVisualisation?Langue=fr&amp;RefPlan=D54110142&amp;NumPlanche=1&amp;IndicePlanche=A00&amp;FormatFichier=JPG&amp;NomFichier=D54110142_A00_001.JPG","BOUCLIER 6H")</f>
        <v>BOUCLIER 6H</v>
      </c>
      <c r="C9" s="19"/>
      <c r="D9" s="19"/>
      <c r="E9" s="1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3"/>
    </row>
    <row r="10" spans="1:21" ht="20.100000000000001" customHeight="1" x14ac:dyDescent="0.2">
      <c r="A10" s="10" t="s">
        <v>153</v>
      </c>
      <c r="B10" s="8" t="str">
        <f>HYPERLINK("http://xeron.fr.eu.airbus.corp:8020/copedoc/servlet/JSVisualisation?Langue=fr&amp;RefPlan=D54110143&amp;NumPlanche=1&amp;IndicePlanche=A00&amp;FormatFichier=JPG&amp;NomFichier=D54110143_A00_001.JPG","BOUCLIER 9H")</f>
        <v>BOUCLIER 9H</v>
      </c>
      <c r="C10" s="19"/>
      <c r="D10" s="19"/>
      <c r="E10" s="1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3"/>
    </row>
    <row r="11" spans="1:21" ht="20.100000000000001" customHeight="1" x14ac:dyDescent="0.2">
      <c r="A11" s="10" t="s">
        <v>149</v>
      </c>
      <c r="B11" s="8" t="str">
        <f>HYPERLINK("http://xeron.fr.eu.airbus.corp:8020/copedoc/servlet/JSVisualisation?Langue=fr&amp;RefPlan=D54110158&amp;NumPlanche=1&amp;IndicePlanche=A00&amp;FormatFichier=JPG&amp;NomFichier=D54110158_A00_001.JPG","COURONNE 2H")</f>
        <v>COURONNE 2H</v>
      </c>
      <c r="C11" s="19"/>
      <c r="D11" s="19"/>
      <c r="E11" s="1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3"/>
    </row>
    <row r="12" spans="1:21" ht="20.100000000000001" customHeight="1" x14ac:dyDescent="0.2">
      <c r="A12" s="10" t="s">
        <v>148</v>
      </c>
      <c r="B12" s="8" t="str">
        <f>HYPERLINK("http://xeron.fr.eu.airbus.corp:8020/copedoc/servlet/JSVisualisation?Langue=fr&amp;RefPlan=D54110159&amp;NumPlanche=1&amp;IndicePlanche=A00&amp;FormatFichier=JPG&amp;NomFichier=D54110159_A00_001.JPG","COURONNE 5H")</f>
        <v>COURONNE 5H</v>
      </c>
      <c r="C12" s="19"/>
      <c r="D12" s="19"/>
      <c r="E12" s="1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3"/>
    </row>
    <row r="13" spans="1:21" ht="20.100000000000001" customHeight="1" x14ac:dyDescent="0.2">
      <c r="A13" s="10" t="s">
        <v>150</v>
      </c>
      <c r="B13" s="8" t="str">
        <f>HYPERLINK("http://xeron.fr.eu.airbus.corp:8020/copedoc/servlet/JSVisualisation?Langue=fr&amp;RefPlan=D54110160&amp;NumPlanche=1&amp;IndicePlanche=A00&amp;FormatFichier=JPG&amp;NomFichier=D54110160_A00_001.JPG","COURONNE 7H")</f>
        <v>COURONNE 7H</v>
      </c>
      <c r="C13" s="19"/>
      <c r="D13" s="19"/>
      <c r="E13" s="1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3"/>
    </row>
    <row r="14" spans="1:21" ht="20.100000000000001" customHeight="1" x14ac:dyDescent="0.2">
      <c r="A14" s="10" t="s">
        <v>147</v>
      </c>
      <c r="B14" s="8" t="str">
        <f>HYPERLINK("http://xeron.fr.eu.airbus.corp:8020/copedoc/servlet/JSVisualisation?Langue=fr&amp;RefPlan=D54110161&amp;NumPlanche=1&amp;IndicePlanche=A00&amp;FormatFichier=JPG&amp;NomFichier=D54110161_A00_001.JPG","COURONNE 10H")</f>
        <v>COURONNE 10H</v>
      </c>
      <c r="C14" s="19"/>
      <c r="D14" s="19"/>
      <c r="E14" s="1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3"/>
    </row>
    <row r="15" spans="1:21" ht="20.100000000000001" customHeight="1" x14ac:dyDescent="0.2">
      <c r="A15" s="10" t="s">
        <v>144</v>
      </c>
      <c r="B15" s="8" t="str">
        <f>HYPERLINK("http://xeron.fr.eu.airbus.corp:8020/copedoc/servlet/JSVisualisation?Langue=fr&amp;RefPlan=D54110162&amp;NumPlanche=1&amp;IndicePlanche=A00&amp;FormatFichier=JPG&amp;NomFichier=D54110162_A00_001.JPG","COURONNE 12H EQUIPEE")</f>
        <v>COURONNE 12H EQUIPEE</v>
      </c>
      <c r="C15" s="19"/>
      <c r="D15" s="19"/>
      <c r="E15" s="1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3"/>
    </row>
    <row r="16" spans="1:21" ht="20.100000000000001" customHeight="1" x14ac:dyDescent="0.2">
      <c r="A16" s="10" t="s">
        <v>45</v>
      </c>
      <c r="B16" s="8" t="str">
        <f>HYPERLINK("http://xeron.fr.eu.airbus.corp:8020/copedoc/servlet/JSVisualisation?Langue=fr&amp;RefPlan=D54510152&amp;NumPlanche=1&amp;IndicePlanche=A00&amp;FormatFichier=TIF&amp;NomFichier=D54510152_A00_001.TIF","Z VERTICAL")</f>
        <v>Z VERTICAL</v>
      </c>
      <c r="C16" s="19"/>
      <c r="D16" s="19"/>
      <c r="E16" s="1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3"/>
    </row>
    <row r="17" spans="1:21" ht="20.100000000000001" customHeight="1" x14ac:dyDescent="0.2">
      <c r="A17" s="10" t="s">
        <v>6</v>
      </c>
      <c r="B17" s="8" t="str">
        <f>HYPERLINK("http://xeron.fr.eu.airbus.corp:8020/copedoc/servlet/JSVisualisation?Langue=fr&amp;RefPlan=D54510152&amp;NumPlanche=1&amp;IndicePlanche=A00&amp;FormatFichier=TIF&amp;NomFichier=D54510152_A00_001.TIF","Z VERTICAL")</f>
        <v>Z VERTICAL</v>
      </c>
      <c r="C17" s="19"/>
      <c r="D17" s="19"/>
      <c r="E17" s="1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3"/>
    </row>
    <row r="18" spans="1:21" ht="20.100000000000001" customHeight="1" x14ac:dyDescent="0.2">
      <c r="A18" s="10" t="s">
        <v>20</v>
      </c>
      <c r="B18" s="8" t="str">
        <f>HYPERLINK("http://xeron.fr.eu.airbus.corp:8020/copedoc/servlet/JSVisualisation?Langue=fr&amp;RefPlan=D54510162&amp;NumPlanche=1&amp;IndicePlanche=A00&amp;FormatFichier=TIF&amp;NomFichier=D54510162_A00_001.TIF","DEFLECTEUR")</f>
        <v>DEFLECTEUR</v>
      </c>
      <c r="C18" s="19"/>
      <c r="D18" s="19"/>
      <c r="E18" s="1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3"/>
    </row>
    <row r="19" spans="1:21" ht="20.100000000000001" customHeight="1" x14ac:dyDescent="0.2">
      <c r="A19" s="10" t="s">
        <v>160</v>
      </c>
      <c r="B19" s="8" t="str">
        <f t="shared" ref="B19:B21" si="0">HYPERLINK("http://xeron.fr.eu.airbus.corp:8020/copedoc/servlet/JSVisualisation?Langue=fr&amp;RefPlan=D54510162&amp;NumPlanche=1&amp;IndicePlanche=A00&amp;FormatFichier=TIF&amp;NomFichier=D54510162_A00_001.TIF","DEFLECTEUR")</f>
        <v>DEFLECTEUR</v>
      </c>
      <c r="C19" s="19"/>
      <c r="D19" s="19"/>
      <c r="E19" s="1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3"/>
    </row>
    <row r="20" spans="1:21" ht="20.100000000000001" customHeight="1" x14ac:dyDescent="0.2">
      <c r="A20" s="10" t="s">
        <v>19</v>
      </c>
      <c r="B20" s="8" t="str">
        <f t="shared" si="0"/>
        <v>DEFLECTEUR</v>
      </c>
      <c r="C20" s="19"/>
      <c r="D20" s="19"/>
      <c r="E20" s="1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3"/>
    </row>
    <row r="21" spans="1:21" ht="20.100000000000001" customHeight="1" x14ac:dyDescent="0.2">
      <c r="A21" s="10" t="s">
        <v>145</v>
      </c>
      <c r="B21" s="8" t="str">
        <f t="shared" si="0"/>
        <v>DEFLECTEUR</v>
      </c>
      <c r="C21" s="19"/>
      <c r="D21" s="19"/>
      <c r="E21" s="1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3"/>
    </row>
    <row r="22" spans="1:21" ht="20.100000000000001" customHeight="1" x14ac:dyDescent="0.2">
      <c r="A22" s="10" t="s">
        <v>125</v>
      </c>
      <c r="B22" s="8" t="str">
        <f>HYPERLINK("http://xeron.fr.eu.airbus.corp:8020/copedoc/servlet/JSVisualisation?Langue=fr&amp;RefPlan=D54521060&amp;NumPlanche=1&amp;IndicePlanche=B00&amp;FormatFichier=JPG&amp;NomFichier=D54521060_B00_001.JPG","TOLE DE FOND NEO CFM")</f>
        <v>TOLE DE FOND NEO CFM</v>
      </c>
      <c r="C22" s="19"/>
      <c r="D22" s="19"/>
      <c r="E22" s="1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3"/>
    </row>
    <row r="23" spans="1:21" ht="20.100000000000001" customHeight="1" x14ac:dyDescent="0.2">
      <c r="A23" s="10" t="s">
        <v>143</v>
      </c>
      <c r="B23" s="8" t="str">
        <f>HYPERLINK("http://xeron.fr.eu.airbus.corp:8020/copedoc/servlet/JSVisualisation?Langue=fr&amp;RefPlan=D54521104&amp;NumPlanche=1&amp;IndicePlanche=C00&amp;FormatFichier=JPG&amp;NomFichier=D54521104_C00_001.JPG","ENTABLEMENT SUP. EXT MG NEO CFM")</f>
        <v>ENTABLEMENT SUP. EXT MG NEO CFM</v>
      </c>
      <c r="C23" s="19"/>
      <c r="D23" s="19"/>
      <c r="E23" s="1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3"/>
    </row>
    <row r="24" spans="1:21" ht="20.100000000000001" customHeight="1" x14ac:dyDescent="0.2">
      <c r="A24" s="10" t="s">
        <v>162</v>
      </c>
      <c r="B24" s="8" t="str">
        <f>HYPERLINK("http://xeron.fr.eu.airbus.corp:8020/copedoc/servlet/JSVisualisation?Langue=fr&amp;RefPlan=D54521104&amp;NumPlanche=1&amp;IndicePlanche=C00&amp;FormatFichier=JPG&amp;NomFichier=D54521104_C00_001.JPG","ENTABLEMENT SUP. EXT MG NEO CFM")</f>
        <v>ENTABLEMENT SUP. EXT MG NEO CFM</v>
      </c>
      <c r="C24" s="19"/>
      <c r="D24" s="19"/>
      <c r="E24" s="1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3"/>
    </row>
    <row r="25" spans="1:21" ht="20.100000000000001" customHeight="1" x14ac:dyDescent="0.2">
      <c r="A25" s="10" t="s">
        <v>62</v>
      </c>
      <c r="B25" s="8" t="str">
        <f>HYPERLINK("http://xeron.fr.eu.airbus.corp:8020/copedoc/servlet/JSVisualisation?Langue=fr&amp;RefPlan=D54521107&amp;NumPlanche=1&amp;IndicePlanche=C00&amp;FormatFichier=JPG&amp;NomFichier=D54521107_C00_001.JPG","INT ENTABLEMENT")</f>
        <v>INT ENTABLEMENT</v>
      </c>
      <c r="C25" s="19"/>
      <c r="D25" s="19"/>
      <c r="E25" s="1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3"/>
    </row>
    <row r="26" spans="1:21" ht="20.100000000000001" customHeight="1" x14ac:dyDescent="0.2">
      <c r="A26" s="10" t="s">
        <v>161</v>
      </c>
      <c r="B26" s="8" t="str">
        <f>HYPERLINK("http://xeron.fr.eu.airbus.corp:8020/copedoc/servlet/JSVisualisation?Langue=fr&amp;RefPlan=D54521107&amp;NumPlanche=1&amp;IndicePlanche=C00&amp;FormatFichier=JPG&amp;NomFichier=D54521107_C00_001.JPG","INT ENTABLEMENT")</f>
        <v>INT ENTABLEMENT</v>
      </c>
      <c r="C26" s="19"/>
      <c r="D26" s="19"/>
      <c r="E26" s="1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3"/>
    </row>
    <row r="27" spans="1:21" ht="20.100000000000001" customHeight="1" x14ac:dyDescent="0.2">
      <c r="A27" s="10" t="s">
        <v>25</v>
      </c>
      <c r="B27" s="8" t="str">
        <f>HYPERLINK("http://xeron.fr.eu.airbus.corp:8020/copedoc/servlet/JSVisualisation?Langue=fr&amp;RefPlan=D54530110&amp;NumPlanche=2&amp;IndicePlanche=F00&amp;FormatFichier=TIF&amp;NomFichier=D54530110_F00_002.TIF","LONG INF AR")</f>
        <v>LONG INF AR</v>
      </c>
      <c r="C27" s="19"/>
      <c r="D27" s="19"/>
      <c r="E27" s="1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3"/>
    </row>
    <row r="28" spans="1:21" ht="20.100000000000001" customHeight="1" x14ac:dyDescent="0.2">
      <c r="A28" s="10" t="s">
        <v>21</v>
      </c>
      <c r="B28" s="8" t="str">
        <f>HYPERLINK("http://xeron.fr.eu.airbus.corp:8020/copedoc/servlet/JSVisualisation?Langue=fr&amp;RefPlan=D54530303&amp;NumPlanche=1&amp;IndicePlanche=C00&amp;FormatFichier=TIF&amp;NomFichier=D54530303_C00_001.TIF","TOLE DE FOND")</f>
        <v>TOLE DE FOND</v>
      </c>
      <c r="C28" s="19"/>
      <c r="D28" s="19"/>
      <c r="E28" s="1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3"/>
    </row>
    <row r="29" spans="1:21" ht="20.100000000000001" customHeight="1" x14ac:dyDescent="0.2">
      <c r="A29" s="10" t="s">
        <v>24</v>
      </c>
      <c r="B29" s="8" t="str">
        <f>HYPERLINK("http://xeron.fr.eu.airbus.corp:8020/copedoc/servlet/JSVisualisation?Langue=fr&amp;RefPlan=D54530368&amp;NumPlanche=1&amp;IndicePlanche=C00&amp;FormatFichier=TIF&amp;NomFichier=D54530368_C00_001.TIF","SABOT ARRIERE")</f>
        <v>SABOT ARRIERE</v>
      </c>
      <c r="C29" s="19"/>
      <c r="D29" s="19"/>
      <c r="E29" s="1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3"/>
    </row>
    <row r="30" spans="1:21" ht="20.100000000000001" customHeight="1" x14ac:dyDescent="0.2">
      <c r="A30" s="10" t="s">
        <v>61</v>
      </c>
      <c r="B30" s="8" t="str">
        <f>HYPERLINK("http://xeron.fr.eu.airbus.corp:8020/copedoc/servlet/JSVisualisation?Langue=fr&amp;RefPlan=D54618549&amp;NumPlanche=2&amp;IndicePlanche=B00&amp;FormatFichier=TIF&amp;NomFichier=D54618549_B00_002.TIF","BANDEAU AV INF HYD")</f>
        <v>BANDEAU AV INF HYD</v>
      </c>
      <c r="C30" s="19"/>
      <c r="D30" s="19"/>
      <c r="E30" s="1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3"/>
    </row>
    <row r="31" spans="1:21" ht="20.100000000000001" customHeight="1" x14ac:dyDescent="0.2">
      <c r="A31" s="10" t="s">
        <v>48</v>
      </c>
      <c r="B31" s="8" t="str">
        <f>HYPERLINK("http://xeron.fr.eu.airbus.corp:8020/copedoc/servlet/JSVisualisation?Langue=fr&amp;RefPlan=D54618549&amp;NumPlanche=2&amp;IndicePlanche=B00&amp;FormatFichier=TIF&amp;NomFichier=D54618549_B00_002.TIF","BANDEAU AV INF HYD")</f>
        <v>BANDEAU AV INF HYD</v>
      </c>
      <c r="C31" s="19"/>
      <c r="D31" s="19"/>
      <c r="E31" s="1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3"/>
    </row>
    <row r="32" spans="1:21" ht="20.100000000000001" customHeight="1" x14ac:dyDescent="0.2">
      <c r="A32" s="10" t="s">
        <v>60</v>
      </c>
      <c r="B32" s="8" t="str">
        <f>HYPERLINK("http://xeron.fr.eu.airbus.corp:8020/copedoc/servlet/JSVisualisation?Langue=fr&amp;RefPlan=D54618550&amp;NumPlanche=2&amp;IndicePlanche=C00&amp;FormatFichier=TIF&amp;NomFichier=D54618550_C00_002.TIF","BANDEAU AV INF ELEC")</f>
        <v>BANDEAU AV INF ELEC</v>
      </c>
      <c r="C32" s="19"/>
      <c r="D32" s="19"/>
      <c r="E32" s="1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3"/>
    </row>
    <row r="33" spans="1:21" ht="20.100000000000001" customHeight="1" x14ac:dyDescent="0.2">
      <c r="A33" s="10" t="s">
        <v>65</v>
      </c>
      <c r="B33" s="8" t="str">
        <f t="shared" ref="B33:B34" si="1">HYPERLINK("http://xeron.fr.eu.airbus.corp:8020/copedoc/servlet/JSVisualisation?Langue=fr&amp;RefPlan=D54618550&amp;NumPlanche=2&amp;IndicePlanche=C00&amp;FormatFichier=TIF&amp;NomFichier=D54618550_C00_002.TIF","BANDEAU AV INF ELEC")</f>
        <v>BANDEAU AV INF ELEC</v>
      </c>
      <c r="C33" s="19"/>
      <c r="D33" s="19"/>
      <c r="E33" s="1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3"/>
    </row>
    <row r="34" spans="1:21" ht="20.100000000000001" customHeight="1" x14ac:dyDescent="0.2">
      <c r="A34" s="10" t="s">
        <v>165</v>
      </c>
      <c r="B34" s="8" t="str">
        <f t="shared" si="1"/>
        <v>BANDEAU AV INF ELEC</v>
      </c>
      <c r="C34" s="19"/>
      <c r="D34" s="19"/>
      <c r="E34" s="1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3"/>
    </row>
    <row r="35" spans="1:21" ht="20.100000000000001" customHeight="1" x14ac:dyDescent="0.2">
      <c r="A35" s="10" t="s">
        <v>16</v>
      </c>
      <c r="B35" s="8" t="str">
        <f>HYPERLINK("http://xeron.fr.eu.airbus.corp:8020/copedoc/servlet/JSVisualisation?Langue=fr&amp;RefPlan=D54618600&amp;NumPlanche=1&amp;IndicePlanche=F00&amp;FormatFichier=TIF&amp;NomFichier=D54618600_F00_001.TIF","VOILE N07-08 HYDR")</f>
        <v>VOILE N07-08 HYDR</v>
      </c>
      <c r="C35" s="19"/>
      <c r="D35" s="19"/>
      <c r="E35" s="1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3"/>
    </row>
    <row r="36" spans="1:21" ht="20.100000000000001" customHeight="1" x14ac:dyDescent="0.2">
      <c r="A36" s="10" t="s">
        <v>15</v>
      </c>
      <c r="B36" s="8" t="str">
        <f>HYPERLINK("http://xeron.fr.eu.airbus.corp:8020/copedoc/servlet/JSVisualisation?Langue=fr&amp;RefPlan=D54618600&amp;NumPlanche=1&amp;IndicePlanche=F00&amp;FormatFichier=TIF&amp;NomFichier=D54618600_F00_001.TIF","VOILE N07-08 HYDR")</f>
        <v>VOILE N07-08 HYDR</v>
      </c>
      <c r="C36" s="19"/>
      <c r="D36" s="19"/>
      <c r="E36" s="1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3"/>
    </row>
    <row r="37" spans="1:21" ht="20.100000000000001" customHeight="1" x14ac:dyDescent="0.2">
      <c r="A37" s="10" t="s">
        <v>14</v>
      </c>
      <c r="B37" s="8" t="str">
        <f>HYPERLINK("http://xeron.fr.eu.airbus.corp:8020/copedoc/servlet/JSVisualisation?Langue=fr&amp;RefPlan=D54618601&amp;NumPlanche=1&amp;IndicePlanche=F00&amp;FormatFichier=TIF&amp;NomFichier=D54618601_F00_001.TIF","VOILE N07-08 ELEC")</f>
        <v>VOILE N07-08 ELEC</v>
      </c>
      <c r="C37" s="19"/>
      <c r="D37" s="19"/>
      <c r="E37" s="1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3"/>
    </row>
    <row r="38" spans="1:21" ht="20.100000000000001" customHeight="1" x14ac:dyDescent="0.2">
      <c r="A38" s="10" t="s">
        <v>13</v>
      </c>
      <c r="B38" s="8" t="str">
        <f>HYPERLINK("http://xeron.fr.eu.airbus.corp:8020/copedoc/servlet/JSVisualisation?Langue=fr&amp;RefPlan=D54618601&amp;NumPlanche=1&amp;IndicePlanche=F00&amp;FormatFichier=TIF&amp;NomFichier=D54618601_F00_001.TIF","VOILE N07-08 ELEC")</f>
        <v>VOILE N07-08 ELEC</v>
      </c>
      <c r="C38" s="19"/>
      <c r="D38" s="19"/>
      <c r="E38" s="1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3"/>
    </row>
    <row r="39" spans="1:21" ht="20.100000000000001" customHeight="1" x14ac:dyDescent="0.2">
      <c r="A39" s="10" t="s">
        <v>23</v>
      </c>
      <c r="B39" s="8" t="str">
        <f>HYPERLINK("http://xeron.fr.eu.airbus.corp:8020/copedoc/servlet/JSVisualisation?Langue=fr&amp;RefPlan=D54618604&amp;NumPlanche=2&amp;IndicePlanche=E00&amp;FormatFichier=TIF&amp;NomFichier=D54618604_E00_002.TIF","CORNIERE SUP. N07-N09")</f>
        <v>CORNIERE SUP. N07-N09</v>
      </c>
      <c r="C39" s="19"/>
      <c r="D39" s="19"/>
      <c r="E39" s="1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3"/>
    </row>
    <row r="40" spans="1:21" ht="20.100000000000001" customHeight="1" x14ac:dyDescent="0.2">
      <c r="A40" s="10" t="s">
        <v>22</v>
      </c>
      <c r="B40" s="8" t="str">
        <f>HYPERLINK("http://xeron.fr.eu.airbus.corp:8020/copedoc/servlet/JSVisualisation?Langue=fr&amp;RefPlan=D54618604&amp;NumPlanche=2&amp;IndicePlanche=E00&amp;FormatFichier=TIF&amp;NomFichier=D54618604_E00_002.TIF","CORNIERE SUP. N07-N09")</f>
        <v>CORNIERE SUP. N07-N09</v>
      </c>
      <c r="C40" s="19"/>
      <c r="D40" s="19"/>
      <c r="E40" s="1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3"/>
    </row>
    <row r="41" spans="1:21" ht="20.100000000000001" customHeight="1" x14ac:dyDescent="0.2">
      <c r="A41" s="10" t="s">
        <v>5</v>
      </c>
      <c r="B41" s="8" t="str">
        <f>HYPERLINK("http://xeron.fr.eu.airbus.corp:8020/copedoc/servlet/JSVisualisation?Langue=fr&amp;RefPlan=D54618626&amp;NumPlanche=2&amp;IndicePlanche=C00&amp;FormatFichier=TIF&amp;NomFichier=D54618626_C00_002.TIF","VOILE EXT. N08")</f>
        <v>VOILE EXT. N08</v>
      </c>
      <c r="C41" s="19"/>
      <c r="D41" s="19"/>
      <c r="E41" s="1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3"/>
    </row>
    <row r="42" spans="1:21" ht="20.100000000000001" customHeight="1" x14ac:dyDescent="0.2">
      <c r="A42" s="10" t="s">
        <v>55</v>
      </c>
      <c r="B42" s="8" t="str">
        <f>HYPERLINK("http://xeron.fr.eu.airbus.corp:8020/copedoc/servlet/JSVisualisation?Langue=fr&amp;RefPlan=D54618626&amp;NumPlanche=2&amp;IndicePlanche=C00&amp;FormatFichier=TIF&amp;NomFichier=D54618626_C00_002.TIF","VOILE EXT. N08")</f>
        <v>VOILE EXT. N08</v>
      </c>
      <c r="C42" s="19"/>
      <c r="D42" s="19"/>
      <c r="E42" s="1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3"/>
    </row>
    <row r="43" spans="1:21" ht="20.100000000000001" customHeight="1" x14ac:dyDescent="0.2">
      <c r="A43" s="10" t="s">
        <v>2</v>
      </c>
      <c r="B43" s="8" t="str">
        <f>HYPERLINK("http://xeron.fr.eu.airbus.corp:8020/copedoc/servlet/JSVisualisation?Langue=fr&amp;RefPlan=D54618702&amp;NumPlanche=2&amp;IndicePlanche=D00&amp;FormatFichier=TIF&amp;NomFichier=D54618702_D00_002.TIF","TOLE DE FOND")</f>
        <v>TOLE DE FOND</v>
      </c>
      <c r="C43" s="19"/>
      <c r="D43" s="19"/>
      <c r="E43" s="1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3"/>
    </row>
    <row r="44" spans="1:21" ht="20.100000000000001" customHeight="1" x14ac:dyDescent="0.2">
      <c r="A44" s="10" t="s">
        <v>139</v>
      </c>
      <c r="B44" s="8" t="str">
        <f>HYPERLINK("http://xeron.fr.eu.airbus.corp:8020/copedoc/servlet/JSVisualisation?Langue=fr&amp;RefPlan=D54618724&amp;NumPlanche=1&amp;IndicePlanche=A00&amp;FormatFichier=TIF&amp;NomFichier=D54618724_A00_001.TIF","CAPOT N01-07 HYD M/G")</f>
        <v>CAPOT N01-07 HYD M/G</v>
      </c>
      <c r="C44" s="19"/>
      <c r="D44" s="19"/>
      <c r="E44" s="1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3"/>
    </row>
    <row r="45" spans="1:21" ht="20.100000000000001" customHeight="1" x14ac:dyDescent="0.2">
      <c r="A45" s="10" t="s">
        <v>11</v>
      </c>
      <c r="B45" s="8" t="str">
        <f>HYPERLINK("http://xeron.fr.eu.airbus.corp:8020/copedoc/servlet/JSVisualisation?Langue=fr&amp;RefPlan=D54618736&amp;NumPlanche=2&amp;IndicePlanche=B00&amp;FormatFichier=JPG&amp;NomFichier=D54618736_B00_002.JPG","AME NERVURE 09 EQ.")</f>
        <v>AME NERVURE 09 EQ.</v>
      </c>
      <c r="C45" s="19"/>
      <c r="D45" s="19"/>
      <c r="E45" s="1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3"/>
    </row>
    <row r="46" spans="1:21" ht="20.100000000000001" customHeight="1" x14ac:dyDescent="0.2">
      <c r="A46" s="10" t="s">
        <v>8</v>
      </c>
      <c r="B46" s="8" t="str">
        <f>HYPERLINK("http://xeron.fr.eu.airbus.corp:8020/copedoc/servlet/JSVisualisation?Langue=fr&amp;RefPlan=D54618752&amp;NumPlanche=3&amp;IndicePlanche=F00&amp;FormatFichier=TIF&amp;NomFichier=D54618752_F00_003.TIF","TOLE DE FOND CFM")</f>
        <v>TOLE DE FOND CFM</v>
      </c>
      <c r="C46" s="19"/>
      <c r="D46" s="19"/>
      <c r="E46" s="1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3"/>
    </row>
    <row r="47" spans="1:21" ht="20.100000000000001" customHeight="1" x14ac:dyDescent="0.2">
      <c r="A47" s="10" t="s">
        <v>164</v>
      </c>
      <c r="B47" s="8" t="str">
        <f>HYPERLINK("http://xeron.fr.eu.airbus.corp:8020/copedoc/servlet/JSVisualisation?Langue=fr&amp;RefPlan=D54630446&amp;NumPlanche=2&amp;IndicePlanche=D00&amp;FormatFichier=TIF&amp;NomFichier=D54630446_D00_002.TIF","GOUSSET ECLISSAGE")</f>
        <v>GOUSSET ECLISSAGE</v>
      </c>
      <c r="C47" s="19"/>
      <c r="D47" s="19"/>
      <c r="E47" s="1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3"/>
    </row>
    <row r="48" spans="1:21" ht="20.100000000000001" customHeight="1" x14ac:dyDescent="0.2">
      <c r="A48" s="10" t="s">
        <v>44</v>
      </c>
      <c r="B48" s="8" t="str">
        <f>HYPERLINK("http://xeron.fr.eu.airbus.corp:8020/copedoc/servlet/JSVisualisation?Langue=fr&amp;RefPlan=D54630714&amp;NumPlanche=1&amp;IndicePlanche=C00&amp;FormatFichier=TIF&amp;NomFichier=D54630714_C00_001.TIF","SUPPORT")</f>
        <v>SUPPORT</v>
      </c>
      <c r="C48" s="19"/>
      <c r="D48" s="19"/>
      <c r="E48" s="1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3"/>
    </row>
    <row r="49" spans="1:21" ht="20.100000000000001" customHeight="1" x14ac:dyDescent="0.2">
      <c r="A49" s="10" t="s">
        <v>17</v>
      </c>
      <c r="B49" s="8" t="str">
        <f>HYPERLINK("http://xeron.fr.eu.airbus.corp:8020/copedoc/servlet/JSVisualisation?Langue=fr&amp;RefPlan=D54630802&amp;NumPlanche=1&amp;IndicePlanche=C00&amp;FormatFichier=TIF&amp;NomFichier=D54630802_C00_001.TIF","JUPE")</f>
        <v>JUPE</v>
      </c>
      <c r="C49" s="19"/>
      <c r="D49" s="19"/>
      <c r="E49" s="1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3"/>
    </row>
    <row r="50" spans="1:21" ht="20.100000000000001" customHeight="1" x14ac:dyDescent="0.2">
      <c r="A50" s="10" t="s">
        <v>12</v>
      </c>
      <c r="B50" s="8" t="str">
        <f>HYPERLINK("http://xeron.fr.eu.airbus.corp:8020/copedoc/servlet/JSVisualisation?Langue=fr&amp;RefPlan=D54630802&amp;NumPlanche=1&amp;IndicePlanche=C00&amp;FormatFichier=TIF&amp;NomFichier=D54630802_C00_001.TIF","JUPE")</f>
        <v>JUPE</v>
      </c>
      <c r="C50" s="19"/>
      <c r="D50" s="19"/>
      <c r="E50" s="1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3"/>
    </row>
    <row r="51" spans="1:21" ht="20.100000000000001" customHeight="1" x14ac:dyDescent="0.2">
      <c r="A51" s="10" t="s">
        <v>158</v>
      </c>
      <c r="B51" s="8" t="str">
        <f>HYPERLINK("http://xeron.fr.eu.airbus.corp:8020/copedoc/servlet/JSVisualisation?Langue=fr&amp;RefPlan=D75210041&amp;NumPlanche=1&amp;IndicePlanche=C00&amp;FormatFichier=TIF&amp;NomFichier=D75210041_C00_001.TIF","PANNEAU INTERIEUR")</f>
        <v>PANNEAU INTERIEUR</v>
      </c>
      <c r="C51" s="19"/>
      <c r="D51" s="19"/>
      <c r="E51" s="1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3"/>
    </row>
    <row r="52" spans="1:21" ht="20.100000000000001" customHeight="1" x14ac:dyDescent="0.2">
      <c r="A52" s="10" t="s">
        <v>141</v>
      </c>
      <c r="B52" s="8" t="str">
        <f>HYPERLINK("http://xeron.fr.eu.airbus.corp:8020/copedoc/servlet/JSVisualisation?Langue=fr&amp;RefPlan=D75210041&amp;NumPlanche=1&amp;IndicePlanche=C00&amp;FormatFichier=TIF&amp;NomFichier=D75210041_C00_001.TIF","PANNEAU INTERIEUR")</f>
        <v>PANNEAU INTERIEUR</v>
      </c>
      <c r="C52" s="19"/>
      <c r="D52" s="19"/>
      <c r="E52" s="1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3"/>
    </row>
    <row r="53" spans="1:21" ht="20.100000000000001" customHeight="1" x14ac:dyDescent="0.2">
      <c r="A53" s="10" t="s">
        <v>4</v>
      </c>
      <c r="B53" s="8" t="str">
        <f>HYPERLINK("http://xeron.fr.eu.airbus.corp:8020/copedoc/servlet/JSVisualisation?Langue=fr&amp;RefPlan=D75218006&amp;NumPlanche=1&amp;IndicePlanche=B00&amp;FormatFichier=TIF&amp;NomFichier=D75218006_B00_001.TIF","PORTE")</f>
        <v>PORTE</v>
      </c>
      <c r="C53" s="19"/>
      <c r="D53" s="19"/>
      <c r="E53" s="1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3"/>
    </row>
    <row r="54" spans="1:21" ht="20.100000000000001" customHeight="1" x14ac:dyDescent="0.2">
      <c r="A54" s="10" t="s">
        <v>43</v>
      </c>
      <c r="B54" s="8" t="str">
        <f>HYPERLINK("http://xeron.fr.eu.airbus.corp:8020/copedoc/servlet/JSVisualisation?Langue=fr&amp;RefPlan=D75218006&amp;NumPlanche=1&amp;IndicePlanche=B00&amp;FormatFichier=TIF&amp;NomFichier=D75218006_B00_001.TIF","PORTE")</f>
        <v>PORTE</v>
      </c>
      <c r="C54" s="19"/>
      <c r="D54" s="19"/>
      <c r="E54" s="1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3"/>
    </row>
    <row r="55" spans="1:21" ht="20.100000000000001" customHeight="1" x14ac:dyDescent="0.2">
      <c r="A55" s="10" t="s">
        <v>69</v>
      </c>
      <c r="B55" s="8" t="str">
        <f>HYPERLINK("http://xeron.fr.eu.airbus.corp:8020/copedoc/servlet/JSVisualisation?Langue=fr&amp;RefPlan=D75218007&amp;NumPlanche=1&amp;IndicePlanche=B00&amp;FormatFichier=TIF&amp;NomFichier=D75218007_B00_001.TIF","RENFORT PORTE")</f>
        <v>RENFORT PORTE</v>
      </c>
      <c r="C55" s="19"/>
      <c r="D55" s="19"/>
      <c r="E55" s="1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3"/>
    </row>
    <row r="56" spans="1:21" ht="20.100000000000001" customHeight="1" x14ac:dyDescent="0.2">
      <c r="A56" s="10" t="s">
        <v>54</v>
      </c>
      <c r="B56" s="8" t="str">
        <f t="shared" ref="B56" si="2">HYPERLINK("http://xeron.fr.eu.airbus.corp:8020/copedoc/servlet/JSVisualisation?Langue=fr&amp;RefPlan=D75218007&amp;NumPlanche=1&amp;IndicePlanche=B00&amp;FormatFichier=TIF&amp;NomFichier=D75218007_B00_001.TIF","RENFORT PORTE")</f>
        <v>RENFORT PORTE</v>
      </c>
      <c r="C56" s="19"/>
      <c r="D56" s="19"/>
      <c r="E56" s="1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3"/>
    </row>
    <row r="57" spans="1:21" ht="20.100000000000001" customHeight="1" x14ac:dyDescent="0.2">
      <c r="A57" s="10" t="s">
        <v>53</v>
      </c>
      <c r="B57" s="8" t="str">
        <f>HYPERLINK("http://xeron.fr.eu.airbus.corp:8020/copedoc/servlet/JSVisualisation?Langue=fr&amp;RefPlan=D75218008&amp;NumPlanche=1&amp;IndicePlanche=B00&amp;FormatFichier=TIF&amp;NomFichier=D75218008_B00_001.TIF","RENFORT PORTE")</f>
        <v>RENFORT PORTE</v>
      </c>
      <c r="C57" s="19"/>
      <c r="D57" s="19"/>
      <c r="E57" s="1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3"/>
    </row>
    <row r="58" spans="1:21" ht="20.100000000000001" customHeight="1" x14ac:dyDescent="0.2">
      <c r="A58" s="10" t="s">
        <v>52</v>
      </c>
      <c r="B58" s="8" t="str">
        <f>HYPERLINK("http://xeron.fr.eu.airbus.corp:8020/copedoc/servlet/JSVisualisation?Langue=fr&amp;RefPlan=D75218008&amp;NumPlanche=1&amp;IndicePlanche=B00&amp;FormatFichier=TIF&amp;NomFichier=D75218008_B00_001.TIF","RENFORT PORTE")</f>
        <v>RENFORT PORTE</v>
      </c>
      <c r="C58" s="19"/>
      <c r="D58" s="19"/>
      <c r="E58" s="1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3"/>
    </row>
    <row r="59" spans="1:21" ht="20.100000000000001" customHeight="1" x14ac:dyDescent="0.2">
      <c r="A59" s="10" t="s">
        <v>42</v>
      </c>
      <c r="B59" s="8" t="str">
        <f>HYPERLINK("http://xeron.fr.eu.airbus.corp:8020/copedoc/servlet/JSVisualisation?Langue=fr&amp;RefPlan=D75218011&amp;NumPlanche=1&amp;IndicePlanche=B00&amp;FormatFichier=TIF&amp;NomFichier=D75218011_B00_001.TIF","FLASQUE ARRIERE")</f>
        <v>FLASQUE ARRIERE</v>
      </c>
      <c r="C59" s="19" t="s">
        <v>277</v>
      </c>
      <c r="D59" s="19"/>
      <c r="E59" s="1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3"/>
    </row>
    <row r="60" spans="1:21" ht="20.100000000000001" customHeight="1" x14ac:dyDescent="0.2">
      <c r="A60" s="10" t="s">
        <v>3</v>
      </c>
      <c r="B60" s="8" t="str">
        <f>HYPERLINK("http://xeron.fr.eu.airbus.corp:8020/copedoc/servlet/JSVisualisation?Langue=fr&amp;RefPlan=D75218011&amp;NumPlanche=1&amp;IndicePlanche=B00&amp;FormatFichier=TIF&amp;NomFichier=D75218011_B00_001.TIF","FLASQUE ARRIERE")</f>
        <v>FLASQUE ARRIERE</v>
      </c>
      <c r="C60" s="19"/>
      <c r="D60" s="19"/>
      <c r="E60" s="1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3"/>
    </row>
    <row r="61" spans="1:21" ht="20.100000000000001" customHeight="1" x14ac:dyDescent="0.2">
      <c r="A61" s="10" t="s">
        <v>63</v>
      </c>
      <c r="B61" s="8" t="str">
        <f>HYPERLINK("http://xeron.fr.eu.airbus.corp:8020/copedoc/servlet/JSVisualisation?Langue=fr&amp;RefPlan=D98117311&amp;NumPlanche=1&amp;IndicePlanche=C00&amp;FormatFichier=JPG&amp;NomFichier=D98117311_C00_001.JPG","COURONNE 12H EQUIPEE")</f>
        <v>COURONNE 12H EQUIPEE</v>
      </c>
      <c r="C61" s="19"/>
      <c r="D61" s="19"/>
      <c r="E61" s="1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3"/>
    </row>
    <row r="62" spans="1:21" ht="20.100000000000001" customHeight="1" x14ac:dyDescent="0.2">
      <c r="A62" s="10" t="s">
        <v>163</v>
      </c>
      <c r="B62" s="8" t="str">
        <f>HYPERLINK("http://xeron.fr.eu.airbus.corp:8020/copedoc/servlet/JSVisualisation?Langue=fr&amp;RefPlan=F54120024&amp;NumPlanche=1&amp;IndicePlanche=C00&amp;FormatFichier=TIF&amp;NomFichier=F54120024_C00_001.TIF","CLOISON AR LAT DROITE")</f>
        <v>CLOISON AR LAT DROITE</v>
      </c>
      <c r="C62" s="19"/>
      <c r="D62" s="19"/>
      <c r="E62" s="1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3"/>
    </row>
    <row r="63" spans="1:21" ht="20.100000000000001" customHeight="1" x14ac:dyDescent="0.2">
      <c r="A63" s="10" t="s">
        <v>146</v>
      </c>
      <c r="B63" s="8" t="str">
        <f>HYPERLINK("http://xeron.fr.eu.airbus.corp:8020/copedoc/servlet/JSVisualisation?Langue=fr&amp;RefPlan=F54510763&amp;NumPlanche=1&amp;IndicePlanche=C00&amp;FormatFichier=TIF&amp;NomFichier=F54510763_C00_001.TIF","TOLE EMBOUTIE")</f>
        <v>TOLE EMBOUTIE</v>
      </c>
      <c r="C63" s="19"/>
      <c r="D63" s="19"/>
      <c r="E63" s="1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3"/>
    </row>
    <row r="64" spans="1:21" ht="20.100000000000001" customHeight="1" x14ac:dyDescent="0.2">
      <c r="A64" s="10" t="s">
        <v>32</v>
      </c>
      <c r="B64" s="8" t="str">
        <f>HYPERLINK("http://xeron.fr.eu.airbus.corp:8020/copedoc/servlet/JSVisualisation?Langue=fr&amp;RefPlan=F54512844&amp;NumPlanche=1&amp;IndicePlanche=D00&amp;FormatFichier=TIF&amp;NomFichier=F54512844_D00_001.TIF","VOILE AVANT DROIT")</f>
        <v>VOILE AVANT DROIT</v>
      </c>
      <c r="C64" s="19"/>
      <c r="D64" s="19"/>
      <c r="E64" s="1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3"/>
    </row>
    <row r="65" spans="1:21" ht="20.100000000000001" customHeight="1" x14ac:dyDescent="0.2">
      <c r="A65" s="10" t="s">
        <v>136</v>
      </c>
      <c r="B65" s="8" t="str">
        <f>HYPERLINK("http://xeron.fr.eu.airbus.corp:8020/copedoc/servlet/JSVisualisation?Langue=fr&amp;RefPlan=F54530658&amp;NumPlanche=1&amp;IndicePlanche=H00&amp;FormatFichier=TIF&amp;NomFichier=F54530658_H00_001.TIF","U SUPERIEUR EXT DROIT")</f>
        <v>U SUPERIEUR EXT DROIT</v>
      </c>
      <c r="C65" s="19"/>
      <c r="D65" s="19"/>
      <c r="E65" s="1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3"/>
    </row>
    <row r="66" spans="1:21" ht="20.100000000000001" customHeight="1" x14ac:dyDescent="0.2">
      <c r="A66" s="10" t="s">
        <v>9</v>
      </c>
      <c r="B66" s="8" t="str">
        <f>HYPERLINK("http://xeron.fr.eu.airbus.corp:8020/copedoc/servlet/JSVisualisation?Langue=fr&amp;RefPlan=F54530677&amp;NumPlanche=1&amp;IndicePlanche=B00&amp;FormatFichier=TIF&amp;NomFichier=F54530677_B00_001.TIF","GOUSSET D'ECLISSAGE")</f>
        <v>GOUSSET D'ECLISSAGE</v>
      </c>
      <c r="C66" s="19"/>
      <c r="D66" s="19"/>
      <c r="E66" s="1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3"/>
    </row>
    <row r="67" spans="1:21" ht="20.100000000000001" customHeight="1" x14ac:dyDescent="0.2">
      <c r="A67" s="10" t="s">
        <v>137</v>
      </c>
      <c r="B67" s="8" t="str">
        <f>HYPERLINK("http://xeron.fr.eu.airbus.corp:8020/copedoc/servlet/JSVisualisation?Langue=fr&amp;RefPlan=F54531037&amp;NumPlanche=2&amp;IndicePlanche=A00&amp;FormatFichier=TIF&amp;NomFichier=F54531037_A00_002.TIF","GOUTIERE N8-N10A")</f>
        <v>GOUTIERE N8-N10A</v>
      </c>
      <c r="C67" s="19"/>
      <c r="D67" s="19"/>
      <c r="E67" s="1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3"/>
    </row>
    <row r="68" spans="1:21" ht="20.100000000000001" customHeight="1" x14ac:dyDescent="0.2">
      <c r="A68" s="10" t="s">
        <v>47</v>
      </c>
      <c r="B68" s="8" t="str">
        <f>HYPERLINK("http://xeron.fr.eu.airbus.corp:8020/copedoc/servlet/JSVisualisation?Langue=fr&amp;RefPlan=F54531037&amp;NumPlanche=2&amp;IndicePlanche=A00&amp;FormatFichier=TIF&amp;NomFichier=F54531037_A00_002.TIF","GOUTIERE N8-N10A")</f>
        <v>GOUTIERE N8-N10A</v>
      </c>
      <c r="C68" s="19"/>
      <c r="D68" s="19"/>
      <c r="E68" s="1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3"/>
    </row>
    <row r="69" spans="1:21" ht="20.100000000000001" customHeight="1" x14ac:dyDescent="0.2">
      <c r="A69" s="10" t="s">
        <v>133</v>
      </c>
      <c r="B69" s="8" t="str">
        <f>HYPERLINK("http://xeron.fr.eu.airbus.corp:8020/copedoc/servlet/JSVisualisation?Langue=fr&amp;RefPlan=F54531159&amp;NumPlanche=2&amp;IndicePlanche=A00&amp;FormatFichier=TIF&amp;NomFichier=F54531159_A00_002.TIF","GOUTIERE N8A-N10A")</f>
        <v>GOUTIERE N8A-N10A</v>
      </c>
      <c r="C69" s="19"/>
      <c r="D69" s="19"/>
      <c r="E69" s="1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3"/>
    </row>
    <row r="70" spans="1:21" ht="20.100000000000001" customHeight="1" x14ac:dyDescent="0.2">
      <c r="A70" s="10" t="s">
        <v>18</v>
      </c>
      <c r="B70" s="8" t="str">
        <f>HYPERLINK("http://xeron.fr.eu.airbus.corp:8020/copedoc/servlet/JSVisualisation?Langue=fr&amp;RefPlan=F54531159&amp;NumPlanche=2&amp;IndicePlanche=A00&amp;FormatFichier=TIF&amp;NomFichier=F54531159_A00_002.TIF","GOUTIERE N8A-N10A")</f>
        <v>GOUTIERE N8A-N10A</v>
      </c>
      <c r="C70" s="19"/>
      <c r="D70" s="19"/>
      <c r="E70" s="1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3"/>
    </row>
    <row r="71" spans="1:21" ht="20.100000000000001" customHeight="1" x14ac:dyDescent="0.2">
      <c r="A71" s="10" t="s">
        <v>121</v>
      </c>
      <c r="B71" s="8" t="str">
        <f>HYPERLINK("http://xeron.fr.eu.airbus.corp:8020/copedoc/servlet/JSVisualisation?Langue=fr&amp;RefPlan=F54531291&amp;NumPlanche=2&amp;IndicePlanche=A00&amp;FormatFichier=TIF&amp;NomFichier=F54531291_A00_002.TIF","RENFORT TOLERIE")</f>
        <v>RENFORT TOLERIE</v>
      </c>
      <c r="C71" s="19"/>
      <c r="D71" s="19"/>
      <c r="E71" s="1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3"/>
    </row>
    <row r="72" spans="1:21" ht="20.100000000000001" customHeight="1" x14ac:dyDescent="0.2">
      <c r="A72" s="10" t="s">
        <v>124</v>
      </c>
      <c r="B72" s="8" t="str">
        <f>HYPERLINK("http://xeron.fr.eu.airbus.corp:8020/copedoc/servlet/JSVisualisation?Langue=fr&amp;RefPlan=F54531291&amp;NumPlanche=2&amp;IndicePlanche=A00&amp;FormatFichier=TIF&amp;NomFichier=F54531291_A00_002.TIF","RENFORT TOLERIE")</f>
        <v>RENFORT TOLERIE</v>
      </c>
      <c r="C72" s="19"/>
      <c r="D72" s="19"/>
      <c r="E72" s="1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3"/>
    </row>
    <row r="73" spans="1:21" ht="20.100000000000001" customHeight="1" x14ac:dyDescent="0.2">
      <c r="A73" s="10" t="s">
        <v>120</v>
      </c>
      <c r="B73" s="8" t="str">
        <f>HYPERLINK("http://xeron.fr.eu.airbus.corp:8020/copedoc/servlet/JSVisualisation?Langue=fr&amp;RefPlan=F54531363&amp;NumPlanche=1&amp;IndicePlanche=B00&amp;FormatFichier=JPG&amp;NomFichier=F54531363_B00_001.JPG","PLIAGE D N3-N8")</f>
        <v>PLIAGE D N3-N8</v>
      </c>
      <c r="C73" s="19"/>
      <c r="D73" s="19"/>
      <c r="E73" s="1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3"/>
    </row>
    <row r="74" spans="1:21" ht="20.100000000000001" customHeight="1" x14ac:dyDescent="0.2">
      <c r="A74" s="10" t="s">
        <v>132</v>
      </c>
      <c r="B74" s="8" t="str">
        <f>HYPERLINK("http://xeron.fr.eu.airbus.corp:8020/copedoc/servlet/JSVisualisation?Langue=fr&amp;RefPlan=F54531704&amp;NumPlanche=1&amp;IndicePlanche=B00&amp;FormatFichier=JPG&amp;NomFichier=F54531704_B00_001.JPG","REVETEMENT")</f>
        <v>REVETEMENT</v>
      </c>
      <c r="C74" s="19"/>
      <c r="D74" s="19"/>
      <c r="E74" s="1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3"/>
    </row>
    <row r="75" spans="1:21" ht="20.100000000000001" customHeight="1" x14ac:dyDescent="0.2">
      <c r="A75" s="10" t="s">
        <v>138</v>
      </c>
      <c r="B75" s="8" t="str">
        <f>HYPERLINK("http://xeron.fr.eu.airbus.corp:8020/copedoc/servlet/JSVisualisation?Langue=fr&amp;RefPlan=F54531704&amp;NumPlanche=1&amp;IndicePlanche=B00&amp;FormatFichier=JPG&amp;NomFichier=F54531704_B00_001.JPG","REVETEMENT")</f>
        <v>REVETEMENT</v>
      </c>
      <c r="C75" s="19"/>
      <c r="D75" s="19"/>
      <c r="E75" s="1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3"/>
    </row>
    <row r="76" spans="1:21" ht="20.100000000000001" customHeight="1" x14ac:dyDescent="0.2">
      <c r="A76" s="10" t="s">
        <v>83</v>
      </c>
      <c r="B76" s="8" t="str">
        <f>HYPERLINK("http://xeron.fr.eu.airbus.corp:8020/copedoc/servlet/JSVisualisation?Langue=fr&amp;RefPlan=F54534174&amp;NumPlanche=1&amp;IndicePlanche=A00&amp;FormatFichier=TIF&amp;NomFichier=F54534174_A00_001.TIF","ENS. PROFILE AR.")</f>
        <v>ENS. PROFILE AR.</v>
      </c>
      <c r="C76" s="19"/>
      <c r="D76" s="19"/>
      <c r="E76" s="1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3"/>
    </row>
    <row r="77" spans="1:21" ht="20.100000000000001" customHeight="1" x14ac:dyDescent="0.2">
      <c r="A77" s="10" t="s">
        <v>82</v>
      </c>
      <c r="B77" s="8" t="str">
        <f>HYPERLINK("http://xeron.fr.eu.airbus.corp:8020/copedoc/servlet/JSVisualisation?Langue=fr&amp;RefPlan=F54534174&amp;NumPlanche=1&amp;IndicePlanche=A00&amp;FormatFichier=TIF&amp;NomFichier=F54534174_A00_001.TIF","ENS. PROFILE AR.")</f>
        <v>ENS. PROFILE AR.</v>
      </c>
      <c r="C77" s="19"/>
      <c r="D77" s="19"/>
      <c r="E77" s="1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3"/>
    </row>
    <row r="78" spans="1:21" ht="20.100000000000001" customHeight="1" x14ac:dyDescent="0.2">
      <c r="A78" s="10" t="s">
        <v>135</v>
      </c>
      <c r="B78" s="8" t="str">
        <f>HYPERLINK("http://xeron.fr.eu.airbus.corp:8020/copedoc/servlet/JSVisualisation?Langue=fr&amp;RefPlan=F54534349&amp;NumPlanche=1&amp;IndicePlanche=B00&amp;FormatFichier=TIF&amp;NomFichier=F54534349_B00_001.TIF","VOILE TRANS BUMPER 4")</f>
        <v>VOILE TRANS BUMPER 4</v>
      </c>
      <c r="C78" s="19"/>
      <c r="D78" s="19"/>
      <c r="E78" s="1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3"/>
    </row>
    <row r="79" spans="1:21" ht="20.100000000000001" customHeight="1" x14ac:dyDescent="0.2">
      <c r="A79" s="10" t="s">
        <v>59</v>
      </c>
      <c r="B79" s="8" t="str">
        <f>HYPERLINK("http://xeron.fr.eu.airbus.corp:8020/copedoc/servlet/JSVisualisation?Langue=fr&amp;RefPlan=F54534858&amp;NumPlanche=1&amp;IndicePlanche=A00&amp;FormatFichier=TIF&amp;NomFichier=F54534858_A00_001.TIF","VOILE LONGITUDINAL D")</f>
        <v>VOILE LONGITUDINAL D</v>
      </c>
      <c r="C79" s="19"/>
      <c r="D79" s="19"/>
      <c r="E79" s="1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3"/>
    </row>
    <row r="80" spans="1:21" ht="20.100000000000001" customHeight="1" x14ac:dyDescent="0.2">
      <c r="A80" s="10" t="s">
        <v>0</v>
      </c>
      <c r="B80" s="8" t="str">
        <f>HYPERLINK("http://xeron.fr.eu.airbus.corp:8020/copedoc/servlet/JSVisualisation?Langue=fr&amp;RefPlan=F54534880&amp;NumPlanche=1&amp;IndicePlanche=A00&amp;FormatFichier=JPG&amp;NomFichier=F54534880_A00_001.JPG","APPUI PORTE")</f>
        <v>APPUI PORTE</v>
      </c>
      <c r="C80" s="19"/>
      <c r="D80" s="19"/>
      <c r="E80" s="1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3"/>
    </row>
    <row r="81" spans="1:21" ht="20.100000000000001" customHeight="1" x14ac:dyDescent="0.2">
      <c r="A81" s="10" t="s">
        <v>40</v>
      </c>
      <c r="B81" s="8" t="str">
        <f>HYPERLINK("http://xeron.fr.eu.airbus.corp:8020/copedoc/servlet/JSVisualisation?Langue=fr&amp;RefPlan=L29010519&amp;NumPlanche=1&amp;IndicePlanche=B00&amp;FormatFichier=JPG&amp;NomFichier=L29010519_B00_001.JPG","ATTACHE DRIP PAN AV.")</f>
        <v>ATTACHE DRIP PAN AV.</v>
      </c>
      <c r="C81" s="19"/>
      <c r="D81" s="19"/>
      <c r="E81" s="1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3"/>
    </row>
    <row r="82" spans="1:21" ht="20.100000000000001" customHeight="1" x14ac:dyDescent="0.2">
      <c r="A82" s="10" t="s">
        <v>113</v>
      </c>
      <c r="B82" s="8" t="str">
        <f>HYPERLINK("http://xeron.fr.eu.airbus.corp:8020/copedoc/servlet/JSVisualisation?Langue=fr&amp;RefPlan=L54120348&amp;NumPlanche=1&amp;IndicePlanche=A00&amp;FormatFichier=TIF&amp;NomFichier=L54120348_A00_001.TIF","PORTE COS")</f>
        <v>PORTE COS</v>
      </c>
      <c r="C82" s="19"/>
      <c r="D82" s="19"/>
      <c r="E82" s="1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3"/>
    </row>
    <row r="83" spans="1:21" ht="20.100000000000001" customHeight="1" x14ac:dyDescent="0.2">
      <c r="A83" s="10" t="s">
        <v>68</v>
      </c>
      <c r="B83" s="8" t="str">
        <f>HYPERLINK("http://xeron.fr.eu.airbus.corp:8020/copedoc/servlet/JSVisualisation?Langue=fr&amp;RefPlan=L54120350&amp;NumPlanche=1&amp;IndicePlanche=A00&amp;FormatFichier=TIF&amp;NomFichier=L54120350_A00_001.TIF","CLOISON AR 2H")</f>
        <v>CLOISON AR 2H</v>
      </c>
      <c r="C83" s="19"/>
      <c r="D83" s="19"/>
      <c r="E83" s="1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3"/>
    </row>
    <row r="84" spans="1:21" ht="20.100000000000001" customHeight="1" x14ac:dyDescent="0.2">
      <c r="A84" s="10" t="s">
        <v>73</v>
      </c>
      <c r="B84" s="8" t="str">
        <f>HYPERLINK("http://xeron.fr.eu.airbus.corp:8020/copedoc/servlet/JSVisualisation?Langue=fr&amp;RefPlan=L54120352&amp;NumPlanche=1&amp;IndicePlanche=E00&amp;FormatFichier=TIF&amp;NomFichier=L54120352_E00_001.TIF","CLOISON AR 5H")</f>
        <v>CLOISON AR 5H</v>
      </c>
      <c r="C84" s="19"/>
      <c r="D84" s="19"/>
      <c r="E84" s="1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3"/>
    </row>
    <row r="85" spans="1:21" ht="20.100000000000001" customHeight="1" x14ac:dyDescent="0.2">
      <c r="A85" s="10" t="s">
        <v>64</v>
      </c>
      <c r="B85" s="8" t="str">
        <f>HYPERLINK("http://xeron.fr.eu.airbus.corp:8020/copedoc/servlet/JSVisualisation?Langue=fr&amp;RefPlan=L54120353&amp;NumPlanche=1&amp;IndicePlanche=D00&amp;FormatFichier=TIF&amp;NomFichier=L54120353_D00_001.TIF","CLOISON AR 7H")</f>
        <v>CLOISON AR 7H</v>
      </c>
      <c r="C85" s="19"/>
      <c r="D85" s="19"/>
      <c r="E85" s="1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3"/>
    </row>
    <row r="86" spans="1:21" ht="20.100000000000001" customHeight="1" x14ac:dyDescent="0.2">
      <c r="A86" s="10" t="s">
        <v>66</v>
      </c>
      <c r="B86" s="8" t="str">
        <f>HYPERLINK("http://xeron.fr.eu.airbus.corp:8020/copedoc/servlet/JSVisualisation?Langue=fr&amp;RefPlan=L54120355&amp;NumPlanche=1&amp;IndicePlanche=A00&amp;FormatFichier=TIF&amp;NomFichier=L54120355_A00_001.TIF","CLOISON AR 10H")</f>
        <v>CLOISON AR 10H</v>
      </c>
      <c r="C86" s="19"/>
      <c r="D86" s="19"/>
      <c r="E86" s="1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3"/>
    </row>
    <row r="87" spans="1:21" ht="20.100000000000001" customHeight="1" x14ac:dyDescent="0.2">
      <c r="A87" s="10" t="s">
        <v>7</v>
      </c>
      <c r="B87" s="8" t="str">
        <f>HYPERLINK("http://xeron.fr.eu.airbus.corp:8020/copedoc/servlet/JSVisualisation?Langue=fr&amp;RefPlan=L54120356&amp;NumPlanche=2&amp;IndicePlanche=D00&amp;FormatFichier=TIF&amp;NomFichier=L54120356_D00_002.TIF","CLOISON AR 12H")</f>
        <v>CLOISON AR 12H</v>
      </c>
      <c r="C87" s="19"/>
      <c r="D87" s="19"/>
      <c r="E87" s="1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3"/>
    </row>
    <row r="88" spans="1:21" ht="20.100000000000001" customHeight="1" x14ac:dyDescent="0.2">
      <c r="A88" s="10" t="s">
        <v>49</v>
      </c>
      <c r="B88" s="8" t="str">
        <f>HYPERLINK("http://xeron.fr.eu.airbus.corp:8020/copedoc/servlet/JSVisualisation?Langue=fr&amp;RefPlan=L54120364&amp;NumPlanche=1&amp;IndicePlanche=D00&amp;FormatFichier=TIF&amp;NomFichier=L54120364_D00_001.TIF","RENFORT H")</f>
        <v>RENFORT H</v>
      </c>
      <c r="C88" s="19"/>
      <c r="D88" s="19"/>
      <c r="E88" s="1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3"/>
    </row>
    <row r="89" spans="1:21" ht="20.100000000000001" customHeight="1" x14ac:dyDescent="0.2">
      <c r="A89" s="10" t="s">
        <v>70</v>
      </c>
      <c r="B89" s="8" t="str">
        <f>HYPERLINK("http://xeron.fr.eu.airbus.corp:8020/copedoc/servlet/JSVisualisation?Langue=fr&amp;RefPlan=L54120488&amp;NumPlanche=2&amp;IndicePlanche=D00&amp;FormatFichier=TIF&amp;NomFichier=L54120488_D00_002.TIF","CLOISON AR 4H")</f>
        <v>CLOISON AR 4H</v>
      </c>
      <c r="C89" s="19"/>
      <c r="D89" s="19"/>
      <c r="E89" s="1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3"/>
    </row>
    <row r="90" spans="1:21" ht="20.100000000000001" customHeight="1" x14ac:dyDescent="0.2">
      <c r="A90" s="10" t="s">
        <v>71</v>
      </c>
      <c r="B90" s="8" t="str">
        <f>HYPERLINK("http://xeron.fr.eu.airbus.corp:8020/copedoc/servlet/JSVisualisation?Langue=fr&amp;RefPlan=L54120489&amp;NumPlanche=2&amp;IndicePlanche=E00&amp;FormatFichier=TIF&amp;NomFichier=L54120489_E00_002.TIF","CLOISON AR 8H")</f>
        <v>CLOISON AR 8H</v>
      </c>
      <c r="C90" s="19"/>
      <c r="D90" s="19"/>
      <c r="E90" s="1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3"/>
    </row>
    <row r="91" spans="1:21" ht="20.100000000000001" customHeight="1" x14ac:dyDescent="0.2">
      <c r="A91" s="10" t="s">
        <v>119</v>
      </c>
      <c r="B91" s="8" t="str">
        <f>HYPERLINK("http://xeron.fr.eu.airbus.corp:8020/copedoc/servlet/JSVisualisation?Langue=fr&amp;RefPlan=L54510657&amp;NumPlanche=3&amp;IndicePlanche=E00&amp;FormatFichier=TIF&amp;NomFichier=L54510657_E00_003.TIF","VOILE LONGITUDINAL D")</f>
        <v>VOILE LONGITUDINAL D</v>
      </c>
      <c r="C91" s="19"/>
      <c r="D91" s="19"/>
      <c r="E91" s="1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3"/>
    </row>
    <row r="92" spans="1:21" ht="20.100000000000001" customHeight="1" x14ac:dyDescent="0.2">
      <c r="A92" s="10" t="s">
        <v>129</v>
      </c>
      <c r="B92" s="8" t="str">
        <f>HYPERLINK("http://xeron.fr.eu.airbus.corp:8020/copedoc/servlet/JSVisualisation?Langue=fr&amp;RefPlan=L54510658&amp;NumPlanche=1&amp;IndicePlanche=D00&amp;FormatFichier=JPG&amp;NomFichier=L54510658_D00_001.JPG","NERV. 07 ARRIERE MI/E")</f>
        <v>NERV. 07 ARRIERE MI/E</v>
      </c>
      <c r="C92" s="19"/>
      <c r="D92" s="19"/>
      <c r="E92" s="1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3"/>
    </row>
    <row r="93" spans="1:21" ht="20.100000000000001" customHeight="1" x14ac:dyDescent="0.2">
      <c r="A93" s="10" t="s">
        <v>134</v>
      </c>
      <c r="B93" s="8" t="str">
        <f>HYPERLINK("http://xeron.fr.eu.airbus.corp:8020/copedoc/servlet/JSVisualisation?Langue=fr&amp;RefPlan=L54510659&amp;NumPlanche=2&amp;IndicePlanche=H00&amp;FormatFichier=TIF&amp;NomFichier=L54510659_H00_002.TIF","VOILE LONGITUDINAL G")</f>
        <v>VOILE LONGITUDINAL G</v>
      </c>
      <c r="C93" s="19"/>
      <c r="D93" s="19"/>
      <c r="E93" s="1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3"/>
    </row>
    <row r="94" spans="1:21" ht="20.100000000000001" customHeight="1" x14ac:dyDescent="0.2">
      <c r="A94" s="10" t="s">
        <v>104</v>
      </c>
      <c r="B94" s="8" t="str">
        <f>HYPERLINK("http://xeron.fr.eu.airbus.corp:8020/copedoc/servlet/JSVisualisation?Langue=fr&amp;RefPlan=L54510662&amp;NumPlanche=1&amp;IndicePlanche=B00&amp;FormatFichier=JPG&amp;NomFichier=L54510662_B00_001.JPG","CONTRE FERRURE F4")</f>
        <v>CONTRE FERRURE F4</v>
      </c>
      <c r="C94" s="19"/>
      <c r="D94" s="19"/>
      <c r="E94" s="1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3"/>
    </row>
    <row r="95" spans="1:21" ht="20.100000000000001" customHeight="1" x14ac:dyDescent="0.2">
      <c r="A95" s="10" t="s">
        <v>103</v>
      </c>
      <c r="B95" s="8" t="str">
        <f>HYPERLINK("http://xeron.fr.eu.airbus.corp:8020/copedoc/servlet/JSVisualisation?Langue=fr&amp;RefPlan=L54510662&amp;NumPlanche=1&amp;IndicePlanche=B00&amp;FormatFichier=JPG&amp;NomFichier=L54510662_B00_001.JPG","CONTRE FERRURE F4")</f>
        <v>CONTRE FERRURE F4</v>
      </c>
      <c r="C95" s="19"/>
      <c r="D95" s="19"/>
      <c r="E95" s="1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3"/>
    </row>
    <row r="96" spans="1:21" ht="20.100000000000001" customHeight="1" x14ac:dyDescent="0.2">
      <c r="A96" s="10" t="s">
        <v>92</v>
      </c>
      <c r="B96" s="8" t="str">
        <f>HYPERLINK("http://xeron.fr.eu.airbus.corp:8020/copedoc/servlet/JSVisualisation?Langue=fr&amp;RefPlan=L54510664&amp;NumPlanche=1&amp;IndicePlanche=F00&amp;FormatFichier=JPG&amp;NomFichier=L54510664_F00_001.JPG","BANDEAU N01 MI/E")</f>
        <v>BANDEAU N01 MI/E</v>
      </c>
      <c r="C96" s="19"/>
      <c r="D96" s="19"/>
      <c r="E96" s="1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3"/>
    </row>
    <row r="97" spans="1:21" ht="20.100000000000001" customHeight="1" x14ac:dyDescent="0.2">
      <c r="A97" s="10" t="s">
        <v>142</v>
      </c>
      <c r="B97" s="8" t="str">
        <f>HYPERLINK("http://xeron.fr.eu.airbus.corp:8020/copedoc/servlet/JSVisualisation?Langue=fr&amp;RefPlan=L54510700&amp;NumPlanche=1&amp;IndicePlanche=A00&amp;FormatFichier=JPG&amp;NomFichier=L54510700_A00_001.JPG","ECLISSE AVANT")</f>
        <v>ECLISSE AVANT</v>
      </c>
      <c r="C97" s="19"/>
      <c r="D97" s="19"/>
      <c r="E97" s="1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3"/>
    </row>
    <row r="98" spans="1:21" ht="20.100000000000001" customHeight="1" x14ac:dyDescent="0.2">
      <c r="A98" s="10" t="s">
        <v>79</v>
      </c>
      <c r="B98" s="8" t="str">
        <f>HYPERLINK("http://xeron.fr.eu.airbus.corp:8020/copedoc/servlet/JSVisualisation?Langue=fr&amp;RefPlan=L54510701&amp;NumPlanche=1&amp;IndicePlanche=A00&amp;FormatFichier=JPG&amp;NomFichier=L54510701_A00_001.JPG","ECLISSE ARRIERE")</f>
        <v>ECLISSE ARRIERE</v>
      </c>
      <c r="C98" s="19"/>
      <c r="D98" s="19"/>
      <c r="E98" s="1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3"/>
    </row>
    <row r="99" spans="1:21" ht="20.100000000000001" customHeight="1" x14ac:dyDescent="0.2">
      <c r="A99" s="10" t="s">
        <v>37</v>
      </c>
      <c r="B99" s="8" t="str">
        <f>HYPERLINK("http://xeron.fr.eu.airbus.corp:8020/copedoc/servlet/JSVisualisation?Langue=fr&amp;RefPlan=L54510763&amp;NumPlanche=1&amp;IndicePlanche=C00&amp;FormatFichier=JPG&amp;NomFichier=L54510763_C00_001.JPG","BANDEAU N08/09 M/I")</f>
        <v>BANDEAU N08/09 M/I</v>
      </c>
      <c r="C99" s="19"/>
      <c r="D99" s="19"/>
      <c r="E99" s="1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3"/>
    </row>
    <row r="100" spans="1:21" ht="20.100000000000001" customHeight="1" x14ac:dyDescent="0.2">
      <c r="A100" s="10" t="s">
        <v>75</v>
      </c>
      <c r="B100" s="8" t="str">
        <f>HYPERLINK("http://xeron.fr.eu.airbus.corp:8020/copedoc/servlet/JSVisualisation?Langue=fr&amp;RefPlan=L54510763&amp;NumPlanche=1&amp;IndicePlanche=C00&amp;FormatFichier=JPG&amp;NomFichier=L54510763_C00_001.JPG","BANDEAU N08/09 M/I")</f>
        <v>BANDEAU N08/09 M/I</v>
      </c>
      <c r="C100" s="19"/>
      <c r="D100" s="19"/>
      <c r="E100" s="1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3"/>
    </row>
    <row r="101" spans="1:21" ht="20.100000000000001" customHeight="1" x14ac:dyDescent="0.2">
      <c r="A101" s="10" t="s">
        <v>76</v>
      </c>
      <c r="B101" s="8" t="str">
        <f>HYPERLINK("http://xeron.fr.eu.airbus.corp:8020/copedoc/servlet/JSVisualisation?Langue=fr&amp;RefPlan=L54510861&amp;NumPlanche=2&amp;IndicePlanche=B00&amp;FormatFichier=JPG&amp;NomFichier=L54510861_B00_002.JPG","ENTABLEMENT AVANT")</f>
        <v>ENTABLEMENT AVANT</v>
      </c>
      <c r="C101" s="19"/>
      <c r="D101" s="19"/>
      <c r="E101" s="1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3"/>
    </row>
    <row r="102" spans="1:21" ht="20.100000000000001" customHeight="1" x14ac:dyDescent="0.2">
      <c r="A102" s="10" t="s">
        <v>72</v>
      </c>
      <c r="B102" s="8" t="str">
        <f>HYPERLINK("http://xeron.fr.eu.airbus.corp:8020/copedoc/servlet/JSVisualisation?Langue=fr&amp;RefPlan=L54510861&amp;NumPlanche=2&amp;IndicePlanche=B00&amp;FormatFichier=JPG&amp;NomFichier=L54510861_B00_002.JPG","ENTABLEMENT AVANT")</f>
        <v>ENTABLEMENT AVANT</v>
      </c>
      <c r="C102" s="19"/>
      <c r="D102" s="19"/>
      <c r="E102" s="1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3"/>
    </row>
    <row r="103" spans="1:21" ht="20.100000000000001" customHeight="1" x14ac:dyDescent="0.2">
      <c r="A103" s="10" t="s">
        <v>98</v>
      </c>
      <c r="B103" s="8" t="str">
        <f>HYPERLINK("http://xeron.fr.eu.airbus.corp:8020/copedoc/servlet/JSVisualisation?Langue=fr&amp;RefPlan=L54510878&amp;NumPlanche=1&amp;IndicePlanche=A00&amp;FormatFichier=TIF&amp;NomFichier=L54510878_A00_001.TIF","VOILE ECHANG. SUP. G.")</f>
        <v>VOILE ECHANG. SUP. G.</v>
      </c>
      <c r="C103" s="19"/>
      <c r="D103" s="19"/>
      <c r="E103" s="1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3"/>
    </row>
    <row r="104" spans="1:21" ht="20.100000000000001" customHeight="1" x14ac:dyDescent="0.2">
      <c r="A104" s="10" t="s">
        <v>97</v>
      </c>
      <c r="B104" s="8" t="str">
        <f>HYPERLINK("http://xeron.fr.eu.airbus.corp:8020/copedoc/servlet/JSVisualisation?Langue=fr&amp;RefPlan=L54510883&amp;NumPlanche=1&amp;IndicePlanche=B00&amp;FormatFichier=TIF&amp;NomFichier=L54510883_B00_001.TIF","VOILE ECHANG. SUP. D.")</f>
        <v>VOILE ECHANG. SUP. D.</v>
      </c>
      <c r="C104" s="19"/>
      <c r="D104" s="19"/>
      <c r="E104" s="1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3"/>
    </row>
    <row r="105" spans="1:21" ht="20.100000000000001" customHeight="1" x14ac:dyDescent="0.2">
      <c r="A105" s="10" t="s">
        <v>95</v>
      </c>
      <c r="B105" s="8" t="str">
        <f>HYPERLINK("http://xeron.fr.eu.airbus.corp:8020/copedoc/servlet/JSVisualisation?Langue=fr&amp;RefPlan=L54510885&amp;NumPlanche=1&amp;IndicePlanche=B00&amp;FormatFichier=JPG&amp;NomFichier=L54510885_B00_001.JPG","PROFILE BORDURE")</f>
        <v>PROFILE BORDURE</v>
      </c>
      <c r="C105" s="19"/>
      <c r="D105" s="19"/>
      <c r="E105" s="1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3"/>
    </row>
    <row r="106" spans="1:21" ht="20.100000000000001" customHeight="1" x14ac:dyDescent="0.2">
      <c r="A106" s="10" t="s">
        <v>91</v>
      </c>
      <c r="B106" s="8" t="str">
        <f>HYPERLINK("http://xeron.fr.eu.airbus.corp:8020/copedoc/servlet/JSVisualisation?Langue=fr&amp;RefPlan=L54510885&amp;NumPlanche=1&amp;IndicePlanche=B00&amp;FormatFichier=JPG&amp;NomFichier=L54510885_B00_001.JPG","PROFILE BORDURE")</f>
        <v>PROFILE BORDURE</v>
      </c>
      <c r="C106" s="19"/>
      <c r="D106" s="19"/>
      <c r="E106" s="1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3"/>
    </row>
    <row r="107" spans="1:21" ht="20.100000000000001" customHeight="1" x14ac:dyDescent="0.2">
      <c r="A107" s="10" t="s">
        <v>90</v>
      </c>
      <c r="B107" s="8" t="str">
        <f>HYPERLINK("http://xeron.fr.eu.airbus.corp:8020/copedoc/servlet/JSVisualisation?Langue=fr&amp;RefPlan=L54510909&amp;NumPlanche=1&amp;IndicePlanche=A00&amp;FormatFichier=JPG&amp;NomFichier=L54510909_A00_001.JPG","ETRIER INTERNE")</f>
        <v>ETRIER INTERNE</v>
      </c>
      <c r="C107" s="19"/>
      <c r="D107" s="19"/>
      <c r="E107" s="1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3"/>
    </row>
    <row r="108" spans="1:21" ht="20.100000000000001" customHeight="1" x14ac:dyDescent="0.2">
      <c r="A108" s="10" t="s">
        <v>118</v>
      </c>
      <c r="B108" s="8" t="str">
        <f>HYPERLINK("http://xeron.fr.eu.airbus.corp:8020/copedoc/servlet/JSVisualisation?Langue=fr&amp;RefPlan=L54510923&amp;NumPlanche=2&amp;IndicePlanche=D00&amp;FormatFichier=JPG&amp;NomFichier=L54510923_D00_002.JPG","PLANCHER ECH. AR. MI")</f>
        <v>PLANCHER ECH. AR. MI</v>
      </c>
      <c r="C108" s="19"/>
      <c r="D108" s="19"/>
      <c r="E108" s="1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3"/>
    </row>
    <row r="109" spans="1:21" ht="20.100000000000001" customHeight="1" x14ac:dyDescent="0.2">
      <c r="A109" s="10" t="s">
        <v>117</v>
      </c>
      <c r="B109" s="8" t="str">
        <f>HYPERLINK("http://xeron.fr.eu.airbus.corp:8020/copedoc/servlet/JSVisualisation?Langue=fr&amp;RefPlan=L54510923&amp;NumPlanche=2&amp;IndicePlanche=D00&amp;FormatFichier=JPG&amp;NomFichier=L54510923_D00_002.JPG","PLANCHER ECH. AR. MI")</f>
        <v>PLANCHER ECH. AR. MI</v>
      </c>
      <c r="C109" s="19"/>
      <c r="D109" s="19"/>
      <c r="E109" s="1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3"/>
    </row>
    <row r="110" spans="1:21" ht="20.100000000000001" customHeight="1" x14ac:dyDescent="0.2">
      <c r="A110" s="10" t="s">
        <v>81</v>
      </c>
      <c r="B110" s="8" t="str">
        <f>HYPERLINK("http://xeron.fr.eu.airbus.corp:8020/copedoc/servlet/JSVisualisation?Langue=fr&amp;RefPlan=L54512763&amp;NumPlanche=1&amp;IndicePlanche=D00&amp;FormatFichier=JPG&amp;NomFichier=L54512763_D00_001.JPG","BANDEAU N08/09 M/E")</f>
        <v>BANDEAU N08/09 M/E</v>
      </c>
      <c r="C110" s="19"/>
      <c r="D110" s="19"/>
      <c r="E110" s="1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3"/>
    </row>
    <row r="111" spans="1:21" ht="20.100000000000001" customHeight="1" x14ac:dyDescent="0.2">
      <c r="A111" s="10" t="s">
        <v>39</v>
      </c>
      <c r="B111" s="8" t="str">
        <f>HYPERLINK("http://xeron.fr.eu.airbus.corp:8020/copedoc/servlet/JSVisualisation?Langue=fr&amp;RefPlan=L54512763&amp;NumPlanche=1&amp;IndicePlanche=D00&amp;FormatFichier=JPG&amp;NomFichier=L54512763_D00_001.JPG","BANDEAU N08/09 M/E")</f>
        <v>BANDEAU N08/09 M/E</v>
      </c>
      <c r="C111" s="19"/>
      <c r="D111" s="19"/>
      <c r="E111" s="1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3"/>
    </row>
    <row r="112" spans="1:21" ht="20.100000000000001" customHeight="1" x14ac:dyDescent="0.2">
      <c r="A112" s="10" t="s">
        <v>131</v>
      </c>
      <c r="B112" s="8" t="str">
        <f>HYPERLINK("http://xeron.fr.eu.airbus.corp:8020/copedoc/servlet/JSVisualisation?Langue=fr&amp;RefPlan=L54512923&amp;NumPlanche=2&amp;IndicePlanche=D00&amp;FormatFichier=JPG&amp;NomFichier=L54512923_D00_002.JPG","PLANCHER ECH. AR. ME")</f>
        <v>PLANCHER ECH. AR. ME</v>
      </c>
      <c r="C112" s="19"/>
      <c r="D112" s="19"/>
      <c r="E112" s="1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3"/>
    </row>
    <row r="113" spans="1:21" ht="20.100000000000001" customHeight="1" x14ac:dyDescent="0.2">
      <c r="A113" s="10" t="s">
        <v>130</v>
      </c>
      <c r="B113" s="8" t="str">
        <f>HYPERLINK("http://xeron.fr.eu.airbus.corp:8020/copedoc/servlet/JSVisualisation?Langue=fr&amp;RefPlan=L54512923&amp;NumPlanche=2&amp;IndicePlanche=D00&amp;FormatFichier=JPG&amp;NomFichier=L54512923_D00_002.JPG","PLANCHER ECH. AR. ME")</f>
        <v>PLANCHER ECH. AR. ME</v>
      </c>
      <c r="C113" s="19"/>
      <c r="D113" s="19"/>
      <c r="E113" s="1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3"/>
    </row>
    <row r="114" spans="1:21" ht="20.100000000000001" customHeight="1" x14ac:dyDescent="0.2">
      <c r="A114" s="10" t="s">
        <v>78</v>
      </c>
      <c r="B114" s="8" t="str">
        <f>HYPERLINK("http://xeron.fr.eu.airbus.corp:8020/copedoc/servlet/JSVisualisation?Langue=fr&amp;RefPlan=L54515540&amp;NumPlanche=2&amp;IndicePlanche=B00&amp;FormatFichier=JPG&amp;NomFichier=L54515540_B00_002.JPG","SUPPORT JOINT LAT.")</f>
        <v>SUPPORT JOINT LAT.</v>
      </c>
      <c r="C114" s="19"/>
      <c r="D114" s="19"/>
      <c r="E114" s="1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3"/>
    </row>
    <row r="115" spans="1:21" ht="20.100000000000001" customHeight="1" x14ac:dyDescent="0.2">
      <c r="A115" s="10" t="s">
        <v>86</v>
      </c>
      <c r="B115" s="8" t="str">
        <f>HYPERLINK("http://xeron.fr.eu.airbus.corp:8020/copedoc/servlet/JSVisualisation?Langue=fr&amp;RefPlan=L54515753&amp;NumPlanche=1&amp;IndicePlanche=B00&amp;FormatFichier=JPG&amp;NomFichier=L54515753_B00_001.JPG","ENTABLEMENT AV. MI/E")</f>
        <v>ENTABLEMENT AV. MI/E</v>
      </c>
      <c r="C115" s="19"/>
      <c r="D115" s="19"/>
      <c r="E115" s="1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3"/>
    </row>
    <row r="116" spans="1:21" ht="20.100000000000001" customHeight="1" x14ac:dyDescent="0.2">
      <c r="A116" s="10" t="s">
        <v>85</v>
      </c>
      <c r="B116" s="8" t="str">
        <f>HYPERLINK("http://xeron.fr.eu.airbus.corp:8020/copedoc/servlet/JSVisualisation?Langue=fr&amp;RefPlan=L54515753&amp;NumPlanche=1&amp;IndicePlanche=B00&amp;FormatFichier=JPG&amp;NomFichier=L54515753_B00_001.JPG","ENTABLEMENT AV. MI/E")</f>
        <v>ENTABLEMENT AV. MI/E</v>
      </c>
      <c r="C116" s="19"/>
      <c r="D116" s="19"/>
      <c r="E116" s="1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3"/>
    </row>
    <row r="117" spans="1:21" ht="20.100000000000001" customHeight="1" x14ac:dyDescent="0.2">
      <c r="A117" s="10" t="s">
        <v>80</v>
      </c>
      <c r="B117" s="8" t="str">
        <f>HYPERLINK("http://xeron.fr.eu.airbus.corp:8020/copedoc/servlet/JSVisualisation?Langue=fr&amp;RefPlan=L54515770&amp;NumPlanche=1&amp;IndicePlanche=A00&amp;FormatFichier=JPG&amp;NomFichier=L54515770_A00_001.JPG","ECLISSE TOLE DE FOND")</f>
        <v>ECLISSE TOLE DE FOND</v>
      </c>
      <c r="C117" s="19"/>
      <c r="D117" s="19"/>
      <c r="E117" s="1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3"/>
    </row>
    <row r="118" spans="1:21" ht="20.100000000000001" customHeight="1" x14ac:dyDescent="0.2">
      <c r="A118" s="10" t="s">
        <v>100</v>
      </c>
      <c r="B118" s="8" t="str">
        <f>HYPERLINK("http://xeron.fr.eu.airbus.corp:8020/copedoc/servlet/JSVisualisation?Langue=fr&amp;RefPlan=L54515805&amp;NumPlanche=1&amp;IndicePlanche=C00&amp;FormatFichier=JPG&amp;NomFichier=L54515805_C00_001.JPG","GR. RAIDISSEUR")</f>
        <v>GR. RAIDISSEUR</v>
      </c>
      <c r="C118" s="19"/>
      <c r="D118" s="19"/>
      <c r="E118" s="1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3"/>
    </row>
    <row r="119" spans="1:21" ht="20.100000000000001" customHeight="1" x14ac:dyDescent="0.2">
      <c r="A119" s="10" t="s">
        <v>84</v>
      </c>
      <c r="B119" s="8" t="str">
        <f>HYPERLINK("http://xeron.fr.eu.airbus.corp:8020/copedoc/servlet/JSVisualisation?Langue=fr&amp;RefPlan=L54515818&amp;NumPlanche=1&amp;IndicePlanche=A00&amp;FormatFichier=TIF&amp;NomFichier=L54515818_A00_001.TIF","VOILE ECHANG. SUP. G.")</f>
        <v>VOILE ECHANG. SUP. G.</v>
      </c>
      <c r="C119" s="19"/>
      <c r="D119" s="19"/>
      <c r="E119" s="1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3"/>
    </row>
    <row r="120" spans="1:21" ht="20.100000000000001" customHeight="1" x14ac:dyDescent="0.2">
      <c r="A120" s="10" t="s">
        <v>111</v>
      </c>
      <c r="B120" s="8" t="str">
        <f>HYPERLINK("http://xeron.fr.eu.airbus.corp:8020/copedoc/servlet/JSVisualisation?Langue=fr&amp;RefPlan=L54515823&amp;NumPlanche=1&amp;IndicePlanche=A00&amp;FormatFichier=TIF&amp;NomFichier=L54515823_A00_001.TIF","VOILE ECHANG. SUP. D.")</f>
        <v>VOILE ECHANG. SUP. D.</v>
      </c>
      <c r="C120" s="19"/>
      <c r="D120" s="19"/>
      <c r="E120" s="1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3"/>
    </row>
    <row r="121" spans="1:21" ht="20.100000000000001" customHeight="1" x14ac:dyDescent="0.2">
      <c r="A121" s="10" t="s">
        <v>114</v>
      </c>
      <c r="B121" s="8" t="str">
        <f>HYPERLINK("http://xeron.fr.eu.airbus.corp:8020/copedoc/servlet/JSVisualisation?Langue=fr&amp;RefPlan=L54515841&amp;NumPlanche=3&amp;IndicePlanche=H00&amp;FormatFichier=JPG&amp;NomFichier=L54515841_H00_003.JPG","PROFILE BORDURE")</f>
        <v>PROFILE BORDURE</v>
      </c>
      <c r="C121" s="19"/>
      <c r="D121" s="19"/>
      <c r="E121" s="1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3"/>
    </row>
    <row r="122" spans="1:21" ht="20.100000000000001" customHeight="1" x14ac:dyDescent="0.2">
      <c r="A122" s="10" t="s">
        <v>109</v>
      </c>
      <c r="B122" s="8" t="str">
        <f>HYPERLINK("http://xeron.fr.eu.airbus.corp:8020/copedoc/servlet/JSVisualisation?Langue=fr&amp;RefPlan=L54515841&amp;NumPlanche=3&amp;IndicePlanche=H00&amp;FormatFichier=JPG&amp;NomFichier=L54515841_H00_003.JPG","PROFILE BORDURE")</f>
        <v>PROFILE BORDURE</v>
      </c>
      <c r="C122" s="19"/>
      <c r="D122" s="19"/>
      <c r="E122" s="1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3"/>
    </row>
    <row r="123" spans="1:21" ht="20.100000000000001" customHeight="1" x14ac:dyDescent="0.2">
      <c r="A123" s="10" t="s">
        <v>38</v>
      </c>
      <c r="B123" s="8" t="str">
        <f>HYPERLINK("http://xeron.fr.eu.airbus.corp:8020/copedoc/servlet/JSVisualisation?Langue=fr&amp;RefPlan=L54515921&amp;NumPlanche=1&amp;IndicePlanche=D00&amp;FormatFichier=JPG&amp;NomFichier=L54515921_D00_001.JPG","PLANCHER ECH. AV.")</f>
        <v>PLANCHER ECH. AV.</v>
      </c>
      <c r="C123" s="19"/>
      <c r="D123" s="19"/>
      <c r="E123" s="1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3"/>
    </row>
    <row r="124" spans="1:21" ht="20.100000000000001" customHeight="1" x14ac:dyDescent="0.2">
      <c r="A124" s="10" t="s">
        <v>116</v>
      </c>
      <c r="B124" s="8" t="str">
        <f>HYPERLINK("http://xeron.fr.eu.airbus.corp:8020/copedoc/servlet/JSVisualisation?Langue=fr&amp;RefPlan=L54515921&amp;NumPlanche=1&amp;IndicePlanche=D00&amp;FormatFichier=JPG&amp;NomFichier=L54515921_D00_001.JPG","PLANCHER ECH. AV.")</f>
        <v>PLANCHER ECH. AV.</v>
      </c>
      <c r="C124" s="19"/>
      <c r="D124" s="19"/>
      <c r="E124" s="1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3"/>
    </row>
    <row r="125" spans="1:21" ht="20.100000000000001" customHeight="1" x14ac:dyDescent="0.2">
      <c r="A125" s="10" t="s">
        <v>36</v>
      </c>
      <c r="B125" s="8" t="str">
        <f>HYPERLINK("http://xeron.fr.eu.airbus.corp:8020/copedoc/servlet/JSVisualisation?Langue=fr&amp;RefPlan=L54516937&amp;NumPlanche=1&amp;IndicePlanche=B00&amp;FormatFichier=JPG&amp;NomFichier=L54516937_B00_001.JPG","BANDEAU SUP.")</f>
        <v>BANDEAU SUP.</v>
      </c>
      <c r="C125" s="19"/>
      <c r="D125" s="19"/>
      <c r="E125" s="1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3"/>
    </row>
    <row r="126" spans="1:21" ht="20.100000000000001" customHeight="1" x14ac:dyDescent="0.2">
      <c r="A126" s="10" t="s">
        <v>108</v>
      </c>
      <c r="B126" s="8" t="str">
        <f>HYPERLINK("http://xeron.fr.eu.airbus.corp:8020/copedoc/servlet/JSVisualisation?Langue=fr&amp;RefPlan=L54516960&amp;NumPlanche=2&amp;IndicePlanche=E00&amp;FormatFichier=JPG&amp;NomFichier=L54516960_E00_002.JPG","VOILE LAT. N09 MI/E")</f>
        <v>VOILE LAT. N09 MI/E</v>
      </c>
      <c r="C126" s="19"/>
      <c r="D126" s="19"/>
      <c r="E126" s="1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3"/>
    </row>
    <row r="127" spans="1:21" ht="20.100000000000001" customHeight="1" x14ac:dyDescent="0.2">
      <c r="A127" s="10" t="s">
        <v>107</v>
      </c>
      <c r="B127" s="8" t="str">
        <f>HYPERLINK("http://xeron.fr.eu.airbus.corp:8020/copedoc/servlet/JSVisualisation?Langue=fr&amp;RefPlan=L54516960&amp;NumPlanche=2&amp;IndicePlanche=E00&amp;FormatFichier=JPG&amp;NomFichier=L54516960_E00_002.JPG","VOILE LAT. N09 MI/E")</f>
        <v>VOILE LAT. N09 MI/E</v>
      </c>
      <c r="C127" s="19"/>
      <c r="D127" s="19"/>
      <c r="E127" s="1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3"/>
    </row>
    <row r="128" spans="1:21" ht="20.100000000000001" customHeight="1" x14ac:dyDescent="0.2">
      <c r="A128" s="10" t="s">
        <v>88</v>
      </c>
      <c r="B128" s="8" t="str">
        <f>HYPERLINK("http://xeron.fr.eu.airbus.corp:8020/copedoc/servlet/JSVisualisation?Langue=fr&amp;RefPlan=L54516971&amp;NumPlanche=1&amp;IndicePlanche=B00&amp;FormatFichier=JPG&amp;NomFichier=L54516971_B00_001.JPG","BANDEAU N09 SUP. MI")</f>
        <v>BANDEAU N09 SUP. MI</v>
      </c>
      <c r="C128" s="19"/>
      <c r="D128" s="19"/>
      <c r="E128" s="1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3"/>
    </row>
    <row r="129" spans="1:21" ht="20.100000000000001" customHeight="1" x14ac:dyDescent="0.2">
      <c r="A129" s="10" t="s">
        <v>77</v>
      </c>
      <c r="B129" s="8" t="str">
        <f>HYPERLINK("http://xeron.fr.eu.airbus.corp:8020/copedoc/servlet/JSVisualisation?Langue=fr&amp;RefPlan=L54516971&amp;NumPlanche=1&amp;IndicePlanche=B00&amp;FormatFichier=JPG&amp;NomFichier=L54516971_B00_001.JPG","BANDEAU N09 SUP. MI")</f>
        <v>BANDEAU N09 SUP. MI</v>
      </c>
      <c r="C129" s="19"/>
      <c r="D129" s="19"/>
      <c r="E129" s="1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3"/>
    </row>
    <row r="130" spans="1:21" ht="20.100000000000001" customHeight="1" x14ac:dyDescent="0.2">
      <c r="A130" s="10" t="s">
        <v>115</v>
      </c>
      <c r="B130" s="8" t="str">
        <f>HYPERLINK("http://xeron.fr.eu.airbus.corp:8020/copedoc/servlet/JSVisualisation?Langue=fr&amp;RefPlan=L54517921&amp;NumPlanche=1&amp;IndicePlanche=C00&amp;FormatFichier=JPG&amp;NomFichier=L54517921_C00_001.JPG","PLANCHER ECH. AV. ME")</f>
        <v>PLANCHER ECH. AV. ME</v>
      </c>
      <c r="C130" s="19"/>
      <c r="D130" s="19"/>
      <c r="E130" s="1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3"/>
    </row>
    <row r="131" spans="1:21" ht="20.100000000000001" customHeight="1" x14ac:dyDescent="0.2">
      <c r="A131" s="10" t="s">
        <v>89</v>
      </c>
      <c r="B131" s="8" t="str">
        <f>HYPERLINK("http://xeron.fr.eu.airbus.corp:8020/copedoc/servlet/JSVisualisation?Langue=fr&amp;RefPlan=L54517921&amp;NumPlanche=1&amp;IndicePlanche=C00&amp;FormatFichier=JPG&amp;NomFichier=L54517921_C00_001.JPG","PLANCHER ECH. AV. ME")</f>
        <v>PLANCHER ECH. AV. ME</v>
      </c>
      <c r="C131" s="19"/>
      <c r="D131" s="19"/>
      <c r="E131" s="1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3"/>
    </row>
    <row r="132" spans="1:21" ht="20.100000000000001" customHeight="1" x14ac:dyDescent="0.2">
      <c r="A132" s="10" t="s">
        <v>67</v>
      </c>
      <c r="B132" s="8" t="str">
        <f>HYPERLINK("http://xeron.fr.eu.airbus.corp:8020/copedoc/servlet/JSVisualisation?Langue=fr&amp;RefPlan=L54518971&amp;NumPlanche=2&amp;IndicePlanche=B00&amp;FormatFichier=JPG&amp;NomFichier=L54518971_B00_002.JPG","BANDEAU N09 SUP. ME")</f>
        <v>BANDEAU N09 SUP. ME</v>
      </c>
      <c r="C132" s="19"/>
      <c r="D132" s="19"/>
      <c r="E132" s="1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3"/>
    </row>
    <row r="133" spans="1:21" ht="20.100000000000001" customHeight="1" x14ac:dyDescent="0.2">
      <c r="A133" s="10" t="s">
        <v>99</v>
      </c>
      <c r="B133" s="8" t="str">
        <f>HYPERLINK("http://xeron.fr.eu.airbus.corp:8020/copedoc/servlet/JSVisualisation?Langue=fr&amp;RefPlan=L54518971&amp;NumPlanche=2&amp;IndicePlanche=B00&amp;FormatFichier=JPG&amp;NomFichier=L54518971_B00_002.JPG","BANDEAU N09 SUP. ME")</f>
        <v>BANDEAU N09 SUP. ME</v>
      </c>
      <c r="C133" s="19"/>
      <c r="D133" s="19"/>
      <c r="E133" s="1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3"/>
    </row>
    <row r="134" spans="1:21" ht="20.100000000000001" customHeight="1" x14ac:dyDescent="0.2">
      <c r="A134" s="10" t="s">
        <v>123</v>
      </c>
      <c r="B134" s="8" t="str">
        <f>HYPERLINK("http://xeron.fr.eu.airbus.corp:8020/copedoc/servlet/JSVisualisation?Langue=fr&amp;RefPlan=L54519044&amp;NumPlanche=1&amp;IndicePlanche=D00&amp;FormatFichier=JPG&amp;NomFichier=L54519044_D00_001.JPG","TOLE DE FOND MI/E")</f>
        <v>TOLE DE FOND MI/E</v>
      </c>
      <c r="C134" s="19"/>
      <c r="D134" s="19"/>
      <c r="E134" s="1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3"/>
    </row>
    <row r="135" spans="1:21" ht="20.100000000000001" customHeight="1" x14ac:dyDescent="0.2">
      <c r="A135" s="10" t="s">
        <v>87</v>
      </c>
      <c r="B135" s="8" t="str">
        <f>HYPERLINK("http://xeron.fr.eu.airbus.corp:8020/copedoc/servlet/JSVisualisation?Langue=fr&amp;RefPlan=L54519068&amp;NumPlanche=2&amp;IndicePlanche=D00&amp;FormatFichier=JPG&amp;NomFichier=L54519068_D00_002.JPG","VOILE LAT. N09 MI/E")</f>
        <v>VOILE LAT. N09 MI/E</v>
      </c>
      <c r="C135" s="19"/>
      <c r="D135" s="19"/>
      <c r="E135" s="1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3"/>
    </row>
    <row r="136" spans="1:21" ht="20.100000000000001" customHeight="1" x14ac:dyDescent="0.2">
      <c r="A136" s="10" t="s">
        <v>94</v>
      </c>
      <c r="B136" s="8" t="str">
        <f>HYPERLINK("http://xeron.fr.eu.airbus.corp:8020/copedoc/servlet/JSVisualisation?Langue=fr&amp;RefPlan=L54519068&amp;NumPlanche=2&amp;IndicePlanche=D00&amp;FormatFichier=JPG&amp;NomFichier=L54519068_D00_002.JPG","VOILE LAT. N09 MI/E")</f>
        <v>VOILE LAT. N09 MI/E</v>
      </c>
      <c r="C136" s="19"/>
      <c r="D136" s="19"/>
      <c r="E136" s="1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3"/>
    </row>
    <row r="137" spans="1:21" ht="20.100000000000001" customHeight="1" x14ac:dyDescent="0.2">
      <c r="A137" s="10" t="s">
        <v>106</v>
      </c>
      <c r="B137" s="8" t="str">
        <f>HYPERLINK("http://xeron.fr.eu.airbus.corp:8020/copedoc/servlet/JSVisualisation?Langue=fr&amp;RefPlan=L54519093&amp;NumPlanche=1&amp;IndicePlanche=A00&amp;FormatFichier=JPG&amp;NomFichier=L54519093_A00_001.JPG","CONTRE FERRURE F3")</f>
        <v>CONTRE FERRURE F3</v>
      </c>
      <c r="C137" s="19"/>
      <c r="D137" s="19"/>
      <c r="E137" s="1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3"/>
    </row>
    <row r="138" spans="1:21" ht="20.100000000000001" customHeight="1" x14ac:dyDescent="0.2">
      <c r="A138" s="10" t="s">
        <v>105</v>
      </c>
      <c r="B138" s="8" t="str">
        <f>HYPERLINK("http://xeron.fr.eu.airbus.corp:8020/copedoc/servlet/JSVisualisation?Langue=fr&amp;RefPlan=L54519093&amp;NumPlanche=1&amp;IndicePlanche=A00&amp;FormatFichier=JPG&amp;NomFichier=L54519093_A00_001.JPG","CONTRE FERRURE F3")</f>
        <v>CONTRE FERRURE F3</v>
      </c>
      <c r="C138" s="19"/>
      <c r="D138" s="19"/>
      <c r="E138" s="1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3"/>
    </row>
    <row r="139" spans="1:21" ht="20.100000000000001" customHeight="1" x14ac:dyDescent="0.2">
      <c r="A139" s="10" t="s">
        <v>93</v>
      </c>
      <c r="B139" s="8" t="str">
        <f>HYPERLINK("http://xeron.fr.eu.airbus.corp:8020/copedoc/servlet/JSVisualisation?Langue=fr&amp;RefPlan=L54519097&amp;NumPlanche=1&amp;IndicePlanche=A00&amp;FormatFichier=JPG&amp;NomFichier=L54519097_A00_001.JPG","CONTRE NERVURE N04")</f>
        <v>CONTRE NERVURE N04</v>
      </c>
      <c r="C139" s="19"/>
      <c r="D139" s="19"/>
      <c r="E139" s="1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3"/>
    </row>
    <row r="140" spans="1:21" ht="20.100000000000001" customHeight="1" x14ac:dyDescent="0.2">
      <c r="A140" s="10" t="s">
        <v>102</v>
      </c>
      <c r="B140" s="8" t="str">
        <f>HYPERLINK("http://xeron.fr.eu.airbus.corp:8020/copedoc/servlet/JSVisualisation?Langue=fr&amp;RefPlan=L54519097&amp;NumPlanche=1&amp;IndicePlanche=A00&amp;FormatFichier=JPG&amp;NomFichier=L54519097_A00_001.JPG","CONTRE NERVURE N04")</f>
        <v>CONTRE NERVURE N04</v>
      </c>
      <c r="C140" s="19"/>
      <c r="D140" s="19"/>
      <c r="E140" s="1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3"/>
    </row>
    <row r="141" spans="1:21" ht="20.100000000000001" customHeight="1" x14ac:dyDescent="0.2">
      <c r="A141" s="10" t="s">
        <v>140</v>
      </c>
      <c r="B141" s="8" t="str">
        <f>HYPERLINK("http://xeron.fr.eu.airbus.corp:8020/copedoc/servlet/JSVisualisation?Langue=fr&amp;RefPlan=L54519098&amp;NumPlanche=2&amp;IndicePlanche=A00&amp;FormatFichier=JPG&amp;NomFichier=L54519098_A00_002.JPG","CONTRE NERVURE N06")</f>
        <v>CONTRE NERVURE N06</v>
      </c>
      <c r="C141" s="19"/>
      <c r="D141" s="19"/>
      <c r="E141" s="1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3"/>
    </row>
    <row r="142" spans="1:21" ht="20.100000000000001" customHeight="1" x14ac:dyDescent="0.2">
      <c r="A142" s="10" t="s">
        <v>122</v>
      </c>
      <c r="B142" s="8" t="str">
        <f>HYPERLINK("http://xeron.fr.eu.airbus.corp:8020/copedoc/servlet/JSVisualisation?Langue=fr&amp;RefPlan=L54519098&amp;NumPlanche=2&amp;IndicePlanche=A00&amp;FormatFichier=JPG&amp;NomFichier=L54519098_A00_002.JPG","CONTRE NERVURE N06")</f>
        <v>CONTRE NERVURE N06</v>
      </c>
      <c r="C142" s="19"/>
      <c r="D142" s="19"/>
      <c r="E142" s="1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3"/>
    </row>
    <row r="143" spans="1:21" ht="20.100000000000001" customHeight="1" x14ac:dyDescent="0.2">
      <c r="A143" s="10" t="s">
        <v>112</v>
      </c>
      <c r="B143" s="8" t="str">
        <f>HYPERLINK("http://xeron.fr.eu.airbus.corp:8020/copedoc/servlet/JSVisualisation?Langue=fr&amp;RefPlan=L71710024&amp;NumPlanche=1&amp;IndicePlanche=B00&amp;FormatFichier=JPG&amp;NomFichier=L71710024_B00_001.JPG","COUPEL LONG. AR. ZONE F")</f>
        <v>COUPEL LONG. AR. ZONE F</v>
      </c>
      <c r="C143" s="19"/>
      <c r="D143" s="19"/>
      <c r="E143" s="1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3"/>
    </row>
    <row r="144" spans="1:21" ht="20.100000000000001" customHeight="1" x14ac:dyDescent="0.2">
      <c r="A144" s="10" t="s">
        <v>74</v>
      </c>
      <c r="B144" s="6"/>
      <c r="C144" s="19"/>
      <c r="D144" s="19"/>
      <c r="E144" s="1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3"/>
    </row>
    <row r="145" spans="1:21" ht="20.100000000000001" customHeight="1" x14ac:dyDescent="0.2">
      <c r="A145" s="10" t="s">
        <v>51</v>
      </c>
      <c r="B145" s="6"/>
      <c r="C145" s="19"/>
      <c r="D145" s="19"/>
      <c r="E145" s="1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3"/>
    </row>
    <row r="146" spans="1:21" ht="20.100000000000001" customHeight="1" x14ac:dyDescent="0.2">
      <c r="A146" s="10" t="s">
        <v>50</v>
      </c>
      <c r="B146" s="6"/>
      <c r="C146" s="19"/>
      <c r="D146" s="19"/>
      <c r="E146" s="1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3"/>
    </row>
    <row r="147" spans="1:21" ht="20.100000000000001" customHeight="1" x14ac:dyDescent="0.2">
      <c r="A147" s="10" t="s">
        <v>166</v>
      </c>
      <c r="B147" s="6"/>
      <c r="C147" s="19"/>
      <c r="D147" s="19"/>
      <c r="E147" s="1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3"/>
    </row>
    <row r="148" spans="1:21" ht="20.100000000000001" customHeight="1" x14ac:dyDescent="0.2">
      <c r="A148" s="10" t="s">
        <v>46</v>
      </c>
      <c r="B148" s="6"/>
      <c r="C148" s="19"/>
      <c r="D148" s="19"/>
      <c r="E148" s="1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3"/>
    </row>
    <row r="149" spans="1:21" ht="20.100000000000001" customHeight="1" x14ac:dyDescent="0.2">
      <c r="A149" s="10" t="s">
        <v>58</v>
      </c>
      <c r="B149" s="6"/>
      <c r="C149" s="19"/>
      <c r="D149" s="19"/>
      <c r="E149" s="1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3"/>
    </row>
    <row r="150" spans="1:21" ht="20.100000000000001" customHeight="1" x14ac:dyDescent="0.2">
      <c r="A150" s="10" t="s">
        <v>10</v>
      </c>
      <c r="B150" s="6"/>
      <c r="C150" s="19"/>
      <c r="D150" s="19"/>
      <c r="E150" s="1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3"/>
    </row>
    <row r="151" spans="1:21" ht="20.100000000000001" customHeight="1" x14ac:dyDescent="0.2">
      <c r="A151" s="10" t="s">
        <v>57</v>
      </c>
      <c r="B151" s="6"/>
      <c r="C151" s="19"/>
      <c r="D151" s="19"/>
      <c r="E151" s="1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3"/>
    </row>
    <row r="152" spans="1:21" ht="20.100000000000001" customHeight="1" x14ac:dyDescent="0.2">
      <c r="A152" s="10" t="s">
        <v>56</v>
      </c>
      <c r="B152" s="6"/>
      <c r="C152" s="19"/>
      <c r="D152" s="19"/>
      <c r="E152" s="1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3"/>
    </row>
    <row r="153" spans="1:21" ht="20.100000000000001" customHeight="1" x14ac:dyDescent="0.2">
      <c r="A153" s="10" t="s">
        <v>110</v>
      </c>
      <c r="B153" s="8" t="str">
        <f>HYPERLINK("http://xeron.fr.eu.airbus.corp:8020/copedoc/servlet/JSVisualisation?Langue=fr&amp;RefPlan=S54212213&amp;NumPlanche=1&amp;IndicePlanche=A00&amp;FormatFichier=TIF&amp;NomFichier=S54212213_A00_001.TIF","TOLE D'ENCADREMENT")</f>
        <v>TOLE D'ENCADREMENT</v>
      </c>
      <c r="C153" s="19"/>
      <c r="D153" s="19"/>
      <c r="E153" s="1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3"/>
    </row>
    <row r="154" spans="1:21" ht="20.100000000000001" customHeight="1" x14ac:dyDescent="0.2">
      <c r="A154" s="10" t="s">
        <v>128</v>
      </c>
      <c r="B154" s="8" t="str">
        <f>HYPERLINK("http://xeron.fr.eu.airbus.corp:8020/copedoc/servlet/JSVisualisation?Langue=fr&amp;RefPlan=S54212215&amp;NumPlanche=1&amp;IndicePlanche=A00&amp;FormatFichier=TIF&amp;NomFichier=S54212215_A00_001.TIF","SUPPORT")</f>
        <v>SUPPORT</v>
      </c>
      <c r="C154" s="19"/>
      <c r="D154" s="19"/>
      <c r="E154" s="1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3"/>
    </row>
    <row r="155" spans="1:21" ht="20.100000000000001" customHeight="1" x14ac:dyDescent="0.2">
      <c r="A155" s="10" t="s">
        <v>152</v>
      </c>
      <c r="B155" s="8" t="str">
        <f>HYPERLINK("http://xeron.fr.eu.airbus.corp:8020/copedoc/servlet/JSVisualisation?Langue=fr&amp;RefPlan=S54212215&amp;NumPlanche=1&amp;IndicePlanche=A00&amp;FormatFichier=TIF&amp;NomFichier=S54212215_A00_001.TIF","SUPPORT")</f>
        <v>SUPPORT</v>
      </c>
      <c r="C155" s="19"/>
      <c r="D155" s="19"/>
      <c r="E155" s="1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3"/>
    </row>
    <row r="156" spans="1:21" ht="20.100000000000001" customHeight="1" x14ac:dyDescent="0.2">
      <c r="A156" s="10" t="s">
        <v>101</v>
      </c>
      <c r="B156" s="6"/>
      <c r="C156" s="19"/>
      <c r="D156" s="19"/>
      <c r="E156" s="1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3"/>
    </row>
    <row r="157" spans="1:21" ht="20.100000000000001" customHeight="1" x14ac:dyDescent="0.2">
      <c r="A157" s="10" t="s">
        <v>28</v>
      </c>
      <c r="B157" s="6"/>
      <c r="C157" s="19"/>
      <c r="D157" s="19"/>
      <c r="E157" s="1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3"/>
    </row>
    <row r="158" spans="1:21" ht="20.100000000000001" customHeight="1" x14ac:dyDescent="0.2">
      <c r="A158" s="10" t="s">
        <v>27</v>
      </c>
      <c r="B158" s="6"/>
      <c r="C158" s="19"/>
      <c r="D158" s="19"/>
      <c r="E158" s="1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3"/>
    </row>
    <row r="159" spans="1:21" ht="20.100000000000001" customHeight="1" x14ac:dyDescent="0.2">
      <c r="A159" s="10" t="s">
        <v>26</v>
      </c>
      <c r="B159" s="6"/>
      <c r="C159" s="19"/>
      <c r="D159" s="19"/>
      <c r="E159" s="1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3"/>
    </row>
    <row r="160" spans="1:21" ht="20.100000000000001" customHeight="1" x14ac:dyDescent="0.2">
      <c r="A160" s="10" t="s">
        <v>35</v>
      </c>
      <c r="B160" s="6"/>
      <c r="C160" s="19"/>
      <c r="D160" s="19"/>
      <c r="E160" s="1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3"/>
    </row>
    <row r="161" spans="1:21" ht="20.100000000000001" customHeight="1" x14ac:dyDescent="0.2">
      <c r="A161" s="10" t="s">
        <v>34</v>
      </c>
      <c r="B161" s="6"/>
      <c r="C161" s="19"/>
      <c r="D161" s="19"/>
      <c r="E161" s="1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3"/>
    </row>
    <row r="162" spans="1:21" ht="20.100000000000001" customHeight="1" x14ac:dyDescent="0.2">
      <c r="A162" s="10" t="s">
        <v>33</v>
      </c>
      <c r="B162" s="6"/>
      <c r="C162" s="19"/>
      <c r="D162" s="19"/>
      <c r="E162" s="1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3"/>
    </row>
    <row r="163" spans="1:21" ht="20.100000000000001" customHeight="1" x14ac:dyDescent="0.2">
      <c r="A163" s="10" t="s">
        <v>31</v>
      </c>
      <c r="B163" s="6"/>
      <c r="C163" s="19"/>
      <c r="D163" s="19"/>
      <c r="E163" s="1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3"/>
    </row>
    <row r="164" spans="1:21" ht="20.100000000000001" customHeight="1" x14ac:dyDescent="0.2">
      <c r="A164" s="10" t="s">
        <v>30</v>
      </c>
      <c r="B164" s="6"/>
      <c r="C164" s="19"/>
      <c r="D164" s="19"/>
      <c r="E164" s="1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3"/>
    </row>
    <row r="165" spans="1:21" ht="20.100000000000001" customHeight="1" x14ac:dyDescent="0.2">
      <c r="A165" s="10" t="s">
        <v>29</v>
      </c>
      <c r="B165" s="6"/>
      <c r="C165" s="19"/>
      <c r="D165" s="19"/>
      <c r="E165" s="1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3"/>
    </row>
    <row r="166" spans="1:21" ht="20.100000000000001" customHeight="1" x14ac:dyDescent="0.2">
      <c r="A166" s="10" t="s">
        <v>157</v>
      </c>
      <c r="B166" s="6"/>
      <c r="C166" s="19"/>
      <c r="D166" s="19"/>
      <c r="E166" s="1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3"/>
    </row>
    <row r="167" spans="1:21" ht="20.100000000000001" customHeight="1" x14ac:dyDescent="0.2">
      <c r="A167" s="10" t="s">
        <v>155</v>
      </c>
      <c r="B167" s="6"/>
      <c r="C167" s="19"/>
      <c r="D167" s="19"/>
      <c r="E167" s="1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3"/>
    </row>
    <row r="168" spans="1:21" ht="20.100000000000001" customHeight="1" thickBot="1" x14ac:dyDescent="0.25">
      <c r="A168" s="11" t="s">
        <v>156</v>
      </c>
      <c r="B168" s="26"/>
      <c r="C168" s="30"/>
      <c r="D168" s="30"/>
      <c r="E168" s="13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5"/>
    </row>
  </sheetData>
  <autoFilter ref="A1:A169"/>
  <sortState ref="A2:A167">
    <sortCondition ref="A1"/>
  </sortState>
  <mergeCells count="1">
    <mergeCell ref="E1:U1"/>
  </mergeCells>
  <conditionalFormatting sqref="A2:U2">
    <cfRule type="expression" dxfId="342" priority="172">
      <formula>$C$2="PAS D'OUTIL"</formula>
    </cfRule>
    <cfRule type="expression" dxfId="341" priority="173">
      <formula>$C$2="EN COURS"</formula>
    </cfRule>
    <cfRule type="expression" dxfId="340" priority="174">
      <formula>$C$2="URGENT"</formula>
    </cfRule>
  </conditionalFormatting>
  <conditionalFormatting sqref="A3:U3">
    <cfRule type="expression" dxfId="339" priority="169">
      <formula>$C$3="PAS D'OUTIL"</formula>
    </cfRule>
    <cfRule type="expression" dxfId="338" priority="170">
      <formula>$C$3="EN COURS"</formula>
    </cfRule>
    <cfRule type="expression" dxfId="337" priority="171">
      <formula>$C$3="URGENT"</formula>
    </cfRule>
  </conditionalFormatting>
  <conditionalFormatting sqref="A4:U4">
    <cfRule type="expression" dxfId="336" priority="166">
      <formula>$C$4="PAS D'OUTIL"</formula>
    </cfRule>
    <cfRule type="expression" dxfId="335" priority="167">
      <formula>$C$4="EN COURS"</formula>
    </cfRule>
    <cfRule type="expression" dxfId="334" priority="168">
      <formula>$C$4="URGENT"</formula>
    </cfRule>
  </conditionalFormatting>
  <conditionalFormatting sqref="A5:U5">
    <cfRule type="expression" dxfId="333" priority="163">
      <formula>$C$5="PAS D'OUTIL"</formula>
    </cfRule>
    <cfRule type="expression" dxfId="332" priority="164">
      <formula>$C$5="EN COURS"</formula>
    </cfRule>
    <cfRule type="expression" dxfId="331" priority="165">
      <formula>$C$5="URGENT"</formula>
    </cfRule>
  </conditionalFormatting>
  <conditionalFormatting sqref="A6:U6">
    <cfRule type="expression" dxfId="330" priority="160">
      <formula>$C$6="PAS D'OUTIL"</formula>
    </cfRule>
    <cfRule type="expression" dxfId="329" priority="161">
      <formula>$C$6="EN COURS"</formula>
    </cfRule>
    <cfRule type="expression" dxfId="328" priority="162">
      <formula>$C$6="URGENT"</formula>
    </cfRule>
  </conditionalFormatting>
  <conditionalFormatting sqref="A7:U7">
    <cfRule type="expression" dxfId="327" priority="157">
      <formula>$C$7="PAS D'OUTIL"</formula>
    </cfRule>
    <cfRule type="expression" dxfId="326" priority="158">
      <formula>$C$7="EN COURS"</formula>
    </cfRule>
    <cfRule type="expression" dxfId="325" priority="159">
      <formula>$C$7="URGENT"</formula>
    </cfRule>
  </conditionalFormatting>
  <conditionalFormatting sqref="A8:U8">
    <cfRule type="expression" dxfId="324" priority="154">
      <formula>$C$8="PAS D'OUTIL"</formula>
    </cfRule>
    <cfRule type="expression" dxfId="323" priority="155">
      <formula>$C$8="EN COURS"</formula>
    </cfRule>
    <cfRule type="expression" dxfId="322" priority="156">
      <formula>$C$8="URGENT"</formula>
    </cfRule>
  </conditionalFormatting>
  <conditionalFormatting sqref="A9:U9">
    <cfRule type="expression" dxfId="321" priority="151">
      <formula>$C$9="PAS D'OUTIL"</formula>
    </cfRule>
    <cfRule type="expression" dxfId="320" priority="152">
      <formula>$C$9="EN COURS"</formula>
    </cfRule>
    <cfRule type="expression" dxfId="319" priority="153">
      <formula>$C$9="URGENT"</formula>
    </cfRule>
  </conditionalFormatting>
  <conditionalFormatting sqref="A10:U10">
    <cfRule type="expression" dxfId="318" priority="148">
      <formula>$C$10="PAS D'OUTIL"</formula>
    </cfRule>
    <cfRule type="expression" dxfId="317" priority="149">
      <formula>$C$10="EN COURS"</formula>
    </cfRule>
    <cfRule type="expression" dxfId="316" priority="150">
      <formula>$C$10="URGENT"</formula>
    </cfRule>
  </conditionalFormatting>
  <conditionalFormatting sqref="A11:U11">
    <cfRule type="expression" dxfId="315" priority="145">
      <formula>$C$11="PAS D'OUTIL"</formula>
    </cfRule>
    <cfRule type="expression" dxfId="314" priority="146">
      <formula>$C$11="EN COURS"</formula>
    </cfRule>
    <cfRule type="expression" dxfId="313" priority="147">
      <formula>$C$11="URGENT"</formula>
    </cfRule>
  </conditionalFormatting>
  <conditionalFormatting sqref="A12:U12">
    <cfRule type="expression" dxfId="312" priority="142">
      <formula>$C$12="PAS D'OUTIL"</formula>
    </cfRule>
    <cfRule type="expression" dxfId="311" priority="143">
      <formula>$C$12="EN COURS"</formula>
    </cfRule>
    <cfRule type="expression" dxfId="310" priority="144">
      <formula>$C$12="URGENT"</formula>
    </cfRule>
  </conditionalFormatting>
  <conditionalFormatting sqref="A13:U13">
    <cfRule type="expression" dxfId="309" priority="139">
      <formula>$C$13="PAS D'OUTIL"</formula>
    </cfRule>
    <cfRule type="expression" dxfId="308" priority="140">
      <formula>$C$13="EN COURS"</formula>
    </cfRule>
    <cfRule type="expression" dxfId="307" priority="141">
      <formula>$C$13="URGENT"</formula>
    </cfRule>
  </conditionalFormatting>
  <conditionalFormatting sqref="A14:U14">
    <cfRule type="expression" dxfId="306" priority="136">
      <formula>$C$14="PAS D'OUTIL"</formula>
    </cfRule>
    <cfRule type="expression" dxfId="305" priority="137">
      <formula>$C$14="EN COURS"</formula>
    </cfRule>
    <cfRule type="expression" dxfId="304" priority="138">
      <formula>$C$14="URGENT"</formula>
    </cfRule>
  </conditionalFormatting>
  <conditionalFormatting sqref="A15:U15">
    <cfRule type="expression" dxfId="303" priority="133">
      <formula>$C$15="PAS D'OUTIL"</formula>
    </cfRule>
    <cfRule type="expression" dxfId="302" priority="134">
      <formula>$C$15="EN COURS"</formula>
    </cfRule>
    <cfRule type="expression" dxfId="301" priority="135">
      <formula>$C$15="URGENT"</formula>
    </cfRule>
  </conditionalFormatting>
  <conditionalFormatting sqref="A16:U16">
    <cfRule type="expression" dxfId="300" priority="130">
      <formula>$C$16="PAS D'OUTIL"</formula>
    </cfRule>
    <cfRule type="expression" dxfId="299" priority="131">
      <formula>$C$16="EN COURS"</formula>
    </cfRule>
    <cfRule type="expression" dxfId="298" priority="132">
      <formula>$C$16="URGENT"</formula>
    </cfRule>
  </conditionalFormatting>
  <conditionalFormatting sqref="A17:U17">
    <cfRule type="expression" dxfId="297" priority="127">
      <formula>$C$17="PAS D'OUTIL"</formula>
    </cfRule>
    <cfRule type="expression" dxfId="296" priority="128">
      <formula>$C$17="EN COURS"</formula>
    </cfRule>
    <cfRule type="expression" dxfId="295" priority="129">
      <formula>$C$17="URGENT"</formula>
    </cfRule>
  </conditionalFormatting>
  <conditionalFormatting sqref="A18:U18">
    <cfRule type="expression" dxfId="294" priority="124">
      <formula>$C$18="PAS D'OUTIL"</formula>
    </cfRule>
    <cfRule type="expression" dxfId="293" priority="125">
      <formula>$C$18="EN COURS"</formula>
    </cfRule>
    <cfRule type="expression" dxfId="292" priority="126">
      <formula>$C$18="URGENT"</formula>
    </cfRule>
  </conditionalFormatting>
  <conditionalFormatting sqref="A19:U19">
    <cfRule type="expression" dxfId="291" priority="121">
      <formula>$C$19="PAS D'OUTIL"</formula>
    </cfRule>
    <cfRule type="expression" dxfId="290" priority="122">
      <formula>$C$19="EN COURS"</formula>
    </cfRule>
    <cfRule type="expression" dxfId="289" priority="123">
      <formula>$C$19="URGENT"</formula>
    </cfRule>
  </conditionalFormatting>
  <conditionalFormatting sqref="A20:U20">
    <cfRule type="expression" dxfId="288" priority="118">
      <formula>$C$20="PAS D'OUTIL"</formula>
    </cfRule>
    <cfRule type="expression" dxfId="287" priority="119">
      <formula>$C$20="EN COURS"</formula>
    </cfRule>
    <cfRule type="expression" dxfId="286" priority="120">
      <formula>$C$20="URGENT"</formula>
    </cfRule>
  </conditionalFormatting>
  <conditionalFormatting sqref="A21:U21">
    <cfRule type="expression" dxfId="285" priority="115">
      <formula>$C$21="PAS D'OUTIL"</formula>
    </cfRule>
    <cfRule type="expression" dxfId="284" priority="116">
      <formula>$C$21="EN COURS"</formula>
    </cfRule>
    <cfRule type="expression" dxfId="283" priority="117">
      <formula>$C$21="URGENT"</formula>
    </cfRule>
  </conditionalFormatting>
  <conditionalFormatting sqref="A22:U22">
    <cfRule type="expression" dxfId="282" priority="112">
      <formula>$C$22="PAS D'OUTIL"</formula>
    </cfRule>
    <cfRule type="expression" dxfId="281" priority="113">
      <formula>$C$22="EN COURS"</formula>
    </cfRule>
    <cfRule type="expression" dxfId="280" priority="114">
      <formula>$C$22="URGENT"</formula>
    </cfRule>
  </conditionalFormatting>
  <conditionalFormatting sqref="A23:U23">
    <cfRule type="expression" dxfId="279" priority="111">
      <formula>$C$23="URGENT"</formula>
    </cfRule>
    <cfRule type="expression" dxfId="278" priority="110">
      <formula>$C$23="EN COURS"</formula>
    </cfRule>
    <cfRule type="expression" dxfId="277" priority="109">
      <formula>$C$23="PAS D'OUTIL"</formula>
    </cfRule>
  </conditionalFormatting>
  <conditionalFormatting sqref="A24:U24">
    <cfRule type="expression" dxfId="276" priority="108">
      <formula>$C$24="URGENT"</formula>
    </cfRule>
    <cfRule type="expression" dxfId="275" priority="107">
      <formula>$C$24="EN COURS"</formula>
    </cfRule>
    <cfRule type="expression" dxfId="274" priority="106">
      <formula>$C$24="PAS D'OUTIL"</formula>
    </cfRule>
  </conditionalFormatting>
  <conditionalFormatting sqref="A25:U25">
    <cfRule type="expression" dxfId="273" priority="105">
      <formula>$C$25="URGENT"</formula>
    </cfRule>
    <cfRule type="expression" dxfId="272" priority="104">
      <formula>$C$25="EN COURS"</formula>
    </cfRule>
    <cfRule type="expression" dxfId="271" priority="103">
      <formula>$C$25="PAS D'OUTIL"</formula>
    </cfRule>
  </conditionalFormatting>
  <conditionalFormatting sqref="A26:U26">
    <cfRule type="expression" dxfId="270" priority="102">
      <formula>$C$26="URGENT"</formula>
    </cfRule>
    <cfRule type="expression" dxfId="269" priority="101">
      <formula>$C$26="EN COURS"</formula>
    </cfRule>
    <cfRule type="expression" dxfId="268" priority="100">
      <formula>$C$26="PAS D'OUTIL"</formula>
    </cfRule>
  </conditionalFormatting>
  <conditionalFormatting sqref="A27:U27">
    <cfRule type="expression" dxfId="267" priority="99">
      <formula>$C$27="URGENT"</formula>
    </cfRule>
    <cfRule type="expression" dxfId="266" priority="98">
      <formula>$C$27="EN COURS"</formula>
    </cfRule>
  </conditionalFormatting>
  <conditionalFormatting sqref="A28:U28">
    <cfRule type="expression" dxfId="265" priority="97">
      <formula>$C$28="URGENT"</formula>
    </cfRule>
    <cfRule type="expression" dxfId="264" priority="96">
      <formula>$C$28="EN COURS"</formula>
    </cfRule>
    <cfRule type="expression" dxfId="263" priority="95">
      <formula>$C$28="PAS D'OUTIL"</formula>
    </cfRule>
  </conditionalFormatting>
  <conditionalFormatting sqref="A29:U29">
    <cfRule type="expression" dxfId="262" priority="94">
      <formula>$C$29="URGENT"</formula>
    </cfRule>
    <cfRule type="expression" dxfId="261" priority="93">
      <formula>$C$29="EN COURS"</formula>
    </cfRule>
    <cfRule type="expression" dxfId="260" priority="92">
      <formula>$C$29="PAS D'OUTIL"</formula>
    </cfRule>
  </conditionalFormatting>
  <conditionalFormatting sqref="A30:U30">
    <cfRule type="expression" dxfId="259" priority="91">
      <formula>$C$30="URGENT"</formula>
    </cfRule>
    <cfRule type="expression" dxfId="258" priority="90">
      <formula>$C$30="EN COURS"</formula>
    </cfRule>
    <cfRule type="expression" dxfId="257" priority="89">
      <formula>$C$30="PAS D'OUTIL"</formula>
    </cfRule>
  </conditionalFormatting>
  <conditionalFormatting sqref="A31:U31">
    <cfRule type="expression" dxfId="256" priority="88">
      <formula>$C$31="URGENT"</formula>
    </cfRule>
    <cfRule type="expression" dxfId="255" priority="87">
      <formula>$C$31="EN COURS"</formula>
    </cfRule>
    <cfRule type="expression" dxfId="254" priority="86">
      <formula>$C$31="PAS D'OUTIL"</formula>
    </cfRule>
  </conditionalFormatting>
  <conditionalFormatting sqref="A32:U32">
    <cfRule type="expression" dxfId="253" priority="85">
      <formula>$C$32="URGENT"</formula>
    </cfRule>
    <cfRule type="expression" dxfId="252" priority="84">
      <formula>$C$32="EN COURS"</formula>
    </cfRule>
    <cfRule type="expression" dxfId="251" priority="83">
      <formula>$C$32="PAS D'OUTIL"</formula>
    </cfRule>
  </conditionalFormatting>
  <conditionalFormatting sqref="A33:U33">
    <cfRule type="expression" dxfId="250" priority="82">
      <formula>$C$33="URGENT"</formula>
    </cfRule>
    <cfRule type="expression" dxfId="249" priority="81">
      <formula>$C$33="EN COURS"</formula>
    </cfRule>
    <cfRule type="expression" dxfId="248" priority="80">
      <formula>$C$33="PAS D'OUTIL"</formula>
    </cfRule>
  </conditionalFormatting>
  <conditionalFormatting sqref="A34:U34">
    <cfRule type="expression" dxfId="247" priority="79">
      <formula>$C$34="URGENT"</formula>
    </cfRule>
    <cfRule type="expression" dxfId="246" priority="78">
      <formula>$C$34="EN COURS"</formula>
    </cfRule>
    <cfRule type="expression" dxfId="245" priority="77">
      <formula>$C$34="PAS D'OUTIL"</formula>
    </cfRule>
  </conditionalFormatting>
  <conditionalFormatting sqref="A35:U35">
    <cfRule type="expression" dxfId="244" priority="76">
      <formula>$C$35="URGENT"</formula>
    </cfRule>
    <cfRule type="expression" dxfId="243" priority="75">
      <formula>$C$35="EN COURS"</formula>
    </cfRule>
    <cfRule type="expression" dxfId="242" priority="74">
      <formula>$C$35="PAS D'OUTIL"</formula>
    </cfRule>
  </conditionalFormatting>
  <conditionalFormatting sqref="A36:U36">
    <cfRule type="expression" dxfId="241" priority="73">
      <formula>$C$36="URGENT"</formula>
    </cfRule>
    <cfRule type="expression" dxfId="240" priority="72">
      <formula>$C$36="EN COURS"</formula>
    </cfRule>
    <cfRule type="expression" dxfId="239" priority="71">
      <formula>$C$36="PAS D'OUTIL"</formula>
    </cfRule>
  </conditionalFormatting>
  <conditionalFormatting sqref="A37:U37">
    <cfRule type="expression" dxfId="238" priority="70">
      <formula>$C$37="URGENT"</formula>
    </cfRule>
    <cfRule type="expression" dxfId="237" priority="69">
      <formula>$C$37="EN COURS"</formula>
    </cfRule>
    <cfRule type="expression" dxfId="236" priority="68">
      <formula>$C$37="PAS D'OUTIL"</formula>
    </cfRule>
  </conditionalFormatting>
  <conditionalFormatting sqref="A38:U38">
    <cfRule type="expression" dxfId="235" priority="67">
      <formula>$C$38="URGENT"</formula>
    </cfRule>
    <cfRule type="expression" dxfId="234" priority="66">
      <formula>$C$38="EN COURS"</formula>
    </cfRule>
    <cfRule type="expression" dxfId="233" priority="65">
      <formula>$C$38="PAS D'OUTIL"</formula>
    </cfRule>
  </conditionalFormatting>
  <conditionalFormatting sqref="A39:U39">
    <cfRule type="expression" dxfId="232" priority="64">
      <formula>$C$39="URGENT"</formula>
    </cfRule>
    <cfRule type="expression" dxfId="231" priority="63">
      <formula>$C$39="EN COURS"</formula>
    </cfRule>
    <cfRule type="expression" dxfId="230" priority="62">
      <formula>$C$39="PAS D'OUTIL"</formula>
    </cfRule>
  </conditionalFormatting>
  <conditionalFormatting sqref="A40:U40">
    <cfRule type="expression" dxfId="229" priority="61">
      <formula>$C$40="URGENT"</formula>
    </cfRule>
    <cfRule type="expression" dxfId="228" priority="60">
      <formula>$C$40="EN COURS"</formula>
    </cfRule>
    <cfRule type="expression" dxfId="227" priority="59">
      <formula>$C$40="PAS D'OUTIL"</formula>
    </cfRule>
  </conditionalFormatting>
  <conditionalFormatting sqref="A41:U41">
    <cfRule type="expression" dxfId="226" priority="58">
      <formula>$C$41="URGENT"</formula>
    </cfRule>
    <cfRule type="expression" dxfId="225" priority="57">
      <formula>$C$41="EN COURS"</formula>
    </cfRule>
    <cfRule type="expression" dxfId="224" priority="56">
      <formula>$C$41="PAS D'OUTIL"</formula>
    </cfRule>
  </conditionalFormatting>
  <conditionalFormatting sqref="A42:U42">
    <cfRule type="expression" dxfId="223" priority="55">
      <formula>$C$42="URGENT"</formula>
    </cfRule>
    <cfRule type="expression" dxfId="222" priority="54">
      <formula>$C$42="EN COURS"</formula>
    </cfRule>
    <cfRule type="expression" dxfId="221" priority="52">
      <formula>$C$42="PAS D'OUTIL"</formula>
    </cfRule>
  </conditionalFormatting>
  <conditionalFormatting sqref="A43:U43">
    <cfRule type="expression" dxfId="220" priority="51">
      <formula>$C$43="URGENT"</formula>
    </cfRule>
    <cfRule type="expression" dxfId="219" priority="50">
      <formula>$C$43="EN COURS"</formula>
    </cfRule>
    <cfRule type="expression" dxfId="218" priority="49">
      <formula>$C$43="PAS D'OUTIL"</formula>
    </cfRule>
  </conditionalFormatting>
  <conditionalFormatting sqref="A44:U44">
    <cfRule type="expression" dxfId="217" priority="48">
      <formula>$C$44="URGENT"</formula>
    </cfRule>
    <cfRule type="expression" dxfId="216" priority="47">
      <formula>$C$44="EN COURS"</formula>
    </cfRule>
    <cfRule type="expression" dxfId="215" priority="46">
      <formula>$C$44="PAS D'OUTIL"</formula>
    </cfRule>
  </conditionalFormatting>
  <conditionalFormatting sqref="A45:U45">
    <cfRule type="expression" dxfId="214" priority="45">
      <formula>$C$45="URGENT"</formula>
    </cfRule>
    <cfRule type="expression" dxfId="213" priority="44">
      <formula>$C$45="EN COURS"</formula>
    </cfRule>
    <cfRule type="expression" dxfId="212" priority="43">
      <formula>$C$45="PAS D'OUTIL"</formula>
    </cfRule>
  </conditionalFormatting>
  <conditionalFormatting sqref="A46:U46">
    <cfRule type="expression" dxfId="211" priority="42">
      <formula>$C$46="URGENT"</formula>
    </cfRule>
    <cfRule type="expression" dxfId="210" priority="41">
      <formula>$C$46="EN COURS"</formula>
    </cfRule>
    <cfRule type="expression" dxfId="209" priority="40">
      <formula>$C$46="PAS D'OUTIL"</formula>
    </cfRule>
  </conditionalFormatting>
  <conditionalFormatting sqref="A47:U47">
    <cfRule type="expression" dxfId="208" priority="39">
      <formula>$C$47="URGENT"</formula>
    </cfRule>
    <cfRule type="expression" dxfId="207" priority="38">
      <formula>$C$47="EN COURS"</formula>
    </cfRule>
    <cfRule type="expression" dxfId="206" priority="37">
      <formula>$C$47="PAS D'OUTIL"</formula>
    </cfRule>
  </conditionalFormatting>
  <conditionalFormatting sqref="A48:U48">
    <cfRule type="expression" dxfId="205" priority="36">
      <formula>$C$48="URGENT"</formula>
    </cfRule>
    <cfRule type="expression" dxfId="204" priority="35">
      <formula>$C$48="EN COURS"</formula>
    </cfRule>
    <cfRule type="expression" dxfId="203" priority="34">
      <formula>$C$48="PAS D'OUTIL"</formula>
    </cfRule>
  </conditionalFormatting>
  <conditionalFormatting sqref="A49:U49">
    <cfRule type="expression" dxfId="202" priority="33">
      <formula>$C$49="URGENT"</formula>
    </cfRule>
    <cfRule type="expression" dxfId="201" priority="32">
      <formula>$C$49="EN COURS"</formula>
    </cfRule>
    <cfRule type="expression" dxfId="200" priority="31">
      <formula>$C$49="PAS D'OUTIL"</formula>
    </cfRule>
  </conditionalFormatting>
  <conditionalFormatting sqref="A50:U50">
    <cfRule type="expression" dxfId="199" priority="30">
      <formula>$C$50="URGENT"</formula>
    </cfRule>
    <cfRule type="expression" dxfId="198" priority="29">
      <formula>$C$50="EN COURS"</formula>
    </cfRule>
    <cfRule type="expression" dxfId="197" priority="28">
      <formula>$C$50="PAS D'OUTIL"</formula>
    </cfRule>
  </conditionalFormatting>
  <conditionalFormatting sqref="A51:U51">
    <cfRule type="expression" dxfId="196" priority="27">
      <formula>$C$51="URGENT"</formula>
    </cfRule>
    <cfRule type="expression" dxfId="195" priority="26">
      <formula>$C$51="EN COURS"</formula>
    </cfRule>
    <cfRule type="expression" dxfId="194" priority="25">
      <formula>$C$51="PAS D'OUTIL"</formula>
    </cfRule>
  </conditionalFormatting>
  <conditionalFormatting sqref="A52:U52">
    <cfRule type="expression" dxfId="193" priority="24">
      <formula>$C$52="URGENT"</formula>
    </cfRule>
    <cfRule type="expression" dxfId="192" priority="23">
      <formula>$C$52="EN COURS"</formula>
    </cfRule>
    <cfRule type="expression" dxfId="191" priority="22">
      <formula>$C$52="PAS D'OUTIL"</formula>
    </cfRule>
  </conditionalFormatting>
  <conditionalFormatting sqref="A53:U53">
    <cfRule type="expression" dxfId="190" priority="21">
      <formula>$C$53="URGENT"</formula>
    </cfRule>
    <cfRule type="expression" dxfId="189" priority="20">
      <formula>$C$53="EN COURS"</formula>
    </cfRule>
    <cfRule type="expression" dxfId="188" priority="19">
      <formula>$C$53="PAS D'OUTIL"</formula>
    </cfRule>
  </conditionalFormatting>
  <conditionalFormatting sqref="A54:U54">
    <cfRule type="expression" dxfId="187" priority="18">
      <formula>$C$54="URGENT"</formula>
    </cfRule>
    <cfRule type="expression" dxfId="186" priority="17">
      <formula>$C$54="EN COURS"</formula>
    </cfRule>
    <cfRule type="expression" dxfId="185" priority="16">
      <formula>$C$54="PAS D'OUTIL"</formula>
    </cfRule>
  </conditionalFormatting>
  <conditionalFormatting sqref="A55:U55">
    <cfRule type="expression" dxfId="184" priority="15">
      <formula>$C$55="URGENT"</formula>
    </cfRule>
    <cfRule type="expression" dxfId="183" priority="14">
      <formula>$C$55="EN COURS"</formula>
    </cfRule>
    <cfRule type="expression" dxfId="182" priority="13">
      <formula>$C$55="PAS D'OUTIL"</formula>
    </cfRule>
  </conditionalFormatting>
  <conditionalFormatting sqref="A56:U56">
    <cfRule type="expression" dxfId="181" priority="12">
      <formula>$C$56="URGENT"</formula>
    </cfRule>
    <cfRule type="expression" dxfId="180" priority="11">
      <formula>$C$56="EN COURS"</formula>
    </cfRule>
    <cfRule type="expression" dxfId="179" priority="10">
      <formula>$C$56="PAS D'OUTIL"</formula>
    </cfRule>
  </conditionalFormatting>
  <conditionalFormatting sqref="A57:U57">
    <cfRule type="expression" dxfId="178" priority="9">
      <formula>$C$57="URGENT"</formula>
    </cfRule>
    <cfRule type="expression" dxfId="177" priority="8">
      <formula>$C$57="EN COURS"</formula>
    </cfRule>
    <cfRule type="expression" dxfId="176" priority="7">
      <formula>$C$57="PAS D'OUTIL"</formula>
    </cfRule>
  </conditionalFormatting>
  <conditionalFormatting sqref="A58:U58">
    <cfRule type="expression" dxfId="175" priority="6">
      <formula>$C$58="URGENT"</formula>
    </cfRule>
    <cfRule type="expression" dxfId="174" priority="5">
      <formula>$C$58="EN COURS"</formula>
    </cfRule>
    <cfRule type="expression" dxfId="173" priority="4">
      <formula>$C$58="PAS D'OUTIL"</formula>
    </cfRule>
  </conditionalFormatting>
  <conditionalFormatting sqref="A59:U59">
    <cfRule type="expression" dxfId="171" priority="3">
      <formula>$C$59="URGENT"</formula>
    </cfRule>
    <cfRule type="expression" dxfId="172" priority="2">
      <formula>$C$59="EN COURS"</formula>
    </cfRule>
    <cfRule type="expression" dxfId="170" priority="1">
      <formula>$C$59="PAS D'OUTIL"</formula>
    </cfRule>
  </conditionalFormatting>
  <dataValidations count="1">
    <dataValidation type="list" allowBlank="1" showInputMessage="1" showErrorMessage="1" sqref="C2:C168">
      <formula1>"URGENT,EN COURS,PAS D'OUTIL,EN STOCK,--"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05"/>
  <sheetViews>
    <sheetView topLeftCell="A91" workbookViewId="0">
      <selection activeCell="D2" sqref="D2"/>
    </sheetView>
  </sheetViews>
  <sheetFormatPr baseColWidth="10" defaultRowHeight="14.25" x14ac:dyDescent="0.2"/>
  <cols>
    <col min="1" max="1" width="17.625" style="7" customWidth="1"/>
    <col min="2" max="2" width="35.625" style="7" customWidth="1"/>
    <col min="3" max="3" width="15.625" style="7" customWidth="1"/>
    <col min="4" max="4" width="15.625" style="14" customWidth="1"/>
    <col min="5" max="19" width="15.625" style="15" customWidth="1"/>
    <col min="20" max="20" width="15.625" style="16" customWidth="1"/>
  </cols>
  <sheetData>
    <row r="1" spans="1:20" s="24" customFormat="1" ht="24.95" customHeight="1" thickBot="1" x14ac:dyDescent="0.3">
      <c r="A1" s="23" t="s">
        <v>273</v>
      </c>
      <c r="B1" s="23" t="s">
        <v>274</v>
      </c>
      <c r="C1" s="23" t="s">
        <v>275</v>
      </c>
      <c r="D1" s="31" t="s">
        <v>276</v>
      </c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</row>
    <row r="2" spans="1:20" ht="20.100000000000001" customHeight="1" x14ac:dyDescent="0.2">
      <c r="A2" s="17" t="s">
        <v>218</v>
      </c>
      <c r="B2" s="18" t="str">
        <f>HYPERLINK("http://xeron.fr.eu.airbus.corp:8020/copedoc/servlet/JSVisualisation?Langue=fr&amp;RefPlan=A75215025&amp;NumPlanche=3&amp;IndicePlanche=C00&amp;FormatFichier=TIF&amp;NomFichier=A75215025_C00_003.TIF","ENS PORTE DE SURPRESSION")</f>
        <v>ENS PORTE DE SURPRESSION</v>
      </c>
      <c r="C2" s="19"/>
      <c r="D2" s="20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2"/>
    </row>
    <row r="3" spans="1:20" ht="20.100000000000001" customHeight="1" x14ac:dyDescent="0.2">
      <c r="A3" s="10" t="s">
        <v>230</v>
      </c>
      <c r="B3" s="8" t="str">
        <f>HYPERLINK("http://xeron.fr.eu.airbus.corp:8020/copedoc/servlet/JSVisualisation?Langue=fr&amp;RefPlan=A75215025&amp;NumPlanche=3&amp;IndicePlanche=C00&amp;FormatFichier=TIF&amp;NomFichier=A75215025_C00_003.TIF","ENS PORTE DE SURPRESSION")</f>
        <v>ENS PORTE DE SURPRESSION</v>
      </c>
      <c r="C3" s="6"/>
      <c r="D3" s="1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/>
    </row>
    <row r="4" spans="1:20" ht="20.100000000000001" customHeight="1" x14ac:dyDescent="0.2">
      <c r="A4" s="10" t="s">
        <v>191</v>
      </c>
      <c r="B4" s="8" t="str">
        <f>HYPERLINK("http://xeron.fr.eu.airbus.corp:8020/copedoc/servlet/JSVisualisation?Langue=fr&amp;RefPlan=D54518033&amp;NumPlanche=1&amp;IndicePlanche=A00&amp;FormatFichier=TIF&amp;NomFichier=D54518033_A00_001.TIF","SUP. JOINT AIR-DAM N7A")</f>
        <v>SUP. JOINT AIR-DAM N7A</v>
      </c>
      <c r="C4" s="6"/>
      <c r="D4" s="1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3"/>
    </row>
    <row r="5" spans="1:20" ht="20.100000000000001" customHeight="1" x14ac:dyDescent="0.2">
      <c r="A5" s="10" t="s">
        <v>190</v>
      </c>
      <c r="B5" s="8" t="str">
        <f>HYPERLINK("http://xeron.fr.eu.airbus.corp:8020/copedoc/servlet/JSVisualisation?Langue=fr&amp;RefPlan=D54518038&amp;NumPlanche=1&amp;IndicePlanche=A00&amp;FormatFichier=TIF&amp;NomFichier=D54518038_A00_001.TIF","SUP. JOINT AIR-DAM N7A")</f>
        <v>SUP. JOINT AIR-DAM N7A</v>
      </c>
      <c r="C5" s="6"/>
      <c r="D5" s="1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3"/>
    </row>
    <row r="6" spans="1:20" ht="20.100000000000001" customHeight="1" x14ac:dyDescent="0.2">
      <c r="A6" s="10" t="s">
        <v>204</v>
      </c>
      <c r="B6" s="8" t="str">
        <f>HYPERLINK("http://xeron.fr.eu.airbus.corp:8020/copedoc/servlet/JSVisualisation?Langue=fr&amp;RefPlan=D54610070&amp;NumPlanche=1&amp;IndicePlanche=F00&amp;FormatFichier=TIF&amp;NomFichier=D54610070_F00_001.TIF","ELEMENT SUPPERIEUR")</f>
        <v>ELEMENT SUPPERIEUR</v>
      </c>
      <c r="C6" s="6"/>
      <c r="D6" s="1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3"/>
    </row>
    <row r="7" spans="1:20" ht="20.100000000000001" customHeight="1" x14ac:dyDescent="0.2">
      <c r="A7" s="10" t="s">
        <v>178</v>
      </c>
      <c r="B7" s="8" t="str">
        <f>HYPERLINK("http://xeron.fr.eu.airbus.corp:8020/copedoc/servlet/JSVisualisation?Langue=fr&amp;RefPlan=D54610070&amp;NumPlanche=1&amp;IndicePlanche=F00&amp;FormatFichier=TIF&amp;NomFichier=D54610070_F00_001.TIF","ELEMENT SUPPERIEUR")</f>
        <v>ELEMENT SUPPERIEUR</v>
      </c>
      <c r="C7" s="6"/>
      <c r="D7" s="1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</row>
    <row r="8" spans="1:20" ht="20.100000000000001" customHeight="1" x14ac:dyDescent="0.2">
      <c r="A8" s="10" t="s">
        <v>210</v>
      </c>
      <c r="B8" s="8" t="str">
        <f>HYPERLINK("http://xeron.fr.eu.airbus.corp:8020/copedoc/servlet/JSVisualisation?Langue=fr&amp;RefPlan=D54610091&amp;NumPlanche=1&amp;IndicePlanche=D00&amp;FormatFichier=TIF&amp;NomFichier=D54610091_D00_001.TIF","OMEGA TRANSVERSAL")</f>
        <v>OMEGA TRANSVERSAL</v>
      </c>
      <c r="C8" s="6"/>
      <c r="D8" s="1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3"/>
    </row>
    <row r="9" spans="1:20" ht="20.100000000000001" customHeight="1" x14ac:dyDescent="0.2">
      <c r="A9" s="10" t="s">
        <v>186</v>
      </c>
      <c r="B9" s="8" t="str">
        <f>HYPERLINK("http://xeron.fr.eu.airbus.corp:8020/copedoc/servlet/JSVisualisation?Langue=fr&amp;RefPlan=D54610332&amp;NumPlanche=1&amp;IndicePlanche=B00&amp;FormatFichier=TIF&amp;NomFichier=D54610332_B00_001.TIF","NERVURE 7")</f>
        <v>NERVURE 7</v>
      </c>
      <c r="C9" s="6"/>
      <c r="D9" s="1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3"/>
    </row>
    <row r="10" spans="1:20" ht="20.100000000000001" customHeight="1" x14ac:dyDescent="0.2">
      <c r="A10" s="10" t="s">
        <v>185</v>
      </c>
      <c r="B10" s="8" t="str">
        <f>HYPERLINK("http://xeron.fr.eu.airbus.corp:8020/copedoc/servlet/JSVisualisation?Langue=fr&amp;RefPlan=D54610333&amp;NumPlanche=1&amp;IndicePlanche=C00&amp;FormatFichier=TIF&amp;NomFichier=D54610333_C00_001.TIF","NERVURE 8")</f>
        <v>NERVURE 8</v>
      </c>
      <c r="C10" s="6"/>
      <c r="D10" s="1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3"/>
    </row>
    <row r="11" spans="1:20" ht="20.100000000000001" customHeight="1" x14ac:dyDescent="0.2">
      <c r="A11" s="10" t="s">
        <v>184</v>
      </c>
      <c r="B11" s="8" t="str">
        <f>HYPERLINK("http://xeron.fr.eu.airbus.corp:8020/copedoc/servlet/JSVisualisation?Langue=fr&amp;RefPlan=D54610334&amp;NumPlanche=1&amp;IndicePlanche=B00&amp;FormatFichier=TIF&amp;NomFichier=D54610334_B00_001.TIF","NERVURE 9")</f>
        <v>NERVURE 9</v>
      </c>
      <c r="C11" s="6"/>
      <c r="D11" s="1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</row>
    <row r="12" spans="1:20" ht="20.100000000000001" customHeight="1" x14ac:dyDescent="0.2">
      <c r="A12" s="10" t="s">
        <v>170</v>
      </c>
      <c r="B12" s="8" t="str">
        <f>HYPERLINK("http://xeron.fr.eu.airbus.corp:8020/copedoc/servlet/JSVisualisation?Langue=fr&amp;RefPlan=D54618544&amp;NumPlanche=2&amp;IndicePlanche=B00&amp;FormatFichier=TIF&amp;NomFichier=D54618544_B00_002.TIF","NERVURE 01")</f>
        <v>NERVURE 01</v>
      </c>
      <c r="C12" s="6"/>
      <c r="D12" s="1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</row>
    <row r="13" spans="1:20" ht="20.100000000000001" customHeight="1" x14ac:dyDescent="0.2">
      <c r="A13" s="10" t="s">
        <v>183</v>
      </c>
      <c r="B13" s="8" t="str">
        <f>HYPERLINK("http://xeron.fr.eu.airbus.corp:8020/copedoc/servlet/JSVisualisation?Langue=fr&amp;RefPlan=D54618605&amp;NumPlanche=2&amp;IndicePlanche=C00&amp;FormatFichier=TIF&amp;NomFichier=D54618605_C00_002.TIF","CORN. SUP INT N07-N08B")</f>
        <v>CORN. SUP INT N07-N08B</v>
      </c>
      <c r="C13" s="6"/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"/>
    </row>
    <row r="14" spans="1:20" ht="20.100000000000001" customHeight="1" x14ac:dyDescent="0.2">
      <c r="A14" s="10" t="s">
        <v>182</v>
      </c>
      <c r="B14" s="8" t="str">
        <f>HYPERLINK("http://xeron.fr.eu.airbus.corp:8020/copedoc/servlet/JSVisualisation?Langue=fr&amp;RefPlan=D54618605&amp;NumPlanche=2&amp;IndicePlanche=C00&amp;FormatFichier=TIF&amp;NomFichier=D54618605_C00_002.TIF","CORN. SUP INT N07-N08B")</f>
        <v>CORN. SUP INT N07-N08B</v>
      </c>
      <c r="C14" s="6"/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3"/>
    </row>
    <row r="15" spans="1:20" ht="20.100000000000001" customHeight="1" x14ac:dyDescent="0.2">
      <c r="A15" s="10" t="s">
        <v>181</v>
      </c>
      <c r="B15" s="8" t="str">
        <f>HYPERLINK("http://xeron.fr.eu.airbus.corp:8020/copedoc/servlet/JSVisualisation?Langue=fr&amp;RefPlan=D54618607&amp;NumPlanche=2&amp;IndicePlanche=B00&amp;FormatFichier=TIF&amp;NomFichier=D54618607_B00_002.TIF","CORNIERE SUP. N08 B")</f>
        <v>CORNIERE SUP. N08 B</v>
      </c>
      <c r="C15" s="6"/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3"/>
    </row>
    <row r="16" spans="1:20" ht="20.100000000000001" customHeight="1" x14ac:dyDescent="0.2">
      <c r="A16" s="10" t="s">
        <v>180</v>
      </c>
      <c r="B16" s="8" t="str">
        <f>HYPERLINK("http://xeron.fr.eu.airbus.corp:8020/copedoc/servlet/JSVisualisation?Langue=fr&amp;RefPlan=D54618607&amp;NumPlanche=2&amp;IndicePlanche=B00&amp;FormatFichier=TIF&amp;NomFichier=D54618607_B00_002.TIF","CORNIERE SUP. N08 B")</f>
        <v>CORNIERE SUP. N08 B</v>
      </c>
      <c r="C16" s="6"/>
      <c r="D16" s="1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3"/>
    </row>
    <row r="17" spans="1:20" ht="20.100000000000001" customHeight="1" x14ac:dyDescent="0.2">
      <c r="A17" s="10" t="s">
        <v>179</v>
      </c>
      <c r="B17" s="8" t="str">
        <f>HYPERLINK("http://xeron.fr.eu.airbus.corp:8020/copedoc/servlet/JSVisualisation?Langue=fr&amp;RefPlan=D54618617&amp;NumPlanche=2&amp;IndicePlanche=C00&amp;FormatFichier=TIF&amp;NomFichier=D54618617_C00_002.TIF","GOUSSET N09 HAUT")</f>
        <v>GOUSSET N09 HAUT</v>
      </c>
      <c r="C17" s="6"/>
      <c r="D17" s="1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3"/>
    </row>
    <row r="18" spans="1:20" ht="20.100000000000001" customHeight="1" x14ac:dyDescent="0.2">
      <c r="A18" s="10" t="s">
        <v>197</v>
      </c>
      <c r="B18" s="8" t="str">
        <f>HYPERLINK("http://xeron.fr.eu.airbus.corp:8020/copedoc/servlet/JSVisualisation?Langue=fr&amp;RefPlan=D54618627&amp;NumPlanche=2&amp;IndicePlanche=D00&amp;FormatFichier=TIF&amp;NomFichier=D54618627_D00_002.TIF","CORNIERE ELEC. N09 M/D")</f>
        <v>CORNIERE ELEC. N09 M/D</v>
      </c>
      <c r="C18" s="6"/>
      <c r="D18" s="1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3"/>
    </row>
    <row r="19" spans="1:20" ht="20.100000000000001" customHeight="1" x14ac:dyDescent="0.2">
      <c r="A19" s="10" t="s">
        <v>194</v>
      </c>
      <c r="B19" s="8" t="str">
        <f>HYPERLINK("http://xeron.fr.eu.airbus.corp:8020/copedoc/servlet/JSVisualisation?Langue=fr&amp;RefPlan=D54618743&amp;NumPlanche=1&amp;IndicePlanche=A00&amp;FormatFichier=JPG&amp;NomFichier=D54618743_A00_001.JPG","CORNIERE N08-08 B")</f>
        <v>CORNIERE N08-08 B</v>
      </c>
      <c r="C19" s="6"/>
      <c r="D19" s="1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3"/>
    </row>
    <row r="20" spans="1:20" ht="20.100000000000001" customHeight="1" x14ac:dyDescent="0.2">
      <c r="A20" s="10" t="s">
        <v>192</v>
      </c>
      <c r="B20" s="8" t="str">
        <f>HYPERLINK("http://xeron.fr.eu.airbus.corp:8020/copedoc/servlet/JSVisualisation?Langue=fr&amp;RefPlan=D54618743&amp;NumPlanche=1&amp;IndicePlanche=A00&amp;FormatFichier=JPG&amp;NomFichier=D54618743_A00_001.JPG","CORNIERE N08-08 B")</f>
        <v>CORNIERE N08-08 B</v>
      </c>
      <c r="C20" s="6"/>
      <c r="D20" s="1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3"/>
    </row>
    <row r="21" spans="1:20" ht="20.100000000000001" customHeight="1" x14ac:dyDescent="0.2">
      <c r="A21" s="10" t="s">
        <v>264</v>
      </c>
      <c r="B21" s="8" t="str">
        <f>HYPERLINK("http://xeron.fr.eu.airbus.corp:8020/copedoc/servlet/JSVisualisation?Langue=fr&amp;RefPlan=D54630638&amp;NumPlanche=1&amp;IndicePlanche=D00&amp;FormatFichier=TIF&amp;NomFichier=D54630638_D00_001.TIF","LONGERON BORDURE D")</f>
        <v>LONGERON BORDURE D</v>
      </c>
      <c r="C21" s="6"/>
      <c r="D21" s="1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3"/>
    </row>
    <row r="22" spans="1:20" ht="20.100000000000001" customHeight="1" x14ac:dyDescent="0.2">
      <c r="A22" s="10" t="s">
        <v>259</v>
      </c>
      <c r="B22" s="8" t="str">
        <f>HYPERLINK("http://xeron.fr.eu.airbus.corp:8020/copedoc/servlet/JSVisualisation?Langue=fr&amp;RefPlan=D54630731&amp;NumPlanche=1&amp;IndicePlanche=E00&amp;FormatFichier=TIF&amp;NomFichier=D54630731_E00_001.TIF","LONGERON BORDURE G")</f>
        <v>LONGERON BORDURE G</v>
      </c>
      <c r="C22" s="6"/>
      <c r="D22" s="1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3"/>
    </row>
    <row r="23" spans="1:20" ht="20.100000000000001" customHeight="1" x14ac:dyDescent="0.2">
      <c r="A23" s="10" t="s">
        <v>267</v>
      </c>
      <c r="B23" s="8" t="str">
        <f>HYPERLINK("http://xeron.fr.eu.airbus.corp:8020/copedoc/servlet/JSVisualisation?Langue=fr&amp;RefPlan=D54630896&amp;NumPlanche=1&amp;IndicePlanche=B00&amp;FormatFichier=TIF&amp;NomFichier=D54630896_B00_001.TIF","VOILE")</f>
        <v>VOILE</v>
      </c>
      <c r="C23" s="6"/>
      <c r="D23" s="1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3"/>
    </row>
    <row r="24" spans="1:20" ht="20.100000000000001" customHeight="1" x14ac:dyDescent="0.2">
      <c r="A24" s="10" t="s">
        <v>214</v>
      </c>
      <c r="B24" s="8" t="str">
        <f>HYPERLINK("http://xeron.fr.eu.airbus.corp:8020/copedoc/servlet/JSVisualisation?Langue=fr&amp;RefPlan=D54630896&amp;NumPlanche=1&amp;IndicePlanche=B00&amp;FormatFichier=TIF&amp;NomFichier=D54630896_B00_001.TIF","VOILE")</f>
        <v>VOILE</v>
      </c>
      <c r="C24" s="6"/>
      <c r="D24" s="1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3"/>
    </row>
    <row r="25" spans="1:20" ht="20.100000000000001" customHeight="1" x14ac:dyDescent="0.2">
      <c r="A25" s="10" t="s">
        <v>189</v>
      </c>
      <c r="B25" s="8" t="str">
        <f>HYPERLINK("http://xeron.fr.eu.airbus.corp:8020/copedoc/servlet/JSVisualisation?Langue=fr&amp;RefPlan=F54512246&amp;NumPlanche=1&amp;IndicePlanche=D00&amp;FormatFichier=TIF&amp;NomFichier=F54512246_D00_001.TIF","NERVURE 05")</f>
        <v>NERVURE 05</v>
      </c>
      <c r="C25" s="6"/>
      <c r="D25" s="1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3"/>
    </row>
    <row r="26" spans="1:20" ht="20.100000000000001" customHeight="1" x14ac:dyDescent="0.2">
      <c r="A26" s="10" t="s">
        <v>188</v>
      </c>
      <c r="B26" s="8" t="str">
        <f>HYPERLINK("http://xeron.fr.eu.airbus.corp:8020/copedoc/servlet/JSVisualisation?Langue=fr&amp;RefPlan=F54512364&amp;NumPlanche=1&amp;IndicePlanche=C00&amp;FormatFichier=TIF&amp;NomFichier=F54512364_C00_001.TIF","CORNIER N09 M E")</f>
        <v>CORNIER N09 M E</v>
      </c>
      <c r="C26" s="6"/>
      <c r="D26" s="1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3"/>
    </row>
    <row r="27" spans="1:20" ht="20.100000000000001" customHeight="1" x14ac:dyDescent="0.2">
      <c r="A27" s="10" t="s">
        <v>196</v>
      </c>
      <c r="B27" s="8" t="str">
        <f>HYPERLINK("http://xeron.fr.eu.airbus.corp:8020/copedoc/servlet/JSVisualisation?Langue=fr&amp;RefPlan=F54512535&amp;NumPlanche=1&amp;IndicePlanche=B00&amp;FormatFichier=TIF&amp;NomFichier=F54512535_B00_001.TIF","CORNIER EN Z")</f>
        <v>CORNIER EN Z</v>
      </c>
      <c r="C27" s="6"/>
      <c r="D27" s="1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3"/>
    </row>
    <row r="28" spans="1:20" ht="20.100000000000001" customHeight="1" x14ac:dyDescent="0.2">
      <c r="A28" s="10" t="s">
        <v>187</v>
      </c>
      <c r="B28" s="8" t="str">
        <f>HYPERLINK("http://xeron.fr.eu.airbus.corp:8020/copedoc/servlet/JSVisualisation?Langue=fr&amp;RefPlan=F54512539&amp;NumPlanche=1&amp;IndicePlanche=G00&amp;FormatFichier=TIF&amp;NomFichier=F54512539_G00_001.TIF","NERVURE 09 M.E D")</f>
        <v>NERVURE 09 M.E D</v>
      </c>
      <c r="C28" s="6"/>
      <c r="D28" s="1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3"/>
    </row>
    <row r="29" spans="1:20" ht="20.100000000000001" customHeight="1" x14ac:dyDescent="0.2">
      <c r="A29" s="10" t="s">
        <v>212</v>
      </c>
      <c r="B29" s="8" t="str">
        <f>HYPERLINK("http://xeron.fr.eu.airbus.corp:8020/copedoc/servlet/JSVisualisation?Langue=fr&amp;RefPlan=F54512557&amp;NumPlanche=1&amp;IndicePlanche=C00&amp;FormatFichier=TIF&amp;NomFichier=F54512557_C00_001.TIF","SUPP. PANN. HYD. M.E G")</f>
        <v>SUPP. PANN. HYD. M.E G</v>
      </c>
      <c r="C29" s="6"/>
      <c r="D29" s="1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3"/>
    </row>
    <row r="30" spans="1:20" ht="20.100000000000001" customHeight="1" x14ac:dyDescent="0.2">
      <c r="A30" s="10" t="s">
        <v>268</v>
      </c>
      <c r="B30" s="8" t="str">
        <f>HYPERLINK("http://xeron.fr.eu.airbus.corp:8020/copedoc/servlet/JSVisualisation?Langue=fr&amp;RefPlan=F54530333&amp;NumPlanche=1&amp;IndicePlanche=C00&amp;FormatFichier=TIF&amp;NomFichier=F54530333_C00_001.TIF","PLIAGE D N3-N8")</f>
        <v>PLIAGE D N3-N8</v>
      </c>
      <c r="C30" s="6"/>
      <c r="D30" s="1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3"/>
    </row>
    <row r="31" spans="1:20" ht="20.100000000000001" customHeight="1" x14ac:dyDescent="0.2">
      <c r="A31" s="10" t="s">
        <v>243</v>
      </c>
      <c r="B31" s="8" t="str">
        <f>HYPERLINK("http://xeron.fr.eu.airbus.corp:8020/copedoc/servlet/JSVisualisation?Langue=fr&amp;RefPlan=F54530547&amp;NumPlanche=1&amp;IndicePlanche=B00&amp;FormatFichier=TIF&amp;NomFichier=F54530547_B00_001.TIF","ARCEAU S10")</f>
        <v>ARCEAU S10</v>
      </c>
      <c r="C31" s="6"/>
      <c r="D31" s="1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3"/>
    </row>
    <row r="32" spans="1:20" ht="20.100000000000001" customHeight="1" x14ac:dyDescent="0.2">
      <c r="A32" s="10" t="s">
        <v>272</v>
      </c>
      <c r="B32" s="8" t="str">
        <f>HYPERLINK("http://xeron.fr.eu.airbus.corp:8020/copedoc/servlet/JSVisualisation?Langue=fr&amp;RefPlan=F54530757&amp;NumPlanche=1&amp;IndicePlanche=D00&amp;FormatFichier=TIF&amp;NomFichier=F54530757_D00_001.TIF","REVETEMENT EQUIPE")</f>
        <v>REVETEMENT EQUIPE</v>
      </c>
      <c r="C32" s="6"/>
      <c r="D32" s="1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3"/>
    </row>
    <row r="33" spans="1:20" ht="20.100000000000001" customHeight="1" x14ac:dyDescent="0.2">
      <c r="A33" s="10" t="s">
        <v>256</v>
      </c>
      <c r="B33" s="8" t="str">
        <f>HYPERLINK("http://xeron.fr.eu.airbus.corp:8020/copedoc/servlet/JSVisualisation?Langue=fr&amp;RefPlan=F54531263&amp;NumPlanche=1&amp;IndicePlanche=A00&amp;FormatFichier=TIF&amp;NomFichier=F54531263_A00_001.TIF","CLOISON ETANCHE")</f>
        <v>CLOISON ETANCHE</v>
      </c>
      <c r="C33" s="6"/>
      <c r="D33" s="1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3"/>
    </row>
    <row r="34" spans="1:20" ht="20.100000000000001" customHeight="1" x14ac:dyDescent="0.2">
      <c r="A34" s="10" t="s">
        <v>205</v>
      </c>
      <c r="B34" s="8" t="str">
        <f>HYPERLINK("http://xeron.fr.eu.airbus.corp:8020/copedoc/servlet/JSVisualisation?Langue=fr&amp;RefPlan=F54531263&amp;NumPlanche=1&amp;IndicePlanche=A00&amp;FormatFichier=TIF&amp;NomFichier=F54531263_A00_001.TIF","CLOISON ETANCHE")</f>
        <v>CLOISON ETANCHE</v>
      </c>
      <c r="C34" s="6"/>
      <c r="D34" s="1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3"/>
    </row>
    <row r="35" spans="1:20" ht="20.100000000000001" customHeight="1" x14ac:dyDescent="0.2">
      <c r="A35" s="10" t="s">
        <v>255</v>
      </c>
      <c r="B35" s="8" t="str">
        <f>HYPERLINK("http://xeron.fr.eu.airbus.corp:8020/copedoc/servlet/JSVisualisation?Langue=fr&amp;RefPlan=F54531337&amp;NumPlanche=1&amp;IndicePlanche=B00&amp;FormatFichier=TIF&amp;NomFichier=F54531337_B00_001.TIF","PORTE D'ACCES")</f>
        <v>PORTE D'ACCES</v>
      </c>
      <c r="C35" s="6"/>
      <c r="D35" s="1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3"/>
    </row>
    <row r="36" spans="1:20" ht="20.100000000000001" customHeight="1" x14ac:dyDescent="0.2">
      <c r="A36" s="10" t="s">
        <v>252</v>
      </c>
      <c r="B36" s="8" t="str">
        <f>HYPERLINK("http://xeron.fr.eu.airbus.corp:8020/copedoc/servlet/JSVisualisation?Langue=fr&amp;RefPlan=F54531703&amp;NumPlanche=1&amp;IndicePlanche=A00&amp;FormatFichier=JPG&amp;NomFichier=F54531703_A00_001.JPG","PLIAGE SUR FERRURE")</f>
        <v>PLIAGE SUR FERRURE</v>
      </c>
      <c r="C36" s="6"/>
      <c r="D36" s="1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3"/>
    </row>
    <row r="37" spans="1:20" ht="20.100000000000001" customHeight="1" x14ac:dyDescent="0.2">
      <c r="A37" s="10" t="s">
        <v>251</v>
      </c>
      <c r="B37" s="8" t="str">
        <f>HYPERLINK("http://xeron.fr.eu.airbus.corp:8020/copedoc/servlet/JSVisualisation?Langue=fr&amp;RefPlan=F54531703&amp;NumPlanche=1&amp;IndicePlanche=A00&amp;FormatFichier=JPG&amp;NomFichier=F54531703_A00_001.JPG","PLIAGE SUR FERRURE")</f>
        <v>PLIAGE SUR FERRURE</v>
      </c>
      <c r="C37" s="6"/>
      <c r="D37" s="1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3"/>
    </row>
    <row r="38" spans="1:20" ht="20.100000000000001" customHeight="1" x14ac:dyDescent="0.2">
      <c r="A38" s="10" t="s">
        <v>269</v>
      </c>
      <c r="B38" s="8" t="str">
        <f>HYPERLINK("http://xeron.fr.eu.airbus.corp:8020/copedoc/servlet/JSVisualisation?Langue=fr&amp;RefPlan=F54532076&amp;NumPlanche=1&amp;IndicePlanche=C00&amp;FormatFichier=TIF&amp;NomFichier=F54532076_C00_001.TIF","BANDE LATERALE")</f>
        <v>BANDE LATERALE</v>
      </c>
      <c r="C38" s="6"/>
      <c r="D38" s="1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3"/>
    </row>
    <row r="39" spans="1:20" ht="20.100000000000001" customHeight="1" x14ac:dyDescent="0.2">
      <c r="A39" s="10" t="s">
        <v>265</v>
      </c>
      <c r="B39" s="8" t="str">
        <f>HYPERLINK("http://xeron.fr.eu.airbus.corp:8020/copedoc/servlet/JSVisualisation?Langue=fr&amp;RefPlan=F54532076&amp;NumPlanche=1&amp;IndicePlanche=C00&amp;FormatFichier=TIF&amp;NomFichier=F54532076_C00_001.TIF","BANDE LATERALE")</f>
        <v>BANDE LATERALE</v>
      </c>
      <c r="C39" s="6"/>
      <c r="D39" s="1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3"/>
    </row>
    <row r="40" spans="1:20" ht="20.100000000000001" customHeight="1" x14ac:dyDescent="0.2">
      <c r="A40" s="10" t="s">
        <v>260</v>
      </c>
      <c r="B40" s="8" t="str">
        <f>HYPERLINK("http://xeron.fr.eu.airbus.corp:8020/copedoc/servlet/JSVisualisation?Langue=fr&amp;RefPlan=F54532091&amp;NumPlanche=1&amp;IndicePlanche=E00&amp;FormatFichier=TIF&amp;NomFichier=F54532091_E00_001.TIF","AME N05")</f>
        <v>AME N05</v>
      </c>
      <c r="C40" s="6"/>
      <c r="D40" s="1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3"/>
    </row>
    <row r="41" spans="1:20" ht="20.100000000000001" customHeight="1" x14ac:dyDescent="0.2">
      <c r="A41" s="10" t="s">
        <v>270</v>
      </c>
      <c r="B41" s="8" t="str">
        <f>HYPERLINK("http://xeron.fr.eu.airbus.corp:8020/copedoc/servlet/JSVisualisation?Langue=fr&amp;RefPlan=F54532096&amp;NumPlanche=1&amp;IndicePlanche=E00&amp;FormatFichier=TIF&amp;NomFichier=F54532096_E00_001.TIF","VOILE LONGITUDINAL D")</f>
        <v>VOILE LONGITUDINAL D</v>
      </c>
      <c r="C41" s="6"/>
      <c r="D41" s="1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3"/>
    </row>
    <row r="42" spans="1:20" ht="20.100000000000001" customHeight="1" x14ac:dyDescent="0.2">
      <c r="A42" s="10" t="s">
        <v>261</v>
      </c>
      <c r="B42" s="8" t="str">
        <f>HYPERLINK("http://xeron.fr.eu.airbus.corp:8020/copedoc/servlet/JSVisualisation?Langue=fr&amp;RefPlan=F54532097&amp;NumPlanche=1&amp;IndicePlanche=E00&amp;FormatFichier=TIF&amp;NomFichier=F54532097_E00_001.TIF","VOILE LONGITUDINAL G")</f>
        <v>VOILE LONGITUDINAL G</v>
      </c>
      <c r="C42" s="6"/>
      <c r="D42" s="1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3"/>
    </row>
    <row r="43" spans="1:20" ht="20.100000000000001" customHeight="1" x14ac:dyDescent="0.2">
      <c r="A43" s="10" t="s">
        <v>266</v>
      </c>
      <c r="B43" s="8" t="str">
        <f>HYPERLINK("http://xeron.fr.eu.airbus.corp:8020/copedoc/servlet/JSVisualisation?Langue=fr&amp;RefPlan=F54532130&amp;NumPlanche=1&amp;IndicePlanche=A00&amp;FormatFichier=TIF&amp;NomFichier=F54532130_A00_001.TIF","BANDEAU REP PANNEAU")</f>
        <v>BANDEAU REP PANNEAU</v>
      </c>
      <c r="C43" s="6"/>
      <c r="D43" s="1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3"/>
    </row>
    <row r="44" spans="1:20" ht="20.100000000000001" customHeight="1" x14ac:dyDescent="0.2">
      <c r="A44" s="10" t="s">
        <v>263</v>
      </c>
      <c r="B44" s="8" t="str">
        <f>HYPERLINK("http://xeron.fr.eu.airbus.corp:8020/copedoc/servlet/JSVisualisation?Langue=fr&amp;RefPlan=F54532230&amp;NumPlanche=1&amp;IndicePlanche=A00&amp;FormatFichier=TIF&amp;NomFichier=F54532230_A00_001.TIF","RENFORT TRAVERSE")</f>
        <v>RENFORT TRAVERSE</v>
      </c>
      <c r="C44" s="6"/>
      <c r="D44" s="1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3"/>
    </row>
    <row r="45" spans="1:20" ht="20.100000000000001" customHeight="1" x14ac:dyDescent="0.2">
      <c r="A45" s="10" t="s">
        <v>262</v>
      </c>
      <c r="B45" s="8" t="str">
        <f>HYPERLINK("http://xeron.fr.eu.airbus.corp:8020/copedoc/servlet/JSVisualisation?Langue=fr&amp;RefPlan=F54532231&amp;NumPlanche=1&amp;IndicePlanche=A00&amp;FormatFichier=TIF&amp;NomFichier=F54532231_A00_001.TIF","RENFORT HCU")</f>
        <v>RENFORT HCU</v>
      </c>
      <c r="C45" s="6"/>
      <c r="D45" s="1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3"/>
    </row>
    <row r="46" spans="1:20" ht="20.100000000000001" customHeight="1" x14ac:dyDescent="0.2">
      <c r="A46" s="10" t="s">
        <v>258</v>
      </c>
      <c r="B46" s="8" t="str">
        <f>HYPERLINK("http://xeron.fr.eu.airbus.corp:8020/copedoc/servlet/JSVisualisation?Langue=fr&amp;RefPlan=F54532606&amp;NumPlanche=1&amp;IndicePlanche=D00&amp;FormatFichier=TIF&amp;NomFichier=F54532606_D00_001.TIF","NERVURE 6")</f>
        <v>NERVURE 6</v>
      </c>
      <c r="C46" s="6"/>
      <c r="D46" s="1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3"/>
    </row>
    <row r="47" spans="1:20" ht="20.100000000000001" customHeight="1" x14ac:dyDescent="0.2">
      <c r="A47" s="10" t="s">
        <v>208</v>
      </c>
      <c r="B47" s="8" t="str">
        <f>HYPERLINK("http://xeron.fr.eu.airbus.corp:8020/copedoc/servlet/JSVisualisation?Langue=fr&amp;RefPlan=F54532610&amp;NumPlanche=1&amp;IndicePlanche=E00&amp;FormatFichier=TIF&amp;NomFichier=F54532610_E00_001.TIF","NERVURE 10")</f>
        <v>NERVURE 10</v>
      </c>
      <c r="C47" s="6"/>
      <c r="D47" s="1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3"/>
    </row>
    <row r="48" spans="1:20" ht="20.100000000000001" customHeight="1" x14ac:dyDescent="0.2">
      <c r="A48" s="10" t="s">
        <v>176</v>
      </c>
      <c r="B48" s="8" t="str">
        <f>HYPERLINK("http://xeron.fr.eu.airbus.corp:8020/copedoc/servlet/JSVisualisation?Langue=fr&amp;RefPlan=F54532611&amp;NumPlanche=1&amp;IndicePlanche=B00&amp;FormatFichier=TIF&amp;NomFichier=F54532611_B00_001.TIF","NERVURE 11")</f>
        <v>NERVURE 11</v>
      </c>
      <c r="C48" s="6"/>
      <c r="D48" s="1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3"/>
    </row>
    <row r="49" spans="1:20" ht="20.100000000000001" customHeight="1" x14ac:dyDescent="0.2">
      <c r="A49" s="10" t="s">
        <v>198</v>
      </c>
      <c r="B49" s="8" t="str">
        <f>HYPERLINK("http://xeron.fr.eu.airbus.corp:8020/copedoc/servlet/JSVisualisation?Langue=fr&amp;RefPlan=F54532643&amp;NumPlanche=1&amp;IndicePlanche=E00&amp;FormatFichier=TIF&amp;NomFichier=F54532643_E00_001.TIF","NERVURE 3")</f>
        <v>NERVURE 3</v>
      </c>
      <c r="C49" s="6"/>
      <c r="D49" s="1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3"/>
    </row>
    <row r="50" spans="1:20" ht="20.100000000000001" customHeight="1" x14ac:dyDescent="0.2">
      <c r="A50" s="10" t="s">
        <v>219</v>
      </c>
      <c r="B50" s="8" t="str">
        <f>HYPERLINK("http://xeron.fr.eu.airbus.corp:8020/copedoc/servlet/JSVisualisation?Langue=fr&amp;RefPlan=F54534342&amp;NumPlanche=1&amp;IndicePlanche=A00&amp;FormatFichier=TIF&amp;NomFichier=F54534342_A00_001.TIF","VOILE LAT. BUMPER 2")</f>
        <v>VOILE LAT. BUMPER 2</v>
      </c>
      <c r="C50" s="6"/>
      <c r="D50" s="1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3"/>
    </row>
    <row r="51" spans="1:20" ht="20.100000000000001" customHeight="1" x14ac:dyDescent="0.2">
      <c r="A51" s="10" t="s">
        <v>250</v>
      </c>
      <c r="B51" s="8" t="str">
        <f>HYPERLINK("http://xeron.fr.eu.airbus.corp:8020/copedoc/servlet/JSVisualisation?Langue=fr&amp;RefPlan=F54534342&amp;NumPlanche=1&amp;IndicePlanche=A00&amp;FormatFichier=TIF&amp;NomFichier=F54534342_A00_001.TIF","VOILE LAT. BUMPER 2")</f>
        <v>VOILE LAT. BUMPER 2</v>
      </c>
      <c r="C51" s="6"/>
      <c r="D51" s="1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3"/>
    </row>
    <row r="52" spans="1:20" ht="20.100000000000001" customHeight="1" x14ac:dyDescent="0.2">
      <c r="A52" s="10" t="s">
        <v>247</v>
      </c>
      <c r="B52" s="8" t="str">
        <f>HYPERLINK("http://xeron.fr.eu.airbus.corp:8020/copedoc/servlet/JSVisualisation?Langue=fr&amp;RefPlan=F54534343&amp;NumPlanche=1&amp;IndicePlanche=B00&amp;FormatFichier=TIF&amp;NomFichier=F54534343_B00_001.TIF","VOILE VERTICAL 3")</f>
        <v>VOILE VERTICAL 3</v>
      </c>
      <c r="C52" s="6"/>
      <c r="D52" s="1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3"/>
    </row>
    <row r="53" spans="1:20" ht="20.100000000000001" customHeight="1" x14ac:dyDescent="0.2">
      <c r="A53" s="10" t="s">
        <v>246</v>
      </c>
      <c r="B53" s="8" t="str">
        <f>HYPERLINK("http://xeron.fr.eu.airbus.corp:8020/copedoc/servlet/JSVisualisation?Langue=fr&amp;RefPlan=F54534343&amp;NumPlanche=1&amp;IndicePlanche=B00&amp;FormatFichier=TIF&amp;NomFichier=F54534343_B00_001.TIF","VOILE VERTICAL 3")</f>
        <v>VOILE VERTICAL 3</v>
      </c>
      <c r="C53" s="6"/>
      <c r="D53" s="1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3"/>
    </row>
    <row r="54" spans="1:20" ht="20.100000000000001" customHeight="1" x14ac:dyDescent="0.2">
      <c r="A54" s="10" t="s">
        <v>228</v>
      </c>
      <c r="B54" s="8" t="str">
        <f>HYPERLINK("http://xeron.fr.eu.airbus.corp:8020/copedoc/servlet/JSVisualisation?Langue=fr&amp;RefPlan=F54534347&amp;NumPlanche=1&amp;IndicePlanche=A00&amp;FormatFichier=TIF&amp;NomFichier=F54534347_A00_001.TIF","VOILE TRANS. BUMPER 3")</f>
        <v>VOILE TRANS. BUMPER 3</v>
      </c>
      <c r="C54" s="6"/>
      <c r="D54" s="1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3"/>
    </row>
    <row r="55" spans="1:20" ht="20.100000000000001" customHeight="1" x14ac:dyDescent="0.2">
      <c r="A55" s="10" t="s">
        <v>173</v>
      </c>
      <c r="B55" s="8" t="str">
        <f>HYPERLINK("http://xeron.fr.eu.airbus.corp:8020/copedoc/servlet/JSVisualisation?Langue=fr&amp;RefPlan=F54534511&amp;NumPlanche=1&amp;IndicePlanche=A00&amp;FormatFichier=TIF&amp;NomFichier=F54534511_A00_001.TIF","AME N01")</f>
        <v>AME N01</v>
      </c>
      <c r="C55" s="6"/>
      <c r="D55" s="1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3"/>
    </row>
    <row r="56" spans="1:20" ht="20.100000000000001" customHeight="1" x14ac:dyDescent="0.2">
      <c r="A56" s="10" t="s">
        <v>195</v>
      </c>
      <c r="B56" s="8" t="str">
        <f>HYPERLINK("http://xeron.fr.eu.airbus.corp:8020/copedoc/servlet/JSVisualisation?Langue=fr&amp;RefPlan=F54534530&amp;NumPlanche=1&amp;IndicePlanche=A00&amp;FormatFichier=TIF&amp;NomFichier=F54534530_A00_001.TIF","CORN. APPUI PORTE G")</f>
        <v>CORN. APPUI PORTE G</v>
      </c>
      <c r="C56" s="6"/>
      <c r="D56" s="1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3"/>
    </row>
    <row r="57" spans="1:20" ht="20.100000000000001" customHeight="1" x14ac:dyDescent="0.2">
      <c r="A57" s="10" t="s">
        <v>203</v>
      </c>
      <c r="B57" s="8" t="str">
        <f>HYPERLINK("http://xeron.fr.eu.airbus.corp:8020/copedoc/servlet/JSVisualisation?Langue=fr&amp;RefPlan=F54534536&amp;NumPlanche=1&amp;IndicePlanche=D00&amp;FormatFichier=TIF&amp;NomFichier=F54534536_D00_001.TIF","PROF. APP. PORTE AR")</f>
        <v>PROF. APP. PORTE AR</v>
      </c>
      <c r="C57" s="6"/>
      <c r="D57" s="1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3"/>
    </row>
    <row r="58" spans="1:20" ht="20.100000000000001" customHeight="1" x14ac:dyDescent="0.2">
      <c r="A58" s="10" t="s">
        <v>209</v>
      </c>
      <c r="B58" s="8" t="str">
        <f>HYPERLINK("http://xeron.fr.eu.airbus.corp:8020/copedoc/servlet/JSVisualisation?Langue=fr&amp;RefPlan=F54534567&amp;NumPlanche=1&amp;IndicePlanche=B00&amp;FormatFichier=TIF&amp;NomFichier=F54534567_B00_001.TIF","BANDEAU J08")</f>
        <v>BANDEAU J08</v>
      </c>
      <c r="C58" s="6"/>
      <c r="D58" s="1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3"/>
    </row>
    <row r="59" spans="1:20" ht="20.100000000000001" customHeight="1" x14ac:dyDescent="0.2">
      <c r="A59" s="10" t="s">
        <v>202</v>
      </c>
      <c r="B59" s="8" t="str">
        <f>HYPERLINK("http://xeron.fr.eu.airbus.corp:8020/copedoc/servlet/JSVisualisation?Langue=fr&amp;RefPlan=F54534567&amp;NumPlanche=1&amp;IndicePlanche=B00&amp;FormatFichier=TIF&amp;NomFichier=F54534567_B00_001.TIF","BANDEAU J08")</f>
        <v>BANDEAU J08</v>
      </c>
      <c r="C59" s="6"/>
      <c r="D59" s="1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3"/>
    </row>
    <row r="60" spans="1:20" ht="20.100000000000001" customHeight="1" x14ac:dyDescent="0.2">
      <c r="A60" s="10" t="s">
        <v>171</v>
      </c>
      <c r="B60" s="8" t="str">
        <f>HYPERLINK("http://xeron.fr.eu.airbus.corp:8020/copedoc/servlet/JSVisualisation?Langue=fr&amp;RefPlan=F54534572&amp;NumPlanche=1&amp;IndicePlanche=A00&amp;FormatFichier=TIF&amp;NomFichier=F54534572_A00_001.TIF","AME N07B")</f>
        <v>AME N07B</v>
      </c>
      <c r="C60" s="6"/>
      <c r="D60" s="1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3"/>
    </row>
    <row r="61" spans="1:20" ht="20.100000000000001" customHeight="1" x14ac:dyDescent="0.2">
      <c r="A61" s="10" t="s">
        <v>206</v>
      </c>
      <c r="B61" s="8" t="str">
        <f>HYPERLINK("http://xeron.fr.eu.airbus.corp:8020/copedoc/servlet/JSVisualisation?Langue=fr&amp;RefPlan=F54534579&amp;NumPlanche=1&amp;IndicePlanche=D00&amp;FormatFichier=TIF&amp;NomFichier=F54534579_D00_001.TIF","U SUPPERIEUR")</f>
        <v>U SUPPERIEUR</v>
      </c>
      <c r="C61" s="6"/>
      <c r="D61" s="1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3"/>
    </row>
    <row r="62" spans="1:20" ht="20.100000000000001" customHeight="1" x14ac:dyDescent="0.2">
      <c r="A62" s="10" t="s">
        <v>211</v>
      </c>
      <c r="B62" s="8" t="str">
        <f>HYPERLINK("http://xeron.fr.eu.airbus.corp:8020/copedoc/servlet/JSVisualisation?Langue=fr&amp;RefPlan=F54534579&amp;NumPlanche=1&amp;IndicePlanche=D00&amp;FormatFichier=TIF&amp;NomFichier=F54534579_D00_001.TIF","U SUPPERIEUR")</f>
        <v>U SUPPERIEUR</v>
      </c>
      <c r="C62" s="6"/>
      <c r="D62" s="1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3"/>
    </row>
    <row r="63" spans="1:20" ht="20.100000000000001" customHeight="1" x14ac:dyDescent="0.2">
      <c r="A63" s="10" t="s">
        <v>216</v>
      </c>
      <c r="B63" s="8" t="str">
        <f>HYPERLINK("http://xeron.fr.eu.airbus.corp:8020/copedoc/servlet/JSVisualisation?Langue=fr&amp;RefPlan=F54534581&amp;NumPlanche=1&amp;IndicePlanche=C00&amp;FormatFichier=TIF&amp;NomFichier=F54534581_C00_001.TIF","ECLISSE J08")</f>
        <v>ECLISSE J08</v>
      </c>
      <c r="C63" s="6"/>
      <c r="D63" s="1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3"/>
    </row>
    <row r="64" spans="1:20" ht="20.100000000000001" customHeight="1" x14ac:dyDescent="0.2">
      <c r="A64" s="10" t="s">
        <v>215</v>
      </c>
      <c r="B64" s="8" t="str">
        <f>HYPERLINK("http://xeron.fr.eu.airbus.corp:8020/copedoc/servlet/JSVisualisation?Langue=fr&amp;RefPlan=F54534581&amp;NumPlanche=1&amp;IndicePlanche=C00&amp;FormatFichier=TIF&amp;NomFichier=F54534581_C00_001.TIF","ECLISSE J08")</f>
        <v>ECLISSE J08</v>
      </c>
      <c r="C64" s="6"/>
      <c r="D64" s="1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3"/>
    </row>
    <row r="65" spans="1:20" ht="20.100000000000001" customHeight="1" x14ac:dyDescent="0.2">
      <c r="A65" s="10" t="s">
        <v>169</v>
      </c>
      <c r="B65" s="8" t="str">
        <f>HYPERLINK("http://xeron.fr.eu.airbus.corp:8020/copedoc/servlet/JSVisualisation?Langue=fr&amp;RefPlan=F54534679&amp;NumPlanche=1&amp;IndicePlanche=A00&amp;FormatFichier=TIF&amp;NomFichier=F54534679_A00_001.TIF","RENFORT N07B")</f>
        <v>RENFORT N07B</v>
      </c>
      <c r="C65" s="6"/>
      <c r="D65" s="1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3"/>
    </row>
    <row r="66" spans="1:20" ht="20.100000000000001" customHeight="1" x14ac:dyDescent="0.2">
      <c r="A66" s="10" t="s">
        <v>177</v>
      </c>
      <c r="B66" s="8" t="str">
        <f>HYPERLINK("http://xeron.fr.eu.airbus.corp:8020/copedoc/servlet/JSVisualisation?Langue=fr&amp;RefPlan=F54534720&amp;NumPlanche=1&amp;IndicePlanche=B00&amp;FormatFichier=TIF&amp;NomFichier=F54534720_B00_001.TIF","CTRE FER. N07A G")</f>
        <v>CTRE FER. N07A G</v>
      </c>
      <c r="C66" s="6"/>
      <c r="D66" s="1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3"/>
    </row>
    <row r="67" spans="1:20" ht="20.100000000000001" customHeight="1" x14ac:dyDescent="0.2">
      <c r="A67" s="10" t="s">
        <v>175</v>
      </c>
      <c r="B67" s="8" t="str">
        <f>HYPERLINK("http://xeron.fr.eu.airbus.corp:8020/copedoc/servlet/JSVisualisation?Langue=fr&amp;RefPlan=F54534735&amp;NumPlanche=1&amp;IndicePlanche=D00&amp;FormatFichier=TIF&amp;NomFichier=F54534735_D00_001.TIF","CTRE FER. N07A D")</f>
        <v>CTRE FER. N07A D</v>
      </c>
      <c r="C67" s="6"/>
      <c r="D67" s="1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3"/>
    </row>
    <row r="68" spans="1:20" ht="20.100000000000001" customHeight="1" x14ac:dyDescent="0.2">
      <c r="A68" s="10" t="s">
        <v>174</v>
      </c>
      <c r="B68" s="8" t="str">
        <f>HYPERLINK("http://xeron.fr.eu.airbus.corp:8020/copedoc/servlet/JSVisualisation?Langue=fr&amp;RefPlan=F54534772&amp;NumPlanche=1&amp;IndicePlanche=B00&amp;FormatFichier=TIF&amp;NomFichier=F54534772_B00_001.TIF","PROF. APP. PORTE AR.D")</f>
        <v>PROF. APP. PORTE AR.D</v>
      </c>
      <c r="C68" s="6"/>
      <c r="D68" s="1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3"/>
    </row>
    <row r="69" spans="1:20" ht="20.100000000000001" customHeight="1" x14ac:dyDescent="0.2">
      <c r="A69" s="10" t="s">
        <v>201</v>
      </c>
      <c r="B69" s="8" t="str">
        <f>HYPERLINK("http://xeron.fr.eu.airbus.corp:8020/copedoc/servlet/JSVisualisation?Langue=fr&amp;RefPlan=F54534824&amp;NumPlanche=1&amp;IndicePlanche=A00&amp;FormatFichier=TIF&amp;NomFichier=F54534824_A00_001.TIF","RENFORT PROFILE BORDURE")</f>
        <v>RENFORT PROFILE BORDURE</v>
      </c>
      <c r="C69" s="6"/>
      <c r="D69" s="1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3"/>
    </row>
    <row r="70" spans="1:20" ht="20.100000000000001" customHeight="1" x14ac:dyDescent="0.2">
      <c r="A70" s="10" t="s">
        <v>207</v>
      </c>
      <c r="B70" s="8" t="str">
        <f>HYPERLINK("http://xeron.fr.eu.airbus.corp:8020/copedoc/servlet/JSVisualisation?Langue=fr&amp;RefPlan=F54534832&amp;NumPlanche=1&amp;IndicePlanche=A00&amp;FormatFichier=TIF&amp;NomFichier=F54534832_A00_001.TIF","PORTE D'ACCES")</f>
        <v>PORTE D'ACCES</v>
      </c>
      <c r="C70" s="6"/>
      <c r="D70" s="1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3"/>
    </row>
    <row r="71" spans="1:20" ht="20.100000000000001" customHeight="1" x14ac:dyDescent="0.2">
      <c r="A71" s="10" t="s">
        <v>199</v>
      </c>
      <c r="B71" s="8" t="str">
        <f>HYPERLINK("http://xeron.fr.eu.airbus.corp:8020/copedoc/servlet/JSVisualisation?Langue=fr&amp;RefPlan=F54534852&amp;NumPlanche=1&amp;IndicePlanche=B00&amp;FormatFichier=JPG&amp;NomFichier=F54534852_B00_001.JPG","AME N3 EQUIPEE")</f>
        <v>AME N3 EQUIPEE</v>
      </c>
      <c r="C71" s="6"/>
      <c r="D71" s="1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3"/>
    </row>
    <row r="72" spans="1:20" ht="20.100000000000001" customHeight="1" x14ac:dyDescent="0.2">
      <c r="A72" s="10" t="s">
        <v>172</v>
      </c>
      <c r="B72" s="8" t="str">
        <f>HYPERLINK("http://xeron.fr.eu.airbus.corp:8020/copedoc/servlet/JSVisualisation?Langue=fr&amp;RefPlan=F54534859&amp;NumPlanche=1&amp;IndicePlanche=B00&amp;FormatFichier=JPG&amp;NomFichier=F54534859_B00_001.JPG","CORN. APPUI PORTE D")</f>
        <v>CORN. APPUI PORTE D</v>
      </c>
      <c r="C72" s="6"/>
      <c r="D72" s="1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3"/>
    </row>
    <row r="73" spans="1:20" ht="20.100000000000001" customHeight="1" x14ac:dyDescent="0.2">
      <c r="A73" s="10" t="s">
        <v>200</v>
      </c>
      <c r="B73" s="8" t="str">
        <f>HYPERLINK("http://xeron.fr.eu.airbus.corp:8020/copedoc/servlet/JSVisualisation?Langue=fr&amp;RefPlan=F54534861&amp;NumPlanche=1&amp;IndicePlanche=B00&amp;FormatFichier=JPG&amp;NomFichier=F54534861_B00_001.JPG","CORN. APPUI PORTE G")</f>
        <v>CORN. APPUI PORTE G</v>
      </c>
      <c r="C73" s="6"/>
      <c r="D73" s="1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3"/>
    </row>
    <row r="74" spans="1:20" ht="20.100000000000001" customHeight="1" x14ac:dyDescent="0.2">
      <c r="A74" s="10" t="s">
        <v>213</v>
      </c>
      <c r="B74" s="8" t="str">
        <f>HYPERLINK("http://xeron.fr.eu.airbus.corp:8020/copedoc/servlet/JSVisualisation?Langue=fr&amp;RefPlan=F54534927&amp;NumPlanche=1&amp;IndicePlanche=C00&amp;FormatFichier=TIF&amp;NomFichier=F54534927_C00_001.TIF","NERVURE 09")</f>
        <v>NERVURE 09</v>
      </c>
      <c r="C74" s="6"/>
      <c r="D74" s="1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3"/>
    </row>
    <row r="75" spans="1:20" ht="20.100000000000001" customHeight="1" x14ac:dyDescent="0.2">
      <c r="A75" s="10" t="s">
        <v>193</v>
      </c>
      <c r="B75" s="8" t="str">
        <f>HYPERLINK("http://xeron.fr.eu.airbus.corp:8020/copedoc/servlet/JSVisualisation?Langue=fr&amp;RefPlan=L54120062&amp;NumPlanche=1&amp;IndicePlanche=A00&amp;FormatFichier=TIF&amp;NomFichier=L54120062_A00_001.TIF","CORNIERE CADRE AV")</f>
        <v>CORNIERE CADRE AV</v>
      </c>
      <c r="C75" s="6"/>
      <c r="D75" s="1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3"/>
    </row>
    <row r="76" spans="1:20" ht="20.100000000000001" customHeight="1" x14ac:dyDescent="0.2">
      <c r="A76" s="10" t="s">
        <v>271</v>
      </c>
      <c r="B76" s="8" t="str">
        <f>HYPERLINK("http://xeron.fr.eu.airbus.corp:8020/copedoc/servlet/JSVisualisation?Langue=fr&amp;RefPlan=L54510178&amp;NumPlanche=1&amp;IndicePlanche=A00&amp;FormatFichier=JPG&amp;NomFichier=L54510178_A00_001.JPG","SUPP. BUMPER 2 EQ.")</f>
        <v>SUPP. BUMPER 2 EQ.</v>
      </c>
      <c r="C76" s="6"/>
      <c r="D76" s="1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3"/>
    </row>
    <row r="77" spans="1:20" ht="20.100000000000001" customHeight="1" x14ac:dyDescent="0.2">
      <c r="A77" s="10" t="s">
        <v>231</v>
      </c>
      <c r="B77" s="8" t="str">
        <f>HYPERLINK("http://xeron.fr.eu.airbus.corp:8020/copedoc/servlet/JSVisualisation?Langue=fr&amp;RefPlan=L54510566&amp;NumPlanche=1&amp;IndicePlanche=B00&amp;FormatFichier=JPG&amp;NomFichier=L54510566_B00_001.JPG","FLASQUE ARRIERE JUPE")</f>
        <v>FLASQUE ARRIERE JUPE</v>
      </c>
      <c r="C77" s="6"/>
      <c r="D77" s="1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3"/>
    </row>
    <row r="78" spans="1:20" ht="20.100000000000001" customHeight="1" x14ac:dyDescent="0.2">
      <c r="A78" s="10" t="s">
        <v>223</v>
      </c>
      <c r="B78" s="8" t="str">
        <f>HYPERLINK("http://xeron.fr.eu.airbus.corp:8020/copedoc/servlet/JSVisualisation?Langue=fr&amp;RefPlan=L54510653&amp;NumPlanche=2&amp;IndicePlanche=D00&amp;FormatFichier=JPG&amp;NomFichier=L54510653_D00_002.JPG","NERVURE 05 AV. MI/E")</f>
        <v>NERVURE 05 AV. MI/E</v>
      </c>
      <c r="C78" s="6"/>
      <c r="D78" s="1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3"/>
    </row>
    <row r="79" spans="1:20" ht="20.100000000000001" customHeight="1" x14ac:dyDescent="0.2">
      <c r="A79" s="10" t="s">
        <v>237</v>
      </c>
      <c r="B79" s="8" t="str">
        <f>HYPERLINK("http://xeron.fr.eu.airbus.corp:8020/copedoc/servlet/JSVisualisation?Langue=fr&amp;RefPlan=L54510654&amp;NumPlanche=2&amp;IndicePlanche=C00&amp;FormatFichier=JPG&amp;NomFichier=L54510654_C00_002.JPG","NERV.05 ARRIERE MI/E")</f>
        <v>NERV.05 ARRIERE MI/E</v>
      </c>
      <c r="C79" s="6"/>
      <c r="D79" s="1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3"/>
    </row>
    <row r="80" spans="1:20" ht="20.100000000000001" customHeight="1" x14ac:dyDescent="0.2">
      <c r="A80" s="10" t="s">
        <v>217</v>
      </c>
      <c r="B80" s="8" t="str">
        <f>HYPERLINK("http://xeron.fr.eu.airbus.corp:8020/copedoc/servlet/JSVisualisation?Langue=fr&amp;RefPlan=L54510786&amp;NumPlanche=2&amp;IndicePlanche=F00&amp;FormatFichier=JPG&amp;NomFichier=L54510786_F00_002.JPG","ECLISSE N09 MI/E")</f>
        <v>ECLISSE N09 MI/E</v>
      </c>
      <c r="C80" s="6"/>
      <c r="D80" s="1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3"/>
    </row>
    <row r="81" spans="1:20" ht="20.100000000000001" customHeight="1" x14ac:dyDescent="0.2">
      <c r="A81" s="10" t="s">
        <v>226</v>
      </c>
      <c r="B81" s="8" t="str">
        <f>HYPERLINK("http://xeron.fr.eu.airbus.corp:8020/copedoc/servlet/JSVisualisation?Langue=fr&amp;RefPlan=L54510786&amp;NumPlanche=2&amp;IndicePlanche=F00&amp;FormatFichier=JPG&amp;NomFichier=L54510786_F00_002.JPG","ECLISSE N09 MI/E")</f>
        <v>ECLISSE N09 MI/E</v>
      </c>
      <c r="C81" s="6"/>
      <c r="D81" s="1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3"/>
    </row>
    <row r="82" spans="1:20" ht="20.100000000000001" customHeight="1" x14ac:dyDescent="0.2">
      <c r="A82" s="10" t="s">
        <v>232</v>
      </c>
      <c r="B82" s="8" t="str">
        <f>HYPERLINK("http://xeron.fr.eu.airbus.corp:8020/copedoc/servlet/JSVisualisation?Langue=fr&amp;RefPlan=L54510838&amp;NumPlanche=1&amp;IndicePlanche=C00&amp;FormatFichier=JPG&amp;NomFichier=L54510838_C00_001.JPG","TRAVERSE RENFORT")</f>
        <v>TRAVERSE RENFORT</v>
      </c>
      <c r="C82" s="6"/>
      <c r="D82" s="1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3"/>
    </row>
    <row r="83" spans="1:20" ht="20.100000000000001" customHeight="1" x14ac:dyDescent="0.2">
      <c r="A83" s="10" t="s">
        <v>227</v>
      </c>
      <c r="B83" s="8" t="str">
        <f>HYPERLINK("http://xeron.fr.eu.airbus.corp:8020/copedoc/servlet/JSVisualisation?Langue=fr&amp;RefPlan=L54510867&amp;NumPlanche=1&amp;IndicePlanche=A00&amp;FormatFichier=JPG&amp;NomFichier=L54510867_A00_001.JPG","VOILE SUPERIEUR N08")</f>
        <v>VOILE SUPERIEUR N08</v>
      </c>
      <c r="C83" s="6"/>
      <c r="D83" s="1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3"/>
    </row>
    <row r="84" spans="1:20" ht="20.100000000000001" customHeight="1" x14ac:dyDescent="0.2">
      <c r="A84" s="10" t="s">
        <v>244</v>
      </c>
      <c r="B84" s="8" t="str">
        <f>HYPERLINK("http://xeron.fr.eu.airbus.corp:8020/copedoc/servlet/JSVisualisation?Langue=fr&amp;RefPlan=L54510924&amp;NumPlanche=1&amp;IndicePlanche=C00&amp;FormatFichier=JPG&amp;NomFichier=L54510924_C00_001.JPG","CLOIS. CAPOT ECH. AR. MI")</f>
        <v>CLOIS. CAPOT ECH. AR. MI</v>
      </c>
      <c r="C84" s="6"/>
      <c r="D84" s="1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3"/>
    </row>
    <row r="85" spans="1:20" ht="20.100000000000001" customHeight="1" x14ac:dyDescent="0.2">
      <c r="A85" s="10" t="s">
        <v>242</v>
      </c>
      <c r="B85" s="8" t="str">
        <f>HYPERLINK("http://xeron.fr.eu.airbus.corp:8020/copedoc/servlet/JSVisualisation?Langue=fr&amp;RefPlan=L54510924&amp;NumPlanche=1&amp;IndicePlanche=C00&amp;FormatFichier=JPG&amp;NomFichier=L54510924_C00_001.JPG","CLOIS. CAPOT ECH. AR. MI")</f>
        <v>CLOIS. CAPOT ECH. AR. MI</v>
      </c>
      <c r="C85" s="6"/>
      <c r="D85" s="1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3"/>
    </row>
    <row r="86" spans="1:20" ht="20.100000000000001" customHeight="1" x14ac:dyDescent="0.2">
      <c r="A86" s="10" t="s">
        <v>245</v>
      </c>
      <c r="B86" s="8" t="str">
        <f>HYPERLINK("http://xeron.fr.eu.airbus.corp:8020/copedoc/servlet/JSVisualisation?Langue=fr&amp;RefPlan=L54510983&amp;NumPlanche=1&amp;IndicePlanche=A00&amp;FormatFichier=TIF&amp;NomFichier=L54510983_A00_001.TIF","BOI. SONDE PLA. ECH. MI")</f>
        <v>BOI. SONDE PLA. ECH. MI</v>
      </c>
      <c r="C86" s="6"/>
      <c r="D86" s="1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3"/>
    </row>
    <row r="87" spans="1:20" ht="20.100000000000001" customHeight="1" x14ac:dyDescent="0.2">
      <c r="A87" s="10" t="s">
        <v>257</v>
      </c>
      <c r="B87" s="8" t="str">
        <f>HYPERLINK("http://xeron.fr.eu.airbus.corp:8020/copedoc/servlet/JSVisualisation?Langue=fr&amp;RefPlan=L54510983&amp;NumPlanche=1&amp;IndicePlanche=A00&amp;FormatFichier=TIF&amp;NomFichier=L54510983_A00_001.TIF","BOI. SONDE PLA. ECH. MI")</f>
        <v>BOI. SONDE PLA. ECH. MI</v>
      </c>
      <c r="C87" s="6"/>
      <c r="D87" s="1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3"/>
    </row>
    <row r="88" spans="1:20" ht="20.100000000000001" customHeight="1" x14ac:dyDescent="0.2">
      <c r="A88" s="10" t="s">
        <v>248</v>
      </c>
      <c r="B88" s="8" t="str">
        <f>HYPERLINK("http://xeron.fr.eu.airbus.corp:8020/copedoc/servlet/JSVisualisation?Langue=fr&amp;RefPlan=L54512924&amp;NumPlanche=1&amp;IndicePlanche=C00&amp;FormatFichier=JPG&amp;NomFichier=L54512924_C00_001.JPG","CLOIS. CAPOT ECH.AR.ME")</f>
        <v>CLOIS. CAPOT ECH.AR.ME</v>
      </c>
      <c r="C88" s="6"/>
      <c r="D88" s="1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3"/>
    </row>
    <row r="89" spans="1:20" ht="20.100000000000001" customHeight="1" x14ac:dyDescent="0.2">
      <c r="A89" s="10" t="s">
        <v>249</v>
      </c>
      <c r="B89" s="8" t="str">
        <f>HYPERLINK("http://xeron.fr.eu.airbus.corp:8020/copedoc/servlet/JSVisualisation?Langue=fr&amp;RefPlan=L54512924&amp;NumPlanche=1&amp;IndicePlanche=C00&amp;FormatFichier=JPG&amp;NomFichier=L54512924_C00_001.JPG","CLOIS. CAPOT ECH.AR.ME")</f>
        <v>CLOIS. CAPOT ECH.AR.ME</v>
      </c>
      <c r="C89" s="6"/>
      <c r="D89" s="1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3"/>
    </row>
    <row r="90" spans="1:20" ht="20.100000000000001" customHeight="1" x14ac:dyDescent="0.2">
      <c r="A90" s="10" t="s">
        <v>224</v>
      </c>
      <c r="B90" s="8" t="str">
        <f>HYPERLINK("http://xeron.fr.eu.airbus.corp:8020/copedoc/servlet/JSVisualisation?Langue=fr&amp;RefPlan=L54515575&amp;NumPlanche=2&amp;IndicePlanche=B00&amp;FormatFichier=JPG&amp;NomFichier=L54515575_B00_002.JPG","FLASQUE AR.JUPE EQ")</f>
        <v>FLASQUE AR.JUPE EQ</v>
      </c>
      <c r="C90" s="6"/>
      <c r="D90" s="1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3"/>
    </row>
    <row r="91" spans="1:20" ht="20.100000000000001" customHeight="1" x14ac:dyDescent="0.2">
      <c r="A91" s="10" t="s">
        <v>222</v>
      </c>
      <c r="B91" s="8" t="str">
        <f>HYPERLINK("http://xeron.fr.eu.airbus.corp:8020/copedoc/servlet/JSVisualisation?Langue=fr&amp;RefPlan=L54515758&amp;NumPlanche=1&amp;IndicePlanche=A00&amp;FormatFichier=JPG&amp;NomFichier=L54515758_A00_001.JPG","VOILE SUP. N08")</f>
        <v>VOILE SUP. N08</v>
      </c>
      <c r="C91" s="6"/>
      <c r="D91" s="1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3"/>
    </row>
    <row r="92" spans="1:20" ht="20.100000000000001" customHeight="1" x14ac:dyDescent="0.2">
      <c r="A92" s="10" t="s">
        <v>253</v>
      </c>
      <c r="B92" s="8" t="str">
        <f>HYPERLINK("http://xeron.fr.eu.airbus.corp:8020/copedoc/servlet/JSVisualisation?Langue=fr&amp;RefPlan=L54515923&amp;NumPlanche=2&amp;IndicePlanche=C00&amp;FormatFichier=JPG&amp;NomFichier=L54515923_C00_002.JPG","CLOISON N08 M/I")</f>
        <v>CLOISON N08 M/I</v>
      </c>
      <c r="C92" s="6"/>
      <c r="D92" s="1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3"/>
    </row>
    <row r="93" spans="1:20" ht="20.100000000000001" customHeight="1" x14ac:dyDescent="0.2">
      <c r="A93" s="10" t="s">
        <v>254</v>
      </c>
      <c r="B93" s="8" t="str">
        <f>HYPERLINK("http://xeron.fr.eu.airbus.corp:8020/copedoc/servlet/JSVisualisation?Langue=fr&amp;RefPlan=L54515923&amp;NumPlanche=2&amp;IndicePlanche=C00&amp;FormatFichier=JPG&amp;NomFichier=L54515923_C00_002.JPG","CLOISON N08 M/I")</f>
        <v>CLOISON N08 M/I</v>
      </c>
      <c r="C93" s="6"/>
      <c r="D93" s="1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3"/>
    </row>
    <row r="94" spans="1:20" ht="20.100000000000001" customHeight="1" x14ac:dyDescent="0.2">
      <c r="A94" s="10" t="s">
        <v>235</v>
      </c>
      <c r="B94" s="8" t="str">
        <f>HYPERLINK("http://xeron.fr.eu.airbus.corp:8020/copedoc/servlet/JSVisualisation?Langue=fr&amp;RefPlan=L54516969&amp;NumPlanche=1&amp;IndicePlanche=B00&amp;FormatFichier=JPG&amp;NomFichier=L54516969_B00_001.JPG","NERVURE 09 MIG")</f>
        <v>NERVURE 09 MIG</v>
      </c>
      <c r="C94" s="6"/>
      <c r="D94" s="1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3"/>
    </row>
    <row r="95" spans="1:20" ht="20.100000000000001" customHeight="1" x14ac:dyDescent="0.2">
      <c r="A95" s="10" t="s">
        <v>234</v>
      </c>
      <c r="B95" s="8" t="str">
        <f>HYPERLINK("http://xeron.fr.eu.airbus.corp:8020/copedoc/servlet/JSVisualisation?Langue=fr&amp;RefPlan=L54516979&amp;NumPlanche=1&amp;IndicePlanche=C00&amp;FormatFichier=JPG&amp;NomFichier=L54516979_C00_001.JPG","NERVURE 09 MI/D")</f>
        <v>NERVURE 09 MI/D</v>
      </c>
      <c r="C95" s="6"/>
      <c r="D95" s="1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3"/>
    </row>
    <row r="96" spans="1:20" ht="20.100000000000001" customHeight="1" x14ac:dyDescent="0.2">
      <c r="A96" s="10" t="s">
        <v>241</v>
      </c>
      <c r="B96" s="8" t="str">
        <f>HYPERLINK("http://xeron.fr.eu.airbus.corp:8020/copedoc/servlet/JSVisualisation?Langue=fr&amp;RefPlan=L54517923&amp;NumPlanche=2&amp;IndicePlanche=B00&amp;FormatFichier=JPG&amp;NomFichier=L54517923_B00_002.JPG","CLOISON N08 M/E")</f>
        <v>CLOISON N08 M/E</v>
      </c>
      <c r="C96" s="6"/>
      <c r="D96" s="1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3"/>
    </row>
    <row r="97" spans="1:20" ht="20.100000000000001" customHeight="1" x14ac:dyDescent="0.2">
      <c r="A97" s="10" t="s">
        <v>240</v>
      </c>
      <c r="B97" s="8" t="str">
        <f>HYPERLINK("http://xeron.fr.eu.airbus.corp:8020/copedoc/servlet/JSVisualisation?Langue=fr&amp;RefPlan=L54517923&amp;NumPlanche=2&amp;IndicePlanche=B00&amp;FormatFichier=JPG&amp;NomFichier=L54517923_B00_002.JPG","CLOISON N08 M/E")</f>
        <v>CLOISON N08 M/E</v>
      </c>
      <c r="C97" s="6"/>
      <c r="D97" s="1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3"/>
    </row>
    <row r="98" spans="1:20" ht="20.100000000000001" customHeight="1" x14ac:dyDescent="0.2">
      <c r="A98" s="10" t="s">
        <v>238</v>
      </c>
      <c r="B98" s="8" t="str">
        <f>HYPERLINK("http://xeron.fr.eu.airbus.corp:8020/copedoc/servlet/JSVisualisation?Langue=fr&amp;RefPlan=L54518969&amp;NumPlanche=1&amp;IndicePlanche=B00&amp;FormatFichier=JPG&amp;NomFichier=L54518969_B00_001.JPG","NERVURE 09 MEG")</f>
        <v>NERVURE 09 MEG</v>
      </c>
      <c r="C98" s="6"/>
      <c r="D98" s="1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3"/>
    </row>
    <row r="99" spans="1:20" ht="20.100000000000001" customHeight="1" x14ac:dyDescent="0.2">
      <c r="A99" s="10" t="s">
        <v>236</v>
      </c>
      <c r="B99" s="8" t="str">
        <f>HYPERLINK("http://xeron.fr.eu.airbus.corp:8020/copedoc/servlet/JSVisualisation?Langue=fr&amp;RefPlan=L54518979&amp;NumPlanche=1&amp;IndicePlanche=B00&amp;FormatFichier=JPG&amp;NomFichier=L54518979_B00_001.JPG","NERVURE 09 MED")</f>
        <v>NERVURE 09 MED</v>
      </c>
      <c r="C99" s="6"/>
      <c r="D99" s="1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3"/>
    </row>
    <row r="100" spans="1:20" ht="20.100000000000001" customHeight="1" x14ac:dyDescent="0.2">
      <c r="A100" s="10" t="s">
        <v>225</v>
      </c>
      <c r="B100" s="8" t="str">
        <f>HYPERLINK("http://xeron.fr.eu.airbus.corp:8020/copedoc/servlet/JSVisualisation?Langue=fr&amp;RefPlan=L54519051&amp;NumPlanche=1&amp;IndicePlanche=B00&amp;FormatFichier=JPG&amp;NomFichier=L54519051_B00_001.JPG","NERVURE 09 MI/G")</f>
        <v>NERVURE 09 MI/G</v>
      </c>
      <c r="C100" s="6"/>
      <c r="D100" s="1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3"/>
    </row>
    <row r="101" spans="1:20" ht="20.100000000000001" customHeight="1" x14ac:dyDescent="0.2">
      <c r="A101" s="10" t="s">
        <v>239</v>
      </c>
      <c r="B101" s="8" t="str">
        <f>HYPERLINK("http://xeron.fr.eu.airbus.corp:8020/copedoc/servlet/JSVisualisation?Langue=fr&amp;RefPlan=L54519055&amp;NumPlanche=1&amp;IndicePlanche=C00&amp;FormatFichier=JPG&amp;NomFichier=L54519055_C00_001.JPG","NERVURE 09 MI/D")</f>
        <v>NERVURE 09 MI/D</v>
      </c>
      <c r="C101" s="6"/>
      <c r="D101" s="1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3"/>
    </row>
    <row r="102" spans="1:20" ht="20.100000000000001" customHeight="1" x14ac:dyDescent="0.2">
      <c r="A102" s="10" t="s">
        <v>221</v>
      </c>
      <c r="B102" s="8" t="str">
        <f>HYPERLINK("http://xeron.fr.eu.airbus.corp:8020/copedoc/servlet/JSVisualisation?Langue=fr&amp;RefPlan=L54519082&amp;NumPlanche=1&amp;IndicePlanche=C00&amp;FormatFichier=JPG&amp;NomFichier=L54519082_C00_001.JPG","NERVURE 04 MI/E")</f>
        <v>NERVURE 04 MI/E</v>
      </c>
      <c r="C102" s="6"/>
      <c r="D102" s="1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3"/>
    </row>
    <row r="103" spans="1:20" ht="20.100000000000001" customHeight="1" x14ac:dyDescent="0.2">
      <c r="A103" s="10" t="s">
        <v>220</v>
      </c>
      <c r="B103" s="8" t="str">
        <f>HYPERLINK("http://xeron.fr.eu.airbus.corp:8020/copedoc/servlet/JSVisualisation?Langue=fr&amp;RefPlan=L54519086&amp;NumPlanche=1&amp;IndicePlanche=C00&amp;FormatFichier=JPG&amp;NomFichier=L54519086_C00_001.JPG","NERVURE 06 MI/E")</f>
        <v>NERVURE 06 MI/E</v>
      </c>
      <c r="C103" s="6"/>
      <c r="D103" s="1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3"/>
    </row>
    <row r="104" spans="1:20" ht="20.100000000000001" customHeight="1" x14ac:dyDescent="0.2">
      <c r="A104" s="10" t="s">
        <v>229</v>
      </c>
      <c r="B104" s="8" t="str">
        <f>HYPERLINK("http://xeron.fr.eu.airbus.corp:8020/copedoc/servlet/JSVisualisation?Langue=fr&amp;RefPlan=L54519301&amp;NumPlanche=1&amp;IndicePlanche=B00&amp;FormatFichier=JPG&amp;NomFichier=L54519301_B00_001.JPG","NERVURE 09 ME/G")</f>
        <v>NERVURE 09 ME/G</v>
      </c>
      <c r="C104" s="6"/>
      <c r="D104" s="1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3"/>
    </row>
    <row r="105" spans="1:20" ht="20.100000000000001" customHeight="1" thickBot="1" x14ac:dyDescent="0.25">
      <c r="A105" s="11" t="s">
        <v>233</v>
      </c>
      <c r="B105" s="9" t="str">
        <f>HYPERLINK("http://xeron.fr.eu.airbus.corp:8020/copedoc/servlet/JSVisualisation?Langue=fr&amp;RefPlan=L54519305&amp;NumPlanche=1&amp;IndicePlanche=C00&amp;FormatFichier=JPG&amp;NomFichier=L54519305_C00_001.JPG","NERVURE 09 ME/D")</f>
        <v>NERVURE 09 ME/D</v>
      </c>
      <c r="C105" s="6"/>
      <c r="D105" s="13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5"/>
    </row>
  </sheetData>
  <autoFilter ref="C1:C105"/>
  <sortState ref="A2:A105">
    <sortCondition ref="A1"/>
  </sortState>
  <mergeCells count="1">
    <mergeCell ref="D1:T1"/>
  </mergeCells>
  <conditionalFormatting sqref="A3 D3:T3">
    <cfRule type="expression" dxfId="1902" priority="5">
      <formula>$C$3="URGENT"</formula>
    </cfRule>
  </conditionalFormatting>
  <conditionalFormatting sqref="A2:T2">
    <cfRule type="expression" dxfId="1901" priority="4">
      <formula>$C$2="PAS D'OUTIL"</formula>
    </cfRule>
    <cfRule type="expression" dxfId="1900" priority="7">
      <formula>$C$2="EN COURS"</formula>
    </cfRule>
    <cfRule type="expression" dxfId="1899" priority="8">
      <formula>$C$2="URGENT"</formula>
    </cfRule>
  </conditionalFormatting>
  <conditionalFormatting sqref="A3:T3">
    <cfRule type="expression" dxfId="1898" priority="1">
      <formula>$C$3="PAS D'OUTIL"</formula>
    </cfRule>
    <cfRule type="expression" dxfId="1897" priority="2">
      <formula>$C$3="URGENT"</formula>
    </cfRule>
    <cfRule type="expression" dxfId="1896" priority="3">
      <formula>$C$3="EN COURS"</formula>
    </cfRule>
  </conditionalFormatting>
  <dataValidations count="1">
    <dataValidation type="list" allowBlank="1" showInputMessage="1" showErrorMessage="1" sqref="C2:C105">
      <formula1>"URGENT,EN COURS,PAS D'OUTIL,EN STOCK,--"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CONVENTIONNELLE</vt:lpstr>
      <vt:lpstr>MODULAIRE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JACQUEL, Fabien</dc:creator>
  <cp:lastModifiedBy>JACQUEL, Fabien</cp:lastModifiedBy>
  <dcterms:created xsi:type="dcterms:W3CDTF">2014-03-04T15:51:31Z</dcterms:created>
  <dcterms:modified xsi:type="dcterms:W3CDTF">2014-03-18T05:13:48Z</dcterms:modified>
</cp:coreProperties>
</file>