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bousquet\Desktop\"/>
    </mc:Choice>
  </mc:AlternateContent>
  <bookViews>
    <workbookView xWindow="0" yWindow="0" windowWidth="19440" windowHeight="9375" activeTab="1"/>
  </bookViews>
  <sheets>
    <sheet name="Base" sheetId="50" r:id="rId1"/>
    <sheet name="TIQUET" sheetId="5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52" l="1"/>
  <c r="H4" i="52" l="1"/>
  <c r="C105" i="52" l="1"/>
  <c r="C101" i="52"/>
  <c r="C88" i="52"/>
  <c r="C71" i="52"/>
  <c r="C53" i="52"/>
  <c r="C37" i="52"/>
  <c r="C21" i="52"/>
  <c r="B5" i="52" l="1"/>
  <c r="B6" i="52" s="1"/>
  <c r="F112" i="52" s="1"/>
  <c r="G82" i="52" l="1"/>
  <c r="E82" i="52"/>
  <c r="C82" i="52"/>
  <c r="G65" i="52"/>
  <c r="E65" i="52"/>
  <c r="C65" i="52"/>
  <c r="G43" i="52"/>
  <c r="E43" i="52"/>
  <c r="C43" i="52"/>
  <c r="G27" i="52"/>
  <c r="E27" i="52"/>
  <c r="C27" i="52"/>
  <c r="G11" i="52"/>
  <c r="E11" i="52"/>
  <c r="C11" i="52"/>
  <c r="G97" i="52" l="1"/>
  <c r="G109" i="52" s="1"/>
  <c r="G49" i="52"/>
  <c r="C63" i="52"/>
  <c r="C75" i="52" s="1"/>
  <c r="C17" i="52"/>
  <c r="E63" i="52"/>
  <c r="E69" i="52" s="1"/>
  <c r="E17" i="52"/>
  <c r="E19" i="52" s="1"/>
  <c r="G63" i="52"/>
  <c r="G73" i="52" s="1"/>
  <c r="G17" i="52"/>
  <c r="G19" i="52" s="1"/>
  <c r="C97" i="52"/>
  <c r="C109" i="52" s="1"/>
  <c r="C49" i="52"/>
  <c r="C51" i="52" s="1"/>
  <c r="E80" i="52"/>
  <c r="E33" i="52"/>
  <c r="E35" i="52" s="1"/>
  <c r="G80" i="52"/>
  <c r="G92" i="52" s="1"/>
  <c r="G33" i="52"/>
  <c r="C80" i="52"/>
  <c r="C86" i="52" s="1"/>
  <c r="C33" i="52"/>
  <c r="C35" i="52" s="1"/>
  <c r="E97" i="52"/>
  <c r="E109" i="52" s="1"/>
  <c r="E49" i="52"/>
  <c r="E51" i="52" s="1"/>
  <c r="C92" i="52"/>
  <c r="C19" i="52"/>
  <c r="G35" i="52"/>
  <c r="G51" i="52"/>
  <c r="C90" i="52"/>
  <c r="G90" i="52"/>
  <c r="E73" i="52" l="1"/>
  <c r="E103" i="52"/>
  <c r="E107" i="52"/>
  <c r="C107" i="52"/>
  <c r="G86" i="52"/>
  <c r="E75" i="52"/>
  <c r="E90" i="52"/>
  <c r="C103" i="52"/>
  <c r="C73" i="52"/>
  <c r="G69" i="52"/>
  <c r="G103" i="52"/>
  <c r="C69" i="52"/>
  <c r="E86" i="52"/>
  <c r="G75" i="52"/>
  <c r="C111" i="52" s="1"/>
  <c r="E92" i="52"/>
  <c r="G107" i="52"/>
  <c r="C112" i="52" l="1"/>
  <c r="H112" i="52" s="1"/>
  <c r="H111" i="52" s="1"/>
</calcChain>
</file>

<file path=xl/sharedStrings.xml><?xml version="1.0" encoding="utf-8"?>
<sst xmlns="http://schemas.openxmlformats.org/spreadsheetml/2006/main" count="122" uniqueCount="77">
  <si>
    <t>PALIER 1</t>
  </si>
  <si>
    <t xml:space="preserve">PALIER 2 </t>
  </si>
  <si>
    <t>PALIER 3</t>
  </si>
  <si>
    <t>Objectif mensuel en net HT</t>
  </si>
  <si>
    <t>Reste à faire en nbre de pneus</t>
  </si>
  <si>
    <t>Réalisé mensuel en net HT</t>
  </si>
  <si>
    <t>Reste à réaliser mensuel en net HT</t>
  </si>
  <si>
    <t>Objectif mensuel en nbre de pneus</t>
  </si>
  <si>
    <t xml:space="preserve">MOIS: </t>
  </si>
  <si>
    <t>Code client:</t>
  </si>
  <si>
    <t>Reste à réaliser mensuel en nbre de pneus</t>
  </si>
  <si>
    <t>Réalisé mensuel en nbre de pneus</t>
  </si>
  <si>
    <t>No client</t>
  </si>
  <si>
    <t>Nom client</t>
  </si>
  <si>
    <t>TIQUET ET FILS</t>
  </si>
  <si>
    <t>THERON</t>
  </si>
  <si>
    <t>PNEUS 2000</t>
  </si>
  <si>
    <t>GGE IMBOURG BRUNO</t>
  </si>
  <si>
    <t>FLORENT GACHE</t>
  </si>
  <si>
    <t>DU LARZAC</t>
  </si>
  <si>
    <t>Garage TIQUET &amp; FILS</t>
  </si>
  <si>
    <t>Suivi de la RFA remis le …./…./……..</t>
  </si>
  <si>
    <t>Tampon et signature du client:</t>
  </si>
  <si>
    <t>SEVERAC AUTOMOBILES</t>
  </si>
  <si>
    <t>Prime 2012 1141 € / Prime 2013  1018€ / Prime 2014 1220€ / Prime 2015 1030€/ Prime 2016 = 1318€ / Prime 2017 = 1199€</t>
  </si>
  <si>
    <t>PASIELSKI NICOLAS</t>
  </si>
  <si>
    <t>FLOURIEUSSE BERNARD</t>
  </si>
  <si>
    <t>NAYROLLES</t>
  </si>
  <si>
    <t>ST SAUVEUR AUTO MR RESSOUCHE C</t>
  </si>
  <si>
    <t>COLRAT - LAISSAC AUTOMOBILE</t>
  </si>
  <si>
    <t>FORTIER GUILLAUME</t>
  </si>
  <si>
    <t>LAUMIERE CARROSSERIE</t>
  </si>
  <si>
    <t>GILHODES ET FILS CARROSSERIE</t>
  </si>
  <si>
    <t>CANO RENAULT</t>
  </si>
  <si>
    <t>DU PONT NEUF</t>
  </si>
  <si>
    <t>CAILLOL</t>
  </si>
  <si>
    <t>C2M</t>
  </si>
  <si>
    <t>FLASH AUTO 2</t>
  </si>
  <si>
    <t>1/ Prime sur les achats pièces de rechange CITROEN (Suivi mensuel):</t>
  </si>
  <si>
    <t>2/ Prime sur les achats pièces de rechange EUROREPAR (Suivi mensuel):</t>
  </si>
  <si>
    <t>3/ Prime sur les achats pneumatiques (Suivi mensuel):</t>
  </si>
  <si>
    <t>CA ORG et ERP N-1</t>
  </si>
  <si>
    <t>CA ORG et ERP N</t>
  </si>
  <si>
    <t>Progression N-1</t>
  </si>
  <si>
    <t>Complément de prime lié à la progression</t>
  </si>
  <si>
    <t>Total prime</t>
  </si>
  <si>
    <t>% CA net</t>
  </si>
  <si>
    <t>Montant net PR CITROEN 2020</t>
  </si>
  <si>
    <t>Montant net PR EUROREPAR 2020</t>
  </si>
  <si>
    <t>Montant net PNEUMATIQUES 2020</t>
  </si>
  <si>
    <t>Quantité pneus servie 2020</t>
  </si>
  <si>
    <t>SARL LAJOIE MICHEL</t>
  </si>
  <si>
    <t>Suivi semestriel de l'objectif</t>
  </si>
  <si>
    <t>Objectif en net HT</t>
  </si>
  <si>
    <t>Reste à réaliser en net HT</t>
  </si>
  <si>
    <t>Potentiel prime semestrielle</t>
  </si>
  <si>
    <t>Réalisé en net HT</t>
  </si>
  <si>
    <t>1/ Prime sur les achats pièces de rechange CITROEN (Cumul semestriel):</t>
  </si>
  <si>
    <t>Prime en % des achats net HT</t>
  </si>
  <si>
    <t>Prime n°1</t>
  </si>
  <si>
    <t>2/ Prime sur les achats pièces de rechange EUROREPAR (Cumul semestriel):</t>
  </si>
  <si>
    <t>Prime n°2</t>
  </si>
  <si>
    <t>3/ Prime sur les achats pneumatiques (Cumul semestriel):</t>
  </si>
  <si>
    <t>Objectif en nbre de pneus</t>
  </si>
  <si>
    <t>Réalisé en nbre de pneus</t>
  </si>
  <si>
    <t>Prime n°3</t>
  </si>
  <si>
    <t>Prime  semestrielle acquise</t>
  </si>
  <si>
    <t>Remise complémentaire semestrielle Semestre 1 2020</t>
  </si>
  <si>
    <t>Objectif semestriel en net HT</t>
  </si>
  <si>
    <t>Objectif semestriel en net Ht</t>
  </si>
  <si>
    <t>Objectif semestriel en nbre de pneus</t>
  </si>
  <si>
    <t>garagetiquet@orange.fr</t>
  </si>
  <si>
    <t>Montant net PR CITROEN 02/2020</t>
  </si>
  <si>
    <t>Montant net PR EUROREPAR 02/2020</t>
  </si>
  <si>
    <t>Montant net PNEUMATIQUES 02/2020</t>
  </si>
  <si>
    <t>Quantité pneus servie 02/2020</t>
  </si>
  <si>
    <t>GGE FABREGUETTES JEAN-LUC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</si>
</sst>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\ &quot;€&quot;"/>
  </numFmts>
  <fonts count="41" x14ac:knownFonts="1">
    <font>
      <sz val="11"/>
      <color theme="1"/>
      <name val="Calibri"/>
      <family val="2"/>
      <scheme val="minor"/>
    </font>
    <font>
      <sz val="14"/>
      <color indexed="8"/>
      <name val="Arial Rounded MT Bold"/>
      <family val="2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sz val="11"/>
      <color indexed="8"/>
      <name val="Arial Rounded MT Bold"/>
      <family val="2"/>
    </font>
    <font>
      <sz val="10"/>
      <color indexed="8"/>
      <name val="Calibri"/>
      <family val="2"/>
    </font>
    <font>
      <b/>
      <sz val="11"/>
      <color indexed="60"/>
      <name val="Calibri"/>
      <family val="2"/>
    </font>
    <font>
      <b/>
      <sz val="14"/>
      <color indexed="10"/>
      <name val="Calibri"/>
      <family val="2"/>
    </font>
    <font>
      <b/>
      <sz val="12"/>
      <color indexed="8"/>
      <name val="Calibri"/>
      <family val="2"/>
    </font>
    <font>
      <i/>
      <u/>
      <sz val="11"/>
      <color indexed="8"/>
      <name val="Arial Rounded MT Bold"/>
      <family val="2"/>
    </font>
    <font>
      <b/>
      <i/>
      <u/>
      <sz val="16"/>
      <color indexed="8"/>
      <name val="Arial Rounded MT Bold"/>
      <family val="2"/>
    </font>
    <font>
      <b/>
      <i/>
      <sz val="1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0"/>
      <color indexed="10"/>
      <name val="Calibri"/>
      <family val="2"/>
    </font>
    <font>
      <b/>
      <sz val="10"/>
      <color indexed="8"/>
      <name val="Calibri"/>
      <family val="2"/>
    </font>
    <font>
      <b/>
      <sz val="14"/>
      <color indexed="10"/>
      <name val="Calibri"/>
      <family val="2"/>
    </font>
    <font>
      <b/>
      <i/>
      <sz val="11"/>
      <name val="Calibri"/>
      <family val="2"/>
    </font>
    <font>
      <b/>
      <i/>
      <sz val="10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4"/>
      <color rgb="FFFF0000"/>
      <name val="Calibri"/>
      <family val="2"/>
    </font>
    <font>
      <i/>
      <u/>
      <sz val="11"/>
      <color theme="0"/>
      <name val="Arial Rounded MT Bold"/>
      <family val="2"/>
    </font>
    <font>
      <b/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indexed="8"/>
      <name val="Arial Rounded MT Bold"/>
      <family val="2"/>
    </font>
    <font>
      <b/>
      <sz val="7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i/>
      <sz val="7"/>
      <color indexed="8"/>
      <name val="Calibri"/>
      <family val="2"/>
      <scheme val="minor"/>
    </font>
    <font>
      <b/>
      <sz val="7"/>
      <color indexed="8"/>
      <name val="Calibri"/>
      <family val="2"/>
      <scheme val="minor"/>
    </font>
    <font>
      <sz val="12"/>
      <color indexed="8"/>
      <name val="Calibri"/>
      <family val="2"/>
    </font>
    <font>
      <sz val="12"/>
      <color rgb="FFFFFFFF"/>
      <name val="Arial"/>
      <family val="2"/>
    </font>
    <font>
      <sz val="12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99CC"/>
      </patternFill>
    </fill>
    <fill>
      <patternFill patternType="solid">
        <fgColor rgb="FFFFFFFF"/>
      </patternFill>
    </fill>
    <fill>
      <patternFill patternType="solid">
        <fgColor rgb="FFEEEEEE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9" fillId="0" borderId="0" applyNumberFormat="0" applyFill="0" applyBorder="0" applyAlignment="0" applyProtection="0">
      <alignment vertical="top"/>
      <protection locked="0"/>
    </xf>
    <xf numFmtId="0" fontId="32" fillId="0" borderId="0"/>
  </cellStyleXfs>
  <cellXfs count="232">
    <xf numFmtId="0" fontId="0" fillId="0" borderId="0" xfId="0"/>
    <xf numFmtId="0" fontId="5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/>
    </xf>
    <xf numFmtId="0" fontId="0" fillId="0" borderId="0" xfId="0"/>
    <xf numFmtId="1" fontId="22" fillId="0" borderId="1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49" fontId="0" fillId="0" borderId="0" xfId="0" applyNumberFormat="1" applyAlignment="1" applyProtection="1">
      <alignment vertical="center" wrapText="1"/>
    </xf>
    <xf numFmtId="0" fontId="22" fillId="0" borderId="1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2" fillId="0" borderId="0" xfId="0" applyFont="1" applyBorder="1" applyAlignment="1" applyProtection="1">
      <alignment horizontal="center" vertical="center" wrapText="1"/>
    </xf>
    <xf numFmtId="1" fontId="22" fillId="0" borderId="0" xfId="0" applyNumberFormat="1" applyFont="1" applyBorder="1" applyAlignment="1" applyProtection="1">
      <alignment horizontal="center" vertical="center"/>
    </xf>
    <xf numFmtId="0" fontId="3" fillId="0" borderId="0" xfId="0" applyFont="1" applyProtection="1"/>
    <xf numFmtId="0" fontId="0" fillId="0" borderId="1" xfId="0" applyBorder="1" applyProtection="1"/>
    <xf numFmtId="0" fontId="0" fillId="0" borderId="2" xfId="0" applyBorder="1" applyProtection="1"/>
    <xf numFmtId="0" fontId="0" fillId="0" borderId="0" xfId="0" applyFill="1" applyBorder="1" applyProtection="1"/>
    <xf numFmtId="0" fontId="6" fillId="0" borderId="0" xfId="0" applyFont="1" applyAlignment="1" applyProtection="1">
      <alignment horizontal="left" vertical="center" wrapText="1" indent="7"/>
    </xf>
    <xf numFmtId="0" fontId="0" fillId="0" borderId="0" xfId="0" applyAlignment="1" applyProtection="1"/>
    <xf numFmtId="0" fontId="12" fillId="0" borderId="0" xfId="0" applyFont="1" applyFill="1" applyBorder="1" applyAlignment="1" applyProtection="1">
      <alignment horizontal="center" vertical="center" wrapText="1"/>
    </xf>
    <xf numFmtId="1" fontId="0" fillId="0" borderId="0" xfId="0" applyNumberFormat="1" applyProtection="1"/>
    <xf numFmtId="0" fontId="0" fillId="0" borderId="0" xfId="0" applyAlignment="1" applyProtection="1">
      <alignment horizont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28" fillId="0" borderId="0" xfId="0" applyFont="1" applyProtection="1"/>
    <xf numFmtId="1" fontId="0" fillId="0" borderId="0" xfId="0" applyNumberFormat="1"/>
    <xf numFmtId="0" fontId="34" fillId="0" borderId="11" xfId="0" applyFont="1" applyBorder="1" applyAlignment="1" applyProtection="1">
      <alignment vertical="center"/>
    </xf>
    <xf numFmtId="0" fontId="2" fillId="14" borderId="44" xfId="0" applyFont="1" applyFill="1" applyBorder="1" applyAlignment="1" applyProtection="1">
      <alignment horizontal="center" vertical="center"/>
    </xf>
    <xf numFmtId="9" fontId="37" fillId="0" borderId="11" xfId="0" applyNumberFormat="1" applyFont="1" applyBorder="1" applyAlignment="1" applyProtection="1">
      <alignment horizontal="center" vertical="center"/>
      <protection locked="0"/>
    </xf>
    <xf numFmtId="1" fontId="36" fillId="0" borderId="11" xfId="0" applyNumberFormat="1" applyFont="1" applyBorder="1" applyAlignment="1" applyProtection="1">
      <alignment horizontal="center" vertical="center"/>
      <protection locked="0"/>
    </xf>
    <xf numFmtId="10" fontId="14" fillId="14" borderId="45" xfId="0" applyNumberFormat="1" applyFont="1" applyFill="1" applyBorder="1" applyAlignment="1" applyProtection="1">
      <alignment horizontal="center" vertical="center"/>
    </xf>
    <xf numFmtId="0" fontId="39" fillId="10" borderId="0" xfId="0" applyFont="1" applyFill="1" applyAlignment="1" applyProtection="1">
      <alignment horizontal="left" vertical="center"/>
      <protection locked="0"/>
    </xf>
    <xf numFmtId="49" fontId="40" fillId="11" borderId="0" xfId="0" applyNumberFormat="1" applyFont="1" applyFill="1" applyAlignment="1" applyProtection="1">
      <alignment horizontal="left" vertical="center"/>
      <protection locked="0"/>
    </xf>
    <xf numFmtId="2" fontId="40" fillId="11" borderId="0" xfId="0" applyNumberFormat="1" applyFont="1" applyFill="1" applyAlignment="1" applyProtection="1">
      <alignment horizontal="right" vertical="center"/>
      <protection locked="0"/>
    </xf>
    <xf numFmtId="49" fontId="40" fillId="12" borderId="0" xfId="0" applyNumberFormat="1" applyFont="1" applyFill="1" applyAlignment="1" applyProtection="1">
      <alignment horizontal="left" vertical="center"/>
      <protection locked="0"/>
    </xf>
    <xf numFmtId="2" fontId="40" fillId="12" borderId="0" xfId="0" applyNumberFormat="1" applyFont="1" applyFill="1" applyAlignment="1" applyProtection="1">
      <alignment horizontal="right" vertical="center"/>
      <protection locked="0"/>
    </xf>
    <xf numFmtId="1" fontId="39" fillId="10" borderId="0" xfId="0" applyNumberFormat="1" applyFont="1" applyFill="1" applyAlignment="1" applyProtection="1">
      <alignment horizontal="left" vertical="center"/>
      <protection locked="0"/>
    </xf>
    <xf numFmtId="1" fontId="40" fillId="11" borderId="0" xfId="0" applyNumberFormat="1" applyFont="1" applyFill="1" applyAlignment="1" applyProtection="1">
      <alignment horizontal="left" vertical="center"/>
      <protection locked="0"/>
    </xf>
    <xf numFmtId="1" fontId="40" fillId="12" borderId="0" xfId="0" applyNumberFormat="1" applyFont="1" applyFill="1" applyAlignment="1" applyProtection="1">
      <alignment horizontal="left" vertical="center"/>
      <protection locked="0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4" fillId="9" borderId="16" xfId="0" applyFont="1" applyFill="1" applyBorder="1" applyAlignment="1" applyProtection="1">
      <alignment horizontal="center" vertical="center" wrapText="1"/>
    </xf>
    <xf numFmtId="0" fontId="24" fillId="9" borderId="17" xfId="0" applyFont="1" applyFill="1" applyBorder="1" applyAlignment="1" applyProtection="1">
      <alignment horizontal="center" vertical="center" wrapText="1"/>
    </xf>
    <xf numFmtId="0" fontId="24" fillId="9" borderId="10" xfId="0" applyFont="1" applyFill="1" applyBorder="1" applyAlignment="1" applyProtection="1">
      <alignment horizontal="center" vertical="center" wrapText="1"/>
    </xf>
    <xf numFmtId="0" fontId="24" fillId="9" borderId="11" xfId="0" applyFont="1" applyFill="1" applyBorder="1" applyAlignment="1" applyProtection="1">
      <alignment horizontal="center" vertical="center" wrapText="1"/>
    </xf>
    <xf numFmtId="1" fontId="25" fillId="9" borderId="6" xfId="0" applyNumberFormat="1" applyFont="1" applyFill="1" applyBorder="1" applyAlignment="1" applyProtection="1">
      <alignment horizontal="center" vertical="center"/>
    </xf>
    <xf numFmtId="1" fontId="25" fillId="9" borderId="3" xfId="0" applyNumberFormat="1" applyFont="1" applyFill="1" applyBorder="1" applyAlignment="1" applyProtection="1">
      <alignment horizontal="center" vertical="center"/>
    </xf>
    <xf numFmtId="1" fontId="25" fillId="9" borderId="21" xfId="0" applyNumberFormat="1" applyFont="1" applyFill="1" applyBorder="1" applyAlignment="1" applyProtection="1">
      <alignment horizontal="center" vertical="center"/>
    </xf>
    <xf numFmtId="1" fontId="25" fillId="9" borderId="19" xfId="0" applyNumberFormat="1" applyFont="1" applyFill="1" applyBorder="1" applyAlignment="1" applyProtection="1">
      <alignment horizontal="center" vertical="center"/>
    </xf>
    <xf numFmtId="1" fontId="25" fillId="9" borderId="22" xfId="0" applyNumberFormat="1" applyFont="1" applyFill="1" applyBorder="1" applyAlignment="1" applyProtection="1">
      <alignment horizontal="center" vertical="center"/>
    </xf>
    <xf numFmtId="1" fontId="25" fillId="9" borderId="23" xfId="0" applyNumberFormat="1" applyFont="1" applyFill="1" applyBorder="1" applyAlignment="1" applyProtection="1">
      <alignment horizontal="center" vertical="center"/>
    </xf>
    <xf numFmtId="0" fontId="11" fillId="4" borderId="10" xfId="0" applyFont="1" applyFill="1" applyBorder="1" applyAlignment="1" applyProtection="1">
      <alignment horizontal="center" vertical="center" wrapText="1"/>
    </xf>
    <xf numFmtId="0" fontId="11" fillId="4" borderId="11" xfId="0" applyFont="1" applyFill="1" applyBorder="1" applyAlignment="1" applyProtection="1">
      <alignment horizontal="center" vertical="center" wrapText="1"/>
    </xf>
    <xf numFmtId="1" fontId="2" fillId="4" borderId="6" xfId="0" applyNumberFormat="1" applyFont="1" applyFill="1" applyBorder="1" applyAlignment="1" applyProtection="1">
      <alignment horizontal="center" vertical="center" wrapText="1"/>
    </xf>
    <xf numFmtId="1" fontId="2" fillId="4" borderId="18" xfId="0" applyNumberFormat="1" applyFont="1" applyFill="1" applyBorder="1" applyAlignment="1" applyProtection="1">
      <alignment horizontal="center" vertical="center" wrapText="1"/>
    </xf>
    <xf numFmtId="1" fontId="2" fillId="4" borderId="19" xfId="0" applyNumberFormat="1" applyFont="1" applyFill="1" applyBorder="1" applyAlignment="1" applyProtection="1">
      <alignment horizontal="center" vertical="center" wrapText="1"/>
    </xf>
    <xf numFmtId="1" fontId="2" fillId="4" borderId="20" xfId="0" applyNumberFormat="1" applyFont="1" applyFill="1" applyBorder="1" applyAlignment="1" applyProtection="1">
      <alignment horizontal="center" vertical="center" wrapText="1"/>
    </xf>
    <xf numFmtId="1" fontId="2" fillId="0" borderId="11" xfId="0" applyNumberFormat="1" applyFont="1" applyBorder="1" applyAlignment="1" applyProtection="1">
      <alignment horizontal="center" vertical="center"/>
    </xf>
    <xf numFmtId="1" fontId="2" fillId="0" borderId="14" xfId="0" applyNumberFormat="1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5" fillId="0" borderId="25" xfId="0" applyFont="1" applyBorder="1" applyAlignment="1" applyProtection="1">
      <alignment horizontal="center"/>
    </xf>
    <xf numFmtId="0" fontId="5" fillId="0" borderId="26" xfId="0" applyFont="1" applyBorder="1" applyAlignment="1" applyProtection="1">
      <alignment horizontal="center"/>
    </xf>
    <xf numFmtId="0" fontId="5" fillId="0" borderId="27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0" fontId="5" fillId="0" borderId="28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1" fontId="2" fillId="0" borderId="6" xfId="0" applyNumberFormat="1" applyFont="1" applyFill="1" applyBorder="1" applyAlignment="1" applyProtection="1">
      <alignment horizontal="center" vertical="center"/>
    </xf>
    <xf numFmtId="1" fontId="2" fillId="0" borderId="18" xfId="0" applyNumberFormat="1" applyFont="1" applyFill="1" applyBorder="1" applyAlignment="1" applyProtection="1">
      <alignment horizontal="center" vertical="center"/>
    </xf>
    <xf numFmtId="1" fontId="2" fillId="0" borderId="19" xfId="0" applyNumberFormat="1" applyFont="1" applyFill="1" applyBorder="1" applyAlignment="1" applyProtection="1">
      <alignment horizontal="center" vertical="center"/>
    </xf>
    <xf numFmtId="1" fontId="2" fillId="0" borderId="20" xfId="0" applyNumberFormat="1" applyFont="1" applyFill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34" xfId="0" applyFont="1" applyBorder="1" applyAlignment="1" applyProtection="1">
      <alignment horizontal="center" vertical="center" wrapText="1"/>
    </xf>
    <xf numFmtId="0" fontId="5" fillId="0" borderId="35" xfId="0" applyFont="1" applyBorder="1" applyAlignment="1" applyProtection="1">
      <alignment horizontal="center" vertical="center" wrapText="1"/>
    </xf>
    <xf numFmtId="9" fontId="2" fillId="0" borderId="6" xfId="0" applyNumberFormat="1" applyFont="1" applyBorder="1" applyAlignment="1" applyProtection="1">
      <alignment horizontal="center" vertical="center"/>
    </xf>
    <xf numFmtId="9" fontId="2" fillId="0" borderId="18" xfId="0" applyNumberFormat="1" applyFont="1" applyBorder="1" applyAlignment="1" applyProtection="1">
      <alignment horizontal="center" vertical="center"/>
    </xf>
    <xf numFmtId="9" fontId="2" fillId="0" borderId="36" xfId="0" applyNumberFormat="1" applyFont="1" applyBorder="1" applyAlignment="1" applyProtection="1">
      <alignment horizontal="center" vertical="center"/>
    </xf>
    <xf numFmtId="9" fontId="2" fillId="0" borderId="35" xfId="0" applyNumberFormat="1" applyFont="1" applyBorder="1" applyAlignment="1" applyProtection="1">
      <alignment horizontal="center" vertical="center"/>
    </xf>
    <xf numFmtId="9" fontId="2" fillId="0" borderId="21" xfId="0" applyNumberFormat="1" applyFont="1" applyBorder="1" applyAlignment="1" applyProtection="1">
      <alignment horizontal="center" vertical="center"/>
    </xf>
    <xf numFmtId="9" fontId="2" fillId="0" borderId="2" xfId="0" applyNumberFormat="1" applyFont="1" applyBorder="1" applyAlignment="1" applyProtection="1">
      <alignment horizontal="center" vertical="center"/>
    </xf>
    <xf numFmtId="1" fontId="21" fillId="0" borderId="13" xfId="0" applyNumberFormat="1" applyFont="1" applyFill="1" applyBorder="1" applyAlignment="1" applyProtection="1">
      <alignment horizontal="center" vertical="center" wrapText="1"/>
    </xf>
    <xf numFmtId="1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2" xfId="0" applyFont="1" applyFill="1" applyBorder="1" applyAlignment="1" applyProtection="1">
      <alignment horizontal="center" vertical="center" wrapText="1"/>
    </xf>
    <xf numFmtId="0" fontId="21" fillId="0" borderId="13" xfId="0" applyFont="1" applyFill="1" applyBorder="1" applyAlignment="1" applyProtection="1">
      <alignment horizontal="center" vertical="center" wrapText="1"/>
    </xf>
    <xf numFmtId="0" fontId="24" fillId="9" borderId="32" xfId="0" applyFont="1" applyFill="1" applyBorder="1" applyAlignment="1" applyProtection="1">
      <alignment horizontal="center" vertical="center" wrapText="1"/>
    </xf>
    <xf numFmtId="0" fontId="24" fillId="9" borderId="33" xfId="0" applyFont="1" applyFill="1" applyBorder="1" applyAlignment="1" applyProtection="1">
      <alignment horizontal="center" vertical="center" wrapText="1"/>
    </xf>
    <xf numFmtId="0" fontId="24" fillId="9" borderId="28" xfId="0" applyFont="1" applyFill="1" applyBorder="1" applyAlignment="1" applyProtection="1">
      <alignment horizontal="center" vertical="center" wrapText="1"/>
    </xf>
    <xf numFmtId="0" fontId="24" fillId="9" borderId="20" xfId="0" applyFont="1" applyFill="1" applyBorder="1" applyAlignment="1" applyProtection="1">
      <alignment horizontal="center" vertical="center" wrapText="1"/>
    </xf>
    <xf numFmtId="1" fontId="27" fillId="9" borderId="6" xfId="0" applyNumberFormat="1" applyFont="1" applyFill="1" applyBorder="1" applyAlignment="1" applyProtection="1">
      <alignment horizontal="center" vertical="center"/>
    </xf>
    <xf numFmtId="0" fontId="27" fillId="9" borderId="18" xfId="0" applyFont="1" applyFill="1" applyBorder="1" applyAlignment="1" applyProtection="1">
      <alignment horizontal="center" vertical="center"/>
    </xf>
    <xf numFmtId="0" fontId="27" fillId="9" borderId="19" xfId="0" applyFont="1" applyFill="1" applyBorder="1" applyAlignment="1" applyProtection="1">
      <alignment horizontal="center" vertical="center"/>
    </xf>
    <xf numFmtId="0" fontId="27" fillId="9" borderId="20" xfId="0" applyFont="1" applyFill="1" applyBorder="1" applyAlignment="1" applyProtection="1">
      <alignment horizontal="center" vertical="center"/>
    </xf>
    <xf numFmtId="0" fontId="27" fillId="9" borderId="21" xfId="0" applyFont="1" applyFill="1" applyBorder="1" applyAlignment="1" applyProtection="1">
      <alignment horizontal="center" vertical="center"/>
    </xf>
    <xf numFmtId="0" fontId="27" fillId="9" borderId="23" xfId="0" applyFont="1" applyFill="1" applyBorder="1" applyAlignment="1" applyProtection="1">
      <alignment horizontal="center" vertical="center"/>
    </xf>
    <xf numFmtId="0" fontId="13" fillId="9" borderId="32" xfId="0" applyFont="1" applyFill="1" applyBorder="1" applyAlignment="1" applyProtection="1">
      <alignment horizontal="center" vertical="center" wrapText="1"/>
    </xf>
    <xf numFmtId="0" fontId="16" fillId="9" borderId="33" xfId="0" applyFont="1" applyFill="1" applyBorder="1" applyAlignment="1" applyProtection="1">
      <alignment horizontal="center" vertical="center" wrapText="1"/>
    </xf>
    <xf numFmtId="0" fontId="16" fillId="9" borderId="28" xfId="0" applyFont="1" applyFill="1" applyBorder="1" applyAlignment="1" applyProtection="1">
      <alignment horizontal="center" vertical="center" wrapText="1"/>
    </xf>
    <xf numFmtId="0" fontId="16" fillId="9" borderId="20" xfId="0" applyFont="1" applyFill="1" applyBorder="1" applyAlignment="1" applyProtection="1">
      <alignment horizontal="center" vertical="center" wrapText="1"/>
    </xf>
    <xf numFmtId="1" fontId="18" fillId="9" borderId="37" xfId="0" applyNumberFormat="1" applyFont="1" applyFill="1" applyBorder="1" applyAlignment="1" applyProtection="1">
      <alignment horizontal="center" vertical="center"/>
    </xf>
    <xf numFmtId="1" fontId="18" fillId="9" borderId="38" xfId="0" applyNumberFormat="1" applyFont="1" applyFill="1" applyBorder="1" applyAlignment="1" applyProtection="1">
      <alignment horizontal="center" vertical="center"/>
    </xf>
    <xf numFmtId="1" fontId="18" fillId="9" borderId="39" xfId="0" applyNumberFormat="1" applyFont="1" applyFill="1" applyBorder="1" applyAlignment="1" applyProtection="1">
      <alignment horizontal="center" vertical="center"/>
    </xf>
    <xf numFmtId="1" fontId="18" fillId="9" borderId="19" xfId="0" applyNumberFormat="1" applyFont="1" applyFill="1" applyBorder="1" applyAlignment="1" applyProtection="1">
      <alignment horizontal="center" vertical="center"/>
    </xf>
    <xf numFmtId="1" fontId="18" fillId="9" borderId="22" xfId="0" applyNumberFormat="1" applyFont="1" applyFill="1" applyBorder="1" applyAlignment="1" applyProtection="1">
      <alignment horizontal="center" vertical="center"/>
    </xf>
    <xf numFmtId="1" fontId="18" fillId="9" borderId="23" xfId="0" applyNumberFormat="1" applyFont="1" applyFill="1" applyBorder="1" applyAlignment="1" applyProtection="1">
      <alignment horizontal="center" vertical="center"/>
    </xf>
    <xf numFmtId="0" fontId="26" fillId="8" borderId="40" xfId="0" applyFont="1" applyFill="1" applyBorder="1" applyAlignment="1" applyProtection="1">
      <alignment horizontal="left"/>
      <protection locked="0"/>
    </xf>
    <xf numFmtId="0" fontId="26" fillId="8" borderId="41" xfId="0" applyFont="1" applyFill="1" applyBorder="1" applyAlignment="1" applyProtection="1">
      <alignment horizontal="left"/>
      <protection locked="0"/>
    </xf>
    <xf numFmtId="0" fontId="26" fillId="8" borderId="42" xfId="0" applyFont="1" applyFill="1" applyBorder="1" applyAlignment="1" applyProtection="1">
      <alignment horizontal="left"/>
      <protection locked="0"/>
    </xf>
    <xf numFmtId="1" fontId="17" fillId="0" borderId="11" xfId="0" applyNumberFormat="1" applyFont="1" applyFill="1" applyBorder="1" applyAlignment="1" applyProtection="1">
      <alignment horizontal="center" vertical="center" wrapText="1"/>
    </xf>
    <xf numFmtId="1" fontId="17" fillId="0" borderId="18" xfId="0" applyNumberFormat="1" applyFont="1" applyFill="1" applyBorder="1" applyAlignment="1" applyProtection="1">
      <alignment horizontal="center" vertical="center" wrapText="1"/>
    </xf>
    <xf numFmtId="1" fontId="17" fillId="0" borderId="19" xfId="0" applyNumberFormat="1" applyFont="1" applyFill="1" applyBorder="1" applyAlignment="1" applyProtection="1">
      <alignment horizontal="center" vertical="center" wrapText="1"/>
    </xf>
    <xf numFmtId="1" fontId="17" fillId="0" borderId="20" xfId="0" applyNumberFormat="1" applyFont="1" applyFill="1" applyBorder="1" applyAlignment="1" applyProtection="1">
      <alignment horizontal="center" vertical="center" wrapText="1"/>
    </xf>
    <xf numFmtId="1" fontId="17" fillId="0" borderId="14" xfId="0" applyNumberFormat="1" applyFont="1" applyFill="1" applyBorder="1" applyAlignment="1" applyProtection="1">
      <alignment horizontal="center" vertical="center" wrapText="1"/>
    </xf>
    <xf numFmtId="0" fontId="24" fillId="9" borderId="4" xfId="0" applyFont="1" applyFill="1" applyBorder="1" applyAlignment="1" applyProtection="1">
      <alignment horizontal="center" vertical="center" wrapText="1"/>
    </xf>
    <xf numFmtId="0" fontId="24" fillId="9" borderId="5" xfId="0" applyFont="1" applyFill="1" applyBorder="1" applyAlignment="1" applyProtection="1">
      <alignment horizontal="center" vertical="center" wrapText="1"/>
    </xf>
    <xf numFmtId="1" fontId="7" fillId="9" borderId="6" xfId="0" applyNumberFormat="1" applyFont="1" applyFill="1" applyBorder="1" applyAlignment="1" applyProtection="1">
      <alignment horizontal="center" vertical="center"/>
    </xf>
    <xf numFmtId="1" fontId="7" fillId="9" borderId="3" xfId="0" applyNumberFormat="1" applyFont="1" applyFill="1" applyBorder="1" applyAlignment="1" applyProtection="1">
      <alignment horizontal="center" vertical="center"/>
    </xf>
    <xf numFmtId="1" fontId="7" fillId="9" borderId="21" xfId="0" applyNumberFormat="1" applyFont="1" applyFill="1" applyBorder="1" applyAlignment="1" applyProtection="1">
      <alignment horizontal="center" vertical="center"/>
    </xf>
    <xf numFmtId="1" fontId="7" fillId="9" borderId="19" xfId="0" applyNumberFormat="1" applyFont="1" applyFill="1" applyBorder="1" applyAlignment="1" applyProtection="1">
      <alignment horizontal="center" vertical="center"/>
    </xf>
    <xf numFmtId="1" fontId="7" fillId="9" borderId="22" xfId="0" applyNumberFormat="1" applyFont="1" applyFill="1" applyBorder="1" applyAlignment="1" applyProtection="1">
      <alignment horizontal="center" vertical="center"/>
    </xf>
    <xf numFmtId="1" fontId="7" fillId="9" borderId="23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" fontId="20" fillId="4" borderId="6" xfId="0" applyNumberFormat="1" applyFont="1" applyFill="1" applyBorder="1" applyAlignment="1" applyProtection="1">
      <alignment horizontal="center" vertical="center" wrapText="1"/>
    </xf>
    <xf numFmtId="1" fontId="20" fillId="4" borderId="18" xfId="0" applyNumberFormat="1" applyFont="1" applyFill="1" applyBorder="1" applyAlignment="1" applyProtection="1">
      <alignment horizontal="center" vertical="center" wrapText="1"/>
    </xf>
    <xf numFmtId="1" fontId="20" fillId="4" borderId="19" xfId="0" applyNumberFormat="1" applyFont="1" applyFill="1" applyBorder="1" applyAlignment="1" applyProtection="1">
      <alignment horizontal="center" vertical="center" wrapText="1"/>
    </xf>
    <xf numFmtId="1" fontId="20" fillId="4" borderId="20" xfId="0" applyNumberFormat="1" applyFont="1" applyFill="1" applyBorder="1" applyAlignment="1" applyProtection="1">
      <alignment horizontal="center" vertical="center" wrapText="1"/>
    </xf>
    <xf numFmtId="1" fontId="20" fillId="4" borderId="21" xfId="0" applyNumberFormat="1" applyFont="1" applyFill="1" applyBorder="1" applyAlignment="1" applyProtection="1">
      <alignment horizontal="center" vertical="center" wrapText="1"/>
    </xf>
    <xf numFmtId="1" fontId="20" fillId="4" borderId="23" xfId="0" applyNumberFormat="1" applyFont="1" applyFill="1" applyBorder="1" applyAlignment="1" applyProtection="1">
      <alignment horizontal="center" vertical="center" wrapText="1"/>
    </xf>
    <xf numFmtId="1" fontId="27" fillId="9" borderId="18" xfId="0" applyNumberFormat="1" applyFont="1" applyFill="1" applyBorder="1" applyAlignment="1" applyProtection="1">
      <alignment horizontal="center" vertical="center"/>
    </xf>
    <xf numFmtId="1" fontId="27" fillId="9" borderId="19" xfId="0" applyNumberFormat="1" applyFont="1" applyFill="1" applyBorder="1" applyAlignment="1" applyProtection="1">
      <alignment horizontal="center" vertical="center"/>
    </xf>
    <xf numFmtId="1" fontId="27" fillId="9" borderId="20" xfId="0" applyNumberFormat="1" applyFont="1" applyFill="1" applyBorder="1" applyAlignment="1" applyProtection="1">
      <alignment horizontal="center" vertical="center"/>
    </xf>
    <xf numFmtId="1" fontId="27" fillId="9" borderId="21" xfId="0" applyNumberFormat="1" applyFont="1" applyFill="1" applyBorder="1" applyAlignment="1" applyProtection="1">
      <alignment horizontal="center" vertical="center"/>
    </xf>
    <xf numFmtId="1" fontId="27" fillId="9" borderId="23" xfId="0" applyNumberFormat="1" applyFont="1" applyFill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10" fontId="2" fillId="0" borderId="11" xfId="0" applyNumberFormat="1" applyFont="1" applyBorder="1" applyAlignment="1" applyProtection="1">
      <alignment horizontal="center" vertical="center"/>
    </xf>
    <xf numFmtId="10" fontId="2" fillId="0" borderId="13" xfId="0" applyNumberFormat="1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0" fontId="2" fillId="0" borderId="14" xfId="0" applyNumberFormat="1" applyFont="1" applyBorder="1" applyAlignment="1" applyProtection="1">
      <alignment horizontal="center" vertical="center"/>
    </xf>
    <xf numFmtId="10" fontId="2" fillId="0" borderId="15" xfId="0" applyNumberFormat="1" applyFont="1" applyBorder="1" applyAlignment="1" applyProtection="1">
      <alignment horizontal="center" vertical="center"/>
    </xf>
    <xf numFmtId="0" fontId="9" fillId="7" borderId="40" xfId="0" applyFont="1" applyFill="1" applyBorder="1" applyAlignment="1" applyProtection="1">
      <alignment horizontal="left"/>
      <protection locked="0"/>
    </xf>
    <xf numFmtId="0" fontId="9" fillId="7" borderId="41" xfId="0" applyFont="1" applyFill="1" applyBorder="1" applyAlignment="1" applyProtection="1">
      <alignment horizontal="left"/>
      <protection locked="0"/>
    </xf>
    <xf numFmtId="0" fontId="9" fillId="7" borderId="42" xfId="0" applyFont="1" applyFill="1" applyBorder="1" applyAlignment="1" applyProtection="1">
      <alignment horizontal="left"/>
      <protection locked="0"/>
    </xf>
    <xf numFmtId="1" fontId="19" fillId="4" borderId="11" xfId="0" applyNumberFormat="1" applyFont="1" applyFill="1" applyBorder="1" applyAlignment="1" applyProtection="1">
      <alignment horizontal="center" vertical="center" wrapText="1"/>
    </xf>
    <xf numFmtId="1" fontId="19" fillId="4" borderId="14" xfId="0" applyNumberFormat="1" applyFont="1" applyFill="1" applyBorder="1" applyAlignment="1" applyProtection="1">
      <alignment horizontal="center" vertical="center" wrapText="1"/>
    </xf>
    <xf numFmtId="1" fontId="2" fillId="0" borderId="18" xfId="0" applyNumberFormat="1" applyFont="1" applyBorder="1" applyAlignment="1" applyProtection="1">
      <alignment horizontal="center" vertical="center"/>
    </xf>
    <xf numFmtId="1" fontId="2" fillId="0" borderId="19" xfId="0" applyNumberFormat="1" applyFont="1" applyBorder="1" applyAlignment="1" applyProtection="1">
      <alignment horizontal="center" vertical="center"/>
    </xf>
    <xf numFmtId="1" fontId="2" fillId="0" borderId="20" xfId="0" applyNumberFormat="1" applyFont="1" applyBorder="1" applyAlignment="1" applyProtection="1">
      <alignment horizontal="center" vertical="center"/>
    </xf>
    <xf numFmtId="1" fontId="27" fillId="9" borderId="11" xfId="0" applyNumberFormat="1" applyFont="1" applyFill="1" applyBorder="1" applyAlignment="1" applyProtection="1">
      <alignment horizontal="center" vertical="center"/>
    </xf>
    <xf numFmtId="0" fontId="27" fillId="9" borderId="11" xfId="0" applyFont="1" applyFill="1" applyBorder="1" applyAlignment="1" applyProtection="1">
      <alignment horizontal="center" vertical="center"/>
    </xf>
    <xf numFmtId="0" fontId="27" fillId="9" borderId="14" xfId="0" applyFont="1" applyFill="1" applyBorder="1" applyAlignment="1" applyProtection="1">
      <alignment horizontal="center" vertical="center"/>
    </xf>
    <xf numFmtId="0" fontId="12" fillId="3" borderId="29" xfId="0" applyFont="1" applyFill="1" applyBorder="1" applyAlignment="1" applyProtection="1">
      <alignment horizontal="center" vertical="center" wrapText="1"/>
    </xf>
    <xf numFmtId="0" fontId="12" fillId="3" borderId="30" xfId="0" applyFont="1" applyFill="1" applyBorder="1" applyAlignment="1" applyProtection="1">
      <alignment horizontal="center" vertical="center" wrapText="1"/>
    </xf>
    <xf numFmtId="0" fontId="12" fillId="3" borderId="31" xfId="0" applyFont="1" applyFill="1" applyBorder="1" applyAlignment="1" applyProtection="1">
      <alignment horizontal="center" vertical="center" wrapText="1"/>
    </xf>
    <xf numFmtId="0" fontId="13" fillId="9" borderId="10" xfId="0" applyFont="1" applyFill="1" applyBorder="1" applyAlignment="1" applyProtection="1">
      <alignment horizontal="center" vertical="center" wrapText="1"/>
    </xf>
    <xf numFmtId="0" fontId="16" fillId="9" borderId="11" xfId="0" applyFont="1" applyFill="1" applyBorder="1" applyAlignment="1" applyProtection="1">
      <alignment horizontal="center" vertical="center" wrapText="1"/>
    </xf>
    <xf numFmtId="0" fontId="16" fillId="9" borderId="10" xfId="0" applyFont="1" applyFill="1" applyBorder="1" applyAlignment="1" applyProtection="1">
      <alignment horizontal="center" vertical="center" wrapText="1"/>
    </xf>
    <xf numFmtId="0" fontId="9" fillId="6" borderId="40" xfId="0" applyFont="1" applyFill="1" applyBorder="1" applyAlignment="1" applyProtection="1">
      <alignment horizontal="left"/>
      <protection locked="0"/>
    </xf>
    <xf numFmtId="0" fontId="9" fillId="6" borderId="41" xfId="0" applyFont="1" applyFill="1" applyBorder="1" applyAlignment="1" applyProtection="1">
      <alignment horizontal="left"/>
      <protection locked="0"/>
    </xf>
    <xf numFmtId="0" fontId="9" fillId="6" borderId="42" xfId="0" applyFont="1" applyFill="1" applyBorder="1" applyAlignment="1" applyProtection="1">
      <alignment horizontal="left"/>
      <protection locked="0"/>
    </xf>
    <xf numFmtId="0" fontId="16" fillId="9" borderId="16" xfId="0" applyFont="1" applyFill="1" applyBorder="1" applyAlignment="1" applyProtection="1">
      <alignment horizontal="center" vertical="center" wrapText="1"/>
    </xf>
    <xf numFmtId="0" fontId="16" fillId="9" borderId="17" xfId="0" applyFont="1" applyFill="1" applyBorder="1" applyAlignment="1" applyProtection="1">
      <alignment horizontal="center" vertical="center" wrapText="1"/>
    </xf>
    <xf numFmtId="1" fontId="15" fillId="9" borderId="11" xfId="0" applyNumberFormat="1" applyFont="1" applyFill="1" applyBorder="1" applyAlignment="1" applyProtection="1">
      <alignment horizontal="center" vertical="center"/>
    </xf>
    <xf numFmtId="1" fontId="15" fillId="9" borderId="18" xfId="0" applyNumberFormat="1" applyFont="1" applyFill="1" applyBorder="1" applyAlignment="1" applyProtection="1">
      <alignment horizontal="center" vertical="center"/>
    </xf>
    <xf numFmtId="1" fontId="15" fillId="9" borderId="19" xfId="0" applyNumberFormat="1" applyFont="1" applyFill="1" applyBorder="1" applyAlignment="1" applyProtection="1">
      <alignment horizontal="center" vertical="center"/>
    </xf>
    <xf numFmtId="1" fontId="15" fillId="9" borderId="20" xfId="0" applyNumberFormat="1" applyFont="1" applyFill="1" applyBorder="1" applyAlignment="1" applyProtection="1">
      <alignment horizontal="center" vertical="center"/>
    </xf>
    <xf numFmtId="0" fontId="13" fillId="9" borderId="16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/>
    </xf>
    <xf numFmtId="0" fontId="16" fillId="9" borderId="4" xfId="0" applyFont="1" applyFill="1" applyBorder="1" applyAlignment="1" applyProtection="1">
      <alignment horizontal="center" vertical="center" wrapText="1"/>
    </xf>
    <xf numFmtId="0" fontId="16" fillId="9" borderId="5" xfId="0" applyFont="1" applyFill="1" applyBorder="1" applyAlignment="1" applyProtection="1">
      <alignment horizontal="center" vertical="center" wrapText="1"/>
    </xf>
    <xf numFmtId="0" fontId="10" fillId="0" borderId="48" xfId="0" applyFont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49" fontId="0" fillId="0" borderId="6" xfId="0" applyNumberFormat="1" applyBorder="1" applyAlignment="1" applyProtection="1">
      <alignment horizontal="center" vertical="center" wrapText="1"/>
    </xf>
    <xf numFmtId="49" fontId="0" fillId="0" borderId="19" xfId="0" applyNumberFormat="1" applyBorder="1" applyAlignment="1" applyProtection="1">
      <alignment horizontal="center" vertical="center" wrapText="1"/>
    </xf>
    <xf numFmtId="17" fontId="23" fillId="5" borderId="11" xfId="0" applyNumberFormat="1" applyFont="1" applyFill="1" applyBorder="1" applyAlignment="1" applyProtection="1">
      <alignment horizontal="center" vertical="center" wrapText="1"/>
    </xf>
    <xf numFmtId="0" fontId="30" fillId="0" borderId="3" xfId="0" applyFont="1" applyFill="1" applyBorder="1" applyAlignment="1" applyProtection="1">
      <alignment horizontal="center" vertical="center" wrapText="1"/>
    </xf>
    <xf numFmtId="1" fontId="30" fillId="0" borderId="3" xfId="0" applyNumberFormat="1" applyFont="1" applyFill="1" applyBorder="1" applyAlignment="1" applyProtection="1">
      <alignment horizontal="center" vertical="center"/>
    </xf>
    <xf numFmtId="49" fontId="33" fillId="0" borderId="11" xfId="0" applyNumberFormat="1" applyFont="1" applyBorder="1" applyAlignment="1" applyProtection="1">
      <alignment horizontal="center" vertical="center" wrapText="1"/>
      <protection locked="0"/>
    </xf>
    <xf numFmtId="49" fontId="4" fillId="0" borderId="11" xfId="0" applyNumberFormat="1" applyFont="1" applyBorder="1" applyAlignment="1" applyProtection="1">
      <alignment horizontal="center" vertical="center" wrapText="1"/>
      <protection locked="0"/>
    </xf>
    <xf numFmtId="49" fontId="1" fillId="9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8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49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48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9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13" borderId="6" xfId="0" applyFill="1" applyBorder="1" applyAlignment="1" applyProtection="1">
      <alignment horizontal="center"/>
    </xf>
    <xf numFmtId="0" fontId="0" fillId="13" borderId="18" xfId="0" applyFill="1" applyBorder="1" applyAlignment="1" applyProtection="1">
      <alignment horizontal="center"/>
    </xf>
    <xf numFmtId="0" fontId="0" fillId="13" borderId="49" xfId="0" applyFill="1" applyBorder="1" applyAlignment="1" applyProtection="1">
      <alignment horizontal="center"/>
    </xf>
    <xf numFmtId="0" fontId="0" fillId="13" borderId="48" xfId="0" applyFill="1" applyBorder="1" applyAlignment="1" applyProtection="1">
      <alignment horizontal="center"/>
    </xf>
    <xf numFmtId="0" fontId="0" fillId="13" borderId="19" xfId="0" applyFill="1" applyBorder="1" applyAlignment="1" applyProtection="1">
      <alignment horizontal="center"/>
    </xf>
    <xf numFmtId="0" fontId="0" fillId="13" borderId="20" xfId="0" applyFill="1" applyBorder="1" applyAlignment="1" applyProtection="1">
      <alignment horizontal="center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8" fillId="14" borderId="51" xfId="0" applyFont="1" applyFill="1" applyBorder="1" applyAlignment="1" applyProtection="1">
      <alignment horizontal="center" vertical="center" wrapText="1"/>
    </xf>
    <xf numFmtId="0" fontId="8" fillId="14" borderId="17" xfId="0" applyFont="1" applyFill="1" applyBorder="1" applyAlignment="1" applyProtection="1">
      <alignment horizontal="center" vertical="center" wrapText="1"/>
    </xf>
    <xf numFmtId="0" fontId="8" fillId="14" borderId="46" xfId="0" applyFont="1" applyFill="1" applyBorder="1" applyAlignment="1" applyProtection="1">
      <alignment horizontal="center" vertical="center" wrapText="1"/>
    </xf>
    <xf numFmtId="0" fontId="8" fillId="14" borderId="47" xfId="0" applyFont="1" applyFill="1" applyBorder="1" applyAlignment="1" applyProtection="1">
      <alignment horizontal="center" vertical="center" wrapText="1"/>
    </xf>
    <xf numFmtId="6" fontId="2" fillId="9" borderId="44" xfId="0" applyNumberFormat="1" applyFont="1" applyFill="1" applyBorder="1" applyAlignment="1" applyProtection="1">
      <alignment horizontal="center"/>
    </xf>
    <xf numFmtId="164" fontId="3" fillId="14" borderId="17" xfId="0" applyNumberFormat="1" applyFont="1" applyFill="1" applyBorder="1" applyAlignment="1" applyProtection="1">
      <alignment horizontal="center" vertical="center"/>
    </xf>
    <xf numFmtId="164" fontId="3" fillId="14" borderId="47" xfId="0" applyNumberFormat="1" applyFont="1" applyFill="1" applyBorder="1" applyAlignment="1" applyProtection="1">
      <alignment horizontal="center" vertical="center"/>
    </xf>
    <xf numFmtId="0" fontId="8" fillId="14" borderId="17" xfId="0" applyNumberFormat="1" applyFont="1" applyFill="1" applyBorder="1" applyAlignment="1" applyProtection="1">
      <alignment horizontal="center" vertical="center" wrapText="1"/>
    </xf>
    <xf numFmtId="0" fontId="8" fillId="14" borderId="47" xfId="0" applyNumberFormat="1" applyFont="1" applyFill="1" applyBorder="1" applyAlignment="1" applyProtection="1">
      <alignment horizontal="center" vertical="center" wrapText="1"/>
    </xf>
    <xf numFmtId="164" fontId="38" fillId="14" borderId="17" xfId="0" applyNumberFormat="1" applyFont="1" applyFill="1" applyBorder="1" applyAlignment="1" applyProtection="1">
      <alignment horizontal="center" vertical="center" wrapText="1"/>
    </xf>
    <xf numFmtId="164" fontId="38" fillId="14" borderId="47" xfId="0" applyNumberFormat="1" applyFont="1" applyFill="1" applyBorder="1" applyAlignment="1" applyProtection="1">
      <alignment horizontal="center" vertical="center" wrapText="1"/>
    </xf>
    <xf numFmtId="9" fontId="8" fillId="14" borderId="17" xfId="0" applyNumberFormat="1" applyFont="1" applyFill="1" applyBorder="1" applyAlignment="1" applyProtection="1">
      <alignment horizontal="center" vertical="center" wrapText="1"/>
    </xf>
    <xf numFmtId="9" fontId="8" fillId="14" borderId="47" xfId="0" applyNumberFormat="1" applyFont="1" applyFill="1" applyBorder="1" applyAlignment="1" applyProtection="1">
      <alignment horizontal="center" vertical="center" wrapText="1"/>
    </xf>
    <xf numFmtId="164" fontId="35" fillId="14" borderId="52" xfId="0" applyNumberFormat="1" applyFont="1" applyFill="1" applyBorder="1" applyAlignment="1" applyProtection="1">
      <alignment horizontal="center" vertical="center"/>
    </xf>
    <xf numFmtId="9" fontId="35" fillId="14" borderId="50" xfId="0" applyNumberFormat="1" applyFont="1" applyFill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49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</xf>
    <xf numFmtId="0" fontId="17" fillId="9" borderId="43" xfId="0" applyFont="1" applyFill="1" applyBorder="1" applyAlignment="1" applyProtection="1">
      <alignment horizontal="center"/>
    </xf>
    <xf numFmtId="0" fontId="17" fillId="9" borderId="44" xfId="0" applyFont="1" applyFill="1" applyBorder="1" applyAlignment="1" applyProtection="1">
      <alignment horizontal="center"/>
    </xf>
    <xf numFmtId="0" fontId="29" fillId="0" borderId="0" xfId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'Table d''objectifs'!A1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81280</xdr:colOff>
      <xdr:row>0</xdr:row>
      <xdr:rowOff>60108</xdr:rowOff>
    </xdr:from>
    <xdr:to>
      <xdr:col>7</xdr:col>
      <xdr:colOff>731520</xdr:colOff>
      <xdr:row>2</xdr:row>
      <xdr:rowOff>137160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1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0440" y="60108"/>
          <a:ext cx="1435100" cy="458052"/>
        </a:xfrm>
        <a:prstGeom prst="rect">
          <a:avLst/>
        </a:prstGeom>
      </xdr:spPr>
    </xdr:pic>
    <xdr:clientData/>
  </xdr:twoCellAnchor>
  <xdr:twoCellAnchor editAs="oneCell">
    <xdr:from>
      <xdr:col>0</xdr:col>
      <xdr:colOff>45719</xdr:colOff>
      <xdr:row>0</xdr:row>
      <xdr:rowOff>45720</xdr:rowOff>
    </xdr:from>
    <xdr:to>
      <xdr:col>1</xdr:col>
      <xdr:colOff>760173</xdr:colOff>
      <xdr:row>2</xdr:row>
      <xdr:rowOff>152400</xdr:rowOff>
    </xdr:to>
    <xdr:pic>
      <xdr:nvPicPr>
        <xdr:cNvPr id="8" name="Image 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1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346"/>
        <a:stretch/>
      </xdr:blipFill>
      <xdr:spPr>
        <a:xfrm>
          <a:off x="45719" y="45720"/>
          <a:ext cx="1508839" cy="487680"/>
        </a:xfrm>
        <a:prstGeom prst="rect">
          <a:avLst/>
        </a:prstGeom>
      </xdr:spPr>
    </xdr:pic>
    <xdr:clientData/>
  </xdr:twoCellAnchor>
  <xdr:twoCellAnchor editAs="oneCell">
    <xdr:from>
      <xdr:col>8</xdr:col>
      <xdr:colOff>98534</xdr:colOff>
      <xdr:row>0</xdr:row>
      <xdr:rowOff>13138</xdr:rowOff>
    </xdr:from>
    <xdr:to>
      <xdr:col>8</xdr:col>
      <xdr:colOff>676603</xdr:colOff>
      <xdr:row>2</xdr:row>
      <xdr:rowOff>170794</xdr:rowOff>
    </xdr:to>
    <xdr:pic macro="[0]!Feuil21.tiquet"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08" t="11576" r="12759" b="9324"/>
        <a:stretch/>
      </xdr:blipFill>
      <xdr:spPr>
        <a:xfrm>
          <a:off x="6194534" y="13138"/>
          <a:ext cx="578069" cy="538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aragetique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"/>
  <sheetViews>
    <sheetView workbookViewId="0">
      <selection activeCell="A24" sqref="A24"/>
    </sheetView>
  </sheetViews>
  <sheetFormatPr baseColWidth="10" defaultRowHeight="15" x14ac:dyDescent="0.25"/>
  <cols>
    <col min="1" max="1" width="13" style="23" customWidth="1"/>
    <col min="2" max="2" width="26.28515625" style="3" customWidth="1"/>
    <col min="3" max="3" width="39.28515625" style="3" customWidth="1"/>
    <col min="4" max="4" width="35.7109375" style="3" customWidth="1"/>
    <col min="5" max="6" width="40.42578125" style="3" customWidth="1"/>
    <col min="7" max="8" width="43.7109375" style="3" customWidth="1"/>
    <col min="9" max="9" width="52.42578125" style="3" customWidth="1"/>
    <col min="10" max="10" width="35" style="3" customWidth="1"/>
    <col min="11" max="16384" width="11.42578125" style="3"/>
  </cols>
  <sheetData>
    <row r="1" spans="1:10" x14ac:dyDescent="0.25">
      <c r="A1" s="34" t="s">
        <v>12</v>
      </c>
      <c r="B1" s="29" t="s">
        <v>13</v>
      </c>
      <c r="C1" s="29" t="s">
        <v>72</v>
      </c>
      <c r="D1" s="29" t="s">
        <v>47</v>
      </c>
      <c r="E1" s="29" t="s">
        <v>73</v>
      </c>
      <c r="F1" s="29" t="s">
        <v>48</v>
      </c>
      <c r="G1" s="29" t="s">
        <v>74</v>
      </c>
      <c r="H1" s="29" t="s">
        <v>75</v>
      </c>
      <c r="I1" s="29" t="s">
        <v>49</v>
      </c>
      <c r="J1" s="29" t="s">
        <v>50</v>
      </c>
    </row>
    <row r="2" spans="1:10" x14ac:dyDescent="0.25">
      <c r="A2" s="35">
        <v>30072</v>
      </c>
      <c r="B2" s="30" t="s">
        <v>25</v>
      </c>
      <c r="C2" s="31">
        <v>0</v>
      </c>
      <c r="D2" s="31">
        <v>198.49</v>
      </c>
      <c r="E2" s="31">
        <v>0</v>
      </c>
      <c r="F2" s="31">
        <v>0</v>
      </c>
      <c r="G2" s="31">
        <v>0</v>
      </c>
      <c r="H2" s="31">
        <v>0</v>
      </c>
      <c r="I2" s="31">
        <v>353.75</v>
      </c>
      <c r="J2" s="31">
        <v>6</v>
      </c>
    </row>
    <row r="3" spans="1:10" x14ac:dyDescent="0.25">
      <c r="A3" s="36">
        <v>30113</v>
      </c>
      <c r="B3" s="32" t="s">
        <v>35</v>
      </c>
      <c r="C3" s="33">
        <v>1905.13</v>
      </c>
      <c r="D3" s="33">
        <v>3647.76</v>
      </c>
      <c r="E3" s="33">
        <v>629.77</v>
      </c>
      <c r="F3" s="33">
        <v>2611.17</v>
      </c>
      <c r="G3" s="33">
        <v>1588.92</v>
      </c>
      <c r="H3" s="33">
        <v>22</v>
      </c>
      <c r="I3" s="33">
        <v>3004.78</v>
      </c>
      <c r="J3" s="33">
        <v>42</v>
      </c>
    </row>
    <row r="4" spans="1:10" x14ac:dyDescent="0.25">
      <c r="A4" s="35">
        <v>30114</v>
      </c>
      <c r="B4" s="30" t="s">
        <v>26</v>
      </c>
      <c r="C4" s="31">
        <v>150.88999999999999</v>
      </c>
      <c r="D4" s="31">
        <v>1173.8699999999999</v>
      </c>
      <c r="E4" s="31">
        <v>2940.22</v>
      </c>
      <c r="F4" s="31">
        <v>4616.88</v>
      </c>
      <c r="G4" s="31">
        <v>84.59</v>
      </c>
      <c r="H4" s="31">
        <v>2</v>
      </c>
      <c r="I4" s="31">
        <v>606.04999999999995</v>
      </c>
      <c r="J4" s="31">
        <v>12</v>
      </c>
    </row>
    <row r="5" spans="1:10" x14ac:dyDescent="0.25">
      <c r="A5" s="36">
        <v>30173</v>
      </c>
      <c r="B5" s="32" t="s">
        <v>27</v>
      </c>
      <c r="C5" s="33">
        <v>819.7</v>
      </c>
      <c r="D5" s="33">
        <v>1057.83</v>
      </c>
      <c r="E5" s="33">
        <v>798.96</v>
      </c>
      <c r="F5" s="33">
        <v>1409.79</v>
      </c>
      <c r="G5" s="33">
        <v>363.43</v>
      </c>
      <c r="H5" s="33">
        <v>6</v>
      </c>
      <c r="I5" s="33">
        <v>628.79</v>
      </c>
      <c r="J5" s="33">
        <v>10</v>
      </c>
    </row>
    <row r="6" spans="1:10" x14ac:dyDescent="0.25">
      <c r="A6" s="35">
        <v>30177</v>
      </c>
      <c r="B6" s="30" t="s">
        <v>28</v>
      </c>
      <c r="C6" s="31">
        <v>338.35</v>
      </c>
      <c r="D6" s="31">
        <v>621.94000000000005</v>
      </c>
      <c r="E6" s="31">
        <v>61.3</v>
      </c>
      <c r="F6" s="31">
        <v>61.3</v>
      </c>
      <c r="G6" s="31">
        <v>0</v>
      </c>
      <c r="H6" s="31">
        <v>0</v>
      </c>
      <c r="I6" s="31">
        <v>0</v>
      </c>
      <c r="J6" s="31">
        <v>0</v>
      </c>
    </row>
    <row r="7" spans="1:10" x14ac:dyDescent="0.25">
      <c r="A7" s="36">
        <v>30223</v>
      </c>
      <c r="B7" s="32" t="s">
        <v>16</v>
      </c>
      <c r="C7" s="33">
        <v>655.14</v>
      </c>
      <c r="D7" s="33">
        <v>3826.56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</row>
    <row r="8" spans="1:10" x14ac:dyDescent="0.25">
      <c r="A8" s="35">
        <v>30238</v>
      </c>
      <c r="B8" s="30" t="s">
        <v>15</v>
      </c>
      <c r="C8" s="31">
        <v>1208.3499999999999</v>
      </c>
      <c r="D8" s="31">
        <v>3740.4</v>
      </c>
      <c r="E8" s="31">
        <v>43.55</v>
      </c>
      <c r="F8" s="31">
        <v>178.76</v>
      </c>
      <c r="G8" s="31">
        <v>0</v>
      </c>
      <c r="H8" s="31">
        <v>0</v>
      </c>
      <c r="I8" s="31">
        <v>0</v>
      </c>
      <c r="J8" s="31">
        <v>0</v>
      </c>
    </row>
    <row r="9" spans="1:10" x14ac:dyDescent="0.25">
      <c r="A9" s="36">
        <v>30275</v>
      </c>
      <c r="B9" s="32" t="s">
        <v>14</v>
      </c>
      <c r="C9" s="33">
        <v>1284.8900000000001</v>
      </c>
      <c r="D9" s="33">
        <v>2387.94</v>
      </c>
      <c r="E9" s="33">
        <v>997.87</v>
      </c>
      <c r="F9" s="33">
        <v>1804.13</v>
      </c>
      <c r="G9" s="33">
        <v>974.94</v>
      </c>
      <c r="H9" s="33">
        <v>16</v>
      </c>
      <c r="I9" s="33">
        <v>2157.7600000000002</v>
      </c>
      <c r="J9" s="33">
        <v>37</v>
      </c>
    </row>
    <row r="10" spans="1:10" x14ac:dyDescent="0.25">
      <c r="A10" s="35">
        <v>30281</v>
      </c>
      <c r="B10" s="30" t="s">
        <v>76</v>
      </c>
      <c r="C10" s="31">
        <v>302.93</v>
      </c>
      <c r="D10" s="31">
        <v>1157.67</v>
      </c>
      <c r="E10" s="31">
        <v>33.68</v>
      </c>
      <c r="F10" s="31">
        <v>893.52</v>
      </c>
      <c r="G10" s="31">
        <v>578.45000000000005</v>
      </c>
      <c r="H10" s="31">
        <v>10</v>
      </c>
      <c r="I10" s="31">
        <v>1946.33</v>
      </c>
      <c r="J10" s="31">
        <v>30</v>
      </c>
    </row>
    <row r="11" spans="1:10" x14ac:dyDescent="0.25">
      <c r="A11" s="36">
        <v>30286</v>
      </c>
      <c r="B11" s="32" t="s">
        <v>18</v>
      </c>
      <c r="C11" s="33">
        <v>20.399999999999999</v>
      </c>
      <c r="D11" s="33">
        <v>197.33</v>
      </c>
      <c r="E11" s="33">
        <v>89.73</v>
      </c>
      <c r="F11" s="33">
        <v>89.73</v>
      </c>
      <c r="G11" s="33">
        <v>131.6</v>
      </c>
      <c r="H11" s="33">
        <v>2</v>
      </c>
      <c r="I11" s="33">
        <v>308.52999999999997</v>
      </c>
      <c r="J11" s="33">
        <v>4</v>
      </c>
    </row>
    <row r="12" spans="1:10" x14ac:dyDescent="0.25">
      <c r="A12" s="35">
        <v>30308</v>
      </c>
      <c r="B12" s="30" t="s">
        <v>19</v>
      </c>
      <c r="C12" s="31">
        <v>482.6</v>
      </c>
      <c r="D12" s="31">
        <v>642.20000000000005</v>
      </c>
      <c r="E12" s="31">
        <v>387.28</v>
      </c>
      <c r="F12" s="31">
        <v>759.48</v>
      </c>
      <c r="G12" s="31">
        <v>478.1</v>
      </c>
      <c r="H12" s="31">
        <v>8</v>
      </c>
      <c r="I12" s="31">
        <v>716.84</v>
      </c>
      <c r="J12" s="31">
        <v>14</v>
      </c>
    </row>
    <row r="13" spans="1:10" x14ac:dyDescent="0.25">
      <c r="A13" s="36">
        <v>30348</v>
      </c>
      <c r="B13" s="32" t="s">
        <v>29</v>
      </c>
      <c r="C13" s="33">
        <v>239.54</v>
      </c>
      <c r="D13" s="33">
        <v>692.47</v>
      </c>
      <c r="E13" s="33">
        <v>0</v>
      </c>
      <c r="F13" s="33">
        <v>102.75</v>
      </c>
      <c r="G13" s="33">
        <v>0</v>
      </c>
      <c r="H13" s="33">
        <v>0</v>
      </c>
      <c r="I13" s="33">
        <v>0</v>
      </c>
      <c r="J13" s="33">
        <v>0</v>
      </c>
    </row>
    <row r="14" spans="1:10" x14ac:dyDescent="0.25">
      <c r="A14" s="35">
        <v>30359</v>
      </c>
      <c r="B14" s="30" t="s">
        <v>30</v>
      </c>
      <c r="C14" s="31">
        <v>435.73</v>
      </c>
      <c r="D14" s="31">
        <v>2318.62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</row>
    <row r="15" spans="1:10" x14ac:dyDescent="0.25">
      <c r="A15" s="36">
        <v>30370</v>
      </c>
      <c r="B15" s="32" t="s">
        <v>23</v>
      </c>
      <c r="C15" s="33">
        <v>2799.51</v>
      </c>
      <c r="D15" s="33">
        <v>5906.64</v>
      </c>
      <c r="E15" s="33">
        <v>1033.45</v>
      </c>
      <c r="F15" s="33">
        <v>3759.9</v>
      </c>
      <c r="G15" s="33">
        <v>761.33</v>
      </c>
      <c r="H15" s="33">
        <v>12</v>
      </c>
      <c r="I15" s="33">
        <v>1329.53</v>
      </c>
      <c r="J15" s="33">
        <v>23</v>
      </c>
    </row>
    <row r="16" spans="1:10" x14ac:dyDescent="0.25">
      <c r="A16" s="35">
        <v>30407</v>
      </c>
      <c r="B16" s="30" t="s">
        <v>36</v>
      </c>
      <c r="C16" s="31">
        <v>2132.4</v>
      </c>
      <c r="D16" s="31">
        <v>2438.35</v>
      </c>
      <c r="E16" s="31">
        <v>868.63</v>
      </c>
      <c r="F16" s="31">
        <v>2528.2199999999998</v>
      </c>
      <c r="G16" s="31">
        <v>200.2</v>
      </c>
      <c r="H16" s="31">
        <v>4</v>
      </c>
      <c r="I16" s="31">
        <v>811.55</v>
      </c>
      <c r="J16" s="31">
        <v>10</v>
      </c>
    </row>
    <row r="17" spans="1:10" x14ac:dyDescent="0.25">
      <c r="A17" s="35">
        <v>30107</v>
      </c>
      <c r="B17" s="30" t="s">
        <v>51</v>
      </c>
      <c r="C17" s="31">
        <v>0</v>
      </c>
      <c r="D17" s="31">
        <v>273.75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</row>
    <row r="18" spans="1:10" x14ac:dyDescent="0.25">
      <c r="A18" s="36">
        <v>30152</v>
      </c>
      <c r="B18" s="32" t="s">
        <v>31</v>
      </c>
      <c r="C18" s="33">
        <v>179.62</v>
      </c>
      <c r="D18" s="33">
        <v>1173.74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</row>
    <row r="19" spans="1:10" x14ac:dyDescent="0.25">
      <c r="A19" s="35">
        <v>30155</v>
      </c>
      <c r="B19" s="30" t="s">
        <v>32</v>
      </c>
      <c r="C19" s="31">
        <v>181.63</v>
      </c>
      <c r="D19" s="31">
        <v>545.74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</row>
    <row r="20" spans="1:10" x14ac:dyDescent="0.25">
      <c r="A20" s="36">
        <v>30163</v>
      </c>
      <c r="B20" s="32" t="s">
        <v>37</v>
      </c>
      <c r="C20" s="33">
        <v>2821.58</v>
      </c>
      <c r="D20" s="33">
        <v>3363.16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</row>
    <row r="21" spans="1:10" x14ac:dyDescent="0.25">
      <c r="A21" s="35">
        <v>30196</v>
      </c>
      <c r="B21" s="30" t="s">
        <v>33</v>
      </c>
      <c r="C21" s="31">
        <v>993.79</v>
      </c>
      <c r="D21" s="31">
        <v>2635.26</v>
      </c>
      <c r="E21" s="31">
        <v>45.39</v>
      </c>
      <c r="F21" s="31">
        <v>169.21</v>
      </c>
      <c r="G21" s="31">
        <v>0</v>
      </c>
      <c r="H21" s="31">
        <v>0</v>
      </c>
      <c r="I21" s="31">
        <v>79.95</v>
      </c>
      <c r="J21" s="31">
        <v>2</v>
      </c>
    </row>
    <row r="22" spans="1:10" x14ac:dyDescent="0.25">
      <c r="A22" s="36">
        <v>30265</v>
      </c>
      <c r="B22" s="32" t="s">
        <v>34</v>
      </c>
      <c r="C22" s="33">
        <v>1480.68</v>
      </c>
      <c r="D22" s="33">
        <v>1863.1</v>
      </c>
      <c r="E22" s="33">
        <v>0</v>
      </c>
      <c r="F22" s="33">
        <v>0</v>
      </c>
      <c r="G22" s="33">
        <v>0</v>
      </c>
      <c r="H22" s="33">
        <v>0</v>
      </c>
      <c r="I22" s="33">
        <v>36.22</v>
      </c>
      <c r="J22" s="33">
        <v>1</v>
      </c>
    </row>
    <row r="23" spans="1:10" x14ac:dyDescent="0.25">
      <c r="A23" s="35">
        <v>30325</v>
      </c>
      <c r="B23" s="30" t="s">
        <v>17</v>
      </c>
      <c r="C23" s="31">
        <v>-171.26</v>
      </c>
      <c r="D23" s="31">
        <v>561.33000000000004</v>
      </c>
      <c r="E23" s="31">
        <v>151.19999999999999</v>
      </c>
      <c r="F23" s="31">
        <v>385.2</v>
      </c>
      <c r="G23" s="31">
        <v>0</v>
      </c>
      <c r="H23" s="31">
        <v>0</v>
      </c>
      <c r="I23" s="31">
        <v>0</v>
      </c>
      <c r="J23" s="3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1" tint="4.9989318521683403E-2"/>
  </sheetPr>
  <dimension ref="A1:K120"/>
  <sheetViews>
    <sheetView showGridLines="0" tabSelected="1" zoomScale="145" zoomScaleNormal="145" workbookViewId="0">
      <selection activeCell="I5" sqref="I5"/>
    </sheetView>
  </sheetViews>
  <sheetFormatPr baseColWidth="10" defaultColWidth="11.42578125" defaultRowHeight="15" x14ac:dyDescent="0.25"/>
  <cols>
    <col min="1" max="16384" width="11.42578125" style="5"/>
  </cols>
  <sheetData>
    <row r="1" spans="1:11" ht="15" customHeight="1" x14ac:dyDescent="0.25">
      <c r="A1" s="199"/>
      <c r="B1" s="200"/>
      <c r="C1" s="191" t="s">
        <v>67</v>
      </c>
      <c r="D1" s="192"/>
      <c r="E1" s="192"/>
      <c r="F1" s="192"/>
      <c r="G1" s="193"/>
      <c r="H1" s="194"/>
      <c r="I1" s="6"/>
      <c r="J1" s="231" t="s">
        <v>71</v>
      </c>
      <c r="K1" s="228"/>
    </row>
    <row r="2" spans="1:11" ht="15" customHeight="1" x14ac:dyDescent="0.25">
      <c r="A2" s="201"/>
      <c r="B2" s="202"/>
      <c r="C2" s="192"/>
      <c r="D2" s="192"/>
      <c r="E2" s="192"/>
      <c r="F2" s="192"/>
      <c r="G2" s="195"/>
      <c r="H2" s="196"/>
      <c r="I2" s="6"/>
      <c r="J2" s="228"/>
      <c r="K2" s="228"/>
    </row>
    <row r="3" spans="1:11" ht="15" customHeight="1" x14ac:dyDescent="0.25">
      <c r="A3" s="203"/>
      <c r="B3" s="204"/>
      <c r="C3" s="192"/>
      <c r="D3" s="192"/>
      <c r="E3" s="192"/>
      <c r="F3" s="192"/>
      <c r="G3" s="197"/>
      <c r="H3" s="198"/>
      <c r="I3" s="6"/>
      <c r="J3" s="228"/>
      <c r="K3" s="228"/>
    </row>
    <row r="4" spans="1:11" ht="15" customHeight="1" x14ac:dyDescent="0.25">
      <c r="A4" s="24" t="s">
        <v>41</v>
      </c>
      <c r="B4" s="27">
        <f>29469/2</f>
        <v>14734.5</v>
      </c>
      <c r="C4" s="225" t="s">
        <v>20</v>
      </c>
      <c r="D4" s="205"/>
      <c r="E4" s="205"/>
      <c r="F4" s="206"/>
      <c r="G4" s="186" t="s">
        <v>8</v>
      </c>
      <c r="H4" s="188" t="str">
        <f ca="1">TEXT(EDATE(TODAY(),-1),"MMMM AAAA")</f>
        <v>février 2020</v>
      </c>
      <c r="I4" s="6"/>
    </row>
    <row r="5" spans="1:11" ht="15" customHeight="1" x14ac:dyDescent="0.25">
      <c r="A5" s="24" t="s">
        <v>42</v>
      </c>
      <c r="B5" s="27">
        <f>C71+C88</f>
        <v>4192.07</v>
      </c>
      <c r="C5" s="226"/>
      <c r="D5" s="207"/>
      <c r="E5" s="207"/>
      <c r="F5" s="181"/>
      <c r="G5" s="187"/>
      <c r="H5" s="188"/>
    </row>
    <row r="6" spans="1:11" ht="14.45" customHeight="1" x14ac:dyDescent="0.25">
      <c r="A6" s="24" t="s">
        <v>43</v>
      </c>
      <c r="B6" s="26">
        <f>B5/B4</f>
        <v>0.28450710916556382</v>
      </c>
      <c r="C6" s="227"/>
      <c r="D6" s="208"/>
      <c r="E6" s="208"/>
      <c r="F6" s="209"/>
      <c r="G6" s="7" t="s">
        <v>9</v>
      </c>
      <c r="H6" s="4">
        <v>30275</v>
      </c>
    </row>
    <row r="7" spans="1:11" ht="5.0999999999999996" customHeight="1" x14ac:dyDescent="0.25">
      <c r="D7" s="8"/>
      <c r="E7" s="8"/>
      <c r="F7" s="8"/>
      <c r="G7" s="9"/>
      <c r="H7" s="10"/>
    </row>
    <row r="8" spans="1:11" ht="15" customHeight="1" x14ac:dyDescent="0.25">
      <c r="A8" s="163" t="s">
        <v>38</v>
      </c>
      <c r="B8" s="164"/>
      <c r="C8" s="164"/>
      <c r="D8" s="164"/>
      <c r="E8" s="164"/>
      <c r="F8" s="164"/>
      <c r="G8" s="164"/>
      <c r="H8" s="165"/>
    </row>
    <row r="9" spans="1:11" ht="8.1" customHeight="1" thickBot="1" x14ac:dyDescent="0.35">
      <c r="C9" s="11"/>
    </row>
    <row r="10" spans="1:11" ht="15" customHeight="1" thickBot="1" x14ac:dyDescent="0.3">
      <c r="A10" s="12"/>
      <c r="B10" s="13"/>
      <c r="C10" s="62" t="s">
        <v>0</v>
      </c>
      <c r="D10" s="124"/>
      <c r="E10" s="124" t="s">
        <v>1</v>
      </c>
      <c r="F10" s="124"/>
      <c r="G10" s="124" t="s">
        <v>2</v>
      </c>
      <c r="H10" s="125"/>
    </row>
    <row r="11" spans="1:11" x14ac:dyDescent="0.25">
      <c r="A11" s="182" t="s">
        <v>68</v>
      </c>
      <c r="B11" s="183"/>
      <c r="C11" s="41" t="e">
        <f>IF(ISNA(VLOOKUP($H$6,#REF!,3,FALSE)),"0",VLOOKUP($H$6,#REF!,3,FALSE))</f>
        <v>#REF!</v>
      </c>
      <c r="D11" s="41"/>
      <c r="E11" s="41" t="e">
        <f>IF(ISNA(VLOOKUP($H$6,#REF!,4,FALSE)),"0",VLOOKUP($H$6,#REF!,4,FALSE))</f>
        <v>#REF!</v>
      </c>
      <c r="F11" s="41"/>
      <c r="G11" s="41" t="e">
        <f>IF(ISNA(VLOOKUP($H$6,#REF!,5,FALSE)),"0",VLOOKUP($H$6,#REF!,5,FALSE))</f>
        <v>#REF!</v>
      </c>
      <c r="H11" s="41"/>
    </row>
    <row r="12" spans="1:11" x14ac:dyDescent="0.25">
      <c r="A12" s="184"/>
      <c r="B12" s="185"/>
      <c r="C12" s="41"/>
      <c r="D12" s="41"/>
      <c r="E12" s="41"/>
      <c r="F12" s="41"/>
      <c r="G12" s="41"/>
      <c r="H12" s="41"/>
    </row>
    <row r="13" spans="1:11" x14ac:dyDescent="0.25">
      <c r="A13" s="173" t="s">
        <v>58</v>
      </c>
      <c r="B13" s="174"/>
      <c r="C13" s="141">
        <v>0.01</v>
      </c>
      <c r="D13" s="141"/>
      <c r="E13" s="141">
        <v>0.02</v>
      </c>
      <c r="F13" s="41"/>
      <c r="G13" s="141">
        <v>0.03</v>
      </c>
      <c r="H13" s="144"/>
    </row>
    <row r="14" spans="1:11" ht="15.75" thickBot="1" x14ac:dyDescent="0.3">
      <c r="A14" s="175"/>
      <c r="B14" s="176"/>
      <c r="C14" s="142"/>
      <c r="D14" s="142"/>
      <c r="E14" s="143"/>
      <c r="F14" s="143"/>
      <c r="G14" s="142"/>
      <c r="H14" s="145"/>
    </row>
    <row r="15" spans="1:11" ht="8.1" customHeight="1" thickBot="1" x14ac:dyDescent="0.3"/>
    <row r="16" spans="1:11" ht="15.75" thickBot="1" x14ac:dyDescent="0.3">
      <c r="A16" s="12"/>
      <c r="B16" s="13"/>
      <c r="C16" s="62" t="s">
        <v>0</v>
      </c>
      <c r="D16" s="124"/>
      <c r="E16" s="124" t="s">
        <v>1</v>
      </c>
      <c r="F16" s="124"/>
      <c r="G16" s="124" t="s">
        <v>2</v>
      </c>
      <c r="H16" s="125"/>
    </row>
    <row r="17" spans="1:8" x14ac:dyDescent="0.25">
      <c r="A17" s="166" t="s">
        <v>3</v>
      </c>
      <c r="B17" s="167"/>
      <c r="C17" s="168" t="e">
        <f>C11/6</f>
        <v>#REF!</v>
      </c>
      <c r="D17" s="168"/>
      <c r="E17" s="168" t="e">
        <f t="shared" ref="E17" si="0">E11/6</f>
        <v>#REF!</v>
      </c>
      <c r="F17" s="168"/>
      <c r="G17" s="168" t="e">
        <f t="shared" ref="G17" si="1">G11/6</f>
        <v>#REF!</v>
      </c>
      <c r="H17" s="168"/>
    </row>
    <row r="18" spans="1:8" x14ac:dyDescent="0.25">
      <c r="A18" s="162"/>
      <c r="B18" s="161"/>
      <c r="C18" s="168"/>
      <c r="D18" s="168"/>
      <c r="E18" s="168"/>
      <c r="F18" s="168"/>
      <c r="G18" s="168"/>
      <c r="H18" s="168"/>
    </row>
    <row r="19" spans="1:8" x14ac:dyDescent="0.25">
      <c r="A19" s="37" t="s">
        <v>6</v>
      </c>
      <c r="B19" s="38"/>
      <c r="C19" s="59" t="e">
        <f>IF(C21&gt;=C17,"Palier 1 atteint",C17-C21)</f>
        <v>#REF!</v>
      </c>
      <c r="D19" s="151"/>
      <c r="E19" s="59" t="e">
        <f>IF(C21&gt;=E17,"Palier 2 atteint",E17-C21)</f>
        <v>#REF!</v>
      </c>
      <c r="F19" s="59"/>
      <c r="G19" s="59" t="e">
        <f>IF(C21&gt;=G17,"Palier 3 atteint",G17-C21)</f>
        <v>#REF!</v>
      </c>
      <c r="H19" s="60"/>
    </row>
    <row r="20" spans="1:8" x14ac:dyDescent="0.25">
      <c r="A20" s="39"/>
      <c r="B20" s="40"/>
      <c r="C20" s="152"/>
      <c r="D20" s="153"/>
      <c r="E20" s="59"/>
      <c r="F20" s="59"/>
      <c r="G20" s="59"/>
      <c r="H20" s="60"/>
    </row>
    <row r="21" spans="1:8" x14ac:dyDescent="0.25">
      <c r="A21" s="162" t="s">
        <v>5</v>
      </c>
      <c r="B21" s="161"/>
      <c r="C21" s="117">
        <f>IF(ISNA(VLOOKUP($H$6,Base!1:1048576,3,FALSE)),"0",VLOOKUP($H$6,Base!1:1048576,3,FALSE))</f>
        <v>1284.8900000000001</v>
      </c>
      <c r="D21" s="118"/>
      <c r="E21" s="118"/>
      <c r="F21" s="118"/>
      <c r="G21" s="118"/>
      <c r="H21" s="119"/>
    </row>
    <row r="22" spans="1:8" x14ac:dyDescent="0.25">
      <c r="A22" s="179"/>
      <c r="B22" s="180"/>
      <c r="C22" s="120"/>
      <c r="D22" s="121"/>
      <c r="E22" s="121"/>
      <c r="F22" s="121"/>
      <c r="G22" s="121"/>
      <c r="H22" s="122"/>
    </row>
    <row r="23" spans="1:8" ht="5.0999999999999996" customHeight="1" x14ac:dyDescent="0.25">
      <c r="A23" s="177"/>
      <c r="B23" s="177"/>
      <c r="C23" s="178"/>
      <c r="D23" s="178"/>
      <c r="E23" s="178"/>
      <c r="F23" s="178"/>
      <c r="G23" s="178"/>
      <c r="H23" s="178"/>
    </row>
    <row r="24" spans="1:8" ht="15" customHeight="1" x14ac:dyDescent="0.25">
      <c r="A24" s="146" t="s">
        <v>39</v>
      </c>
      <c r="B24" s="147"/>
      <c r="C24" s="147"/>
      <c r="D24" s="147"/>
      <c r="E24" s="147"/>
      <c r="F24" s="147"/>
      <c r="G24" s="147"/>
      <c r="H24" s="148"/>
    </row>
    <row r="25" spans="1:8" ht="8.1" customHeight="1" thickBot="1" x14ac:dyDescent="0.3">
      <c r="A25" s="20"/>
      <c r="B25" s="20"/>
      <c r="C25" s="21"/>
      <c r="D25" s="21"/>
      <c r="E25" s="21"/>
      <c r="F25" s="21"/>
      <c r="G25" s="21"/>
      <c r="H25" s="21"/>
    </row>
    <row r="26" spans="1:8" ht="15.75" thickBot="1" x14ac:dyDescent="0.3">
      <c r="A26" s="12"/>
      <c r="B26" s="13"/>
      <c r="C26" s="61" t="s">
        <v>0</v>
      </c>
      <c r="D26" s="62"/>
      <c r="E26" s="63" t="s">
        <v>1</v>
      </c>
      <c r="F26" s="62"/>
      <c r="G26" s="63" t="s">
        <v>2</v>
      </c>
      <c r="H26" s="64"/>
    </row>
    <row r="27" spans="1:8" ht="15" customHeight="1" x14ac:dyDescent="0.25">
      <c r="A27" s="65" t="s">
        <v>69</v>
      </c>
      <c r="B27" s="66"/>
      <c r="C27" s="69" t="e">
        <f>IF(ISNA(VLOOKUP($H$6,#REF!,6,FALSE)),"0",VLOOKUP($H$6,#REF!,6,FALSE))</f>
        <v>#REF!</v>
      </c>
      <c r="D27" s="70"/>
      <c r="E27" s="69" t="e">
        <f>IF(ISNA(VLOOKUP($H$6,#REF!,7,FALSE)),"0",VLOOKUP($H$6,#REF!,7,FALSE))</f>
        <v>#REF!</v>
      </c>
      <c r="F27" s="70"/>
      <c r="G27" s="69" t="e">
        <f>IF(ISNA(VLOOKUP($H$6,#REF!,8,FALSE)),"0",VLOOKUP($H$6,#REF!,8,FALSE))</f>
        <v>#REF!</v>
      </c>
      <c r="H27" s="70"/>
    </row>
    <row r="28" spans="1:8" x14ac:dyDescent="0.25">
      <c r="A28" s="67"/>
      <c r="B28" s="68"/>
      <c r="C28" s="71"/>
      <c r="D28" s="72"/>
      <c r="E28" s="71"/>
      <c r="F28" s="72"/>
      <c r="G28" s="71"/>
      <c r="H28" s="72"/>
    </row>
    <row r="29" spans="1:8" ht="20.100000000000001" customHeight="1" x14ac:dyDescent="0.25">
      <c r="A29" s="173" t="s">
        <v>58</v>
      </c>
      <c r="B29" s="174"/>
      <c r="C29" s="141">
        <v>0.02</v>
      </c>
      <c r="D29" s="141"/>
      <c r="E29" s="141">
        <v>0.03</v>
      </c>
      <c r="F29" s="41"/>
      <c r="G29" s="141">
        <v>4.4999999999999998E-2</v>
      </c>
      <c r="H29" s="144"/>
    </row>
    <row r="30" spans="1:8" ht="15.75" thickBot="1" x14ac:dyDescent="0.3">
      <c r="A30" s="175"/>
      <c r="B30" s="176"/>
      <c r="C30" s="142"/>
      <c r="D30" s="142"/>
      <c r="E30" s="143"/>
      <c r="F30" s="143"/>
      <c r="G30" s="142"/>
      <c r="H30" s="145"/>
    </row>
    <row r="31" spans="1:8" ht="8.1" customHeight="1" thickBot="1" x14ac:dyDescent="0.3">
      <c r="A31" s="14"/>
      <c r="B31" s="14"/>
      <c r="C31" s="123"/>
      <c r="D31" s="123"/>
      <c r="E31" s="123"/>
      <c r="F31" s="123"/>
      <c r="G31" s="123"/>
      <c r="H31" s="123"/>
    </row>
    <row r="32" spans="1:8" ht="15.75" thickBot="1" x14ac:dyDescent="0.3">
      <c r="A32" s="12"/>
      <c r="B32" s="13"/>
      <c r="C32" s="62" t="s">
        <v>0</v>
      </c>
      <c r="D32" s="124"/>
      <c r="E32" s="124" t="s">
        <v>1</v>
      </c>
      <c r="F32" s="124"/>
      <c r="G32" s="124" t="s">
        <v>2</v>
      </c>
      <c r="H32" s="125"/>
    </row>
    <row r="33" spans="1:8" x14ac:dyDescent="0.25">
      <c r="A33" s="166" t="s">
        <v>3</v>
      </c>
      <c r="B33" s="167"/>
      <c r="C33" s="168" t="e">
        <f>C27/6</f>
        <v>#REF!</v>
      </c>
      <c r="D33" s="169"/>
      <c r="E33" s="168" t="e">
        <f t="shared" ref="E33" si="2">E27/6</f>
        <v>#REF!</v>
      </c>
      <c r="F33" s="169"/>
      <c r="G33" s="168" t="e">
        <f t="shared" ref="G33" si="3">G27/6</f>
        <v>#REF!</v>
      </c>
      <c r="H33" s="169"/>
    </row>
    <row r="34" spans="1:8" x14ac:dyDescent="0.25">
      <c r="A34" s="162"/>
      <c r="B34" s="161"/>
      <c r="C34" s="170"/>
      <c r="D34" s="171"/>
      <c r="E34" s="170"/>
      <c r="F34" s="171"/>
      <c r="G34" s="170"/>
      <c r="H34" s="171"/>
    </row>
    <row r="35" spans="1:8" x14ac:dyDescent="0.25">
      <c r="A35" s="37" t="s">
        <v>6</v>
      </c>
      <c r="B35" s="38"/>
      <c r="C35" s="59" t="e">
        <f>IF(C37&gt;=C33,"Palier 1 atteint",C33-C37)</f>
        <v>#REF!</v>
      </c>
      <c r="D35" s="151"/>
      <c r="E35" s="59" t="e">
        <f>IF(C37&gt;=E33,"Palier 2 atteint",E33-C37)</f>
        <v>#REF!</v>
      </c>
      <c r="F35" s="59"/>
      <c r="G35" s="59" t="e">
        <f>IF(C37&gt;=G33,"Palier 3 atteint",G33-C37)</f>
        <v>#REF!</v>
      </c>
      <c r="H35" s="60"/>
    </row>
    <row r="36" spans="1:8" x14ac:dyDescent="0.25">
      <c r="A36" s="39"/>
      <c r="B36" s="40"/>
      <c r="C36" s="152"/>
      <c r="D36" s="153"/>
      <c r="E36" s="59"/>
      <c r="F36" s="59"/>
      <c r="G36" s="59"/>
      <c r="H36" s="60"/>
    </row>
    <row r="37" spans="1:8" x14ac:dyDescent="0.25">
      <c r="A37" s="162" t="s">
        <v>5</v>
      </c>
      <c r="B37" s="161"/>
      <c r="C37" s="117">
        <f>IF(ISNA(VLOOKUP($H$6,Base!1:1048576,5,FALSE)),"0",VLOOKUP($H$6,Base!1:1048576,5,FALSE))</f>
        <v>997.87</v>
      </c>
      <c r="D37" s="118"/>
      <c r="E37" s="118"/>
      <c r="F37" s="118"/>
      <c r="G37" s="118"/>
      <c r="H37" s="119"/>
    </row>
    <row r="38" spans="1:8" x14ac:dyDescent="0.25">
      <c r="A38" s="162"/>
      <c r="B38" s="161"/>
      <c r="C38" s="120"/>
      <c r="D38" s="121"/>
      <c r="E38" s="121"/>
      <c r="F38" s="121"/>
      <c r="G38" s="121"/>
      <c r="H38" s="122"/>
    </row>
    <row r="39" spans="1:8" ht="5.0999999999999996" customHeight="1" x14ac:dyDescent="0.25">
      <c r="A39" s="1"/>
      <c r="B39" s="1"/>
      <c r="C39" s="2"/>
      <c r="D39" s="2"/>
      <c r="E39" s="2"/>
      <c r="F39" s="2"/>
      <c r="G39" s="2"/>
      <c r="H39" s="2"/>
    </row>
    <row r="40" spans="1:8" ht="15" customHeight="1" x14ac:dyDescent="0.25">
      <c r="A40" s="107" t="s">
        <v>40</v>
      </c>
      <c r="B40" s="108"/>
      <c r="C40" s="108"/>
      <c r="D40" s="108"/>
      <c r="E40" s="108"/>
      <c r="F40" s="108"/>
      <c r="G40" s="108"/>
      <c r="H40" s="109"/>
    </row>
    <row r="41" spans="1:8" ht="8.1" customHeight="1" thickBot="1" x14ac:dyDescent="0.3"/>
    <row r="42" spans="1:8" ht="15.75" thickBot="1" x14ac:dyDescent="0.3">
      <c r="A42" s="12"/>
      <c r="B42" s="13"/>
      <c r="C42" s="61" t="s">
        <v>0</v>
      </c>
      <c r="D42" s="62"/>
      <c r="E42" s="63" t="s">
        <v>1</v>
      </c>
      <c r="F42" s="62"/>
      <c r="G42" s="63" t="s">
        <v>2</v>
      </c>
      <c r="H42" s="64"/>
    </row>
    <row r="43" spans="1:8" ht="15" customHeight="1" x14ac:dyDescent="0.25">
      <c r="A43" s="65" t="s">
        <v>70</v>
      </c>
      <c r="B43" s="66"/>
      <c r="C43" s="69" t="e">
        <f>IF(ISNA(VLOOKUP($H$6,#REF!,9,FALSE)),"0",VLOOKUP($H$6,#REF!,9,FALSE))</f>
        <v>#REF!</v>
      </c>
      <c r="D43" s="70"/>
      <c r="E43" s="69" t="e">
        <f>IF(ISNA(VLOOKUP($H$6,#REF!,10,FALSE)),"0",VLOOKUP($H$6,#REF!,10,FALSE))</f>
        <v>#REF!</v>
      </c>
      <c r="F43" s="70"/>
      <c r="G43" s="69" t="e">
        <f>IF(ISNA(VLOOKUP($H$6,#REF!,11,FALSE)),"0",VLOOKUP($H$6,#REF!,11,FALSE))</f>
        <v>#REF!</v>
      </c>
      <c r="H43" s="70"/>
    </row>
    <row r="44" spans="1:8" x14ac:dyDescent="0.25">
      <c r="A44" s="67"/>
      <c r="B44" s="68"/>
      <c r="C44" s="71"/>
      <c r="D44" s="72"/>
      <c r="E44" s="71"/>
      <c r="F44" s="72"/>
      <c r="G44" s="71"/>
      <c r="H44" s="72"/>
    </row>
    <row r="45" spans="1:8" x14ac:dyDescent="0.25">
      <c r="A45" s="73" t="s">
        <v>58</v>
      </c>
      <c r="B45" s="74"/>
      <c r="C45" s="77">
        <v>0.01</v>
      </c>
      <c r="D45" s="78"/>
      <c r="E45" s="77">
        <v>0.02</v>
      </c>
      <c r="F45" s="78"/>
      <c r="G45" s="77">
        <v>0.03</v>
      </c>
      <c r="H45" s="81"/>
    </row>
    <row r="46" spans="1:8" ht="15.75" thickBot="1" x14ac:dyDescent="0.3">
      <c r="A46" s="75"/>
      <c r="B46" s="76"/>
      <c r="C46" s="79"/>
      <c r="D46" s="80"/>
      <c r="E46" s="79"/>
      <c r="F46" s="80"/>
      <c r="G46" s="79"/>
      <c r="H46" s="82"/>
    </row>
    <row r="47" spans="1:8" ht="8.1" customHeight="1" thickBot="1" x14ac:dyDescent="0.3">
      <c r="A47" s="15"/>
      <c r="B47" s="16"/>
      <c r="C47" s="16"/>
      <c r="D47" s="16"/>
      <c r="E47" s="16"/>
      <c r="F47" s="16"/>
      <c r="G47" s="16"/>
      <c r="H47" s="16"/>
    </row>
    <row r="48" spans="1:8" ht="15.75" thickBot="1" x14ac:dyDescent="0.3">
      <c r="A48" s="12"/>
      <c r="B48" s="13"/>
      <c r="C48" s="62" t="s">
        <v>0</v>
      </c>
      <c r="D48" s="124"/>
      <c r="E48" s="124" t="s">
        <v>1</v>
      </c>
      <c r="F48" s="124"/>
      <c r="G48" s="124" t="s">
        <v>2</v>
      </c>
      <c r="H48" s="125"/>
    </row>
    <row r="49" spans="1:8" ht="15" customHeight="1" x14ac:dyDescent="0.25">
      <c r="A49" s="172" t="s">
        <v>7</v>
      </c>
      <c r="B49" s="167"/>
      <c r="C49" s="168" t="e">
        <f>C43/6</f>
        <v>#REF!</v>
      </c>
      <c r="D49" s="169"/>
      <c r="E49" s="168" t="e">
        <f t="shared" ref="E49" si="4">E43/6</f>
        <v>#REF!</v>
      </c>
      <c r="F49" s="169"/>
      <c r="G49" s="168" t="e">
        <f t="shared" ref="G49" si="5">G43/6</f>
        <v>#REF!</v>
      </c>
      <c r="H49" s="169"/>
    </row>
    <row r="50" spans="1:8" ht="15" customHeight="1" x14ac:dyDescent="0.25">
      <c r="A50" s="162"/>
      <c r="B50" s="161"/>
      <c r="C50" s="170"/>
      <c r="D50" s="171"/>
      <c r="E50" s="170"/>
      <c r="F50" s="171"/>
      <c r="G50" s="170"/>
      <c r="H50" s="171"/>
    </row>
    <row r="51" spans="1:8" x14ac:dyDescent="0.25">
      <c r="A51" s="37" t="s">
        <v>10</v>
      </c>
      <c r="B51" s="38"/>
      <c r="C51" s="59" t="e">
        <f>IF(C53&gt;=C49,"Palier 1 atteint",C49-C53)</f>
        <v>#REF!</v>
      </c>
      <c r="D51" s="151"/>
      <c r="E51" s="59" t="e">
        <f>IF(C53&gt;=E49,"Palier 2 atteint",E49-C53)</f>
        <v>#REF!</v>
      </c>
      <c r="F51" s="59"/>
      <c r="G51" s="59" t="e">
        <f>IF(C53&gt;=G49,"Palier 3 atteint",G49-C53)</f>
        <v>#REF!</v>
      </c>
      <c r="H51" s="60"/>
    </row>
    <row r="52" spans="1:8" ht="15.75" customHeight="1" x14ac:dyDescent="0.25">
      <c r="A52" s="39"/>
      <c r="B52" s="40"/>
      <c r="C52" s="152"/>
      <c r="D52" s="153"/>
      <c r="E52" s="59"/>
      <c r="F52" s="59"/>
      <c r="G52" s="59"/>
      <c r="H52" s="60"/>
    </row>
    <row r="53" spans="1:8" ht="15.75" customHeight="1" x14ac:dyDescent="0.25">
      <c r="A53" s="160" t="s">
        <v>11</v>
      </c>
      <c r="B53" s="161"/>
      <c r="C53" s="117">
        <f>IF(ISNA(VLOOKUP($H$6,Base!1:1048576,8,FALSE)),"0",VLOOKUP($H$6,Base!1:1048576,8,FALSE))</f>
        <v>16</v>
      </c>
      <c r="D53" s="118"/>
      <c r="E53" s="118"/>
      <c r="F53" s="118"/>
      <c r="G53" s="118"/>
      <c r="H53" s="119"/>
    </row>
    <row r="54" spans="1:8" ht="19.5" customHeight="1" x14ac:dyDescent="0.25">
      <c r="A54" s="162"/>
      <c r="B54" s="161"/>
      <c r="C54" s="120"/>
      <c r="D54" s="121"/>
      <c r="E54" s="121"/>
      <c r="F54" s="121"/>
      <c r="G54" s="121"/>
      <c r="H54" s="122"/>
    </row>
    <row r="55" spans="1:8" ht="19.5" customHeight="1" x14ac:dyDescent="0.25">
      <c r="A55" s="189" t="s">
        <v>21</v>
      </c>
      <c r="B55" s="189"/>
      <c r="C55" s="189"/>
      <c r="D55" s="189"/>
      <c r="E55" s="190" t="s">
        <v>22</v>
      </c>
      <c r="F55" s="190"/>
      <c r="G55" s="190"/>
      <c r="H55" s="190"/>
    </row>
    <row r="56" spans="1:8" ht="19.5" customHeight="1" x14ac:dyDescent="0.25"/>
    <row r="57" spans="1:8" ht="19.5" customHeight="1" thickBot="1" x14ac:dyDescent="0.3"/>
    <row r="58" spans="1:8" ht="30" customHeight="1" thickTop="1" thickBot="1" x14ac:dyDescent="0.3">
      <c r="A58" s="157" t="s">
        <v>52</v>
      </c>
      <c r="B58" s="158"/>
      <c r="C58" s="158"/>
      <c r="D58" s="158"/>
      <c r="E58" s="158"/>
      <c r="F58" s="158"/>
      <c r="G58" s="158"/>
      <c r="H58" s="159"/>
    </row>
    <row r="59" spans="1:8" ht="9.9499999999999993" customHeight="1" thickTop="1" x14ac:dyDescent="0.25">
      <c r="A59" s="17"/>
      <c r="B59" s="17"/>
      <c r="C59" s="17"/>
      <c r="D59" s="17"/>
      <c r="E59" s="17"/>
      <c r="F59" s="17"/>
      <c r="G59" s="17"/>
      <c r="H59" s="17"/>
    </row>
    <row r="60" spans="1:8" ht="15" customHeight="1" x14ac:dyDescent="0.25">
      <c r="A60" s="163" t="s">
        <v>57</v>
      </c>
      <c r="B60" s="164"/>
      <c r="C60" s="164"/>
      <c r="D60" s="164"/>
      <c r="E60" s="164"/>
      <c r="F60" s="164"/>
      <c r="G60" s="164"/>
      <c r="H60" s="165"/>
    </row>
    <row r="61" spans="1:8" ht="8.1" customHeight="1" thickBot="1" x14ac:dyDescent="0.35">
      <c r="C61" s="11"/>
    </row>
    <row r="62" spans="1:8" ht="15.75" thickBot="1" x14ac:dyDescent="0.3">
      <c r="A62" s="12"/>
      <c r="B62" s="13"/>
      <c r="C62" s="62" t="s">
        <v>0</v>
      </c>
      <c r="D62" s="124"/>
      <c r="E62" s="124" t="s">
        <v>1</v>
      </c>
      <c r="F62" s="124"/>
      <c r="G62" s="124" t="s">
        <v>2</v>
      </c>
      <c r="H62" s="125"/>
    </row>
    <row r="63" spans="1:8" ht="14.1" customHeight="1" x14ac:dyDescent="0.25">
      <c r="A63" s="43" t="s">
        <v>53</v>
      </c>
      <c r="B63" s="44"/>
      <c r="C63" s="154" t="e">
        <f>C11</f>
        <v>#REF!</v>
      </c>
      <c r="D63" s="155"/>
      <c r="E63" s="154" t="e">
        <f>E11</f>
        <v>#REF!</v>
      </c>
      <c r="F63" s="155"/>
      <c r="G63" s="154" t="e">
        <f>G11</f>
        <v>#REF!</v>
      </c>
      <c r="H63" s="156"/>
    </row>
    <row r="64" spans="1:8" ht="14.1" customHeight="1" x14ac:dyDescent="0.25">
      <c r="A64" s="45"/>
      <c r="B64" s="46"/>
      <c r="C64" s="155"/>
      <c r="D64" s="155"/>
      <c r="E64" s="155"/>
      <c r="F64" s="155"/>
      <c r="G64" s="155"/>
      <c r="H64" s="156"/>
    </row>
    <row r="65" spans="1:8" x14ac:dyDescent="0.25">
      <c r="A65" s="39" t="s">
        <v>58</v>
      </c>
      <c r="B65" s="40"/>
      <c r="C65" s="141">
        <f>C13</f>
        <v>0.01</v>
      </c>
      <c r="D65" s="141"/>
      <c r="E65" s="141">
        <f>E13</f>
        <v>0.02</v>
      </c>
      <c r="F65" s="141"/>
      <c r="G65" s="141">
        <f>G13</f>
        <v>0.03</v>
      </c>
      <c r="H65" s="144"/>
    </row>
    <row r="66" spans="1:8" ht="15.75" thickBot="1" x14ac:dyDescent="0.3">
      <c r="A66" s="139"/>
      <c r="B66" s="140"/>
      <c r="C66" s="142"/>
      <c r="D66" s="142"/>
      <c r="E66" s="142"/>
      <c r="F66" s="142"/>
      <c r="G66" s="142"/>
      <c r="H66" s="145"/>
    </row>
    <row r="67" spans="1:8" ht="8.1" customHeight="1" thickBot="1" x14ac:dyDescent="0.3"/>
    <row r="68" spans="1:8" ht="15.75" thickBot="1" x14ac:dyDescent="0.3">
      <c r="A68" s="12"/>
      <c r="B68" s="13"/>
      <c r="C68" s="62" t="s">
        <v>0</v>
      </c>
      <c r="D68" s="124"/>
      <c r="E68" s="124" t="s">
        <v>1</v>
      </c>
      <c r="F68" s="124"/>
      <c r="G68" s="124" t="s">
        <v>2</v>
      </c>
      <c r="H68" s="125"/>
    </row>
    <row r="69" spans="1:8" x14ac:dyDescent="0.25">
      <c r="A69" s="37" t="s">
        <v>54</v>
      </c>
      <c r="B69" s="38"/>
      <c r="C69" s="59" t="e">
        <f>IF(C71&gt;=C63,"Palier 1 atteint",C63-C71)</f>
        <v>#REF!</v>
      </c>
      <c r="D69" s="151"/>
      <c r="E69" s="59" t="e">
        <f>IF(C71&gt;=E63,"Palier 2 atteint",E63-C71)</f>
        <v>#REF!</v>
      </c>
      <c r="F69" s="59"/>
      <c r="G69" s="59" t="e">
        <f>IF(C71&gt;=G63,"Palier 3 atteint",G63-C71)</f>
        <v>#REF!</v>
      </c>
      <c r="H69" s="60"/>
    </row>
    <row r="70" spans="1:8" x14ac:dyDescent="0.25">
      <c r="A70" s="39"/>
      <c r="B70" s="40"/>
      <c r="C70" s="152"/>
      <c r="D70" s="153"/>
      <c r="E70" s="59"/>
      <c r="F70" s="59"/>
      <c r="G70" s="59"/>
      <c r="H70" s="60"/>
    </row>
    <row r="71" spans="1:8" x14ac:dyDescent="0.25">
      <c r="A71" s="45" t="s">
        <v>56</v>
      </c>
      <c r="B71" s="46"/>
      <c r="C71" s="47">
        <f>IF(ISNA(VLOOKUP($H$6,Base!1:1048576,4,FALSE)),"0",VLOOKUP($H$6,Base!1:1048576,4,FALSE))</f>
        <v>2387.94</v>
      </c>
      <c r="D71" s="48"/>
      <c r="E71" s="48"/>
      <c r="F71" s="48"/>
      <c r="G71" s="48"/>
      <c r="H71" s="49"/>
    </row>
    <row r="72" spans="1:8" x14ac:dyDescent="0.25">
      <c r="A72" s="115"/>
      <c r="B72" s="116"/>
      <c r="C72" s="50"/>
      <c r="D72" s="51"/>
      <c r="E72" s="51"/>
      <c r="F72" s="51"/>
      <c r="G72" s="51"/>
      <c r="H72" s="52"/>
    </row>
    <row r="73" spans="1:8" x14ac:dyDescent="0.25">
      <c r="A73" s="53" t="s">
        <v>59</v>
      </c>
      <c r="B73" s="54"/>
      <c r="C73" s="149" t="e">
        <f>IF(AND(C71&gt;=C63,C71&lt;E63),C71*C65,"Palier 1 non atteint ou dépassé")</f>
        <v>#REF!</v>
      </c>
      <c r="D73" s="149"/>
      <c r="E73" s="149" t="e">
        <f>IF(AND(C71&gt;=E63,C71&lt;G63),C71*E65,"Palier 2 non atteint ou dépassé")</f>
        <v>#REF!</v>
      </c>
      <c r="F73" s="149"/>
      <c r="G73" s="149" t="e">
        <f>IF(C71&gt;=G63,C71*G65,"Palier 3 non atteint ou dépassé")</f>
        <v>#REF!</v>
      </c>
      <c r="H73" s="150"/>
    </row>
    <row r="74" spans="1:8" x14ac:dyDescent="0.25">
      <c r="A74" s="53"/>
      <c r="B74" s="54"/>
      <c r="C74" s="149"/>
      <c r="D74" s="149"/>
      <c r="E74" s="149"/>
      <c r="F74" s="149"/>
      <c r="G74" s="149"/>
      <c r="H74" s="150"/>
    </row>
    <row r="75" spans="1:8" ht="15.75" thickBot="1" x14ac:dyDescent="0.3">
      <c r="A75" s="85" t="s">
        <v>55</v>
      </c>
      <c r="B75" s="86"/>
      <c r="C75" s="83" t="e">
        <f>C63*C65</f>
        <v>#REF!</v>
      </c>
      <c r="D75" s="83"/>
      <c r="E75" s="83" t="e">
        <f>E63*E65</f>
        <v>#REF!</v>
      </c>
      <c r="F75" s="83"/>
      <c r="G75" s="83" t="e">
        <f>G63*G65</f>
        <v>#REF!</v>
      </c>
      <c r="H75" s="84"/>
    </row>
    <row r="76" spans="1:8" ht="9.9499999999999993" customHeight="1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46" t="s">
        <v>60</v>
      </c>
      <c r="B77" s="147"/>
      <c r="C77" s="147"/>
      <c r="D77" s="147"/>
      <c r="E77" s="147"/>
      <c r="F77" s="147"/>
      <c r="G77" s="147"/>
      <c r="H77" s="148"/>
    </row>
    <row r="78" spans="1:8" ht="8.1" customHeight="1" thickBot="1" x14ac:dyDescent="0.3">
      <c r="A78" s="20"/>
      <c r="B78" s="20"/>
      <c r="C78" s="21"/>
      <c r="D78" s="21"/>
      <c r="E78" s="21"/>
      <c r="F78" s="21"/>
      <c r="G78" s="21"/>
      <c r="H78" s="21"/>
    </row>
    <row r="79" spans="1:8" ht="15.75" thickBot="1" x14ac:dyDescent="0.3">
      <c r="A79" s="12"/>
      <c r="B79" s="13"/>
      <c r="C79" s="61" t="s">
        <v>0</v>
      </c>
      <c r="D79" s="62"/>
      <c r="E79" s="63" t="s">
        <v>1</v>
      </c>
      <c r="F79" s="62"/>
      <c r="G79" s="63" t="s">
        <v>2</v>
      </c>
      <c r="H79" s="64"/>
    </row>
    <row r="80" spans="1:8" ht="14.1" customHeight="1" x14ac:dyDescent="0.25">
      <c r="A80" s="43" t="s">
        <v>53</v>
      </c>
      <c r="B80" s="44"/>
      <c r="C80" s="91" t="e">
        <f>C27</f>
        <v>#REF!</v>
      </c>
      <c r="D80" s="134"/>
      <c r="E80" s="91" t="e">
        <f>E27</f>
        <v>#REF!</v>
      </c>
      <c r="F80" s="134"/>
      <c r="G80" s="91" t="e">
        <f>G27</f>
        <v>#REF!</v>
      </c>
      <c r="H80" s="137"/>
    </row>
    <row r="81" spans="1:8" ht="14.1" customHeight="1" x14ac:dyDescent="0.25">
      <c r="A81" s="45"/>
      <c r="B81" s="46"/>
      <c r="C81" s="135"/>
      <c r="D81" s="136"/>
      <c r="E81" s="135"/>
      <c r="F81" s="136"/>
      <c r="G81" s="135"/>
      <c r="H81" s="138"/>
    </row>
    <row r="82" spans="1:8" x14ac:dyDescent="0.25">
      <c r="A82" s="39" t="s">
        <v>58</v>
      </c>
      <c r="B82" s="40"/>
      <c r="C82" s="141">
        <f>C29</f>
        <v>0.02</v>
      </c>
      <c r="D82" s="141"/>
      <c r="E82" s="141">
        <f>E29</f>
        <v>0.03</v>
      </c>
      <c r="F82" s="41"/>
      <c r="G82" s="141">
        <f>G29</f>
        <v>4.4999999999999998E-2</v>
      </c>
      <c r="H82" s="144"/>
    </row>
    <row r="83" spans="1:8" ht="15.75" thickBot="1" x14ac:dyDescent="0.3">
      <c r="A83" s="139"/>
      <c r="B83" s="140"/>
      <c r="C83" s="142"/>
      <c r="D83" s="142"/>
      <c r="E83" s="143"/>
      <c r="F83" s="143"/>
      <c r="G83" s="142"/>
      <c r="H83" s="145"/>
    </row>
    <row r="84" spans="1:8" ht="8.1" customHeight="1" thickBot="1" x14ac:dyDescent="0.3">
      <c r="A84" s="14"/>
      <c r="B84" s="14"/>
      <c r="C84" s="123"/>
      <c r="D84" s="123"/>
      <c r="E84" s="123"/>
      <c r="F84" s="123"/>
      <c r="G84" s="123"/>
      <c r="H84" s="123"/>
    </row>
    <row r="85" spans="1:8" ht="15.75" thickBot="1" x14ac:dyDescent="0.3">
      <c r="A85" s="12"/>
      <c r="B85" s="13"/>
      <c r="C85" s="62" t="s">
        <v>0</v>
      </c>
      <c r="D85" s="124"/>
      <c r="E85" s="124" t="s">
        <v>1</v>
      </c>
      <c r="F85" s="124"/>
      <c r="G85" s="124" t="s">
        <v>2</v>
      </c>
      <c r="H85" s="125"/>
    </row>
    <row r="86" spans="1:8" ht="15" customHeight="1" x14ac:dyDescent="0.25">
      <c r="A86" s="37" t="s">
        <v>54</v>
      </c>
      <c r="B86" s="38"/>
      <c r="C86" s="110" t="e">
        <f>IF(C88&gt;=C80,"Palier 1 atteint",C80-C88)</f>
        <v>#REF!</v>
      </c>
      <c r="D86" s="111"/>
      <c r="E86" s="110" t="e">
        <f>IF(C88&gt;=E80,"Palier 2 atteint",E80-C88)</f>
        <v>#REF!</v>
      </c>
      <c r="F86" s="110"/>
      <c r="G86" s="110" t="e">
        <f>IF(C88&gt;=G80,"Palier 3 atteint",G80-C88)</f>
        <v>#REF!</v>
      </c>
      <c r="H86" s="114"/>
    </row>
    <row r="87" spans="1:8" x14ac:dyDescent="0.25">
      <c r="A87" s="39"/>
      <c r="B87" s="40"/>
      <c r="C87" s="112"/>
      <c r="D87" s="113"/>
      <c r="E87" s="110"/>
      <c r="F87" s="110"/>
      <c r="G87" s="110"/>
      <c r="H87" s="114"/>
    </row>
    <row r="88" spans="1:8" x14ac:dyDescent="0.25">
      <c r="A88" s="45" t="s">
        <v>56</v>
      </c>
      <c r="B88" s="46"/>
      <c r="C88" s="117">
        <f>IF(ISNA(VLOOKUP($H$6,Base!1:1048576,6,FALSE)),"0",VLOOKUP($H$6,Base!1:1048576,6,FALSE))</f>
        <v>1804.13</v>
      </c>
      <c r="D88" s="118"/>
      <c r="E88" s="118"/>
      <c r="F88" s="118"/>
      <c r="G88" s="118"/>
      <c r="H88" s="119"/>
    </row>
    <row r="89" spans="1:8" x14ac:dyDescent="0.25">
      <c r="A89" s="115"/>
      <c r="B89" s="116"/>
      <c r="C89" s="120"/>
      <c r="D89" s="121"/>
      <c r="E89" s="121"/>
      <c r="F89" s="121"/>
      <c r="G89" s="121"/>
      <c r="H89" s="122"/>
    </row>
    <row r="90" spans="1:8" x14ac:dyDescent="0.25">
      <c r="A90" s="53" t="s">
        <v>61</v>
      </c>
      <c r="B90" s="54"/>
      <c r="C90" s="128" t="e">
        <f>IF(AND(C88&gt;=C80,C88&lt;E80),C88*C82,"Palier 1 non atteint ou dépassé")</f>
        <v>#REF!</v>
      </c>
      <c r="D90" s="129"/>
      <c r="E90" s="128" t="e">
        <f>IF(AND(C88&gt;=E80,C88&lt;G80),C88*E82,"Palier 2 non atteint ou dépassé")</f>
        <v>#REF!</v>
      </c>
      <c r="F90" s="129"/>
      <c r="G90" s="128" t="e">
        <f>IF(C88&gt;=G80,C88*G82,"Palier 3 non atteint ou dépassé")</f>
        <v>#REF!</v>
      </c>
      <c r="H90" s="132"/>
    </row>
    <row r="91" spans="1:8" x14ac:dyDescent="0.25">
      <c r="A91" s="53"/>
      <c r="B91" s="54"/>
      <c r="C91" s="130"/>
      <c r="D91" s="131"/>
      <c r="E91" s="130"/>
      <c r="F91" s="131"/>
      <c r="G91" s="130"/>
      <c r="H91" s="133"/>
    </row>
    <row r="92" spans="1:8" ht="15.75" thickBot="1" x14ac:dyDescent="0.3">
      <c r="A92" s="85" t="s">
        <v>55</v>
      </c>
      <c r="B92" s="86"/>
      <c r="C92" s="83" t="e">
        <f>C80*C82</f>
        <v>#REF!</v>
      </c>
      <c r="D92" s="83"/>
      <c r="E92" s="83" t="e">
        <f>E80*E82</f>
        <v>#REF!</v>
      </c>
      <c r="F92" s="83"/>
      <c r="G92" s="83" t="e">
        <f>G80*G82</f>
        <v>#REF!</v>
      </c>
      <c r="H92" s="84"/>
    </row>
    <row r="93" spans="1:8" ht="9.9499999999999993" customHeight="1" x14ac:dyDescent="0.25">
      <c r="A93" s="126"/>
      <c r="B93" s="126"/>
      <c r="C93" s="127"/>
      <c r="D93" s="127"/>
      <c r="E93" s="127"/>
      <c r="F93" s="127"/>
      <c r="G93" s="127"/>
      <c r="H93" s="127"/>
    </row>
    <row r="94" spans="1:8" ht="15.75" customHeight="1" x14ac:dyDescent="0.25">
      <c r="A94" s="107" t="s">
        <v>62</v>
      </c>
      <c r="B94" s="108"/>
      <c r="C94" s="108"/>
      <c r="D94" s="108"/>
      <c r="E94" s="108"/>
      <c r="F94" s="108"/>
      <c r="G94" s="108"/>
      <c r="H94" s="109"/>
    </row>
    <row r="95" spans="1:8" ht="8.1" customHeight="1" thickBot="1" x14ac:dyDescent="0.3"/>
    <row r="96" spans="1:8" ht="15" customHeight="1" thickBot="1" x14ac:dyDescent="0.3">
      <c r="A96" s="12"/>
      <c r="B96" s="13"/>
      <c r="C96" s="61" t="s">
        <v>0</v>
      </c>
      <c r="D96" s="62"/>
      <c r="E96" s="63" t="s">
        <v>1</v>
      </c>
      <c r="F96" s="62"/>
      <c r="G96" s="63" t="s">
        <v>2</v>
      </c>
      <c r="H96" s="64"/>
    </row>
    <row r="97" spans="1:9" ht="14.1" customHeight="1" x14ac:dyDescent="0.25">
      <c r="A97" s="87" t="s">
        <v>63</v>
      </c>
      <c r="B97" s="88"/>
      <c r="C97" s="91" t="e">
        <f>C43</f>
        <v>#REF!</v>
      </c>
      <c r="D97" s="92"/>
      <c r="E97" s="91" t="e">
        <f>E43</f>
        <v>#REF!</v>
      </c>
      <c r="F97" s="92"/>
      <c r="G97" s="91" t="e">
        <f>G43</f>
        <v>#REF!</v>
      </c>
      <c r="H97" s="95"/>
    </row>
    <row r="98" spans="1:9" ht="14.1" customHeight="1" x14ac:dyDescent="0.25">
      <c r="A98" s="89"/>
      <c r="B98" s="90"/>
      <c r="C98" s="93"/>
      <c r="D98" s="94"/>
      <c r="E98" s="93"/>
      <c r="F98" s="94"/>
      <c r="G98" s="93"/>
      <c r="H98" s="96"/>
    </row>
    <row r="99" spans="1:9" x14ac:dyDescent="0.25">
      <c r="A99" s="73" t="s">
        <v>58</v>
      </c>
      <c r="B99" s="74"/>
      <c r="C99" s="77">
        <v>0.01</v>
      </c>
      <c r="D99" s="78"/>
      <c r="E99" s="77">
        <v>0.02</v>
      </c>
      <c r="F99" s="78"/>
      <c r="G99" s="77">
        <v>0.03</v>
      </c>
      <c r="H99" s="81"/>
    </row>
    <row r="100" spans="1:9" ht="15.75" thickBot="1" x14ac:dyDescent="0.3">
      <c r="A100" s="75"/>
      <c r="B100" s="76"/>
      <c r="C100" s="79"/>
      <c r="D100" s="80"/>
      <c r="E100" s="79"/>
      <c r="F100" s="80"/>
      <c r="G100" s="79"/>
      <c r="H100" s="82"/>
    </row>
    <row r="101" spans="1:9" x14ac:dyDescent="0.25">
      <c r="A101" s="97" t="s">
        <v>64</v>
      </c>
      <c r="B101" s="98"/>
      <c r="C101" s="101">
        <f>IF(ISNA(VLOOKUP($H$6,Base!1:1048576,10,FALSE)),"0",VLOOKUP($H$6,Base!1:1048576,10,FALSE))</f>
        <v>37</v>
      </c>
      <c r="D101" s="102"/>
      <c r="E101" s="102"/>
      <c r="F101" s="102"/>
      <c r="G101" s="102"/>
      <c r="H101" s="103"/>
    </row>
    <row r="102" spans="1:9" x14ac:dyDescent="0.25">
      <c r="A102" s="99"/>
      <c r="B102" s="100"/>
      <c r="C102" s="104"/>
      <c r="D102" s="105"/>
      <c r="E102" s="105"/>
      <c r="F102" s="105"/>
      <c r="G102" s="105"/>
      <c r="H102" s="106"/>
    </row>
    <row r="103" spans="1:9" x14ac:dyDescent="0.25">
      <c r="A103" s="37" t="s">
        <v>4</v>
      </c>
      <c r="B103" s="38"/>
      <c r="C103" s="41" t="e">
        <f>IF(C101&gt;=C97,"Palier 1 atteint",C97-C101)</f>
        <v>#REF!</v>
      </c>
      <c r="D103" s="41"/>
      <c r="E103" s="41" t="e">
        <f>IF(C101&gt;=E97,"Palier 2 atteint",E97-C101)</f>
        <v>#REF!</v>
      </c>
      <c r="F103" s="41"/>
      <c r="G103" s="41" t="e">
        <f>IF(C101&gt;=G97,"Palier 3 atteint",G97-C101)</f>
        <v>#REF!</v>
      </c>
      <c r="H103" s="42"/>
    </row>
    <row r="104" spans="1:9" x14ac:dyDescent="0.25">
      <c r="A104" s="39"/>
      <c r="B104" s="40"/>
      <c r="C104" s="41"/>
      <c r="D104" s="41"/>
      <c r="E104" s="41"/>
      <c r="F104" s="41"/>
      <c r="G104" s="41"/>
      <c r="H104" s="42"/>
    </row>
    <row r="105" spans="1:9" x14ac:dyDescent="0.25">
      <c r="A105" s="43" t="s">
        <v>56</v>
      </c>
      <c r="B105" s="44"/>
      <c r="C105" s="47">
        <f>IF(ISNA(VLOOKUP($H$6,Base!1:1048576,9,FALSE)),"0",VLOOKUP($H$6,Base!1:1048576,9,FALSE))</f>
        <v>2157.7600000000002</v>
      </c>
      <c r="D105" s="48"/>
      <c r="E105" s="48"/>
      <c r="F105" s="48"/>
      <c r="G105" s="48"/>
      <c r="H105" s="49"/>
    </row>
    <row r="106" spans="1:9" ht="15" customHeight="1" x14ac:dyDescent="0.25">
      <c r="A106" s="45"/>
      <c r="B106" s="46"/>
      <c r="C106" s="50"/>
      <c r="D106" s="51"/>
      <c r="E106" s="51"/>
      <c r="F106" s="51"/>
      <c r="G106" s="51"/>
      <c r="H106" s="52"/>
    </row>
    <row r="107" spans="1:9" ht="15" customHeight="1" x14ac:dyDescent="0.25">
      <c r="A107" s="53" t="s">
        <v>65</v>
      </c>
      <c r="B107" s="54"/>
      <c r="C107" s="55" t="e">
        <f>IF(AND(C101&gt;C97,C101&lt;=E97),C105*C99,"Palier 1 non atteint ou dépassé")</f>
        <v>#REF!</v>
      </c>
      <c r="D107" s="56"/>
      <c r="E107" s="55" t="e">
        <f>IF(AND(C101&gt;E97,C101&lt;G97),C105*E99,"Palier 2 non atteint ou dépassé")</f>
        <v>#REF!</v>
      </c>
      <c r="F107" s="56"/>
      <c r="G107" s="55" t="e">
        <f>IF(C101&gt;=G97,C105*G99,"Palier 3 non atteint ou dépassé")</f>
        <v>#REF!</v>
      </c>
      <c r="H107" s="56"/>
      <c r="I107" s="18"/>
    </row>
    <row r="108" spans="1:9" x14ac:dyDescent="0.25">
      <c r="A108" s="53"/>
      <c r="B108" s="54"/>
      <c r="C108" s="57"/>
      <c r="D108" s="58"/>
      <c r="E108" s="57"/>
      <c r="F108" s="58"/>
      <c r="G108" s="57"/>
      <c r="H108" s="58"/>
    </row>
    <row r="109" spans="1:9" ht="15.75" thickBot="1" x14ac:dyDescent="0.3">
      <c r="A109" s="85" t="s">
        <v>55</v>
      </c>
      <c r="B109" s="86"/>
      <c r="C109" s="83" t="e">
        <f>+(C97*80)*C99</f>
        <v>#REF!</v>
      </c>
      <c r="D109" s="83"/>
      <c r="E109" s="83" t="e">
        <f>(E97*80)*E99</f>
        <v>#REF!</v>
      </c>
      <c r="F109" s="83"/>
      <c r="G109" s="83" t="e">
        <f>(G97*80)*G99</f>
        <v>#REF!</v>
      </c>
      <c r="H109" s="84"/>
    </row>
    <row r="110" spans="1:9" ht="10.15" customHeight="1" thickBot="1" x14ac:dyDescent="0.3"/>
    <row r="111" spans="1:9" ht="16.5" thickTop="1" thickBot="1" x14ac:dyDescent="0.3">
      <c r="A111" s="229" t="s">
        <v>55</v>
      </c>
      <c r="B111" s="230"/>
      <c r="C111" s="214" t="e">
        <f>G75+G92+G109</f>
        <v>#REF!</v>
      </c>
      <c r="D111" s="214"/>
      <c r="E111" s="214"/>
      <c r="F111" s="214"/>
      <c r="G111" s="25" t="s">
        <v>46</v>
      </c>
      <c r="H111" s="28">
        <f>H112/(C105+C88+C71)</f>
        <v>0</v>
      </c>
    </row>
    <row r="112" spans="1:9" ht="15.75" customHeight="1" thickTop="1" x14ac:dyDescent="0.25">
      <c r="A112" s="210" t="s">
        <v>66</v>
      </c>
      <c r="B112" s="211"/>
      <c r="C112" s="215">
        <f>(SUMIF(C107:H108,"&gt;0",C107:H108))+(SUMIF(C90:H91,"&gt;0",C90:H91))+(SUMIF(C73:H74,"&gt;0",C73:H74))</f>
        <v>0</v>
      </c>
      <c r="D112" s="217" t="s">
        <v>44</v>
      </c>
      <c r="E112" s="217"/>
      <c r="F112" s="219" t="str">
        <f>IF(B6&lt;100%,"0",IF((B6&gt;=105%)*(B6&lt;110%),(B5*5%),IF((B6&gt;=110%),(B5*10%),"0")))</f>
        <v>0</v>
      </c>
      <c r="G112" s="221" t="s">
        <v>45</v>
      </c>
      <c r="H112" s="223">
        <f>C112+F112</f>
        <v>0</v>
      </c>
    </row>
    <row r="113" spans="1:8" ht="15.75" customHeight="1" thickBot="1" x14ac:dyDescent="0.3">
      <c r="A113" s="212"/>
      <c r="B113" s="213"/>
      <c r="C113" s="216"/>
      <c r="D113" s="218"/>
      <c r="E113" s="218"/>
      <c r="F113" s="220"/>
      <c r="G113" s="222"/>
      <c r="H113" s="224"/>
    </row>
    <row r="114" spans="1:8" ht="15.75" thickTop="1" x14ac:dyDescent="0.25">
      <c r="A114" s="22" t="s">
        <v>24</v>
      </c>
    </row>
    <row r="120" spans="1:8" x14ac:dyDescent="0.25">
      <c r="B120" s="19"/>
    </row>
  </sheetData>
  <sheetProtection selectLockedCells="1"/>
  <mergeCells count="193">
    <mergeCell ref="A111:B111"/>
    <mergeCell ref="A112:B113"/>
    <mergeCell ref="A107:B108"/>
    <mergeCell ref="C107:D108"/>
    <mergeCell ref="E107:F108"/>
    <mergeCell ref="G107:H108"/>
    <mergeCell ref="A109:B109"/>
    <mergeCell ref="C109:D109"/>
    <mergeCell ref="E109:F109"/>
    <mergeCell ref="G109:H109"/>
    <mergeCell ref="C112:C113"/>
    <mergeCell ref="H112:H113"/>
    <mergeCell ref="D112:E113"/>
    <mergeCell ref="G112:G113"/>
    <mergeCell ref="F112:F113"/>
    <mergeCell ref="C111:F111"/>
    <mergeCell ref="A103:B104"/>
    <mergeCell ref="C103:D104"/>
    <mergeCell ref="E103:F104"/>
    <mergeCell ref="G103:H104"/>
    <mergeCell ref="A105:B106"/>
    <mergeCell ref="C105:H106"/>
    <mergeCell ref="A99:B100"/>
    <mergeCell ref="C99:D100"/>
    <mergeCell ref="E99:F100"/>
    <mergeCell ref="G99:H100"/>
    <mergeCell ref="A101:B102"/>
    <mergeCell ref="C101:H102"/>
    <mergeCell ref="A94:H94"/>
    <mergeCell ref="C96:D96"/>
    <mergeCell ref="E96:F96"/>
    <mergeCell ref="G96:H96"/>
    <mergeCell ref="A97:B98"/>
    <mergeCell ref="C97:D98"/>
    <mergeCell ref="E97:F98"/>
    <mergeCell ref="G97:H98"/>
    <mergeCell ref="A92:B92"/>
    <mergeCell ref="C92:D92"/>
    <mergeCell ref="E92:F92"/>
    <mergeCell ref="G92:H92"/>
    <mergeCell ref="A93:B93"/>
    <mergeCell ref="C93:D93"/>
    <mergeCell ref="E93:F93"/>
    <mergeCell ref="G93:H93"/>
    <mergeCell ref="A88:B89"/>
    <mergeCell ref="C88:H89"/>
    <mergeCell ref="A90:B91"/>
    <mergeCell ref="C90:D91"/>
    <mergeCell ref="E90:F91"/>
    <mergeCell ref="G90:H91"/>
    <mergeCell ref="C85:D85"/>
    <mergeCell ref="E85:F85"/>
    <mergeCell ref="G85:H85"/>
    <mergeCell ref="A86:B87"/>
    <mergeCell ref="C86:D87"/>
    <mergeCell ref="E86:F87"/>
    <mergeCell ref="G86:H87"/>
    <mergeCell ref="A82:B83"/>
    <mergeCell ref="C82:D83"/>
    <mergeCell ref="E82:F83"/>
    <mergeCell ref="G82:H83"/>
    <mergeCell ref="C84:D84"/>
    <mergeCell ref="E84:F84"/>
    <mergeCell ref="G84:H84"/>
    <mergeCell ref="A77:H77"/>
    <mergeCell ref="C79:D79"/>
    <mergeCell ref="E79:F79"/>
    <mergeCell ref="G79:H79"/>
    <mergeCell ref="A80:B81"/>
    <mergeCell ref="C80:D81"/>
    <mergeCell ref="E80:F81"/>
    <mergeCell ref="G80:H81"/>
    <mergeCell ref="A73:B74"/>
    <mergeCell ref="C73:D74"/>
    <mergeCell ref="E73:F74"/>
    <mergeCell ref="G73:H74"/>
    <mergeCell ref="A75:B75"/>
    <mergeCell ref="C75:D75"/>
    <mergeCell ref="E75:F75"/>
    <mergeCell ref="G75:H75"/>
    <mergeCell ref="A69:B70"/>
    <mergeCell ref="C69:D70"/>
    <mergeCell ref="E69:F70"/>
    <mergeCell ref="G69:H70"/>
    <mergeCell ref="A71:B72"/>
    <mergeCell ref="C71:H72"/>
    <mergeCell ref="A65:B66"/>
    <mergeCell ref="C65:D66"/>
    <mergeCell ref="E65:F66"/>
    <mergeCell ref="G65:H66"/>
    <mergeCell ref="C68:D68"/>
    <mergeCell ref="E68:F68"/>
    <mergeCell ref="G68:H68"/>
    <mergeCell ref="A58:H58"/>
    <mergeCell ref="A60:H60"/>
    <mergeCell ref="C62:D62"/>
    <mergeCell ref="E62:F62"/>
    <mergeCell ref="G62:H62"/>
    <mergeCell ref="A63:B64"/>
    <mergeCell ref="C63:D64"/>
    <mergeCell ref="E63:F64"/>
    <mergeCell ref="G63:H64"/>
    <mergeCell ref="A51:B52"/>
    <mergeCell ref="C51:D52"/>
    <mergeCell ref="E51:F52"/>
    <mergeCell ref="G51:H52"/>
    <mergeCell ref="A53:B54"/>
    <mergeCell ref="C53:H54"/>
    <mergeCell ref="C48:D48"/>
    <mergeCell ref="E48:F48"/>
    <mergeCell ref="G48:H48"/>
    <mergeCell ref="A49:B50"/>
    <mergeCell ref="C49:D50"/>
    <mergeCell ref="E49:F50"/>
    <mergeCell ref="G49:H50"/>
    <mergeCell ref="C45:D46"/>
    <mergeCell ref="E45:F46"/>
    <mergeCell ref="G45:H46"/>
    <mergeCell ref="A37:B38"/>
    <mergeCell ref="C37:H38"/>
    <mergeCell ref="A40:H40"/>
    <mergeCell ref="C42:D42"/>
    <mergeCell ref="E42:F42"/>
    <mergeCell ref="G42:H42"/>
    <mergeCell ref="C19:D20"/>
    <mergeCell ref="C4:F6"/>
    <mergeCell ref="G16:H16"/>
    <mergeCell ref="A17:B18"/>
    <mergeCell ref="C17:D18"/>
    <mergeCell ref="E17:F18"/>
    <mergeCell ref="G17:H18"/>
    <mergeCell ref="A35:B36"/>
    <mergeCell ref="C35:D36"/>
    <mergeCell ref="E35:F36"/>
    <mergeCell ref="G35:H36"/>
    <mergeCell ref="C31:D31"/>
    <mergeCell ref="E31:F31"/>
    <mergeCell ref="G31:H31"/>
    <mergeCell ref="C32:D32"/>
    <mergeCell ref="E32:F32"/>
    <mergeCell ref="G32:H32"/>
    <mergeCell ref="A33:B34"/>
    <mergeCell ref="C33:D34"/>
    <mergeCell ref="E33:F34"/>
    <mergeCell ref="G33:H34"/>
    <mergeCell ref="A45:B46"/>
    <mergeCell ref="A1:B3"/>
    <mergeCell ref="C1:F3"/>
    <mergeCell ref="G1:H3"/>
    <mergeCell ref="A24:H24"/>
    <mergeCell ref="C26:D26"/>
    <mergeCell ref="E26:F26"/>
    <mergeCell ref="G26:H26"/>
    <mergeCell ref="C13:D14"/>
    <mergeCell ref="E13:F14"/>
    <mergeCell ref="G13:H14"/>
    <mergeCell ref="A21:B22"/>
    <mergeCell ref="C21:H22"/>
    <mergeCell ref="A23:B23"/>
    <mergeCell ref="C23:D23"/>
    <mergeCell ref="E23:F23"/>
    <mergeCell ref="G23:H23"/>
    <mergeCell ref="G4:G5"/>
    <mergeCell ref="H4:H5"/>
    <mergeCell ref="A8:H8"/>
    <mergeCell ref="C10:D10"/>
    <mergeCell ref="E10:F10"/>
    <mergeCell ref="G10:H10"/>
    <mergeCell ref="A19:B20"/>
    <mergeCell ref="J1:K3"/>
    <mergeCell ref="A55:D55"/>
    <mergeCell ref="E55:H55"/>
    <mergeCell ref="A11:B12"/>
    <mergeCell ref="C11:D12"/>
    <mergeCell ref="E11:F12"/>
    <mergeCell ref="G11:H12"/>
    <mergeCell ref="A13:B14"/>
    <mergeCell ref="A29:B30"/>
    <mergeCell ref="C29:D30"/>
    <mergeCell ref="E29:F30"/>
    <mergeCell ref="A27:B28"/>
    <mergeCell ref="C27:D28"/>
    <mergeCell ref="E27:F28"/>
    <mergeCell ref="G27:H28"/>
    <mergeCell ref="G29:H30"/>
    <mergeCell ref="E19:F20"/>
    <mergeCell ref="G19:H20"/>
    <mergeCell ref="C16:D16"/>
    <mergeCell ref="E16:F16"/>
    <mergeCell ref="A43:B44"/>
    <mergeCell ref="C43:D44"/>
    <mergeCell ref="E43:F44"/>
    <mergeCell ref="G43:H44"/>
  </mergeCells>
  <conditionalFormatting sqref="C21:H22">
    <cfRule type="iconSet" priority="3">
      <iconSet iconSet="4TrafficLights">
        <cfvo type="percent" val="0"/>
        <cfvo type="num" val="$C$17"/>
        <cfvo type="num" val="$E$17"/>
        <cfvo type="num" val="$G$17"/>
      </iconSet>
    </cfRule>
  </conditionalFormatting>
  <conditionalFormatting sqref="C37:H38">
    <cfRule type="iconSet" priority="2">
      <iconSet iconSet="4TrafficLights">
        <cfvo type="percent" val="0"/>
        <cfvo type="num" val="$C$33"/>
        <cfvo type="num" val="$E$33"/>
        <cfvo type="num" val="$G$33"/>
      </iconSet>
    </cfRule>
  </conditionalFormatting>
  <conditionalFormatting sqref="C53:H54">
    <cfRule type="iconSet" priority="1">
      <iconSet iconSet="4TrafficLights">
        <cfvo type="percent" val="0"/>
        <cfvo type="num" val="$C$49"/>
        <cfvo type="num" val="$E$49"/>
        <cfvo type="num" val="$G$49"/>
      </iconSet>
    </cfRule>
  </conditionalFormatting>
  <hyperlinks>
    <hyperlink ref="J1" r:id="rId1"/>
  </hyperlinks>
  <pageMargins left="0.55000000000000004" right="0.19685039370078741" top="0.23" bottom="0.18" header="0.16" footer="0.21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TIQUET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dbousquet</cp:lastModifiedBy>
  <cp:lastPrinted>2020-03-02T17:58:27Z</cp:lastPrinted>
  <dcterms:created xsi:type="dcterms:W3CDTF">2009-02-15T17:18:48Z</dcterms:created>
  <dcterms:modified xsi:type="dcterms:W3CDTF">2020-03-07T15:10:03Z</dcterms:modified>
</cp:coreProperties>
</file>