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3185" yWindow="-30" windowWidth="14850" windowHeight="12810" tabRatio="936"/>
  </bookViews>
  <sheets>
    <sheet name="Reseau CO2 MT" sheetId="1" r:id="rId1"/>
    <sheet name="Reseau CO2 BT" sheetId="2" r:id="rId2"/>
    <sheet name="Graph1" sheetId="4" r:id="rId3"/>
    <sheet name="Conduites diametres" sheetId="3" r:id="rId4"/>
  </sheets>
  <definedNames>
    <definedName name="_xlnm._FilterDatabase" localSheetId="1" hidden="1">'Reseau CO2 BT'!$A$7:$U$56</definedName>
    <definedName name="_xlnm._FilterDatabase" localSheetId="0" hidden="1">'Reseau CO2 MT'!$A$6:$V$415</definedName>
    <definedName name="m___s_reelle">NA()</definedName>
    <definedName name="m___s_reelle_1">NA()</definedName>
    <definedName name="m___s_reelle_2">NA()</definedName>
    <definedName name="psv">#REF!</definedName>
    <definedName name="psvr">#REF!</definedName>
    <definedName name="pv">#REF!</definedName>
    <definedName name="pvr">#REF!</definedName>
    <definedName name="_xlnm.Print_Area" localSheetId="3">'Conduites diametres'!$A$1:$U$26</definedName>
    <definedName name="_xlnm.Print_Area" localSheetId="1">'Reseau CO2 BT'!$A$1:$U$84</definedName>
    <definedName name="_xlnm.Print_Area" localSheetId="0">'Reseau CO2 MT'!$A$1:$V$406</definedName>
  </definedNames>
  <calcPr calcId="145621"/>
</workbook>
</file>

<file path=xl/calcChain.xml><?xml version="1.0" encoding="utf-8"?>
<calcChain xmlns="http://schemas.openxmlformats.org/spreadsheetml/2006/main">
  <c r="C32" i="1" l="1"/>
  <c r="E32" i="1"/>
  <c r="D32" i="1" s="1"/>
  <c r="R32" i="1" s="1"/>
  <c r="S32" i="1" s="1"/>
  <c r="F32" i="1"/>
  <c r="G32" i="1"/>
  <c r="J32" i="1"/>
  <c r="P32" i="1"/>
  <c r="Q32" i="1"/>
  <c r="K32" i="1"/>
  <c r="L32" i="1"/>
  <c r="O4" i="3"/>
  <c r="P4" i="3"/>
  <c r="Q4" i="3"/>
  <c r="O5" i="3"/>
  <c r="P5" i="3"/>
  <c r="Q5" i="3"/>
  <c r="O6" i="3"/>
  <c r="P6" i="3"/>
  <c r="Q6" i="3"/>
  <c r="O7" i="3"/>
  <c r="P7" i="3"/>
  <c r="Q7" i="3"/>
  <c r="O8" i="3"/>
  <c r="P8" i="3"/>
  <c r="Q8" i="3"/>
  <c r="O9" i="3"/>
  <c r="P9" i="3"/>
  <c r="Q9" i="3"/>
  <c r="O10" i="3"/>
  <c r="P10" i="3"/>
  <c r="Q10" i="3"/>
  <c r="O11" i="3"/>
  <c r="P11" i="3"/>
  <c r="Q11" i="3"/>
  <c r="O12" i="3"/>
  <c r="P12" i="3"/>
  <c r="Q12" i="3"/>
  <c r="O13" i="3"/>
  <c r="P13" i="3"/>
  <c r="Q13" i="3"/>
  <c r="O14" i="3"/>
  <c r="P14" i="3"/>
  <c r="Q14" i="3"/>
  <c r="O15" i="3"/>
  <c r="P15" i="3"/>
  <c r="Q15" i="3"/>
  <c r="O16" i="3"/>
  <c r="P16" i="3"/>
  <c r="Q16" i="3"/>
  <c r="O17" i="3"/>
  <c r="P17" i="3"/>
  <c r="Q17" i="3"/>
  <c r="O18" i="3"/>
  <c r="P18" i="3"/>
  <c r="Q18" i="3"/>
  <c r="O19" i="3"/>
  <c r="P19" i="3"/>
  <c r="Q19" i="3"/>
  <c r="O20" i="3"/>
  <c r="P20" i="3"/>
  <c r="Q20" i="3"/>
  <c r="O21" i="3"/>
  <c r="P21" i="3"/>
  <c r="Q21" i="3"/>
  <c r="J7" i="2"/>
  <c r="K7" i="2"/>
  <c r="U7" i="2"/>
  <c r="B10" i="2"/>
  <c r="C10" i="2"/>
  <c r="D10" i="2"/>
  <c r="E10" i="2"/>
  <c r="F10" i="2"/>
  <c r="G10" i="2"/>
  <c r="I10" i="2"/>
  <c r="J10" i="2"/>
  <c r="K10" i="2"/>
  <c r="L10" i="2"/>
  <c r="O10" i="2"/>
  <c r="P10" i="2"/>
  <c r="Q10" i="2"/>
  <c r="R10" i="2"/>
  <c r="S10" i="2"/>
  <c r="T10" i="2"/>
  <c r="U10" i="2"/>
  <c r="D11" i="2"/>
  <c r="E11" i="2"/>
  <c r="F11" i="2"/>
  <c r="G11" i="2"/>
  <c r="I11" i="2"/>
  <c r="J11" i="2"/>
  <c r="K11" i="2"/>
  <c r="L11" i="2"/>
  <c r="O11" i="2"/>
  <c r="P11" i="2"/>
  <c r="Q11" i="2"/>
  <c r="R11" i="2"/>
  <c r="S11" i="2"/>
  <c r="T11" i="2"/>
  <c r="U11" i="2"/>
  <c r="B12" i="2"/>
  <c r="C12" i="2"/>
  <c r="D12" i="2"/>
  <c r="E12" i="2"/>
  <c r="F12" i="2"/>
  <c r="G12" i="2"/>
  <c r="I12" i="2"/>
  <c r="J12" i="2"/>
  <c r="K12" i="2"/>
  <c r="L12" i="2"/>
  <c r="O12" i="2"/>
  <c r="P12" i="2"/>
  <c r="Q12" i="2"/>
  <c r="R12" i="2"/>
  <c r="S12" i="2"/>
  <c r="T12" i="2"/>
  <c r="U12" i="2"/>
  <c r="B14" i="2"/>
  <c r="C14" i="2"/>
  <c r="D14" i="2"/>
  <c r="E14" i="2"/>
  <c r="F14" i="2"/>
  <c r="G14" i="2"/>
  <c r="I14" i="2"/>
  <c r="J14" i="2"/>
  <c r="K14" i="2"/>
  <c r="L14" i="2"/>
  <c r="O14" i="2"/>
  <c r="P14" i="2"/>
  <c r="Q14" i="2"/>
  <c r="R14" i="2"/>
  <c r="S14" i="2"/>
  <c r="T14" i="2"/>
  <c r="U14" i="2"/>
  <c r="D15" i="2"/>
  <c r="E15" i="2"/>
  <c r="F15" i="2"/>
  <c r="G15" i="2"/>
  <c r="I15" i="2"/>
  <c r="J15" i="2"/>
  <c r="K15" i="2"/>
  <c r="L15" i="2"/>
  <c r="O15" i="2"/>
  <c r="P15" i="2"/>
  <c r="Q15" i="2"/>
  <c r="R15" i="2"/>
  <c r="S15" i="2"/>
  <c r="T15" i="2"/>
  <c r="U15" i="2"/>
  <c r="B16" i="2"/>
  <c r="D16" i="2"/>
  <c r="E16" i="2"/>
  <c r="F16" i="2"/>
  <c r="G16" i="2"/>
  <c r="I16" i="2"/>
  <c r="J16" i="2"/>
  <c r="K16" i="2"/>
  <c r="L16" i="2"/>
  <c r="O16" i="2"/>
  <c r="P16" i="2"/>
  <c r="Q16" i="2"/>
  <c r="R16" i="2"/>
  <c r="S16" i="2"/>
  <c r="T16" i="2"/>
  <c r="U16" i="2"/>
  <c r="D17" i="2"/>
  <c r="E17" i="2"/>
  <c r="F17" i="2"/>
  <c r="G17" i="2"/>
  <c r="I17" i="2"/>
  <c r="J17" i="2"/>
  <c r="K17" i="2"/>
  <c r="L17" i="2"/>
  <c r="O17" i="2"/>
  <c r="P17" i="2"/>
  <c r="Q17" i="2"/>
  <c r="R17" i="2"/>
  <c r="S17" i="2"/>
  <c r="T17" i="2"/>
  <c r="U17" i="2"/>
  <c r="D18" i="2"/>
  <c r="E18" i="2"/>
  <c r="F18" i="2"/>
  <c r="G18" i="2"/>
  <c r="I18" i="2"/>
  <c r="J18" i="2"/>
  <c r="K18" i="2"/>
  <c r="L18" i="2"/>
  <c r="O18" i="2"/>
  <c r="P18" i="2"/>
  <c r="Q18" i="2"/>
  <c r="R18" i="2"/>
  <c r="S18" i="2"/>
  <c r="T18" i="2"/>
  <c r="U18" i="2"/>
  <c r="B20" i="2"/>
  <c r="C20" i="2"/>
  <c r="D20" i="2"/>
  <c r="E20" i="2"/>
  <c r="F20" i="2"/>
  <c r="G20" i="2"/>
  <c r="I20" i="2"/>
  <c r="J20" i="2"/>
  <c r="K20" i="2"/>
  <c r="L20" i="2"/>
  <c r="O20" i="2"/>
  <c r="P20" i="2"/>
  <c r="Q20" i="2"/>
  <c r="R20" i="2"/>
  <c r="S20" i="2"/>
  <c r="T20" i="2"/>
  <c r="U20" i="2"/>
  <c r="B22" i="2"/>
  <c r="C22" i="2"/>
  <c r="D22" i="2"/>
  <c r="E22" i="2"/>
  <c r="F22" i="2"/>
  <c r="G22" i="2"/>
  <c r="I22" i="2"/>
  <c r="J22" i="2"/>
  <c r="K22" i="2"/>
  <c r="L22" i="2"/>
  <c r="O22" i="2"/>
  <c r="P22" i="2"/>
  <c r="Q22" i="2"/>
  <c r="R22" i="2"/>
  <c r="S22" i="2"/>
  <c r="T22" i="2"/>
  <c r="U22" i="2"/>
  <c r="B24" i="2"/>
  <c r="D24" i="2"/>
  <c r="E24" i="2"/>
  <c r="F24" i="2"/>
  <c r="G24" i="2"/>
  <c r="I24" i="2"/>
  <c r="J24" i="2"/>
  <c r="K24" i="2"/>
  <c r="L24" i="2"/>
  <c r="O24" i="2"/>
  <c r="P24" i="2"/>
  <c r="Q24" i="2"/>
  <c r="R24" i="2"/>
  <c r="S24" i="2"/>
  <c r="T24" i="2"/>
  <c r="U24" i="2"/>
  <c r="D25" i="2"/>
  <c r="E25" i="2"/>
  <c r="F25" i="2"/>
  <c r="G25" i="2"/>
  <c r="I25" i="2"/>
  <c r="J25" i="2"/>
  <c r="K25" i="2"/>
  <c r="L25" i="2"/>
  <c r="O25" i="2"/>
  <c r="P25" i="2"/>
  <c r="Q25" i="2"/>
  <c r="R25" i="2"/>
  <c r="S25" i="2"/>
  <c r="T25" i="2"/>
  <c r="U25" i="2"/>
  <c r="D26" i="2"/>
  <c r="E26" i="2"/>
  <c r="F26" i="2"/>
  <c r="G26" i="2"/>
  <c r="I26" i="2"/>
  <c r="J26" i="2"/>
  <c r="K26" i="2"/>
  <c r="L26" i="2"/>
  <c r="O26" i="2"/>
  <c r="P26" i="2"/>
  <c r="Q26" i="2"/>
  <c r="R26" i="2"/>
  <c r="S26" i="2"/>
  <c r="T26" i="2"/>
  <c r="U26" i="2"/>
  <c r="B28" i="2"/>
  <c r="D28" i="2"/>
  <c r="E28" i="2"/>
  <c r="F28" i="2"/>
  <c r="G28" i="2"/>
  <c r="I28" i="2"/>
  <c r="J28" i="2"/>
  <c r="K28" i="2"/>
  <c r="L28" i="2"/>
  <c r="O28" i="2"/>
  <c r="P28" i="2"/>
  <c r="Q28" i="2"/>
  <c r="R28" i="2"/>
  <c r="S28" i="2"/>
  <c r="T28" i="2"/>
  <c r="U28" i="2"/>
  <c r="D29" i="2"/>
  <c r="E29" i="2"/>
  <c r="F29" i="2"/>
  <c r="G29" i="2"/>
  <c r="I29" i="2"/>
  <c r="J29" i="2"/>
  <c r="K29" i="2"/>
  <c r="L29" i="2"/>
  <c r="O29" i="2"/>
  <c r="P29" i="2"/>
  <c r="Q29" i="2"/>
  <c r="R29" i="2"/>
  <c r="S29" i="2"/>
  <c r="T29" i="2"/>
  <c r="U29" i="2"/>
  <c r="D30" i="2"/>
  <c r="E30" i="2"/>
  <c r="F30" i="2"/>
  <c r="G30" i="2"/>
  <c r="I30" i="2"/>
  <c r="J30" i="2"/>
  <c r="K30" i="2"/>
  <c r="L30" i="2"/>
  <c r="O30" i="2"/>
  <c r="P30" i="2"/>
  <c r="Q30" i="2"/>
  <c r="R30" i="2"/>
  <c r="S30" i="2"/>
  <c r="T30" i="2"/>
  <c r="U30" i="2"/>
  <c r="B32" i="2"/>
  <c r="C32" i="2"/>
  <c r="D32" i="2"/>
  <c r="E32" i="2"/>
  <c r="F32" i="2"/>
  <c r="G32" i="2"/>
  <c r="I32" i="2"/>
  <c r="J32" i="2"/>
  <c r="K32" i="2"/>
  <c r="L32" i="2"/>
  <c r="O32" i="2"/>
  <c r="P32" i="2"/>
  <c r="Q32" i="2"/>
  <c r="R32" i="2"/>
  <c r="S32" i="2"/>
  <c r="T32" i="2"/>
  <c r="U32" i="2"/>
  <c r="B34" i="2"/>
  <c r="D34" i="2"/>
  <c r="E34" i="2"/>
  <c r="F34" i="2"/>
  <c r="G34" i="2"/>
  <c r="I34" i="2"/>
  <c r="J34" i="2"/>
  <c r="K34" i="2"/>
  <c r="L34" i="2"/>
  <c r="O34" i="2"/>
  <c r="P34" i="2"/>
  <c r="Q34" i="2"/>
  <c r="R34" i="2"/>
  <c r="S34" i="2"/>
  <c r="T34" i="2"/>
  <c r="U34" i="2"/>
  <c r="D35" i="2"/>
  <c r="E35" i="2"/>
  <c r="F35" i="2"/>
  <c r="G35" i="2"/>
  <c r="I35" i="2"/>
  <c r="J35" i="2"/>
  <c r="K35" i="2"/>
  <c r="L35" i="2"/>
  <c r="O35" i="2"/>
  <c r="P35" i="2"/>
  <c r="Q35" i="2"/>
  <c r="R35" i="2"/>
  <c r="S35" i="2"/>
  <c r="T35" i="2"/>
  <c r="U35" i="2"/>
  <c r="B36" i="2"/>
  <c r="D36" i="2"/>
  <c r="E36" i="2"/>
  <c r="F36" i="2"/>
  <c r="G36" i="2"/>
  <c r="I36" i="2"/>
  <c r="J36" i="2"/>
  <c r="K36" i="2"/>
  <c r="L36" i="2"/>
  <c r="O36" i="2"/>
  <c r="P36" i="2"/>
  <c r="Q36" i="2"/>
  <c r="R36" i="2"/>
  <c r="S36" i="2"/>
  <c r="T36" i="2"/>
  <c r="U36" i="2"/>
  <c r="D37" i="2"/>
  <c r="E37" i="2"/>
  <c r="F37" i="2"/>
  <c r="G37" i="2"/>
  <c r="I37" i="2"/>
  <c r="J37" i="2"/>
  <c r="K37" i="2"/>
  <c r="L37" i="2"/>
  <c r="O37" i="2"/>
  <c r="P37" i="2"/>
  <c r="Q37" i="2"/>
  <c r="R37" i="2"/>
  <c r="S37" i="2"/>
  <c r="T37" i="2"/>
  <c r="U37" i="2"/>
  <c r="B38" i="2"/>
  <c r="C38" i="2"/>
  <c r="D38" i="2"/>
  <c r="E38" i="2"/>
  <c r="F38" i="2"/>
  <c r="G38" i="2"/>
  <c r="I38" i="2"/>
  <c r="J38" i="2"/>
  <c r="K38" i="2"/>
  <c r="L38" i="2"/>
  <c r="O38" i="2"/>
  <c r="P38" i="2"/>
  <c r="Q38" i="2"/>
  <c r="R38" i="2"/>
  <c r="S38" i="2"/>
  <c r="T38" i="2"/>
  <c r="U38" i="2"/>
  <c r="D39" i="2"/>
  <c r="E39" i="2"/>
  <c r="F39" i="2"/>
  <c r="G39" i="2"/>
  <c r="I39" i="2"/>
  <c r="J39" i="2"/>
  <c r="K39" i="2"/>
  <c r="L39" i="2"/>
  <c r="O39" i="2"/>
  <c r="P39" i="2"/>
  <c r="Q39" i="2"/>
  <c r="R39" i="2"/>
  <c r="S39" i="2"/>
  <c r="T39" i="2"/>
  <c r="U39" i="2"/>
  <c r="B40" i="2"/>
  <c r="D40" i="2"/>
  <c r="E40" i="2"/>
  <c r="F40" i="2"/>
  <c r="G40" i="2"/>
  <c r="I40" i="2"/>
  <c r="J40" i="2"/>
  <c r="K40" i="2"/>
  <c r="L40" i="2"/>
  <c r="O40" i="2"/>
  <c r="P40" i="2"/>
  <c r="Q40" i="2"/>
  <c r="R40" i="2"/>
  <c r="S40" i="2"/>
  <c r="T40" i="2"/>
  <c r="U40" i="2"/>
  <c r="D41" i="2"/>
  <c r="E41" i="2"/>
  <c r="F41" i="2"/>
  <c r="G41" i="2"/>
  <c r="I41" i="2"/>
  <c r="J41" i="2"/>
  <c r="K41" i="2"/>
  <c r="L41" i="2"/>
  <c r="O41" i="2"/>
  <c r="P41" i="2"/>
  <c r="Q41" i="2"/>
  <c r="R41" i="2"/>
  <c r="S41" i="2"/>
  <c r="T41" i="2"/>
  <c r="U41" i="2"/>
  <c r="B42" i="2"/>
  <c r="D42" i="2"/>
  <c r="E42" i="2"/>
  <c r="F42" i="2"/>
  <c r="G42" i="2"/>
  <c r="I42" i="2"/>
  <c r="J42" i="2"/>
  <c r="K42" i="2"/>
  <c r="L42" i="2"/>
  <c r="O42" i="2"/>
  <c r="P42" i="2"/>
  <c r="Q42" i="2"/>
  <c r="R42" i="2"/>
  <c r="S42" i="2"/>
  <c r="T42" i="2"/>
  <c r="U42" i="2"/>
  <c r="D43" i="2"/>
  <c r="E43" i="2"/>
  <c r="F43" i="2"/>
  <c r="G43" i="2"/>
  <c r="I43" i="2"/>
  <c r="J43" i="2"/>
  <c r="K43" i="2"/>
  <c r="L43" i="2"/>
  <c r="O43" i="2"/>
  <c r="P43" i="2"/>
  <c r="Q43" i="2"/>
  <c r="R43" i="2"/>
  <c r="S43" i="2"/>
  <c r="T43" i="2"/>
  <c r="U43" i="2"/>
  <c r="D44" i="2"/>
  <c r="E44" i="2"/>
  <c r="F44" i="2"/>
  <c r="G44" i="2"/>
  <c r="I44" i="2"/>
  <c r="J44" i="2"/>
  <c r="K44" i="2"/>
  <c r="L44" i="2"/>
  <c r="O44" i="2"/>
  <c r="P44" i="2"/>
  <c r="Q44" i="2"/>
  <c r="R44" i="2"/>
  <c r="S44" i="2"/>
  <c r="T44" i="2"/>
  <c r="U44" i="2"/>
  <c r="B46" i="2"/>
  <c r="D46" i="2"/>
  <c r="E46" i="2"/>
  <c r="F46" i="2"/>
  <c r="G46" i="2"/>
  <c r="I46" i="2"/>
  <c r="J46" i="2"/>
  <c r="K46" i="2"/>
  <c r="L46" i="2"/>
  <c r="O46" i="2"/>
  <c r="P46" i="2"/>
  <c r="Q46" i="2"/>
  <c r="R46" i="2"/>
  <c r="S46" i="2"/>
  <c r="T46" i="2"/>
  <c r="U46" i="2"/>
  <c r="D47" i="2"/>
  <c r="E47" i="2"/>
  <c r="F47" i="2"/>
  <c r="G47" i="2"/>
  <c r="I47" i="2"/>
  <c r="J47" i="2"/>
  <c r="K47" i="2"/>
  <c r="L47" i="2"/>
  <c r="O47" i="2"/>
  <c r="P47" i="2"/>
  <c r="Q47" i="2"/>
  <c r="R47" i="2"/>
  <c r="S47" i="2"/>
  <c r="T47" i="2"/>
  <c r="U47" i="2"/>
  <c r="B48" i="2"/>
  <c r="C48" i="2"/>
  <c r="D48" i="2"/>
  <c r="E48" i="2"/>
  <c r="F48" i="2"/>
  <c r="G48" i="2"/>
  <c r="I48" i="2"/>
  <c r="J48" i="2"/>
  <c r="K48" i="2"/>
  <c r="L48" i="2"/>
  <c r="O48" i="2"/>
  <c r="P48" i="2"/>
  <c r="Q48" i="2"/>
  <c r="R48" i="2"/>
  <c r="S48" i="2"/>
  <c r="T48" i="2"/>
  <c r="U48" i="2"/>
  <c r="D49" i="2"/>
  <c r="E49" i="2"/>
  <c r="F49" i="2"/>
  <c r="G49" i="2"/>
  <c r="I49" i="2"/>
  <c r="J49" i="2"/>
  <c r="K49" i="2"/>
  <c r="L49" i="2"/>
  <c r="O49" i="2"/>
  <c r="P49" i="2"/>
  <c r="Q49" i="2"/>
  <c r="R49" i="2"/>
  <c r="S49" i="2"/>
  <c r="T49" i="2"/>
  <c r="U49" i="2"/>
  <c r="D50" i="2"/>
  <c r="E50" i="2"/>
  <c r="F50" i="2"/>
  <c r="G50" i="2"/>
  <c r="I50" i="2"/>
  <c r="J50" i="2"/>
  <c r="K50" i="2"/>
  <c r="L50" i="2"/>
  <c r="O50" i="2"/>
  <c r="P50" i="2"/>
  <c r="Q50" i="2"/>
  <c r="R50" i="2"/>
  <c r="S50" i="2"/>
  <c r="T50" i="2"/>
  <c r="U50" i="2"/>
  <c r="D51" i="2"/>
  <c r="E51" i="2"/>
  <c r="F51" i="2"/>
  <c r="G51" i="2"/>
  <c r="I51" i="2"/>
  <c r="J51" i="2"/>
  <c r="K51" i="2"/>
  <c r="L51" i="2"/>
  <c r="O51" i="2"/>
  <c r="P51" i="2"/>
  <c r="Q51" i="2"/>
  <c r="R51" i="2"/>
  <c r="S51" i="2"/>
  <c r="T51" i="2"/>
  <c r="U51" i="2"/>
  <c r="D52" i="2"/>
  <c r="E52" i="2"/>
  <c r="F52" i="2"/>
  <c r="G52" i="2"/>
  <c r="D53" i="2"/>
  <c r="E53" i="2"/>
  <c r="F53" i="2"/>
  <c r="G53" i="2"/>
  <c r="T53" i="2"/>
  <c r="U53" i="2"/>
  <c r="D54" i="2"/>
  <c r="E54" i="2"/>
  <c r="F54" i="2"/>
  <c r="G54" i="2"/>
  <c r="B55" i="2"/>
  <c r="D55" i="2"/>
  <c r="E55" i="2"/>
  <c r="F55" i="2"/>
  <c r="G55" i="2"/>
  <c r="B56" i="2"/>
  <c r="D56" i="2"/>
  <c r="E56" i="2"/>
  <c r="F56" i="2"/>
  <c r="G56" i="2"/>
  <c r="D57" i="2"/>
  <c r="E57" i="2"/>
  <c r="F57" i="2"/>
  <c r="G57" i="2"/>
  <c r="D58" i="2"/>
  <c r="E58" i="2"/>
  <c r="F58" i="2"/>
  <c r="G58" i="2"/>
  <c r="D59" i="2"/>
  <c r="E59" i="2"/>
  <c r="F59" i="2"/>
  <c r="G59" i="2"/>
  <c r="I59" i="2"/>
  <c r="J59" i="2"/>
  <c r="L59" i="2"/>
  <c r="O59" i="2"/>
  <c r="P59" i="2"/>
  <c r="Q59" i="2"/>
  <c r="R59" i="2"/>
  <c r="S59" i="2"/>
  <c r="T59" i="2"/>
  <c r="U59" i="2"/>
  <c r="D60" i="2"/>
  <c r="E60" i="2"/>
  <c r="F60" i="2"/>
  <c r="G60" i="2"/>
  <c r="I60" i="2"/>
  <c r="J60" i="2"/>
  <c r="L60" i="2"/>
  <c r="O60" i="2"/>
  <c r="P60" i="2"/>
  <c r="Q60" i="2"/>
  <c r="R60" i="2"/>
  <c r="S60" i="2"/>
  <c r="T60" i="2"/>
  <c r="U60" i="2"/>
  <c r="D61" i="2"/>
  <c r="E61" i="2"/>
  <c r="F61" i="2"/>
  <c r="G61" i="2"/>
  <c r="I61" i="2"/>
  <c r="J61" i="2"/>
  <c r="L61" i="2"/>
  <c r="O61" i="2"/>
  <c r="P61" i="2"/>
  <c r="Q61" i="2"/>
  <c r="R61" i="2"/>
  <c r="S61" i="2"/>
  <c r="T61" i="2"/>
  <c r="U61" i="2"/>
  <c r="D62" i="2"/>
  <c r="E62" i="2"/>
  <c r="F62" i="2"/>
  <c r="G62" i="2"/>
  <c r="I62" i="2"/>
  <c r="J62" i="2"/>
  <c r="L62" i="2"/>
  <c r="O62" i="2"/>
  <c r="P62" i="2"/>
  <c r="Q62" i="2"/>
  <c r="R62" i="2"/>
  <c r="S62" i="2"/>
  <c r="T62" i="2"/>
  <c r="U62" i="2"/>
  <c r="A65" i="2"/>
  <c r="B65" i="2"/>
  <c r="C65" i="2"/>
  <c r="D65" i="2"/>
  <c r="E65" i="2"/>
  <c r="F65" i="2"/>
  <c r="G65" i="2"/>
  <c r="I65" i="2"/>
  <c r="L65" i="2"/>
  <c r="O65" i="2"/>
  <c r="P65" i="2"/>
  <c r="Q65" i="2"/>
  <c r="R65" i="2"/>
  <c r="S65" i="2"/>
  <c r="T65" i="2"/>
  <c r="U65" i="2"/>
  <c r="A66" i="2"/>
  <c r="B66" i="2"/>
  <c r="C66" i="2"/>
  <c r="D66" i="2"/>
  <c r="E66" i="2"/>
  <c r="F66" i="2"/>
  <c r="G66" i="2"/>
  <c r="I66" i="2"/>
  <c r="L66" i="2"/>
  <c r="O66" i="2"/>
  <c r="P66" i="2"/>
  <c r="Q66" i="2"/>
  <c r="R66" i="2"/>
  <c r="S66" i="2"/>
  <c r="T66" i="2"/>
  <c r="U66" i="2"/>
  <c r="A67" i="2"/>
  <c r="B67" i="2"/>
  <c r="C67" i="2"/>
  <c r="D67" i="2"/>
  <c r="E67" i="2"/>
  <c r="F67" i="2"/>
  <c r="G67" i="2"/>
  <c r="I67" i="2"/>
  <c r="L67" i="2"/>
  <c r="O67" i="2"/>
  <c r="P67" i="2"/>
  <c r="Q67" i="2"/>
  <c r="R67" i="2"/>
  <c r="S67" i="2"/>
  <c r="T67" i="2"/>
  <c r="U67" i="2"/>
  <c r="A68" i="2"/>
  <c r="B68" i="2"/>
  <c r="C68" i="2"/>
  <c r="D68" i="2"/>
  <c r="E68" i="2"/>
  <c r="F68" i="2"/>
  <c r="G68" i="2"/>
  <c r="I68" i="2"/>
  <c r="L68" i="2"/>
  <c r="O68" i="2"/>
  <c r="P68" i="2"/>
  <c r="Q68" i="2"/>
  <c r="R68" i="2"/>
  <c r="S68" i="2"/>
  <c r="T68" i="2"/>
  <c r="U68" i="2"/>
  <c r="A69" i="2"/>
  <c r="B69" i="2"/>
  <c r="C69" i="2"/>
  <c r="D69" i="2"/>
  <c r="E69" i="2"/>
  <c r="F69" i="2"/>
  <c r="G69" i="2"/>
  <c r="I69" i="2"/>
  <c r="L69" i="2"/>
  <c r="O69" i="2"/>
  <c r="P69" i="2"/>
  <c r="Q69" i="2"/>
  <c r="R69" i="2"/>
  <c r="S69" i="2"/>
  <c r="T69" i="2"/>
  <c r="U69" i="2"/>
  <c r="A70" i="2"/>
  <c r="B70" i="2"/>
  <c r="C70" i="2"/>
  <c r="D70" i="2"/>
  <c r="E70" i="2"/>
  <c r="F70" i="2"/>
  <c r="G70" i="2"/>
  <c r="I70" i="2"/>
  <c r="L70" i="2"/>
  <c r="O70" i="2"/>
  <c r="P70" i="2"/>
  <c r="Q70" i="2"/>
  <c r="R70" i="2"/>
  <c r="S70" i="2"/>
  <c r="T70" i="2"/>
  <c r="U70" i="2"/>
  <c r="A71" i="2"/>
  <c r="B71" i="2"/>
  <c r="C71" i="2"/>
  <c r="D71" i="2"/>
  <c r="E71" i="2"/>
  <c r="F71" i="2"/>
  <c r="G71" i="2"/>
  <c r="I71" i="2"/>
  <c r="L71" i="2"/>
  <c r="O71" i="2"/>
  <c r="P71" i="2"/>
  <c r="Q71" i="2"/>
  <c r="R71" i="2"/>
  <c r="S71" i="2"/>
  <c r="T71" i="2"/>
  <c r="U71" i="2"/>
  <c r="A72" i="2"/>
  <c r="B72" i="2"/>
  <c r="C72" i="2"/>
  <c r="D72" i="2"/>
  <c r="E72" i="2"/>
  <c r="F72" i="2"/>
  <c r="G72" i="2"/>
  <c r="I72" i="2"/>
  <c r="L72" i="2"/>
  <c r="O72" i="2"/>
  <c r="P72" i="2"/>
  <c r="Q72" i="2"/>
  <c r="R72" i="2"/>
  <c r="S72" i="2"/>
  <c r="T72" i="2"/>
  <c r="U72" i="2"/>
  <c r="A73" i="2"/>
  <c r="B73" i="2"/>
  <c r="C73" i="2"/>
  <c r="D73" i="2"/>
  <c r="E73" i="2"/>
  <c r="F73" i="2"/>
  <c r="G73" i="2"/>
  <c r="I73" i="2"/>
  <c r="L73" i="2"/>
  <c r="O73" i="2"/>
  <c r="P73" i="2"/>
  <c r="Q73" i="2"/>
  <c r="R73" i="2"/>
  <c r="S73" i="2"/>
  <c r="T73" i="2"/>
  <c r="U73" i="2"/>
  <c r="A74" i="2"/>
  <c r="B74" i="2"/>
  <c r="C74" i="2"/>
  <c r="D74" i="2"/>
  <c r="E74" i="2"/>
  <c r="F74" i="2"/>
  <c r="G74" i="2"/>
  <c r="I74" i="2"/>
  <c r="L74" i="2"/>
  <c r="O74" i="2"/>
  <c r="P74" i="2"/>
  <c r="Q74" i="2"/>
  <c r="R74" i="2"/>
  <c r="S74" i="2"/>
  <c r="T74" i="2"/>
  <c r="U74" i="2"/>
  <c r="A75" i="2"/>
  <c r="B75" i="2"/>
  <c r="C75" i="2"/>
  <c r="D75" i="2"/>
  <c r="E75" i="2"/>
  <c r="F75" i="2"/>
  <c r="G75" i="2"/>
  <c r="I75" i="2"/>
  <c r="L75" i="2"/>
  <c r="O75" i="2"/>
  <c r="P75" i="2"/>
  <c r="Q75" i="2"/>
  <c r="R75" i="2"/>
  <c r="S75" i="2"/>
  <c r="T75" i="2"/>
  <c r="U75" i="2"/>
  <c r="A76" i="2"/>
  <c r="B76" i="2"/>
  <c r="C76" i="2"/>
  <c r="D76" i="2"/>
  <c r="E76" i="2"/>
  <c r="F76" i="2"/>
  <c r="G76" i="2"/>
  <c r="I76" i="2"/>
  <c r="L76" i="2"/>
  <c r="O76" i="2"/>
  <c r="P76" i="2"/>
  <c r="Q76" i="2"/>
  <c r="R76" i="2"/>
  <c r="S76" i="2"/>
  <c r="T76" i="2"/>
  <c r="U76" i="2"/>
  <c r="A77" i="2"/>
  <c r="B77" i="2"/>
  <c r="C77" i="2"/>
  <c r="D77" i="2"/>
  <c r="E77" i="2"/>
  <c r="F77" i="2"/>
  <c r="G77" i="2"/>
  <c r="I77" i="2"/>
  <c r="L77" i="2"/>
  <c r="O77" i="2"/>
  <c r="P77" i="2"/>
  <c r="Q77" i="2"/>
  <c r="R77" i="2"/>
  <c r="S77" i="2"/>
  <c r="T77" i="2"/>
  <c r="U77" i="2"/>
  <c r="T78" i="2"/>
  <c r="U78" i="2"/>
  <c r="T79" i="2"/>
  <c r="U79" i="2"/>
  <c r="T80" i="2"/>
  <c r="U80" i="2"/>
  <c r="M86" i="2"/>
  <c r="C90" i="2"/>
  <c r="C91" i="2"/>
  <c r="C92" i="2"/>
  <c r="C93" i="2"/>
  <c r="C95" i="2"/>
  <c r="C97" i="2"/>
  <c r="J7" i="1"/>
  <c r="K7" i="1"/>
  <c r="D8" i="1"/>
  <c r="E8" i="1"/>
  <c r="F8" i="1"/>
  <c r="G8" i="1"/>
  <c r="I8" i="1"/>
  <c r="J8" i="1"/>
  <c r="K8" i="1"/>
  <c r="L8" i="1"/>
  <c r="P8" i="1"/>
  <c r="Q8" i="1"/>
  <c r="R8" i="1"/>
  <c r="S8" i="1"/>
  <c r="T8" i="1"/>
  <c r="U8" i="1"/>
  <c r="V8" i="1"/>
  <c r="D9" i="1"/>
  <c r="E9" i="1"/>
  <c r="F9" i="1"/>
  <c r="G9" i="1"/>
  <c r="I9" i="1"/>
  <c r="J9" i="1"/>
  <c r="K9" i="1"/>
  <c r="L9" i="1"/>
  <c r="P9" i="1"/>
  <c r="Q9" i="1"/>
  <c r="R9" i="1"/>
  <c r="S9" i="1"/>
  <c r="T9" i="1"/>
  <c r="U9" i="1"/>
  <c r="V9" i="1"/>
  <c r="D10" i="1"/>
  <c r="E10" i="1"/>
  <c r="F10" i="1"/>
  <c r="G10" i="1"/>
  <c r="I10" i="1"/>
  <c r="J10" i="1"/>
  <c r="K10" i="1"/>
  <c r="L10" i="1"/>
  <c r="P10" i="1"/>
  <c r="Q10" i="1"/>
  <c r="R10" i="1"/>
  <c r="S10" i="1"/>
  <c r="T10" i="1"/>
  <c r="U10" i="1"/>
  <c r="V10" i="1"/>
  <c r="D11" i="1"/>
  <c r="E11" i="1"/>
  <c r="F11" i="1"/>
  <c r="G11" i="1"/>
  <c r="I11" i="1"/>
  <c r="J11" i="1"/>
  <c r="K11" i="1"/>
  <c r="L11" i="1"/>
  <c r="P11" i="1"/>
  <c r="Q11" i="1"/>
  <c r="R11" i="1"/>
  <c r="S11" i="1"/>
  <c r="T11" i="1"/>
  <c r="U11" i="1"/>
  <c r="V11" i="1"/>
  <c r="D12" i="1"/>
  <c r="E12" i="1"/>
  <c r="F12" i="1"/>
  <c r="G12" i="1"/>
  <c r="I12" i="1"/>
  <c r="J12" i="1"/>
  <c r="K12" i="1"/>
  <c r="L12" i="1"/>
  <c r="P12" i="1"/>
  <c r="Q12" i="1"/>
  <c r="R12" i="1"/>
  <c r="S12" i="1"/>
  <c r="T12" i="1"/>
  <c r="U12" i="1"/>
  <c r="V12" i="1"/>
  <c r="D13" i="1"/>
  <c r="E13" i="1"/>
  <c r="F13" i="1"/>
  <c r="G13" i="1"/>
  <c r="I13" i="1"/>
  <c r="J13" i="1"/>
  <c r="K13" i="1"/>
  <c r="L13" i="1"/>
  <c r="P13" i="1"/>
  <c r="Q13" i="1"/>
  <c r="R13" i="1"/>
  <c r="S13" i="1"/>
  <c r="T13" i="1"/>
  <c r="U13" i="1"/>
  <c r="V13" i="1"/>
  <c r="D14" i="1"/>
  <c r="E14" i="1"/>
  <c r="F14" i="1"/>
  <c r="G14" i="1"/>
  <c r="I14" i="1"/>
  <c r="J14" i="1"/>
  <c r="K14" i="1"/>
  <c r="L14" i="1"/>
  <c r="P14" i="1"/>
  <c r="Q14" i="1"/>
  <c r="R14" i="1"/>
  <c r="S14" i="1"/>
  <c r="T14" i="1"/>
  <c r="U14" i="1"/>
  <c r="V14" i="1"/>
  <c r="D15" i="1"/>
  <c r="E15" i="1"/>
  <c r="F15" i="1"/>
  <c r="G15" i="1"/>
  <c r="I15" i="1"/>
  <c r="J15" i="1"/>
  <c r="K15" i="1"/>
  <c r="L15" i="1"/>
  <c r="P15" i="1"/>
  <c r="Q15" i="1"/>
  <c r="R15" i="1"/>
  <c r="S15" i="1"/>
  <c r="T15" i="1"/>
  <c r="U15" i="1"/>
  <c r="V15" i="1"/>
  <c r="D16" i="1"/>
  <c r="E16" i="1"/>
  <c r="F16" i="1"/>
  <c r="G16" i="1"/>
  <c r="I16" i="1"/>
  <c r="J16" i="1"/>
  <c r="K16" i="1"/>
  <c r="L16" i="1"/>
  <c r="P16" i="1"/>
  <c r="Q16" i="1"/>
  <c r="R16" i="1"/>
  <c r="S16" i="1"/>
  <c r="T16" i="1"/>
  <c r="U16" i="1"/>
  <c r="V16" i="1"/>
  <c r="D17" i="1"/>
  <c r="E17" i="1"/>
  <c r="F17" i="1"/>
  <c r="G17" i="1"/>
  <c r="I17" i="1"/>
  <c r="J17" i="1"/>
  <c r="K17" i="1"/>
  <c r="L17" i="1"/>
  <c r="P17" i="1"/>
  <c r="Q17" i="1"/>
  <c r="R17" i="1"/>
  <c r="S17" i="1"/>
  <c r="T17" i="1"/>
  <c r="U17" i="1"/>
  <c r="V17" i="1"/>
  <c r="D18" i="1"/>
  <c r="E18" i="1"/>
  <c r="F18" i="1"/>
  <c r="G18" i="1"/>
  <c r="I18" i="1"/>
  <c r="J18" i="1"/>
  <c r="K18" i="1"/>
  <c r="L18" i="1"/>
  <c r="P18" i="1"/>
  <c r="Q18" i="1"/>
  <c r="R18" i="1"/>
  <c r="S18" i="1"/>
  <c r="T18" i="1"/>
  <c r="U18" i="1"/>
  <c r="V18" i="1"/>
  <c r="D19" i="1"/>
  <c r="E19" i="1"/>
  <c r="F19" i="1"/>
  <c r="G19" i="1"/>
  <c r="I19" i="1"/>
  <c r="J19" i="1"/>
  <c r="K19" i="1"/>
  <c r="L19" i="1"/>
  <c r="P19" i="1"/>
  <c r="Q19" i="1"/>
  <c r="R19" i="1"/>
  <c r="S19" i="1"/>
  <c r="T19" i="1"/>
  <c r="U19" i="1"/>
  <c r="V19" i="1"/>
  <c r="D20" i="1"/>
  <c r="E20" i="1"/>
  <c r="F20" i="1"/>
  <c r="G20" i="1"/>
  <c r="I20" i="1"/>
  <c r="J20" i="1"/>
  <c r="K20" i="1"/>
  <c r="L20" i="1"/>
  <c r="P20" i="1"/>
  <c r="Q20" i="1"/>
  <c r="R20" i="1"/>
  <c r="S20" i="1"/>
  <c r="T20" i="1"/>
  <c r="U20" i="1"/>
  <c r="V20" i="1"/>
  <c r="D21" i="1"/>
  <c r="E21" i="1"/>
  <c r="F21" i="1"/>
  <c r="G21" i="1"/>
  <c r="I21" i="1"/>
  <c r="J21" i="1"/>
  <c r="K21" i="1"/>
  <c r="L21" i="1"/>
  <c r="P21" i="1"/>
  <c r="Q21" i="1"/>
  <c r="R21" i="1"/>
  <c r="S21" i="1"/>
  <c r="T21" i="1"/>
  <c r="U21" i="1"/>
  <c r="V21" i="1"/>
  <c r="D22" i="1"/>
  <c r="E22" i="1"/>
  <c r="F22" i="1"/>
  <c r="G22" i="1"/>
  <c r="I22" i="1"/>
  <c r="J22" i="1"/>
  <c r="K22" i="1"/>
  <c r="L22" i="1"/>
  <c r="P22" i="1"/>
  <c r="Q22" i="1"/>
  <c r="R22" i="1"/>
  <c r="S22" i="1"/>
  <c r="T22" i="1"/>
  <c r="U22" i="1"/>
  <c r="V22" i="1"/>
  <c r="D23" i="1"/>
  <c r="E23" i="1"/>
  <c r="F23" i="1"/>
  <c r="G23" i="1"/>
  <c r="I23" i="1"/>
  <c r="J23" i="1"/>
  <c r="K23" i="1"/>
  <c r="L23" i="1"/>
  <c r="P23" i="1"/>
  <c r="Q23" i="1"/>
  <c r="R23" i="1"/>
  <c r="S23" i="1"/>
  <c r="T23" i="1"/>
  <c r="U23" i="1"/>
  <c r="V23" i="1"/>
  <c r="D24" i="1"/>
  <c r="E24" i="1"/>
  <c r="F24" i="1"/>
  <c r="G24" i="1"/>
  <c r="I24" i="1"/>
  <c r="J24" i="1"/>
  <c r="K24" i="1"/>
  <c r="L24" i="1"/>
  <c r="P24" i="1"/>
  <c r="Q24" i="1"/>
  <c r="R24" i="1"/>
  <c r="S24" i="1"/>
  <c r="T24" i="1"/>
  <c r="U24" i="1"/>
  <c r="V24" i="1"/>
  <c r="D25" i="1"/>
  <c r="E25" i="1"/>
  <c r="F25" i="1"/>
  <c r="G25" i="1"/>
  <c r="I25" i="1"/>
  <c r="J25" i="1"/>
  <c r="K25" i="1"/>
  <c r="L25" i="1"/>
  <c r="P25" i="1"/>
  <c r="Q25" i="1"/>
  <c r="R25" i="1"/>
  <c r="S25" i="1"/>
  <c r="T25" i="1"/>
  <c r="U25" i="1"/>
  <c r="V25" i="1"/>
  <c r="D26" i="1"/>
  <c r="E26" i="1"/>
  <c r="F26" i="1"/>
  <c r="G26" i="1"/>
  <c r="I26" i="1"/>
  <c r="J26" i="1"/>
  <c r="K26" i="1"/>
  <c r="L26" i="1"/>
  <c r="P26" i="1"/>
  <c r="Q26" i="1"/>
  <c r="R26" i="1"/>
  <c r="S26" i="1"/>
  <c r="T26" i="1"/>
  <c r="U26" i="1"/>
  <c r="V26" i="1"/>
  <c r="D27" i="1"/>
  <c r="E27" i="1"/>
  <c r="F27" i="1"/>
  <c r="G27" i="1"/>
  <c r="I27" i="1"/>
  <c r="J27" i="1"/>
  <c r="K27" i="1"/>
  <c r="L27" i="1"/>
  <c r="P27" i="1"/>
  <c r="Q27" i="1"/>
  <c r="R27" i="1"/>
  <c r="S27" i="1"/>
  <c r="T27" i="1"/>
  <c r="U27" i="1"/>
  <c r="V27" i="1"/>
  <c r="D28" i="1"/>
  <c r="E28" i="1"/>
  <c r="F28" i="1"/>
  <c r="G28" i="1"/>
  <c r="I28" i="1"/>
  <c r="J28" i="1"/>
  <c r="K28" i="1"/>
  <c r="L28" i="1"/>
  <c r="P28" i="1"/>
  <c r="Q28" i="1"/>
  <c r="R28" i="1"/>
  <c r="S28" i="1"/>
  <c r="T28" i="1"/>
  <c r="U28" i="1"/>
  <c r="V28" i="1"/>
  <c r="D29" i="1"/>
  <c r="E29" i="1"/>
  <c r="F29" i="1"/>
  <c r="G29" i="1"/>
  <c r="I29" i="1"/>
  <c r="J29" i="1"/>
  <c r="K29" i="1"/>
  <c r="L29" i="1"/>
  <c r="P29" i="1"/>
  <c r="Q29" i="1"/>
  <c r="R29" i="1"/>
  <c r="S29" i="1"/>
  <c r="T29" i="1"/>
  <c r="U29" i="1"/>
  <c r="V29" i="1"/>
  <c r="C31" i="1"/>
  <c r="E31" i="1"/>
  <c r="D31" i="1" s="1"/>
  <c r="R31" i="1" s="1"/>
  <c r="S31" i="1" s="1"/>
  <c r="F31" i="1"/>
  <c r="G31" i="1"/>
  <c r="J31" i="1"/>
  <c r="K31" i="1"/>
  <c r="L31" i="1"/>
  <c r="B31" i="1"/>
  <c r="P31" i="1"/>
  <c r="Q31" i="1"/>
  <c r="T32" i="1" l="1"/>
  <c r="I32" i="1" s="1"/>
  <c r="U32" i="1" s="1"/>
  <c r="V32" i="1" s="1"/>
  <c r="W32" i="1" s="1"/>
  <c r="T31" i="1"/>
  <c r="I31" i="1" s="1"/>
  <c r="U31" i="1" s="1"/>
  <c r="V31" i="1" s="1"/>
  <c r="V6" i="1" l="1"/>
  <c r="W31" i="1"/>
</calcChain>
</file>

<file path=xl/sharedStrings.xml><?xml version="1.0" encoding="utf-8"?>
<sst xmlns="http://schemas.openxmlformats.org/spreadsheetml/2006/main" count="308" uniqueCount="203">
  <si>
    <t>Calculation des conduites pour systeme CO2 transcritique</t>
  </si>
  <si>
    <t>Remplir seulement les cellules blanches !</t>
  </si>
  <si>
    <t>Position</t>
  </si>
  <si>
    <t>Puissance</t>
  </si>
  <si>
    <t>Longueur</t>
  </si>
  <si>
    <t>D</t>
  </si>
  <si>
    <t>interne</t>
  </si>
  <si>
    <t>l</t>
  </si>
  <si>
    <r>
      <t>D</t>
    </r>
    <r>
      <rPr>
        <b/>
        <sz val="10"/>
        <rFont val="Arial"/>
        <family val="2"/>
      </rPr>
      <t>h</t>
    </r>
  </si>
  <si>
    <t>Densite</t>
  </si>
  <si>
    <t>v</t>
  </si>
  <si>
    <t xml:space="preserve">n   </t>
  </si>
  <si>
    <t>Anteil mpkt</t>
  </si>
  <si>
    <r>
      <t>D</t>
    </r>
    <r>
      <rPr>
        <b/>
        <sz val="10"/>
        <rFont val="Arial"/>
        <family val="2"/>
      </rPr>
      <t>p pro K</t>
    </r>
  </si>
  <si>
    <t>m'</t>
  </si>
  <si>
    <t>Debit</t>
  </si>
  <si>
    <t>Vitesse</t>
  </si>
  <si>
    <r>
      <t>p</t>
    </r>
    <r>
      <rPr>
        <b/>
        <vertAlign val="subscript"/>
        <sz val="9"/>
        <rFont val="Arial"/>
        <family val="2"/>
      </rPr>
      <t>dyn</t>
    </r>
  </si>
  <si>
    <t>Re</t>
  </si>
  <si>
    <r>
      <t>D</t>
    </r>
    <r>
      <rPr>
        <b/>
        <sz val="10"/>
        <rFont val="Arial"/>
        <family val="2"/>
      </rPr>
      <t>p</t>
    </r>
  </si>
  <si>
    <t xml:space="preserve">Qo kW  </t>
  </si>
  <si>
    <t>m</t>
  </si>
  <si>
    <t>int.,mm</t>
  </si>
  <si>
    <t>Berechnung</t>
  </si>
  <si>
    <t>ext.,mm</t>
  </si>
  <si>
    <t>-</t>
  </si>
  <si>
    <t>kJ / kg</t>
  </si>
  <si>
    <r>
      <t>kg / m</t>
    </r>
    <r>
      <rPr>
        <vertAlign val="superscript"/>
        <sz val="10"/>
        <rFont val="Arial"/>
        <family val="2"/>
      </rPr>
      <t>3</t>
    </r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</si>
  <si>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/ kg</t>
    </r>
  </si>
  <si>
    <r>
      <t>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/ s</t>
    </r>
  </si>
  <si>
    <t>%</t>
  </si>
  <si>
    <t>Pa</t>
  </si>
  <si>
    <t>kg / s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</si>
  <si>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/h</t>
    </r>
  </si>
  <si>
    <t>m / s</t>
  </si>
  <si>
    <t>K</t>
  </si>
  <si>
    <t>nicht ändern !!!!</t>
  </si>
  <si>
    <t>Conduites d' Aspiration</t>
  </si>
  <si>
    <t>DN</t>
  </si>
  <si>
    <t>Conduites de Liquide</t>
  </si>
  <si>
    <t>Enthalpie und Dichtewerte von log-p-h Diagramm</t>
  </si>
  <si>
    <t>Calculation des conduites pour systeme CO2 sousscritique</t>
  </si>
  <si>
    <t>19.05.2009 / Sc</t>
  </si>
  <si>
    <t>Conduites d'Aspiration</t>
  </si>
  <si>
    <t>43 - Multiplex</t>
  </si>
  <si>
    <t>37 - Multiplex</t>
  </si>
  <si>
    <t>38 - Multiplex</t>
  </si>
  <si>
    <t>Gaz chaude</t>
  </si>
  <si>
    <t>DL</t>
  </si>
  <si>
    <t>CNS METRISCH</t>
  </si>
  <si>
    <t>Gas-
rohr</t>
  </si>
  <si>
    <t>A ø      s</t>
  </si>
  <si>
    <t>l ø</t>
  </si>
  <si>
    <r>
      <t>cm</t>
    </r>
    <r>
      <rPr>
        <b/>
        <vertAlign val="superscript"/>
        <sz val="12"/>
        <rFont val="Arial"/>
        <family val="2"/>
      </rPr>
      <t>2</t>
    </r>
    <r>
      <rPr>
        <b/>
        <sz val="12"/>
        <rFont val="Arial"/>
        <family val="2"/>
      </rPr>
      <t xml:space="preserve"> (l)</t>
    </r>
  </si>
  <si>
    <t>l/m</t>
  </si>
  <si>
    <t>kg/m</t>
  </si>
  <si>
    <t>1/4"</t>
  </si>
  <si>
    <t>6.32 x 0.62</t>
  </si>
  <si>
    <t>6.0 x 1.0</t>
  </si>
  <si>
    <t>3/8"</t>
  </si>
  <si>
    <t>9.52 x 0.76</t>
  </si>
  <si>
    <t>10.0 x 1.0</t>
  </si>
  <si>
    <t>1/2"</t>
  </si>
  <si>
    <t>12.70 x 0.89</t>
  </si>
  <si>
    <t>12.0 x 1.0</t>
  </si>
  <si>
    <t>13.5 x 2.3</t>
  </si>
  <si>
    <t>5/8"</t>
  </si>
  <si>
    <t>15.87 x 1.01</t>
  </si>
  <si>
    <t>15.0 x 1.0</t>
  </si>
  <si>
    <t>3/4"</t>
  </si>
  <si>
    <t>19.05 x 1.06</t>
  </si>
  <si>
    <t>18.0 x 1.0</t>
  </si>
  <si>
    <t>17.2 x 2.3</t>
  </si>
  <si>
    <t>7/8"</t>
  </si>
  <si>
    <t>22.22 x 1.14</t>
  </si>
  <si>
    <t>22.0 x 1.0</t>
  </si>
  <si>
    <t>21.3 x 2.6</t>
  </si>
  <si>
    <t>1 1/8"</t>
  </si>
  <si>
    <t>28.57 x 1.27</t>
  </si>
  <si>
    <t>28.0 x 1.5</t>
  </si>
  <si>
    <t>26.9 x 2.6</t>
  </si>
  <si>
    <t>1 3/8"</t>
  </si>
  <si>
    <t>34.92 x 1.39</t>
  </si>
  <si>
    <t>35.0 x 1.5</t>
  </si>
  <si>
    <t>1"</t>
  </si>
  <si>
    <t>33.7 x 3.2</t>
  </si>
  <si>
    <t>1 5/8"</t>
  </si>
  <si>
    <t>41.27 x 1.52</t>
  </si>
  <si>
    <t>42.0 x 1.5</t>
  </si>
  <si>
    <t>1 1/4"</t>
  </si>
  <si>
    <t>42.4 x 3.2</t>
  </si>
  <si>
    <t>2 1/8"</t>
  </si>
  <si>
    <t>53.97 x 1.77</t>
  </si>
  <si>
    <t>54.0 x 2.0</t>
  </si>
  <si>
    <t>1 1/2"</t>
  </si>
  <si>
    <t>48.3 x 3.2</t>
  </si>
  <si>
    <t>2 5/8"</t>
  </si>
  <si>
    <t>66.67 x 2.03</t>
  </si>
  <si>
    <t>2"</t>
  </si>
  <si>
    <t>60.3 x 3.6</t>
  </si>
  <si>
    <t>3 1/8"</t>
  </si>
  <si>
    <t>79.37 x 2.28</t>
  </si>
  <si>
    <t>2 1/2"</t>
  </si>
  <si>
    <t>76.1 x 3.6</t>
  </si>
  <si>
    <t>3 5/8"</t>
  </si>
  <si>
    <t>92.07 x 2.54</t>
  </si>
  <si>
    <t>3"</t>
  </si>
  <si>
    <t>88.9 x 4.0</t>
  </si>
  <si>
    <t>4 1/8"</t>
  </si>
  <si>
    <t>104.78 x 2.79</t>
  </si>
  <si>
    <t>(4")</t>
  </si>
  <si>
    <t>114.3 x 4.0</t>
  </si>
  <si>
    <t>ca. 12</t>
  </si>
  <si>
    <t>139.7 x 4.0</t>
  </si>
  <si>
    <t>168.3 x 4.5</t>
  </si>
  <si>
    <t>219.1 x 3.2</t>
  </si>
  <si>
    <t>273.0 x 3.2</t>
  </si>
  <si>
    <r>
      <t>D</t>
    </r>
    <r>
      <rPr>
        <b/>
        <sz val="10"/>
        <rFont val="Arial"/>
        <family val="2"/>
      </rPr>
      <t>p par K</t>
    </r>
  </si>
  <si>
    <t>Multiplex 40 bar</t>
  </si>
  <si>
    <t>Coop Renens</t>
  </si>
  <si>
    <t>Boostersystem</t>
  </si>
  <si>
    <t>Ladentyp B 380</t>
  </si>
  <si>
    <t>10.03.2010  Sc</t>
  </si>
  <si>
    <t xml:space="preserve">Bemerkungen: </t>
  </si>
  <si>
    <t>Pos. 233 entfällt</t>
  </si>
  <si>
    <t>Pos. Reserve = 2,52 kW</t>
  </si>
  <si>
    <t>Summe nicht berücksichtigt:</t>
  </si>
  <si>
    <t>Summe Total</t>
  </si>
  <si>
    <t>ok</t>
  </si>
  <si>
    <t>10.03.2010 / Sc</t>
  </si>
  <si>
    <t>dP (232)</t>
  </si>
  <si>
    <t>Conduites aspiration NEGATIF</t>
  </si>
  <si>
    <t>TK1</t>
  </si>
  <si>
    <t>Aspiration pos et nég</t>
  </si>
  <si>
    <t>10x1</t>
  </si>
  <si>
    <t>12x1</t>
  </si>
  <si>
    <t>13.5x1.6</t>
  </si>
  <si>
    <t>15x1</t>
  </si>
  <si>
    <t>18x1</t>
  </si>
  <si>
    <t>21.3x1.6</t>
  </si>
  <si>
    <t>26.9x1.6</t>
  </si>
  <si>
    <t>28x1.5</t>
  </si>
  <si>
    <t>33.7x1.6</t>
  </si>
  <si>
    <t>35x1.5</t>
  </si>
  <si>
    <t>26.9x2.6</t>
  </si>
  <si>
    <t>33.7x3.2</t>
  </si>
  <si>
    <t>Circuit</t>
  </si>
  <si>
    <t>HP/MP/BP</t>
  </si>
  <si>
    <t>MP/BP</t>
  </si>
  <si>
    <t>42x1.5</t>
  </si>
  <si>
    <t>42.4x3.2</t>
  </si>
  <si>
    <t>Cuivre frigo en pouce</t>
  </si>
  <si>
    <t>Cuivre métrique</t>
  </si>
  <si>
    <t>CNS / Inox - 304L 1.4307</t>
  </si>
  <si>
    <t>48.3x3.2</t>
  </si>
  <si>
    <t>HP</t>
  </si>
  <si>
    <t>54x2</t>
  </si>
  <si>
    <t>P max
à 200°C</t>
  </si>
  <si>
    <t>P max
à 20°C</t>
  </si>
  <si>
    <t>17.2x1.6</t>
  </si>
  <si>
    <t>22x1.2</t>
  </si>
  <si>
    <t>Prix/m</t>
  </si>
  <si>
    <t>T0=-8°C Tasp=13°C</t>
  </si>
  <si>
    <t>Multiplex 90 bar</t>
  </si>
  <si>
    <t>77</t>
  </si>
  <si>
    <t>Collecteur entrée local machine</t>
  </si>
  <si>
    <t>Migros Charmilles</t>
  </si>
  <si>
    <t>6</t>
  </si>
  <si>
    <t>8</t>
  </si>
  <si>
    <t>7</t>
  </si>
  <si>
    <t>12</t>
  </si>
  <si>
    <t>11</t>
  </si>
  <si>
    <t>10</t>
  </si>
  <si>
    <t>9</t>
  </si>
  <si>
    <t>12+11+10+9</t>
  </si>
  <si>
    <t>4</t>
  </si>
  <si>
    <t>12+11+10+9+4</t>
  </si>
  <si>
    <t>5</t>
  </si>
  <si>
    <t>12+11+10+9+4+5</t>
  </si>
  <si>
    <t>91</t>
  </si>
  <si>
    <t>G11</t>
  </si>
  <si>
    <t>G12</t>
  </si>
  <si>
    <t>G11+G12</t>
  </si>
  <si>
    <t>1</t>
  </si>
  <si>
    <t>2</t>
  </si>
  <si>
    <t>1+2</t>
  </si>
  <si>
    <t>3</t>
  </si>
  <si>
    <t>1+2+3</t>
  </si>
  <si>
    <t>90</t>
  </si>
  <si>
    <t>60+61+62+63+64+65+40+41+52+50+51+49+48+47+23+46+22+45+20+21+49+24+26+27+25+28+30+32+33+31+34+37+38+36+39+35+73+70+75+71+74+78+72+77</t>
  </si>
  <si>
    <t>8+7</t>
  </si>
  <si>
    <t>8+7+6</t>
  </si>
  <si>
    <t>Collecteur Parking</t>
  </si>
  <si>
    <t>G10</t>
  </si>
  <si>
    <t>G10+91</t>
  </si>
  <si>
    <t>G10+91+G11+G12</t>
  </si>
  <si>
    <t>12+11+10+9+4+5+8+7+6</t>
  </si>
  <si>
    <t>12+11+10+9+4+5+8+7+6+G10+91+G11+G12</t>
  </si>
  <si>
    <t>12+11+10+9+4+5+8+7+6+G10+91+G11+G12+1+2+3</t>
  </si>
  <si>
    <t>12+11+10+9+4+5+8+7+6+G10+91+G11+G12+1+2+3+90</t>
  </si>
  <si>
    <t>9+10</t>
  </si>
  <si>
    <t>9+10+11</t>
  </si>
  <si>
    <t>Pos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</si>
</sst>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5" formatCode="_ &quot;SFr.&quot;\ * #,##0.00_ ;_ &quot;SFr.&quot;\ * \-#,##0.00_ ;_ &quot;SFr.&quot;\ * &quot;-&quot;??_ ;_ @_ "/>
    <numFmt numFmtId="176" formatCode="#,##0.00_ ;\-#,##0.00\ "/>
    <numFmt numFmtId="177" formatCode="#,##0.0_ ;\-#,##0.0\ "/>
    <numFmt numFmtId="178" formatCode="0.0000"/>
    <numFmt numFmtId="179" formatCode="0.000000"/>
    <numFmt numFmtId="180" formatCode="0.000E+00"/>
    <numFmt numFmtId="181" formatCode="#,##0_ ;\-#,##0\ "/>
    <numFmt numFmtId="182" formatCode="0.0"/>
  </numFmts>
  <fonts count="29" x14ac:knownFonts="1">
    <font>
      <sz val="10"/>
      <name val="Arial"/>
      <family val="2"/>
    </font>
    <font>
      <sz val="10"/>
      <name val="Arial"/>
    </font>
    <font>
      <sz val="12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name val="Symbol"/>
      <family val="1"/>
      <charset val="2"/>
    </font>
    <font>
      <b/>
      <sz val="10"/>
      <name val="Symbol"/>
      <family val="1"/>
      <charset val="2"/>
    </font>
    <font>
      <b/>
      <sz val="10"/>
      <name val="Arial"/>
      <family val="2"/>
    </font>
    <font>
      <b/>
      <vertAlign val="subscript"/>
      <sz val="9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vertAlign val="superscript"/>
      <sz val="10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sz val="10"/>
      <color indexed="13"/>
      <name val="Arial"/>
      <family val="2"/>
    </font>
    <font>
      <b/>
      <u/>
      <sz val="10"/>
      <color indexed="10"/>
      <name val="Arial"/>
      <family val="2"/>
    </font>
    <font>
      <b/>
      <sz val="10"/>
      <color indexed="57"/>
      <name val="Arial"/>
      <family val="2"/>
    </font>
    <font>
      <sz val="10"/>
      <color indexed="10"/>
      <name val="Arial"/>
      <family val="2"/>
    </font>
    <font>
      <b/>
      <u/>
      <sz val="14"/>
      <name val="Arial"/>
      <family val="2"/>
    </font>
    <font>
      <u/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i/>
      <sz val="12"/>
      <name val="Arial"/>
      <family val="2"/>
    </font>
    <font>
      <sz val="10"/>
      <name val="Verdana"/>
      <family val="2"/>
    </font>
    <font>
      <sz val="10"/>
      <color indexed="8"/>
      <name val="Calibri"/>
      <family val="2"/>
    </font>
    <font>
      <sz val="10"/>
      <color rgb="FFFF0000"/>
      <name val="Arial"/>
      <family val="2"/>
    </font>
    <font>
      <b/>
      <sz val="10"/>
      <color theme="3" tint="0.3999755851924192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9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2"/>
        <bgColor indexed="39"/>
      </patternFill>
    </fill>
    <fill>
      <patternFill patternType="solid">
        <fgColor indexed="11"/>
        <bgColor indexed="15"/>
      </patternFill>
    </fill>
    <fill>
      <patternFill patternType="solid">
        <fgColor indexed="44"/>
        <bgColor indexed="31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rgb="FF92D050"/>
        <bgColor indexed="35"/>
      </patternFill>
    </fill>
    <fill>
      <patternFill patternType="solid">
        <fgColor rgb="FF92D050"/>
        <bgColor indexed="44"/>
      </patternFill>
    </fill>
    <fill>
      <patternFill patternType="solid">
        <fgColor rgb="FF92D050"/>
        <bgColor indexed="39"/>
      </patternFill>
    </fill>
    <fill>
      <patternFill patternType="solid">
        <fgColor rgb="FF92D050"/>
        <bgColor indexed="1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indexed="44"/>
      </patternFill>
    </fill>
    <fill>
      <patternFill patternType="solid">
        <fgColor theme="1" tint="0.499984740745262"/>
        <bgColor indexed="26"/>
      </patternFill>
    </fill>
    <fill>
      <patternFill patternType="solid">
        <fgColor theme="1" tint="0.499984740745262"/>
        <bgColor indexed="35"/>
      </patternFill>
    </fill>
    <fill>
      <patternFill patternType="solid">
        <fgColor theme="1" tint="0.499984740745262"/>
        <bgColor indexed="39"/>
      </patternFill>
    </fill>
    <fill>
      <patternFill patternType="solid">
        <fgColor theme="1" tint="0.499984740745262"/>
        <bgColor indexed="1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75" fontId="1" fillId="0" borderId="0" applyFill="0" applyBorder="0" applyAlignment="0" applyProtection="0"/>
    <xf numFmtId="0" fontId="2" fillId="0" borderId="0"/>
  </cellStyleXfs>
  <cellXfs count="36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9" fillId="0" borderId="0" xfId="0" applyFont="1"/>
    <xf numFmtId="0" fontId="0" fillId="0" borderId="3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49" fontId="14" fillId="0" borderId="5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2" fontId="0" fillId="0" borderId="7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4" fontId="0" fillId="0" borderId="6" xfId="0" applyNumberForma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1" fontId="15" fillId="0" borderId="7" xfId="0" applyNumberFormat="1" applyFont="1" applyFill="1" applyBorder="1" applyAlignment="1">
      <alignment horizontal="center"/>
    </xf>
    <xf numFmtId="10" fontId="15" fillId="0" borderId="7" xfId="0" applyNumberFormat="1" applyFont="1" applyFill="1" applyBorder="1" applyAlignment="1">
      <alignment horizontal="center"/>
    </xf>
    <xf numFmtId="0" fontId="15" fillId="0" borderId="7" xfId="0" applyNumberFormat="1" applyFon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3" fontId="0" fillId="0" borderId="6" xfId="0" applyNumberFormat="1" applyFill="1" applyBorder="1" applyAlignment="1">
      <alignment horizontal="center"/>
    </xf>
    <xf numFmtId="3" fontId="0" fillId="0" borderId="7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176" fontId="0" fillId="0" borderId="1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177" fontId="0" fillId="2" borderId="10" xfId="0" applyNumberFormat="1" applyFill="1" applyBorder="1" applyAlignment="1">
      <alignment horizontal="center"/>
    </xf>
    <xf numFmtId="0" fontId="9" fillId="0" borderId="10" xfId="0" applyNumberFormat="1" applyFont="1" applyBorder="1" applyAlignment="1">
      <alignment horizontal="center"/>
    </xf>
    <xf numFmtId="177" fontId="0" fillId="3" borderId="6" xfId="0" applyNumberFormat="1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178" fontId="15" fillId="4" borderId="11" xfId="0" applyNumberFormat="1" applyFont="1" applyFill="1" applyBorder="1" applyAlignment="1">
      <alignment horizontal="center"/>
    </xf>
    <xf numFmtId="180" fontId="15" fillId="3" borderId="11" xfId="0" applyNumberFormat="1" applyFont="1" applyFill="1" applyBorder="1" applyAlignment="1">
      <alignment horizontal="center"/>
    </xf>
    <xf numFmtId="10" fontId="15" fillId="3" borderId="7" xfId="0" applyNumberFormat="1" applyFont="1" applyFill="1" applyBorder="1" applyAlignment="1">
      <alignment horizontal="center"/>
    </xf>
    <xf numFmtId="0" fontId="15" fillId="3" borderId="11" xfId="0" applyNumberFormat="1" applyFont="1" applyFill="1" applyBorder="1" applyAlignment="1">
      <alignment horizontal="center"/>
    </xf>
    <xf numFmtId="179" fontId="0" fillId="2" borderId="6" xfId="0" applyNumberFormat="1" applyFill="1" applyBorder="1" applyAlignment="1">
      <alignment horizontal="center"/>
    </xf>
    <xf numFmtId="4" fontId="0" fillId="2" borderId="10" xfId="0" applyNumberFormat="1" applyFill="1" applyBorder="1" applyAlignment="1">
      <alignment horizontal="center"/>
    </xf>
    <xf numFmtId="2" fontId="16" fillId="5" borderId="10" xfId="0" applyNumberFormat="1" applyFont="1" applyFill="1" applyBorder="1" applyAlignment="1">
      <alignment horizontal="center"/>
    </xf>
    <xf numFmtId="1" fontId="0" fillId="2" borderId="10" xfId="0" applyNumberFormat="1" applyFill="1" applyBorder="1" applyAlignment="1">
      <alignment horizontal="center"/>
    </xf>
    <xf numFmtId="3" fontId="0" fillId="2" borderId="10" xfId="0" applyNumberFormat="1" applyFill="1" applyBorder="1" applyAlignment="1">
      <alignment horizontal="center"/>
    </xf>
    <xf numFmtId="3" fontId="0" fillId="6" borderId="7" xfId="0" applyNumberFormat="1" applyFill="1" applyBorder="1" applyAlignment="1">
      <alignment horizontal="center"/>
    </xf>
    <xf numFmtId="2" fontId="16" fillId="5" borderId="12" xfId="0" applyNumberFormat="1" applyFont="1" applyFill="1" applyBorder="1" applyAlignment="1">
      <alignment horizontal="center"/>
    </xf>
    <xf numFmtId="177" fontId="0" fillId="0" borderId="10" xfId="0" applyNumberFormat="1" applyBorder="1" applyAlignment="1">
      <alignment horizontal="center"/>
    </xf>
    <xf numFmtId="2" fontId="0" fillId="0" borderId="10" xfId="0" applyNumberFormat="1" applyFont="1" applyFill="1" applyBorder="1" applyAlignment="1">
      <alignment horizontal="center"/>
    </xf>
    <xf numFmtId="180" fontId="15" fillId="0" borderId="11" xfId="0" applyNumberFormat="1" applyFont="1" applyFill="1" applyBorder="1" applyAlignment="1">
      <alignment horizontal="center"/>
    </xf>
    <xf numFmtId="0" fontId="15" fillId="0" borderId="11" xfId="0" applyNumberFormat="1" applyFont="1" applyFill="1" applyBorder="1" applyAlignment="1">
      <alignment horizontal="center"/>
    </xf>
    <xf numFmtId="4" fontId="0" fillId="0" borderId="10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0" fillId="6" borderId="12" xfId="0" applyNumberFormat="1" applyFill="1" applyBorder="1" applyAlignment="1">
      <alignment horizontal="center"/>
    </xf>
    <xf numFmtId="179" fontId="0" fillId="0" borderId="10" xfId="0" applyNumberFormat="1" applyFill="1" applyBorder="1" applyAlignment="1">
      <alignment horizontal="center"/>
    </xf>
    <xf numFmtId="3" fontId="9" fillId="0" borderId="10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center"/>
    </xf>
    <xf numFmtId="176" fontId="9" fillId="0" borderId="10" xfId="0" applyNumberFormat="1" applyFont="1" applyBorder="1" applyAlignment="1">
      <alignment horizontal="center"/>
    </xf>
    <xf numFmtId="181" fontId="0" fillId="0" borderId="10" xfId="0" applyNumberFormat="1" applyBorder="1" applyAlignment="1">
      <alignment horizontal="center"/>
    </xf>
    <xf numFmtId="3" fontId="0" fillId="0" borderId="11" xfId="0" applyNumberFormat="1" applyFill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178" fontId="15" fillId="4" borderId="7" xfId="0" applyNumberFormat="1" applyFont="1" applyFill="1" applyBorder="1" applyAlignment="1">
      <alignment horizontal="center"/>
    </xf>
    <xf numFmtId="10" fontId="15" fillId="3" borderId="11" xfId="0" applyNumberFormat="1" applyFont="1" applyFill="1" applyBorder="1" applyAlignment="1">
      <alignment horizontal="center"/>
    </xf>
    <xf numFmtId="178" fontId="15" fillId="2" borderId="7" xfId="0" applyNumberFormat="1" applyFont="1" applyFill="1" applyBorder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77" fontId="0" fillId="0" borderId="7" xfId="0" applyNumberFormat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10" fontId="9" fillId="0" borderId="7" xfId="0" applyNumberFormat="1" applyFont="1" applyFill="1" applyBorder="1" applyAlignment="1">
      <alignment horizontal="center"/>
    </xf>
    <xf numFmtId="49" fontId="18" fillId="0" borderId="9" xfId="0" applyNumberFormat="1" applyFont="1" applyBorder="1" applyAlignment="1">
      <alignment horizontal="center"/>
    </xf>
    <xf numFmtId="49" fontId="18" fillId="0" borderId="7" xfId="0" applyNumberFormat="1" applyFont="1" applyBorder="1" applyAlignment="1">
      <alignment horizontal="center"/>
    </xf>
    <xf numFmtId="10" fontId="15" fillId="0" borderId="11" xfId="0" applyNumberFormat="1" applyFont="1" applyFill="1" applyBorder="1" applyAlignment="1">
      <alignment horizontal="center"/>
    </xf>
    <xf numFmtId="3" fontId="9" fillId="0" borderId="11" xfId="0" applyNumberFormat="1" applyFont="1" applyFill="1" applyBorder="1" applyAlignment="1">
      <alignment horizontal="center"/>
    </xf>
    <xf numFmtId="2" fontId="0" fillId="0" borderId="0" xfId="0" applyNumberFormat="1"/>
    <xf numFmtId="176" fontId="14" fillId="0" borderId="13" xfId="0" applyNumberFormat="1" applyFont="1" applyBorder="1" applyAlignment="1">
      <alignment horizontal="center"/>
    </xf>
    <xf numFmtId="176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181" fontId="0" fillId="0" borderId="14" xfId="0" applyNumberFormat="1" applyBorder="1" applyAlignment="1">
      <alignment horizontal="center"/>
    </xf>
    <xf numFmtId="181" fontId="0" fillId="0" borderId="14" xfId="0" applyNumberFormat="1" applyFill="1" applyBorder="1" applyAlignment="1">
      <alignment horizontal="center"/>
    </xf>
    <xf numFmtId="2" fontId="0" fillId="0" borderId="14" xfId="0" applyNumberFormat="1" applyFont="1" applyFill="1" applyBorder="1" applyAlignment="1">
      <alignment horizontal="center"/>
    </xf>
    <xf numFmtId="4" fontId="0" fillId="0" borderId="14" xfId="0" applyNumberFormat="1" applyFill="1" applyBorder="1" applyAlignment="1">
      <alignment horizontal="center"/>
    </xf>
    <xf numFmtId="178" fontId="15" fillId="0" borderId="15" xfId="0" applyNumberFormat="1" applyFont="1" applyFill="1" applyBorder="1" applyAlignment="1">
      <alignment horizontal="center"/>
    </xf>
    <xf numFmtId="11" fontId="15" fillId="0" borderId="15" xfId="0" applyNumberFormat="1" applyFont="1" applyFill="1" applyBorder="1" applyAlignment="1">
      <alignment horizontal="center"/>
    </xf>
    <xf numFmtId="10" fontId="15" fillId="0" borderId="15" xfId="0" applyNumberFormat="1" applyFont="1" applyFill="1" applyBorder="1" applyAlignment="1">
      <alignment horizontal="center"/>
    </xf>
    <xf numFmtId="0" fontId="15" fillId="0" borderId="15" xfId="0" applyNumberFormat="1" applyFont="1" applyFill="1" applyBorder="1" applyAlignment="1">
      <alignment horizontal="center"/>
    </xf>
    <xf numFmtId="179" fontId="0" fillId="0" borderId="14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1" fontId="0" fillId="0" borderId="14" xfId="0" applyNumberFormat="1" applyFill="1" applyBorder="1" applyAlignment="1">
      <alignment horizontal="center"/>
    </xf>
    <xf numFmtId="3" fontId="0" fillId="0" borderId="14" xfId="0" applyNumberForma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0" fontId="0" fillId="0" borderId="0" xfId="0" applyFont="1"/>
    <xf numFmtId="0" fontId="0" fillId="7" borderId="0" xfId="0" applyFont="1" applyFill="1"/>
    <xf numFmtId="0" fontId="0" fillId="0" borderId="0" xfId="0" applyFont="1" applyFill="1"/>
    <xf numFmtId="0" fontId="0" fillId="0" borderId="18" xfId="0" applyFont="1" applyBorder="1" applyAlignment="1">
      <alignment horizontal="center"/>
    </xf>
    <xf numFmtId="176" fontId="14" fillId="0" borderId="5" xfId="0" applyNumberFormat="1" applyFont="1" applyBorder="1" applyAlignment="1">
      <alignment horizontal="center"/>
    </xf>
    <xf numFmtId="12" fontId="9" fillId="0" borderId="6" xfId="0" applyNumberFormat="1" applyFont="1" applyBorder="1" applyAlignment="1"/>
    <xf numFmtId="2" fontId="0" fillId="0" borderId="6" xfId="0" applyNumberFormat="1" applyFont="1" applyFill="1" applyBorder="1" applyAlignment="1">
      <alignment horizontal="center"/>
    </xf>
    <xf numFmtId="177" fontId="0" fillId="3" borderId="10" xfId="0" applyNumberFormat="1" applyFill="1" applyBorder="1" applyAlignment="1">
      <alignment horizontal="center"/>
    </xf>
    <xf numFmtId="178" fontId="15" fillId="2" borderId="11" xfId="0" applyNumberFormat="1" applyFont="1" applyFill="1" applyBorder="1" applyAlignment="1">
      <alignment horizontal="center"/>
    </xf>
    <xf numFmtId="0" fontId="15" fillId="3" borderId="7" xfId="0" applyNumberFormat="1" applyFont="1" applyFill="1" applyBorder="1" applyAlignment="1">
      <alignment horizontal="center"/>
    </xf>
    <xf numFmtId="179" fontId="0" fillId="2" borderId="10" xfId="0" applyNumberFormat="1" applyFill="1" applyBorder="1" applyAlignment="1">
      <alignment horizontal="center"/>
    </xf>
    <xf numFmtId="12" fontId="9" fillId="0" borderId="10" xfId="0" applyNumberFormat="1" applyFont="1" applyBorder="1" applyAlignment="1"/>
    <xf numFmtId="177" fontId="0" fillId="0" borderId="10" xfId="0" applyNumberFormat="1" applyFill="1" applyBorder="1" applyAlignment="1">
      <alignment horizontal="center"/>
    </xf>
    <xf numFmtId="3" fontId="0" fillId="0" borderId="10" xfId="0" applyNumberFormat="1" applyFont="1" applyFill="1" applyBorder="1" applyAlignment="1">
      <alignment horizontal="center"/>
    </xf>
    <xf numFmtId="4" fontId="0" fillId="0" borderId="19" xfId="0" applyNumberFormat="1" applyFont="1" applyFill="1" applyBorder="1" applyAlignment="1">
      <alignment horizontal="center"/>
    </xf>
    <xf numFmtId="4" fontId="0" fillId="0" borderId="20" xfId="0" applyNumberFormat="1" applyFont="1" applyFill="1" applyBorder="1" applyAlignment="1">
      <alignment horizontal="center"/>
    </xf>
    <xf numFmtId="181" fontId="0" fillId="0" borderId="10" xfId="0" applyNumberFormat="1" applyFill="1" applyBorder="1" applyAlignment="1">
      <alignment horizontal="center"/>
    </xf>
    <xf numFmtId="4" fontId="0" fillId="0" borderId="20" xfId="0" applyNumberFormat="1" applyFill="1" applyBorder="1" applyAlignment="1">
      <alignment horizontal="center"/>
    </xf>
    <xf numFmtId="176" fontId="14" fillId="0" borderId="9" xfId="0" applyNumberFormat="1" applyFont="1" applyBorder="1" applyAlignment="1">
      <alignment horizontal="center"/>
    </xf>
    <xf numFmtId="176" fontId="4" fillId="0" borderId="9" xfId="0" applyNumberFormat="1" applyFont="1" applyBorder="1" applyAlignment="1">
      <alignment horizontal="center"/>
    </xf>
    <xf numFmtId="180" fontId="15" fillId="3" borderId="7" xfId="0" applyNumberFormat="1" applyFont="1" applyFill="1" applyBorder="1" applyAlignment="1">
      <alignment horizontal="center"/>
    </xf>
    <xf numFmtId="3" fontId="0" fillId="6" borderId="11" xfId="0" applyNumberForma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76" fontId="18" fillId="0" borderId="9" xfId="0" applyNumberFormat="1" applyFont="1" applyBorder="1" applyAlignment="1">
      <alignment horizontal="center"/>
    </xf>
    <xf numFmtId="11" fontId="15" fillId="3" borderId="7" xfId="0" applyNumberFormat="1" applyFont="1" applyFill="1" applyBorder="1" applyAlignment="1">
      <alignment horizontal="center"/>
    </xf>
    <xf numFmtId="12" fontId="9" fillId="0" borderId="7" xfId="0" applyNumberFormat="1" applyFont="1" applyBorder="1" applyAlignment="1"/>
    <xf numFmtId="178" fontId="15" fillId="0" borderId="16" xfId="0" applyNumberFormat="1" applyFont="1" applyFill="1" applyBorder="1" applyAlignment="1">
      <alignment horizontal="center"/>
    </xf>
    <xf numFmtId="11" fontId="15" fillId="0" borderId="16" xfId="0" applyNumberFormat="1" applyFont="1" applyFill="1" applyBorder="1" applyAlignment="1">
      <alignment horizontal="center"/>
    </xf>
    <xf numFmtId="0" fontId="15" fillId="0" borderId="16" xfId="0" applyNumberFormat="1" applyFont="1" applyFill="1" applyBorder="1" applyAlignment="1">
      <alignment horizontal="center"/>
    </xf>
    <xf numFmtId="0" fontId="0" fillId="0" borderId="0" xfId="0" applyFill="1"/>
    <xf numFmtId="0" fontId="19" fillId="0" borderId="0" xfId="0" applyFont="1"/>
    <xf numFmtId="0" fontId="2" fillId="0" borderId="0" xfId="2"/>
    <xf numFmtId="0" fontId="21" fillId="0" borderId="0" xfId="2" applyFont="1" applyAlignment="1">
      <alignment vertical="center"/>
    </xf>
    <xf numFmtId="0" fontId="22" fillId="0" borderId="7" xfId="2" applyFont="1" applyBorder="1" applyAlignment="1">
      <alignment horizontal="center" vertical="center" wrapText="1"/>
    </xf>
    <xf numFmtId="0" fontId="22" fillId="0" borderId="7" xfId="2" applyFont="1" applyBorder="1" applyAlignment="1">
      <alignment horizontal="center" vertical="center"/>
    </xf>
    <xf numFmtId="0" fontId="22" fillId="0" borderId="19" xfId="2" applyFont="1" applyBorder="1" applyAlignment="1">
      <alignment horizontal="center" vertical="center"/>
    </xf>
    <xf numFmtId="0" fontId="22" fillId="0" borderId="5" xfId="2" applyFont="1" applyBorder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2" fillId="0" borderId="5" xfId="2" applyFont="1" applyBorder="1" applyAlignment="1">
      <alignment horizontal="right"/>
    </xf>
    <xf numFmtId="0" fontId="2" fillId="0" borderId="7" xfId="2" applyFont="1" applyBorder="1" applyAlignment="1">
      <alignment horizontal="right"/>
    </xf>
    <xf numFmtId="182" fontId="2" fillId="2" borderId="7" xfId="2" applyNumberFormat="1" applyFill="1" applyBorder="1" applyAlignment="1">
      <alignment horizontal="right"/>
    </xf>
    <xf numFmtId="2" fontId="2" fillId="0" borderId="7" xfId="2" applyNumberFormat="1" applyBorder="1" applyAlignment="1">
      <alignment horizontal="right"/>
    </xf>
    <xf numFmtId="2" fontId="2" fillId="0" borderId="19" xfId="2" applyNumberFormat="1" applyBorder="1" applyAlignment="1">
      <alignment horizontal="right"/>
    </xf>
    <xf numFmtId="0" fontId="2" fillId="0" borderId="15" xfId="2" applyBorder="1" applyAlignment="1">
      <alignment horizontal="right"/>
    </xf>
    <xf numFmtId="0" fontId="22" fillId="0" borderId="21" xfId="2" applyFont="1" applyBorder="1" applyAlignment="1">
      <alignment horizontal="right"/>
    </xf>
    <xf numFmtId="182" fontId="2" fillId="2" borderId="15" xfId="2" applyNumberFormat="1" applyFill="1" applyBorder="1" applyAlignment="1">
      <alignment horizontal="right"/>
    </xf>
    <xf numFmtId="2" fontId="2" fillId="0" borderId="15" xfId="2" applyNumberFormat="1" applyBorder="1" applyAlignment="1">
      <alignment horizontal="right"/>
    </xf>
    <xf numFmtId="2" fontId="2" fillId="0" borderId="22" xfId="2" applyNumberFormat="1" applyBorder="1" applyAlignment="1">
      <alignment horizontal="right"/>
    </xf>
    <xf numFmtId="0" fontId="0" fillId="0" borderId="2" xfId="0" applyFill="1" applyBorder="1" applyAlignment="1">
      <alignment horizontal="center"/>
    </xf>
    <xf numFmtId="178" fontId="0" fillId="3" borderId="10" xfId="0" applyNumberFormat="1" applyFont="1" applyFill="1" applyBorder="1" applyAlignment="1">
      <alignment horizontal="center"/>
    </xf>
    <xf numFmtId="4" fontId="0" fillId="0" borderId="12" xfId="0" applyNumberFormat="1" applyFill="1" applyBorder="1" applyAlignment="1">
      <alignment horizontal="center"/>
    </xf>
    <xf numFmtId="49" fontId="27" fillId="0" borderId="9" xfId="0" applyNumberFormat="1" applyFont="1" applyBorder="1" applyAlignment="1">
      <alignment horizontal="center"/>
    </xf>
    <xf numFmtId="49" fontId="28" fillId="0" borderId="9" xfId="0" applyNumberFormat="1" applyFont="1" applyBorder="1" applyAlignment="1">
      <alignment horizontal="center"/>
    </xf>
    <xf numFmtId="176" fontId="28" fillId="0" borderId="10" xfId="0" applyNumberFormat="1" applyFont="1" applyBorder="1" applyAlignment="1">
      <alignment horizontal="center"/>
    </xf>
    <xf numFmtId="2" fontId="0" fillId="0" borderId="19" xfId="0" applyNumberFormat="1" applyFill="1" applyBorder="1" applyAlignment="1">
      <alignment horizontal="center"/>
    </xf>
    <xf numFmtId="0" fontId="18" fillId="0" borderId="7" xfId="0" applyNumberFormat="1" applyFont="1" applyBorder="1" applyAlignment="1">
      <alignment horizontal="center"/>
    </xf>
    <xf numFmtId="0" fontId="24" fillId="0" borderId="0" xfId="0" applyFont="1"/>
    <xf numFmtId="180" fontId="15" fillId="0" borderId="0" xfId="0" applyNumberFormat="1" applyFont="1" applyFill="1" applyBorder="1" applyAlignment="1">
      <alignment horizontal="center"/>
    </xf>
    <xf numFmtId="0" fontId="0" fillId="8" borderId="0" xfId="0" applyFill="1"/>
    <xf numFmtId="0" fontId="9" fillId="8" borderId="0" xfId="0" applyFont="1" applyFill="1" applyAlignment="1">
      <alignment horizontal="right"/>
    </xf>
    <xf numFmtId="2" fontId="0" fillId="8" borderId="23" xfId="0" applyNumberFormat="1" applyFill="1" applyBorder="1"/>
    <xf numFmtId="0" fontId="0" fillId="8" borderId="24" xfId="0" applyFill="1" applyBorder="1"/>
    <xf numFmtId="2" fontId="0" fillId="0" borderId="0" xfId="0" applyNumberFormat="1" applyFill="1"/>
    <xf numFmtId="2" fontId="0" fillId="8" borderId="25" xfId="0" applyNumberFormat="1" applyFill="1" applyBorder="1"/>
    <xf numFmtId="0" fontId="0" fillId="8" borderId="26" xfId="0" applyFill="1" applyBorder="1"/>
    <xf numFmtId="2" fontId="0" fillId="8" borderId="27" xfId="0" applyNumberFormat="1" applyFill="1" applyBorder="1"/>
    <xf numFmtId="0" fontId="0" fillId="8" borderId="28" xfId="0" applyFill="1" applyBorder="1"/>
    <xf numFmtId="2" fontId="0" fillId="0" borderId="29" xfId="0" applyNumberFormat="1" applyBorder="1"/>
    <xf numFmtId="2" fontId="0" fillId="0" borderId="30" xfId="0" applyNumberFormat="1" applyBorder="1"/>
    <xf numFmtId="2" fontId="0" fillId="0" borderId="0" xfId="0" applyNumberFormat="1" applyFon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0" fontId="15" fillId="0" borderId="0" xfId="0" applyNumberFormat="1" applyFont="1" applyFill="1" applyBorder="1" applyAlignment="1">
      <alignment horizontal="center"/>
    </xf>
    <xf numFmtId="179" fontId="0" fillId="0" borderId="0" xfId="0" applyNumberFormat="1" applyFill="1" applyBorder="1" applyAlignment="1">
      <alignment horizontal="center"/>
    </xf>
    <xf numFmtId="0" fontId="0" fillId="9" borderId="0" xfId="0" applyFill="1"/>
    <xf numFmtId="0" fontId="9" fillId="9" borderId="0" xfId="0" applyFont="1" applyFill="1" applyAlignment="1">
      <alignment horizontal="right"/>
    </xf>
    <xf numFmtId="2" fontId="0" fillId="9" borderId="23" xfId="0" applyNumberFormat="1" applyFill="1" applyBorder="1"/>
    <xf numFmtId="0" fontId="0" fillId="9" borderId="24" xfId="0" applyFill="1" applyBorder="1"/>
    <xf numFmtId="2" fontId="0" fillId="9" borderId="25" xfId="0" applyNumberFormat="1" applyFill="1" applyBorder="1"/>
    <xf numFmtId="0" fontId="0" fillId="9" borderId="26" xfId="0" applyFill="1" applyBorder="1"/>
    <xf numFmtId="0" fontId="0" fillId="9" borderId="28" xfId="0" applyFill="1" applyBorder="1"/>
    <xf numFmtId="0" fontId="0" fillId="0" borderId="30" xfId="0" applyFill="1" applyBorder="1"/>
    <xf numFmtId="0" fontId="0" fillId="10" borderId="0" xfId="0" applyFill="1"/>
    <xf numFmtId="0" fontId="9" fillId="10" borderId="0" xfId="0" applyFont="1" applyFill="1" applyAlignment="1">
      <alignment horizontal="right"/>
    </xf>
    <xf numFmtId="2" fontId="0" fillId="10" borderId="23" xfId="0" applyNumberFormat="1" applyFill="1" applyBorder="1"/>
    <xf numFmtId="0" fontId="0" fillId="10" borderId="24" xfId="0" applyFill="1" applyBorder="1"/>
    <xf numFmtId="2" fontId="0" fillId="10" borderId="25" xfId="0" applyNumberFormat="1" applyFill="1" applyBorder="1"/>
    <xf numFmtId="0" fontId="0" fillId="10" borderId="26" xfId="0" applyFill="1" applyBorder="1"/>
    <xf numFmtId="2" fontId="0" fillId="10" borderId="27" xfId="0" applyNumberFormat="1" applyFill="1" applyBorder="1"/>
    <xf numFmtId="0" fontId="0" fillId="10" borderId="28" xfId="0" applyFill="1" applyBorder="1"/>
    <xf numFmtId="0" fontId="24" fillId="0" borderId="0" xfId="0" applyFont="1" applyFill="1" applyBorder="1"/>
    <xf numFmtId="0" fontId="0" fillId="0" borderId="0" xfId="0" applyFill="1" applyBorder="1"/>
    <xf numFmtId="0" fontId="9" fillId="0" borderId="0" xfId="0" applyFont="1" applyFill="1" applyBorder="1" applyAlignment="1">
      <alignment horizontal="right"/>
    </xf>
    <xf numFmtId="2" fontId="0" fillId="0" borderId="0" xfId="0" applyNumberFormat="1" applyFill="1" applyBorder="1"/>
    <xf numFmtId="2" fontId="0" fillId="0" borderId="23" xfId="0" applyNumberFormat="1" applyBorder="1"/>
    <xf numFmtId="0" fontId="0" fillId="0" borderId="24" xfId="0" applyBorder="1"/>
    <xf numFmtId="2" fontId="0" fillId="0" borderId="25" xfId="0" applyNumberFormat="1" applyBorder="1"/>
    <xf numFmtId="0" fontId="0" fillId="0" borderId="26" xfId="0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12" fontId="17" fillId="0" borderId="31" xfId="0" applyNumberFormat="1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1" fontId="9" fillId="0" borderId="31" xfId="0" applyNumberFormat="1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11" borderId="31" xfId="0" applyFont="1" applyFill="1" applyBorder="1" applyAlignment="1">
      <alignment horizontal="center"/>
    </xf>
    <xf numFmtId="0" fontId="9" fillId="0" borderId="31" xfId="0" applyFont="1" applyFill="1" applyBorder="1" applyAlignment="1">
      <alignment horizontal="center"/>
    </xf>
    <xf numFmtId="0" fontId="0" fillId="0" borderId="0" xfId="0" applyAlignment="1">
      <alignment horizontal="center"/>
    </xf>
    <xf numFmtId="176" fontId="0" fillId="0" borderId="10" xfId="0" applyNumberFormat="1" applyFill="1" applyBorder="1" applyAlignment="1">
      <alignment horizontal="center"/>
    </xf>
    <xf numFmtId="177" fontId="0" fillId="12" borderId="6" xfId="0" applyNumberFormat="1" applyFill="1" applyBorder="1" applyAlignment="1">
      <alignment horizontal="center"/>
    </xf>
    <xf numFmtId="178" fontId="15" fillId="12" borderId="7" xfId="0" applyNumberFormat="1" applyFont="1" applyFill="1" applyBorder="1" applyAlignment="1">
      <alignment horizontal="center"/>
    </xf>
    <xf numFmtId="0" fontId="9" fillId="12" borderId="7" xfId="0" applyNumberFormat="1" applyFont="1" applyFill="1" applyBorder="1" applyAlignment="1">
      <alignment horizontal="center"/>
    </xf>
    <xf numFmtId="178" fontId="0" fillId="0" borderId="10" xfId="0" applyNumberFormat="1" applyFont="1" applyFill="1" applyBorder="1" applyAlignment="1">
      <alignment horizontal="center"/>
    </xf>
    <xf numFmtId="2" fontId="16" fillId="0" borderId="10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2" fontId="0" fillId="12" borderId="6" xfId="0" applyNumberFormat="1" applyFont="1" applyFill="1" applyBorder="1" applyAlignment="1">
      <alignment horizontal="center"/>
    </xf>
    <xf numFmtId="49" fontId="18" fillId="0" borderId="7" xfId="0" applyNumberFormat="1" applyFont="1" applyFill="1" applyBorder="1" applyAlignment="1">
      <alignment horizontal="center"/>
    </xf>
    <xf numFmtId="49" fontId="14" fillId="0" borderId="9" xfId="0" applyNumberFormat="1" applyFont="1" applyFill="1" applyBorder="1" applyAlignment="1">
      <alignment horizontal="center"/>
    </xf>
    <xf numFmtId="49" fontId="4" fillId="13" borderId="9" xfId="0" applyNumberFormat="1" applyFont="1" applyFill="1" applyBorder="1" applyAlignment="1">
      <alignment horizontal="center"/>
    </xf>
    <xf numFmtId="176" fontId="0" fillId="13" borderId="10" xfId="0" applyNumberFormat="1" applyFill="1" applyBorder="1" applyAlignment="1">
      <alignment horizontal="center"/>
    </xf>
    <xf numFmtId="2" fontId="0" fillId="13" borderId="10" xfId="0" applyNumberFormat="1" applyFill="1" applyBorder="1" applyAlignment="1">
      <alignment horizontal="center"/>
    </xf>
    <xf numFmtId="177" fontId="0" fillId="13" borderId="10" xfId="0" applyNumberFormat="1" applyFill="1" applyBorder="1" applyAlignment="1">
      <alignment horizontal="center"/>
    </xf>
    <xf numFmtId="178" fontId="0" fillId="14" borderId="10" xfId="0" applyNumberFormat="1" applyFont="1" applyFill="1" applyBorder="1" applyAlignment="1">
      <alignment horizontal="center"/>
    </xf>
    <xf numFmtId="177" fontId="0" fillId="14" borderId="6" xfId="0" applyNumberFormat="1" applyFill="1" applyBorder="1" applyAlignment="1">
      <alignment horizontal="center"/>
    </xf>
    <xf numFmtId="4" fontId="0" fillId="14" borderId="10" xfId="0" applyNumberFormat="1" applyFill="1" applyBorder="1" applyAlignment="1">
      <alignment horizontal="center"/>
    </xf>
    <xf numFmtId="178" fontId="15" fillId="15" borderId="7" xfId="0" applyNumberFormat="1" applyFont="1" applyFill="1" applyBorder="1" applyAlignment="1">
      <alignment horizontal="center"/>
    </xf>
    <xf numFmtId="180" fontId="15" fillId="14" borderId="11" xfId="0" applyNumberFormat="1" applyFont="1" applyFill="1" applyBorder="1" applyAlignment="1">
      <alignment horizontal="center"/>
    </xf>
    <xf numFmtId="10" fontId="15" fillId="14" borderId="11" xfId="0" applyNumberFormat="1" applyFont="1" applyFill="1" applyBorder="1" applyAlignment="1">
      <alignment horizontal="center"/>
    </xf>
    <xf numFmtId="0" fontId="15" fillId="14" borderId="11" xfId="0" applyNumberFormat="1" applyFont="1" applyFill="1" applyBorder="1" applyAlignment="1">
      <alignment horizontal="center"/>
    </xf>
    <xf numFmtId="179" fontId="0" fillId="16" borderId="6" xfId="0" applyNumberFormat="1" applyFill="1" applyBorder="1" applyAlignment="1">
      <alignment horizontal="center"/>
    </xf>
    <xf numFmtId="4" fontId="0" fillId="16" borderId="10" xfId="0" applyNumberFormat="1" applyFill="1" applyBorder="1" applyAlignment="1">
      <alignment horizontal="center"/>
    </xf>
    <xf numFmtId="2" fontId="0" fillId="17" borderId="10" xfId="0" applyNumberFormat="1" applyFont="1" applyFill="1" applyBorder="1" applyAlignment="1">
      <alignment horizontal="center"/>
    </xf>
    <xf numFmtId="1" fontId="0" fillId="16" borderId="10" xfId="0" applyNumberFormat="1" applyFont="1" applyFill="1" applyBorder="1" applyAlignment="1">
      <alignment horizontal="center"/>
    </xf>
    <xf numFmtId="3" fontId="0" fillId="16" borderId="10" xfId="0" applyNumberFormat="1" applyFont="1" applyFill="1" applyBorder="1" applyAlignment="1">
      <alignment horizontal="center"/>
    </xf>
    <xf numFmtId="3" fontId="0" fillId="18" borderId="7" xfId="0" applyNumberFormat="1" applyFont="1" applyFill="1" applyBorder="1" applyAlignment="1">
      <alignment horizontal="center"/>
    </xf>
    <xf numFmtId="2" fontId="0" fillId="17" borderId="12" xfId="0" applyNumberFormat="1" applyFont="1" applyFill="1" applyBorder="1" applyAlignment="1">
      <alignment horizontal="center"/>
    </xf>
    <xf numFmtId="49" fontId="9" fillId="13" borderId="9" xfId="0" applyNumberFormat="1" applyFont="1" applyFill="1" applyBorder="1" applyAlignment="1">
      <alignment horizontal="center"/>
    </xf>
    <xf numFmtId="176" fontId="0" fillId="13" borderId="10" xfId="0" applyNumberFormat="1" applyFont="1" applyFill="1" applyBorder="1" applyAlignment="1">
      <alignment horizontal="center"/>
    </xf>
    <xf numFmtId="2" fontId="0" fillId="13" borderId="10" xfId="0" applyNumberFormat="1" applyFont="1" applyFill="1" applyBorder="1" applyAlignment="1">
      <alignment horizontal="center"/>
    </xf>
    <xf numFmtId="177" fontId="0" fillId="13" borderId="10" xfId="0" applyNumberFormat="1" applyFont="1" applyFill="1" applyBorder="1" applyAlignment="1">
      <alignment horizontal="center"/>
    </xf>
    <xf numFmtId="177" fontId="0" fillId="14" borderId="6" xfId="0" applyNumberFormat="1" applyFont="1" applyFill="1" applyBorder="1" applyAlignment="1">
      <alignment horizontal="center"/>
    </xf>
    <xf numFmtId="4" fontId="0" fillId="14" borderId="10" xfId="0" applyNumberFormat="1" applyFont="1" applyFill="1" applyBorder="1" applyAlignment="1">
      <alignment horizontal="center"/>
    </xf>
    <xf numFmtId="179" fontId="0" fillId="16" borderId="6" xfId="0" applyNumberFormat="1" applyFont="1" applyFill="1" applyBorder="1" applyAlignment="1">
      <alignment horizontal="center"/>
    </xf>
    <xf numFmtId="4" fontId="0" fillId="16" borderId="10" xfId="0" applyNumberFormat="1" applyFont="1" applyFill="1" applyBorder="1" applyAlignment="1">
      <alignment horizontal="center"/>
    </xf>
    <xf numFmtId="0" fontId="22" fillId="0" borderId="32" xfId="2" applyFont="1" applyBorder="1" applyAlignment="1">
      <alignment horizontal="center" vertical="center"/>
    </xf>
    <xf numFmtId="2" fontId="2" fillId="0" borderId="32" xfId="2" applyNumberFormat="1" applyBorder="1" applyAlignment="1">
      <alignment horizontal="right"/>
    </xf>
    <xf numFmtId="0" fontId="22" fillId="0" borderId="33" xfId="2" applyFont="1" applyBorder="1" applyAlignment="1">
      <alignment horizontal="center" vertical="center"/>
    </xf>
    <xf numFmtId="0" fontId="22" fillId="0" borderId="33" xfId="2" applyFont="1" applyBorder="1" applyAlignment="1">
      <alignment horizontal="right"/>
    </xf>
    <xf numFmtId="0" fontId="22" fillId="0" borderId="34" xfId="2" applyFont="1" applyBorder="1" applyAlignment="1">
      <alignment horizontal="right"/>
    </xf>
    <xf numFmtId="182" fontId="2" fillId="2" borderId="35" xfId="2" applyNumberFormat="1" applyFill="1" applyBorder="1" applyAlignment="1">
      <alignment horizontal="right"/>
    </xf>
    <xf numFmtId="2" fontId="2" fillId="0" borderId="35" xfId="2" applyNumberFormat="1" applyBorder="1" applyAlignment="1">
      <alignment horizontal="right"/>
    </xf>
    <xf numFmtId="2" fontId="2" fillId="0" borderId="36" xfId="2" applyNumberFormat="1" applyBorder="1" applyAlignment="1">
      <alignment horizontal="right"/>
    </xf>
    <xf numFmtId="0" fontId="22" fillId="0" borderId="37" xfId="2" applyFont="1" applyBorder="1" applyAlignment="1">
      <alignment horizontal="center" vertical="center" wrapText="1"/>
    </xf>
    <xf numFmtId="0" fontId="22" fillId="0" borderId="3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182" fontId="2" fillId="2" borderId="7" xfId="2" applyNumberFormat="1" applyFill="1" applyBorder="1" applyAlignment="1">
      <alignment horizontal="center" vertical="center"/>
    </xf>
    <xf numFmtId="2" fontId="2" fillId="0" borderId="7" xfId="2" applyNumberFormat="1" applyBorder="1" applyAlignment="1">
      <alignment horizontal="center" vertical="center"/>
    </xf>
    <xf numFmtId="2" fontId="2" fillId="0" borderId="32" xfId="2" applyNumberFormat="1" applyBorder="1" applyAlignment="1">
      <alignment horizontal="center" vertical="center"/>
    </xf>
    <xf numFmtId="2" fontId="2" fillId="0" borderId="37" xfId="2" applyNumberFormat="1" applyBorder="1" applyAlignment="1">
      <alignment horizontal="center" vertical="center"/>
    </xf>
    <xf numFmtId="0" fontId="2" fillId="19" borderId="7" xfId="2" applyFont="1" applyFill="1" applyBorder="1" applyAlignment="1">
      <alignment horizontal="center" vertical="center"/>
    </xf>
    <xf numFmtId="2" fontId="2" fillId="0" borderId="32" xfId="2" applyNumberFormat="1" applyFill="1" applyBorder="1" applyAlignment="1">
      <alignment horizontal="center" vertical="center"/>
    </xf>
    <xf numFmtId="2" fontId="2" fillId="0" borderId="37" xfId="2" applyNumberFormat="1" applyFill="1" applyBorder="1" applyAlignment="1">
      <alignment horizontal="center" vertical="center"/>
    </xf>
    <xf numFmtId="2" fontId="2" fillId="0" borderId="0" xfId="2" applyNumberFormat="1" applyFill="1" applyBorder="1" applyAlignment="1">
      <alignment horizontal="center" vertical="center"/>
    </xf>
    <xf numFmtId="2" fontId="2" fillId="0" borderId="31" xfId="2" applyNumberFormat="1" applyBorder="1" applyAlignment="1">
      <alignment horizontal="center" vertical="center"/>
    </xf>
    <xf numFmtId="2" fontId="2" fillId="0" borderId="31" xfId="2" applyNumberFormat="1" applyFill="1" applyBorder="1" applyAlignment="1">
      <alignment horizontal="center" vertical="center"/>
    </xf>
    <xf numFmtId="182" fontId="2" fillId="2" borderId="39" xfId="2" applyNumberFormat="1" applyFill="1" applyBorder="1" applyAlignment="1">
      <alignment horizontal="center" vertical="center"/>
    </xf>
    <xf numFmtId="2" fontId="2" fillId="0" borderId="39" xfId="2" applyNumberFormat="1" applyBorder="1" applyAlignment="1">
      <alignment horizontal="center" vertical="center"/>
    </xf>
    <xf numFmtId="2" fontId="2" fillId="0" borderId="40" xfId="2" applyNumberFormat="1" applyBorder="1" applyAlignment="1">
      <alignment horizontal="center" vertical="center"/>
    </xf>
    <xf numFmtId="0" fontId="22" fillId="0" borderId="0" xfId="2" applyFont="1" applyFill="1" applyBorder="1" applyAlignment="1">
      <alignment horizontal="center" vertical="center"/>
    </xf>
    <xf numFmtId="182" fontId="2" fillId="0" borderId="0" xfId="2" applyNumberFormat="1" applyFill="1" applyBorder="1" applyAlignment="1">
      <alignment horizontal="center" vertical="center"/>
    </xf>
    <xf numFmtId="0" fontId="22" fillId="0" borderId="41" xfId="2" applyFont="1" applyBorder="1" applyAlignment="1">
      <alignment horizontal="center" vertical="center"/>
    </xf>
    <xf numFmtId="2" fontId="2" fillId="0" borderId="41" xfId="2" applyNumberFormat="1" applyBorder="1" applyAlignment="1">
      <alignment horizontal="center" vertical="center"/>
    </xf>
    <xf numFmtId="2" fontId="2" fillId="0" borderId="42" xfId="2" applyNumberFormat="1" applyBorder="1" applyAlignment="1">
      <alignment horizontal="center" vertical="center"/>
    </xf>
    <xf numFmtId="0" fontId="22" fillId="0" borderId="43" xfId="2" applyFont="1" applyBorder="1" applyAlignment="1">
      <alignment horizontal="center" vertical="center" wrapText="1"/>
    </xf>
    <xf numFmtId="0" fontId="22" fillId="0" borderId="44" xfId="2" applyFont="1" applyBorder="1" applyAlignment="1">
      <alignment horizontal="center" vertical="center"/>
    </xf>
    <xf numFmtId="2" fontId="2" fillId="0" borderId="45" xfId="2" applyNumberFormat="1" applyFill="1" applyBorder="1" applyAlignment="1">
      <alignment horizontal="center" vertical="center"/>
    </xf>
    <xf numFmtId="2" fontId="2" fillId="0" borderId="46" xfId="2" applyNumberFormat="1" applyFill="1" applyBorder="1" applyAlignment="1">
      <alignment horizontal="center" vertical="center"/>
    </xf>
    <xf numFmtId="2" fontId="2" fillId="0" borderId="47" xfId="2" applyNumberFormat="1" applyBorder="1" applyAlignment="1">
      <alignment horizontal="center" vertical="center"/>
    </xf>
    <xf numFmtId="2" fontId="2" fillId="0" borderId="48" xfId="2" applyNumberFormat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ill="1" applyBorder="1" applyAlignment="1">
      <alignment horizontal="center" vertical="center"/>
    </xf>
    <xf numFmtId="0" fontId="2" fillId="0" borderId="0" xfId="2" applyBorder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35" xfId="2" applyFont="1" applyBorder="1" applyAlignment="1">
      <alignment horizontal="right"/>
    </xf>
    <xf numFmtId="182" fontId="2" fillId="0" borderId="31" xfId="2" applyNumberFormat="1" applyFill="1" applyBorder="1" applyAlignment="1">
      <alignment horizontal="center" vertical="center"/>
    </xf>
    <xf numFmtId="0" fontId="2" fillId="0" borderId="31" xfId="2" applyFont="1" applyFill="1" applyBorder="1" applyAlignment="1">
      <alignment horizontal="center" vertical="center"/>
    </xf>
    <xf numFmtId="0" fontId="22" fillId="0" borderId="49" xfId="2" applyFont="1" applyBorder="1" applyAlignment="1">
      <alignment horizontal="center" vertical="center"/>
    </xf>
    <xf numFmtId="0" fontId="22" fillId="0" borderId="50" xfId="2" applyFont="1" applyFill="1" applyBorder="1" applyAlignment="1">
      <alignment horizontal="center" vertical="center"/>
    </xf>
    <xf numFmtId="0" fontId="22" fillId="0" borderId="51" xfId="2" applyFont="1" applyFill="1" applyBorder="1" applyAlignment="1">
      <alignment horizontal="center" vertical="center"/>
    </xf>
    <xf numFmtId="182" fontId="2" fillId="0" borderId="45" xfId="2" applyNumberFormat="1" applyFill="1" applyBorder="1" applyAlignment="1">
      <alignment horizontal="center" vertical="center"/>
    </xf>
    <xf numFmtId="0" fontId="2" fillId="0" borderId="45" xfId="2" applyFont="1" applyFill="1" applyBorder="1" applyAlignment="1">
      <alignment horizontal="center" vertical="center"/>
    </xf>
    <xf numFmtId="0" fontId="22" fillId="0" borderId="31" xfId="2" applyFont="1" applyBorder="1" applyAlignment="1">
      <alignment horizontal="center" vertical="center" wrapText="1"/>
    </xf>
    <xf numFmtId="0" fontId="2" fillId="19" borderId="39" xfId="2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175" fontId="1" fillId="0" borderId="0" xfId="1"/>
    <xf numFmtId="49" fontId="14" fillId="20" borderId="9" xfId="0" applyNumberFormat="1" applyFont="1" applyFill="1" applyBorder="1" applyAlignment="1">
      <alignment horizontal="center"/>
    </xf>
    <xf numFmtId="49" fontId="14" fillId="12" borderId="9" xfId="0" applyNumberFormat="1" applyFont="1" applyFill="1" applyBorder="1" applyAlignment="1">
      <alignment horizontal="center"/>
    </xf>
    <xf numFmtId="49" fontId="14" fillId="21" borderId="9" xfId="0" applyNumberFormat="1" applyFont="1" applyFill="1" applyBorder="1" applyAlignment="1">
      <alignment horizontal="center"/>
    </xf>
    <xf numFmtId="176" fontId="0" fillId="21" borderId="10" xfId="0" applyNumberFormat="1" applyFill="1" applyBorder="1" applyAlignment="1">
      <alignment horizontal="center"/>
    </xf>
    <xf numFmtId="2" fontId="0" fillId="21" borderId="10" xfId="0" applyNumberFormat="1" applyFill="1" applyBorder="1" applyAlignment="1">
      <alignment horizontal="center"/>
    </xf>
    <xf numFmtId="177" fontId="0" fillId="22" borderId="10" xfId="0" applyNumberFormat="1" applyFill="1" applyBorder="1" applyAlignment="1">
      <alignment horizontal="center"/>
    </xf>
    <xf numFmtId="0" fontId="9" fillId="21" borderId="10" xfId="0" applyNumberFormat="1" applyFont="1" applyFill="1" applyBorder="1" applyAlignment="1">
      <alignment horizontal="center"/>
    </xf>
    <xf numFmtId="178" fontId="0" fillId="23" borderId="10" xfId="0" applyNumberFormat="1" applyFont="1" applyFill="1" applyBorder="1" applyAlignment="1">
      <alignment horizontal="center"/>
    </xf>
    <xf numFmtId="177" fontId="0" fillId="23" borderId="6" xfId="0" applyNumberFormat="1" applyFill="1" applyBorder="1" applyAlignment="1">
      <alignment horizontal="center"/>
    </xf>
    <xf numFmtId="4" fontId="0" fillId="23" borderId="6" xfId="0" applyNumberFormat="1" applyFill="1" applyBorder="1" applyAlignment="1">
      <alignment horizontal="center"/>
    </xf>
    <xf numFmtId="178" fontId="15" fillId="24" borderId="11" xfId="0" applyNumberFormat="1" applyFont="1" applyFill="1" applyBorder="1" applyAlignment="1">
      <alignment horizontal="center"/>
    </xf>
    <xf numFmtId="180" fontId="15" fillId="23" borderId="11" xfId="0" applyNumberFormat="1" applyFont="1" applyFill="1" applyBorder="1" applyAlignment="1">
      <alignment horizontal="center"/>
    </xf>
    <xf numFmtId="10" fontId="15" fillId="23" borderId="7" xfId="0" applyNumberFormat="1" applyFont="1" applyFill="1" applyBorder="1" applyAlignment="1">
      <alignment horizontal="center"/>
    </xf>
    <xf numFmtId="0" fontId="15" fillId="23" borderId="11" xfId="0" applyNumberFormat="1" applyFont="1" applyFill="1" applyBorder="1" applyAlignment="1">
      <alignment horizontal="center"/>
    </xf>
    <xf numFmtId="179" fontId="0" fillId="22" borderId="6" xfId="0" applyNumberFormat="1" applyFill="1" applyBorder="1" applyAlignment="1">
      <alignment horizontal="center"/>
    </xf>
    <xf numFmtId="4" fontId="0" fillId="22" borderId="10" xfId="0" applyNumberFormat="1" applyFill="1" applyBorder="1" applyAlignment="1">
      <alignment horizontal="center"/>
    </xf>
    <xf numFmtId="2" fontId="16" fillId="25" borderId="10" xfId="0" applyNumberFormat="1" applyFont="1" applyFill="1" applyBorder="1" applyAlignment="1">
      <alignment horizontal="center"/>
    </xf>
    <xf numFmtId="1" fontId="0" fillId="22" borderId="10" xfId="0" applyNumberFormat="1" applyFill="1" applyBorder="1" applyAlignment="1">
      <alignment horizontal="center"/>
    </xf>
    <xf numFmtId="3" fontId="0" fillId="22" borderId="10" xfId="0" applyNumberFormat="1" applyFill="1" applyBorder="1" applyAlignment="1">
      <alignment horizontal="center"/>
    </xf>
    <xf numFmtId="3" fontId="0" fillId="26" borderId="7" xfId="0" applyNumberFormat="1" applyFill="1" applyBorder="1" applyAlignment="1">
      <alignment horizontal="center"/>
    </xf>
    <xf numFmtId="2" fontId="16" fillId="25" borderId="12" xfId="0" applyNumberFormat="1" applyFont="1" applyFill="1" applyBorder="1" applyAlignment="1">
      <alignment horizontal="center"/>
    </xf>
    <xf numFmtId="0" fontId="0" fillId="20" borderId="0" xfId="0" applyFill="1"/>
    <xf numFmtId="0" fontId="0" fillId="12" borderId="0" xfId="0" applyFill="1"/>
    <xf numFmtId="176" fontId="0" fillId="27" borderId="10" xfId="0" applyNumberFormat="1" applyFill="1" applyBorder="1" applyAlignment="1">
      <alignment horizontal="center"/>
    </xf>
    <xf numFmtId="176" fontId="0" fillId="28" borderId="7" xfId="0" applyNumberFormat="1" applyFill="1" applyBorder="1" applyAlignment="1">
      <alignment horizontal="center"/>
    </xf>
    <xf numFmtId="176" fontId="0" fillId="28" borderId="10" xfId="0" applyNumberFormat="1" applyFill="1" applyBorder="1" applyAlignment="1">
      <alignment horizontal="center"/>
    </xf>
    <xf numFmtId="176" fontId="0" fillId="27" borderId="7" xfId="0" applyNumberForma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49" fontId="9" fillId="28" borderId="7" xfId="0" applyNumberFormat="1" applyFont="1" applyFill="1" applyBorder="1" applyAlignment="1">
      <alignment horizontal="center"/>
    </xf>
    <xf numFmtId="49" fontId="9" fillId="27" borderId="7" xfId="0" applyNumberFormat="1" applyFont="1" applyFill="1" applyBorder="1" applyAlignment="1">
      <alignment horizontal="center"/>
    </xf>
    <xf numFmtId="49" fontId="9" fillId="21" borderId="9" xfId="0" applyNumberFormat="1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/>
    </xf>
    <xf numFmtId="49" fontId="9" fillId="28" borderId="9" xfId="0" applyNumberFormat="1" applyFont="1" applyFill="1" applyBorder="1" applyAlignment="1">
      <alignment horizontal="center"/>
    </xf>
    <xf numFmtId="49" fontId="9" fillId="27" borderId="9" xfId="0" applyNumberFormat="1" applyFont="1" applyFill="1" applyBorder="1" applyAlignment="1">
      <alignment horizontal="center"/>
    </xf>
    <xf numFmtId="49" fontId="9" fillId="20" borderId="9" xfId="0" applyNumberFormat="1" applyFont="1" applyFill="1" applyBorder="1" applyAlignment="1">
      <alignment horizontal="center"/>
    </xf>
    <xf numFmtId="176" fontId="9" fillId="0" borderId="7" xfId="0" applyNumberFormat="1" applyFont="1" applyBorder="1" applyAlignment="1">
      <alignment horizontal="center"/>
    </xf>
    <xf numFmtId="176" fontId="0" fillId="0" borderId="7" xfId="0" applyNumberFormat="1" applyFont="1" applyBorder="1" applyAlignment="1">
      <alignment horizontal="center"/>
    </xf>
    <xf numFmtId="49" fontId="9" fillId="29" borderId="9" xfId="0" applyNumberFormat="1" applyFont="1" applyFill="1" applyBorder="1" applyAlignment="1">
      <alignment horizontal="center"/>
    </xf>
    <xf numFmtId="176" fontId="0" fillId="29" borderId="10" xfId="0" applyNumberFormat="1" applyFill="1" applyBorder="1" applyAlignment="1">
      <alignment horizontal="center"/>
    </xf>
    <xf numFmtId="177" fontId="0" fillId="23" borderId="10" xfId="0" applyNumberFormat="1" applyFill="1" applyBorder="1" applyAlignment="1">
      <alignment horizontal="center"/>
    </xf>
    <xf numFmtId="178" fontId="15" fillId="22" borderId="11" xfId="0" applyNumberFormat="1" applyFont="1" applyFill="1" applyBorder="1" applyAlignment="1">
      <alignment horizontal="center"/>
    </xf>
    <xf numFmtId="0" fontId="15" fillId="23" borderId="7" xfId="0" applyNumberFormat="1" applyFont="1" applyFill="1" applyBorder="1" applyAlignment="1">
      <alignment horizontal="center"/>
    </xf>
    <xf numFmtId="179" fontId="0" fillId="22" borderId="10" xfId="0" applyNumberFormat="1" applyFill="1" applyBorder="1" applyAlignment="1">
      <alignment horizontal="center"/>
    </xf>
    <xf numFmtId="2" fontId="0" fillId="22" borderId="10" xfId="0" applyNumberFormat="1" applyFill="1" applyBorder="1" applyAlignment="1">
      <alignment horizontal="center"/>
    </xf>
    <xf numFmtId="2" fontId="0" fillId="19" borderId="4" xfId="0" applyNumberFormat="1" applyFill="1" applyBorder="1" applyAlignment="1">
      <alignment horizontal="center"/>
    </xf>
    <xf numFmtId="2" fontId="0" fillId="19" borderId="12" xfId="0" applyNumberFormat="1" applyFill="1" applyBorder="1" applyAlignment="1">
      <alignment horizontal="center"/>
    </xf>
    <xf numFmtId="182" fontId="0" fillId="8" borderId="25" xfId="0" applyNumberFormat="1" applyFill="1" applyBorder="1"/>
    <xf numFmtId="2" fontId="0" fillId="9" borderId="27" xfId="0" applyNumberFormat="1" applyFill="1" applyBorder="1"/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11" fillId="12" borderId="2" xfId="0" applyFont="1" applyFill="1" applyBorder="1" applyAlignment="1">
      <alignment horizontal="center"/>
    </xf>
    <xf numFmtId="0" fontId="11" fillId="12" borderId="0" xfId="0" applyFont="1" applyFill="1" applyBorder="1" applyAlignment="1">
      <alignment horizontal="center"/>
    </xf>
    <xf numFmtId="0" fontId="9" fillId="12" borderId="6" xfId="0" applyNumberFormat="1" applyFont="1" applyFill="1" applyBorder="1" applyAlignment="1">
      <alignment horizontal="center"/>
    </xf>
    <xf numFmtId="0" fontId="9" fillId="12" borderId="10" xfId="0" applyNumberFormat="1" applyFont="1" applyFill="1" applyBorder="1" applyAlignment="1">
      <alignment horizontal="center"/>
    </xf>
    <xf numFmtId="12" fontId="17" fillId="12" borderId="10" xfId="0" applyNumberFormat="1" applyFont="1" applyFill="1" applyBorder="1" applyAlignment="1">
      <alignment horizontal="center"/>
    </xf>
    <xf numFmtId="181" fontId="0" fillId="12" borderId="14" xfId="0" applyNumberFormat="1" applyFill="1" applyBorder="1" applyAlignment="1">
      <alignment horizontal="center"/>
    </xf>
    <xf numFmtId="0" fontId="22" fillId="0" borderId="38" xfId="2" applyFont="1" applyBorder="1" applyAlignment="1">
      <alignment horizontal="center" vertical="center"/>
    </xf>
    <xf numFmtId="0" fontId="22" fillId="0" borderId="52" xfId="2" applyFont="1" applyBorder="1" applyAlignment="1">
      <alignment horizontal="center" vertical="center"/>
    </xf>
    <xf numFmtId="0" fontId="20" fillId="0" borderId="53" xfId="2" applyFont="1" applyBorder="1" applyAlignment="1">
      <alignment horizontal="center" vertical="center"/>
    </xf>
    <xf numFmtId="0" fontId="20" fillId="0" borderId="54" xfId="2" applyFont="1" applyBorder="1" applyAlignment="1">
      <alignment horizontal="center" vertical="center"/>
    </xf>
    <xf numFmtId="0" fontId="20" fillId="0" borderId="55" xfId="2" applyFont="1" applyBorder="1" applyAlignment="1">
      <alignment horizontal="center" vertical="center"/>
    </xf>
    <xf numFmtId="0" fontId="20" fillId="0" borderId="56" xfId="2" applyFont="1" applyBorder="1" applyAlignment="1">
      <alignment horizontal="center" vertical="center"/>
    </xf>
    <xf numFmtId="0" fontId="20" fillId="0" borderId="57" xfId="2" applyFont="1" applyBorder="1" applyAlignment="1">
      <alignment horizontal="center" vertical="center"/>
    </xf>
    <xf numFmtId="0" fontId="20" fillId="0" borderId="58" xfId="2" applyFont="1" applyBorder="1" applyAlignment="1">
      <alignment horizontal="center" vertical="center"/>
    </xf>
    <xf numFmtId="0" fontId="20" fillId="0" borderId="59" xfId="2" applyFont="1" applyBorder="1" applyAlignment="1">
      <alignment horizontal="center" vertical="center"/>
    </xf>
    <xf numFmtId="0" fontId="20" fillId="0" borderId="60" xfId="2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Standard_Kupferrohr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FF99CC"/>
      <rgbColor rgb="00CC99FF"/>
      <rgbColor rgb="00FFCC99"/>
      <rgbColor rgb="003366FF"/>
      <rgbColor rgb="0069FFFF"/>
      <rgbColor rgb="0099CC00"/>
      <rgbColor rgb="00FFCC00"/>
      <rgbColor rgb="00FF9900"/>
      <rgbColor rgb="00FF6600"/>
      <rgbColor rgb="00666699"/>
      <rgbColor rgb="00969696"/>
      <rgbColor rgb="00003366"/>
      <rgbColor rgb="00339933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'Conduites diametres'!$A$25:$U$25</c:f>
              <c:strCache>
                <c:ptCount val="1"/>
                <c:pt idx="0">
                  <c:v>3 5/8" 92.07 x 2.54 87,0 59,43 5,94 6,38</c:v>
                </c:pt>
              </c:strCache>
            </c:strRef>
          </c:tx>
          <c:invertIfNegative val="0"/>
          <c:cat>
            <c:numRef>
              <c:f>'Conduites diametres'!$V$1:$V$24</c:f>
              <c:numCache>
                <c:formatCode>General</c:formatCode>
                <c:ptCount val="24"/>
              </c:numCache>
            </c:numRef>
          </c:cat>
          <c:val>
            <c:numRef>
              <c:f>'Conduites diametres'!$V$25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626752"/>
        <c:axId val="81489856"/>
      </c:barChart>
      <c:catAx>
        <c:axId val="199626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81489856"/>
        <c:crosses val="autoZero"/>
        <c:auto val="1"/>
        <c:lblAlgn val="ctr"/>
        <c:lblOffset val="100"/>
        <c:noMultiLvlLbl val="0"/>
      </c:catAx>
      <c:valAx>
        <c:axId val="81489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62675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3"/>
  <sheetViews>
    <sheetView zoomScale="130" workbookViewId="0"/>
  </sheetViews>
  <pageMargins left="0.7" right="0.7" top="0.75" bottom="0.75" header="0.3" footer="0.3"/>
  <pageSetup paperSize="9" orientation="landscape" r:id="rId1"/>
  <drawing r:id="rId2"/>
</chartsheet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8774205</xdr:colOff>
      <xdr:row>0</xdr:row>
      <xdr:rowOff>123265</xdr:rowOff>
    </xdr:from>
    <xdr:to>
      <xdr:col>0</xdr:col>
      <xdr:colOff>10925734</xdr:colOff>
      <xdr:row>5</xdr:row>
      <xdr:rowOff>112059</xdr:rowOff>
    </xdr:to>
    <xdr:sp macro="[0]!toto" textlink="">
      <xdr:nvSpPr>
        <xdr:cNvPr id="2" name="Rectangle 1"/>
        <xdr:cNvSpPr/>
      </xdr:nvSpPr>
      <xdr:spPr bwMode="auto">
        <a:xfrm>
          <a:off x="8774205" y="123265"/>
          <a:ext cx="2151529" cy="840441"/>
        </a:xfrm>
        <a:prstGeom prst="rect">
          <a:avLst/>
        </a:prstGeom>
        <a:solidFill>
          <a:schemeClr val="accent2"/>
        </a:solidFill>
        <a:ln>
          <a:headEnd type="none" w="med" len="med"/>
          <a:tailEnd type="none" w="med" len="med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100"/>
            <a:t>CLIQUE ICI POUR</a:t>
          </a:r>
          <a:r>
            <a:rPr lang="fr-BE" sz="1100" baseline="0"/>
            <a:t> EXECUTION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62</xdr:row>
      <xdr:rowOff>38100</xdr:rowOff>
    </xdr:from>
    <xdr:to>
      <xdr:col>20</xdr:col>
      <xdr:colOff>704850</xdr:colOff>
      <xdr:row>79</xdr:row>
      <xdr:rowOff>114300</xdr:rowOff>
    </xdr:to>
    <xdr:sp macro="" textlink="">
      <xdr:nvSpPr>
        <xdr:cNvPr id="2346" name="Line 1"/>
        <xdr:cNvSpPr>
          <a:spLocks noChangeShapeType="1"/>
        </xdr:cNvSpPr>
      </xdr:nvSpPr>
      <xdr:spPr bwMode="auto">
        <a:xfrm>
          <a:off x="342900" y="10106025"/>
          <a:ext cx="7067550" cy="2828925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266700</xdr:colOff>
      <xdr:row>62</xdr:row>
      <xdr:rowOff>104775</xdr:rowOff>
    </xdr:from>
    <xdr:to>
      <xdr:col>20</xdr:col>
      <xdr:colOff>685800</xdr:colOff>
      <xdr:row>77</xdr:row>
      <xdr:rowOff>95250</xdr:rowOff>
    </xdr:to>
    <xdr:sp macro="" textlink="">
      <xdr:nvSpPr>
        <xdr:cNvPr id="2347" name="Line 2"/>
        <xdr:cNvSpPr>
          <a:spLocks noChangeShapeType="1"/>
        </xdr:cNvSpPr>
      </xdr:nvSpPr>
      <xdr:spPr bwMode="auto">
        <a:xfrm flipV="1">
          <a:off x="266700" y="10172700"/>
          <a:ext cx="7124700" cy="241935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5790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AD461"/>
  <sheetViews>
    <sheetView tabSelected="1" view="pageBreakPreview" zoomScale="85" zoomScaleNormal="100" zoomScaleSheetLayoutView="85" workbookViewId="0">
      <selection activeCell="A2" sqref="A2"/>
    </sheetView>
  </sheetViews>
  <sheetFormatPr baseColWidth="10" defaultRowHeight="12.75" outlineLevelRow="2" outlineLevelCol="1" x14ac:dyDescent="0.2"/>
  <cols>
    <col min="1" max="1" width="186.140625" customWidth="1"/>
    <col min="2" max="2" width="12.42578125" customWidth="1"/>
    <col min="3" max="3" width="8.5703125" customWidth="1"/>
    <col min="4" max="4" width="11.7109375" customWidth="1" collapsed="1"/>
    <col min="5" max="7" width="11.42578125" hidden="1" customWidth="1" outlineLevel="1"/>
    <col min="8" max="8" width="8.5703125" style="324" customWidth="1"/>
    <col min="9" max="17" width="11.42578125" customWidth="1" outlineLevel="1"/>
    <col min="18" max="18" width="9.28515625" customWidth="1"/>
    <col min="19" max="19" width="8.42578125" customWidth="1" outlineLevel="1"/>
    <col min="20" max="20" width="12.85546875" customWidth="1" outlineLevel="1"/>
    <col min="21" max="21" width="10.7109375" customWidth="1" outlineLevel="1"/>
    <col min="22" max="22" width="11.42578125" customWidth="1"/>
    <col min="23" max="23" width="11.42578125" style="350" customWidth="1"/>
    <col min="24" max="24" width="9.42578125" customWidth="1"/>
  </cols>
  <sheetData>
    <row r="1" spans="1:24" x14ac:dyDescent="0.2">
      <c r="A1" s="1" t="s">
        <v>0</v>
      </c>
      <c r="K1" t="s">
        <v>166</v>
      </c>
      <c r="M1" s="7" t="s">
        <v>8</v>
      </c>
      <c r="N1">
        <v>459.86</v>
      </c>
      <c r="R1" t="s">
        <v>129</v>
      </c>
      <c r="U1" t="s">
        <v>122</v>
      </c>
    </row>
    <row r="2" spans="1:24" ht="13.5" thickBot="1" x14ac:dyDescent="0.25">
      <c r="A2" s="2" t="s">
        <v>1</v>
      </c>
      <c r="K2" t="s">
        <v>120</v>
      </c>
    </row>
    <row r="3" spans="1:24" ht="13.5" thickBot="1" x14ac:dyDescent="0.25">
      <c r="M3" s="3"/>
      <c r="X3" s="214" t="s">
        <v>133</v>
      </c>
    </row>
    <row r="4" spans="1:24" ht="13.5" x14ac:dyDescent="0.25">
      <c r="A4" s="3" t="s">
        <v>2</v>
      </c>
      <c r="B4" s="3" t="s">
        <v>3</v>
      </c>
      <c r="C4" s="4" t="s">
        <v>4</v>
      </c>
      <c r="D4" s="3" t="s">
        <v>5</v>
      </c>
      <c r="E4" s="5" t="s">
        <v>6</v>
      </c>
      <c r="F4" s="5" t="s">
        <v>6</v>
      </c>
      <c r="G4" s="5" t="s">
        <v>6</v>
      </c>
      <c r="H4" s="352" t="s">
        <v>5</v>
      </c>
      <c r="I4" s="6" t="s">
        <v>7</v>
      </c>
      <c r="J4" s="7" t="s">
        <v>8</v>
      </c>
      <c r="K4" s="3" t="s">
        <v>9</v>
      </c>
      <c r="L4" s="8" t="s">
        <v>10</v>
      </c>
      <c r="M4" s="7" t="s">
        <v>11</v>
      </c>
      <c r="N4" s="3" t="s">
        <v>12</v>
      </c>
      <c r="O4" s="7" t="s">
        <v>13</v>
      </c>
      <c r="P4" s="8" t="s">
        <v>14</v>
      </c>
      <c r="Q4" s="9" t="s">
        <v>15</v>
      </c>
      <c r="R4" s="9" t="s">
        <v>16</v>
      </c>
      <c r="S4" s="9" t="s">
        <v>17</v>
      </c>
      <c r="T4" s="10" t="s">
        <v>18</v>
      </c>
      <c r="U4" s="11" t="s">
        <v>19</v>
      </c>
      <c r="V4" s="11" t="s">
        <v>19</v>
      </c>
      <c r="X4" s="3" t="s">
        <v>5</v>
      </c>
    </row>
    <row r="5" spans="1:24" ht="15" thickBot="1" x14ac:dyDescent="0.25">
      <c r="A5" s="12" t="s">
        <v>163</v>
      </c>
      <c r="B5" s="12" t="s">
        <v>20</v>
      </c>
      <c r="C5" s="12" t="s">
        <v>21</v>
      </c>
      <c r="D5" s="13" t="s">
        <v>22</v>
      </c>
      <c r="E5" s="14" t="s">
        <v>23</v>
      </c>
      <c r="F5" s="14" t="s">
        <v>23</v>
      </c>
      <c r="G5" s="14" t="s">
        <v>23</v>
      </c>
      <c r="H5" s="353" t="s">
        <v>24</v>
      </c>
      <c r="I5" s="12" t="s">
        <v>25</v>
      </c>
      <c r="J5" s="12" t="s">
        <v>26</v>
      </c>
      <c r="K5" s="12" t="s">
        <v>27</v>
      </c>
      <c r="L5" s="12" t="s">
        <v>28</v>
      </c>
      <c r="M5" s="12" t="s">
        <v>29</v>
      </c>
      <c r="N5" s="12" t="s">
        <v>30</v>
      </c>
      <c r="O5" s="12" t="s">
        <v>31</v>
      </c>
      <c r="P5" s="12" t="s">
        <v>32</v>
      </c>
      <c r="Q5" s="15" t="s">
        <v>33</v>
      </c>
      <c r="R5" s="15" t="s">
        <v>34</v>
      </c>
      <c r="S5" s="15" t="s">
        <v>31</v>
      </c>
      <c r="T5" s="12" t="s">
        <v>25</v>
      </c>
      <c r="U5" s="15" t="s">
        <v>31</v>
      </c>
      <c r="V5" s="15" t="s">
        <v>35</v>
      </c>
      <c r="X5" s="13" t="s">
        <v>24</v>
      </c>
    </row>
    <row r="6" spans="1:24" x14ac:dyDescent="0.2">
      <c r="A6" s="17" t="s">
        <v>162</v>
      </c>
      <c r="B6" s="18"/>
      <c r="C6" s="19"/>
      <c r="D6" s="20"/>
      <c r="E6" s="20" t="s">
        <v>36</v>
      </c>
      <c r="F6" s="20" t="s">
        <v>36</v>
      </c>
      <c r="G6" s="20" t="s">
        <v>36</v>
      </c>
      <c r="H6" s="354"/>
      <c r="I6" s="19"/>
      <c r="J6" s="19"/>
      <c r="K6" s="19"/>
      <c r="L6" s="19"/>
      <c r="M6" s="19"/>
      <c r="N6" s="19"/>
      <c r="O6" s="19"/>
      <c r="P6" s="19"/>
      <c r="Q6" s="21"/>
      <c r="R6" s="21" t="s">
        <v>202</v>
      </c>
      <c r="S6" s="21"/>
      <c r="T6" s="19"/>
      <c r="U6" s="21"/>
      <c r="V6" s="346">
        <f>V31+V33+V36+V50+V62+V72+V75+V85+V87+V90+V96+V116+V118+V120+V122+V128+V130+V132+V134</f>
        <v>7.2287446528204832E-2</v>
      </c>
    </row>
    <row r="7" spans="1:24" collapsed="1" x14ac:dyDescent="0.2">
      <c r="A7" s="23" t="s">
        <v>37</v>
      </c>
      <c r="B7" s="24"/>
      <c r="C7" s="25"/>
      <c r="D7" s="26"/>
      <c r="E7" s="26"/>
      <c r="F7" s="26"/>
      <c r="G7" s="26"/>
      <c r="H7" s="355"/>
      <c r="I7" s="27"/>
      <c r="J7" s="216">
        <f>459.86-190.32</f>
        <v>269.54000000000002</v>
      </c>
      <c r="K7" s="29">
        <f>1/L7</f>
        <v>68.399452804377574</v>
      </c>
      <c r="L7" s="217">
        <v>1.4619999999999999E-2</v>
      </c>
      <c r="M7" s="31"/>
      <c r="N7" s="32"/>
      <c r="O7" s="33"/>
      <c r="P7" s="34"/>
      <c r="Q7" s="29"/>
      <c r="R7" s="35"/>
      <c r="S7" s="36"/>
      <c r="T7" s="37"/>
      <c r="U7" s="38"/>
      <c r="V7" s="39"/>
    </row>
    <row r="8" spans="1:24" hidden="1" outlineLevel="1" x14ac:dyDescent="0.2">
      <c r="A8" s="224"/>
      <c r="B8" s="41"/>
      <c r="C8" s="42"/>
      <c r="D8" s="43" t="b">
        <f>IF(H8&gt;50,G8,IF(H8&lt;=22,E8,IF(H8=28,F8,IF(H8=35,F8,IF(H8=42,F8)))))</f>
        <v>0</v>
      </c>
      <c r="E8" s="43" t="b">
        <f>IF(H8=10,H8-2,IF(H8=12,H8-2,IF(H8=15,H8-2,IF(H8=18,H8-2,IF(H8=22,H8-2)))))</f>
        <v>0</v>
      </c>
      <c r="F8" s="43" t="b">
        <f>IF(H8=28,H8-3,IF(H8=35,H8-3,IF(H8=42,H8-3)))</f>
        <v>0</v>
      </c>
      <c r="G8" s="43" t="b">
        <f>IF(H8=54,50)</f>
        <v>0</v>
      </c>
      <c r="H8" s="356"/>
      <c r="I8" s="157" t="e">
        <f>(0.3164/(T8^0.25))</f>
        <v>#DIV/0!</v>
      </c>
      <c r="J8" s="45">
        <f>$J$7</f>
        <v>269.54000000000002</v>
      </c>
      <c r="K8" s="46">
        <f>$K$7</f>
        <v>68.399452804377574</v>
      </c>
      <c r="L8" s="47">
        <f>SUM(1/K8)</f>
        <v>1.4619999999999998E-2</v>
      </c>
      <c r="M8" s="48">
        <v>2.35E-7</v>
      </c>
      <c r="N8" s="49">
        <v>1</v>
      </c>
      <c r="O8" s="50">
        <v>69200</v>
      </c>
      <c r="P8" s="51">
        <f>SUM(B8/J8)*N8</f>
        <v>0</v>
      </c>
      <c r="Q8" s="52">
        <f>SUM(P8*L8*3600)</f>
        <v>0</v>
      </c>
      <c r="R8" s="53" t="e">
        <f>(Q8/3600/(((D8/1000)^2*PI())/4))</f>
        <v>#DIV/0!</v>
      </c>
      <c r="S8" s="54" t="e">
        <f>SUM((R8^2*K8)/2)</f>
        <v>#DIV/0!</v>
      </c>
      <c r="T8" s="55" t="e">
        <f>SUM(((D8/1000)*R8)/M8)</f>
        <v>#DIV/0!</v>
      </c>
      <c r="U8" s="56" t="e">
        <f>SUM(I8/(D8/1000)*S8)*C8</f>
        <v>#DIV/0!</v>
      </c>
      <c r="V8" s="57" t="e">
        <f>SUM(U8/O8)*1.3</f>
        <v>#DIV/0!</v>
      </c>
    </row>
    <row r="9" spans="1:24" hidden="1" outlineLevel="1" x14ac:dyDescent="0.2">
      <c r="A9" s="224"/>
      <c r="B9" s="41"/>
      <c r="C9" s="42"/>
      <c r="D9" s="43" t="b">
        <f t="shared" ref="D9:D32" si="0">IF(H9&gt;50,G9,IF(H9&lt;=22,E9,IF(H9=28,F9,IF(H9=35,F9,IF(H9=42,F9)))))</f>
        <v>0</v>
      </c>
      <c r="E9" s="43" t="b">
        <f t="shared" ref="E9:E32" si="1">IF(H9=10,H9-2,IF(H9=12,H9-2,IF(H9=15,H9-2,IF(H9=18,H9-2,IF(H9=22,H9-2)))))</f>
        <v>0</v>
      </c>
      <c r="F9" s="43" t="b">
        <f t="shared" ref="F9:F32" si="2">IF(H9=28,H9-3,IF(H9=35,H9-3,IF(H9=42,H9-3)))</f>
        <v>0</v>
      </c>
      <c r="G9" s="43" t="b">
        <f t="shared" ref="G9:G32" si="3">IF(H9=54,50)</f>
        <v>0</v>
      </c>
      <c r="H9" s="356"/>
      <c r="I9" s="157" t="e">
        <f t="shared" ref="I9:I32" si="4">(0.3164/(T9^0.25))</f>
        <v>#DIV/0!</v>
      </c>
      <c r="J9" s="45">
        <f t="shared" ref="J9:J32" si="5">$J$7</f>
        <v>269.54000000000002</v>
      </c>
      <c r="K9" s="46">
        <f t="shared" ref="K9:K32" si="6">$K$7</f>
        <v>68.399452804377574</v>
      </c>
      <c r="L9" s="47">
        <f t="shared" ref="L9:L32" si="7">SUM(1/K9)</f>
        <v>1.4619999999999998E-2</v>
      </c>
      <c r="M9" s="48">
        <v>2.35E-7</v>
      </c>
      <c r="N9" s="49">
        <v>1</v>
      </c>
      <c r="O9" s="50">
        <v>69200</v>
      </c>
      <c r="P9" s="51">
        <f t="shared" ref="P9:P32" si="8">SUM(B9/J9)*N9</f>
        <v>0</v>
      </c>
      <c r="Q9" s="52">
        <f t="shared" ref="Q9:Q32" si="9">SUM(P9*L9*3600)</f>
        <v>0</v>
      </c>
      <c r="R9" s="53" t="e">
        <f t="shared" ref="R9:R32" si="10">(Q9/3600/(((D9/1000)^2*PI())/4))</f>
        <v>#DIV/0!</v>
      </c>
      <c r="S9" s="54" t="e">
        <f t="shared" ref="S9:S32" si="11">SUM((R9^2*K9)/2)</f>
        <v>#DIV/0!</v>
      </c>
      <c r="T9" s="55" t="e">
        <f t="shared" ref="T9:T32" si="12">SUM(((D9/1000)*R9)/M9)</f>
        <v>#DIV/0!</v>
      </c>
      <c r="U9" s="56" t="e">
        <f t="shared" ref="U9:U32" si="13">SUM(I9/(D9/1000)*S9)*C9</f>
        <v>#DIV/0!</v>
      </c>
      <c r="V9" s="57" t="e">
        <f t="shared" ref="V9:V32" si="14">SUM(U9/O9)*1.3</f>
        <v>#DIV/0!</v>
      </c>
    </row>
    <row r="10" spans="1:24" hidden="1" outlineLevel="1" x14ac:dyDescent="0.2">
      <c r="A10" s="224"/>
      <c r="B10" s="41"/>
      <c r="C10" s="42"/>
      <c r="D10" s="43" t="b">
        <f t="shared" si="0"/>
        <v>0</v>
      </c>
      <c r="E10" s="43" t="b">
        <f t="shared" si="1"/>
        <v>0</v>
      </c>
      <c r="F10" s="43" t="b">
        <f t="shared" si="2"/>
        <v>0</v>
      </c>
      <c r="G10" s="43" t="b">
        <f t="shared" si="3"/>
        <v>0</v>
      </c>
      <c r="H10" s="356"/>
      <c r="I10" s="157" t="e">
        <f t="shared" si="4"/>
        <v>#DIV/0!</v>
      </c>
      <c r="J10" s="45">
        <f t="shared" si="5"/>
        <v>269.54000000000002</v>
      </c>
      <c r="K10" s="46">
        <f t="shared" si="6"/>
        <v>68.399452804377574</v>
      </c>
      <c r="L10" s="47">
        <f t="shared" si="7"/>
        <v>1.4619999999999998E-2</v>
      </c>
      <c r="M10" s="48">
        <v>2.35E-7</v>
      </c>
      <c r="N10" s="49">
        <v>1</v>
      </c>
      <c r="O10" s="50">
        <v>69200</v>
      </c>
      <c r="P10" s="51">
        <f t="shared" si="8"/>
        <v>0</v>
      </c>
      <c r="Q10" s="52">
        <f t="shared" si="9"/>
        <v>0</v>
      </c>
      <c r="R10" s="53" t="e">
        <f t="shared" si="10"/>
        <v>#DIV/0!</v>
      </c>
      <c r="S10" s="54" t="e">
        <f t="shared" si="11"/>
        <v>#DIV/0!</v>
      </c>
      <c r="T10" s="55" t="e">
        <f t="shared" si="12"/>
        <v>#DIV/0!</v>
      </c>
      <c r="U10" s="56" t="e">
        <f t="shared" si="13"/>
        <v>#DIV/0!</v>
      </c>
      <c r="V10" s="57" t="e">
        <f t="shared" si="14"/>
        <v>#DIV/0!</v>
      </c>
    </row>
    <row r="11" spans="1:24" hidden="1" outlineLevel="1" x14ac:dyDescent="0.2">
      <c r="A11" s="224"/>
      <c r="B11" s="41"/>
      <c r="C11" s="42"/>
      <c r="D11" s="43" t="b">
        <f t="shared" si="0"/>
        <v>0</v>
      </c>
      <c r="E11" s="43" t="b">
        <f t="shared" si="1"/>
        <v>0</v>
      </c>
      <c r="F11" s="43" t="b">
        <f t="shared" si="2"/>
        <v>0</v>
      </c>
      <c r="G11" s="43" t="b">
        <f t="shared" si="3"/>
        <v>0</v>
      </c>
      <c r="H11" s="356"/>
      <c r="I11" s="157" t="e">
        <f t="shared" si="4"/>
        <v>#DIV/0!</v>
      </c>
      <c r="J11" s="45">
        <f t="shared" si="5"/>
        <v>269.54000000000002</v>
      </c>
      <c r="K11" s="46">
        <f t="shared" si="6"/>
        <v>68.399452804377574</v>
      </c>
      <c r="L11" s="47">
        <f t="shared" si="7"/>
        <v>1.4619999999999998E-2</v>
      </c>
      <c r="M11" s="48">
        <v>2.35E-7</v>
      </c>
      <c r="N11" s="49">
        <v>1</v>
      </c>
      <c r="O11" s="50">
        <v>69200</v>
      </c>
      <c r="P11" s="51">
        <f t="shared" si="8"/>
        <v>0</v>
      </c>
      <c r="Q11" s="52">
        <f t="shared" si="9"/>
        <v>0</v>
      </c>
      <c r="R11" s="53" t="e">
        <f t="shared" si="10"/>
        <v>#DIV/0!</v>
      </c>
      <c r="S11" s="54" t="e">
        <f t="shared" si="11"/>
        <v>#DIV/0!</v>
      </c>
      <c r="T11" s="55" t="e">
        <f t="shared" si="12"/>
        <v>#DIV/0!</v>
      </c>
      <c r="U11" s="56" t="e">
        <f t="shared" si="13"/>
        <v>#DIV/0!</v>
      </c>
      <c r="V11" s="57" t="e">
        <f t="shared" si="14"/>
        <v>#DIV/0!</v>
      </c>
    </row>
    <row r="12" spans="1:24" hidden="1" outlineLevel="1" x14ac:dyDescent="0.2">
      <c r="A12" s="224"/>
      <c r="B12" s="41"/>
      <c r="C12" s="42"/>
      <c r="D12" s="43" t="b">
        <f t="shared" si="0"/>
        <v>0</v>
      </c>
      <c r="E12" s="43" t="b">
        <f t="shared" si="1"/>
        <v>0</v>
      </c>
      <c r="F12" s="43" t="b">
        <f t="shared" si="2"/>
        <v>0</v>
      </c>
      <c r="G12" s="43" t="b">
        <f t="shared" si="3"/>
        <v>0</v>
      </c>
      <c r="H12" s="356"/>
      <c r="I12" s="157" t="e">
        <f t="shared" si="4"/>
        <v>#DIV/0!</v>
      </c>
      <c r="J12" s="45">
        <f t="shared" si="5"/>
        <v>269.54000000000002</v>
      </c>
      <c r="K12" s="46">
        <f t="shared" si="6"/>
        <v>68.399452804377574</v>
      </c>
      <c r="L12" s="47">
        <f t="shared" si="7"/>
        <v>1.4619999999999998E-2</v>
      </c>
      <c r="M12" s="48">
        <v>2.35E-7</v>
      </c>
      <c r="N12" s="49">
        <v>1</v>
      </c>
      <c r="O12" s="50">
        <v>69200</v>
      </c>
      <c r="P12" s="51">
        <f t="shared" si="8"/>
        <v>0</v>
      </c>
      <c r="Q12" s="52">
        <f t="shared" si="9"/>
        <v>0</v>
      </c>
      <c r="R12" s="53" t="e">
        <f t="shared" si="10"/>
        <v>#DIV/0!</v>
      </c>
      <c r="S12" s="54" t="e">
        <f t="shared" si="11"/>
        <v>#DIV/0!</v>
      </c>
      <c r="T12" s="55" t="e">
        <f t="shared" si="12"/>
        <v>#DIV/0!</v>
      </c>
      <c r="U12" s="56" t="e">
        <f t="shared" si="13"/>
        <v>#DIV/0!</v>
      </c>
      <c r="V12" s="57" t="e">
        <f t="shared" si="14"/>
        <v>#DIV/0!</v>
      </c>
    </row>
    <row r="13" spans="1:24" hidden="1" outlineLevel="1" x14ac:dyDescent="0.2">
      <c r="A13" s="224"/>
      <c r="B13" s="41"/>
      <c r="C13" s="42"/>
      <c r="D13" s="43" t="b">
        <f t="shared" si="0"/>
        <v>0</v>
      </c>
      <c r="E13" s="43" t="b">
        <f t="shared" si="1"/>
        <v>0</v>
      </c>
      <c r="F13" s="43" t="b">
        <f t="shared" si="2"/>
        <v>0</v>
      </c>
      <c r="G13" s="43" t="b">
        <f t="shared" si="3"/>
        <v>0</v>
      </c>
      <c r="H13" s="356"/>
      <c r="I13" s="157" t="e">
        <f t="shared" si="4"/>
        <v>#DIV/0!</v>
      </c>
      <c r="J13" s="45">
        <f t="shared" si="5"/>
        <v>269.54000000000002</v>
      </c>
      <c r="K13" s="46">
        <f t="shared" si="6"/>
        <v>68.399452804377574</v>
      </c>
      <c r="L13" s="47">
        <f t="shared" si="7"/>
        <v>1.4619999999999998E-2</v>
      </c>
      <c r="M13" s="48">
        <v>2.35E-7</v>
      </c>
      <c r="N13" s="49">
        <v>1</v>
      </c>
      <c r="O13" s="50">
        <v>69200</v>
      </c>
      <c r="P13" s="51">
        <f t="shared" si="8"/>
        <v>0</v>
      </c>
      <c r="Q13" s="52">
        <f t="shared" si="9"/>
        <v>0</v>
      </c>
      <c r="R13" s="53" t="e">
        <f t="shared" si="10"/>
        <v>#DIV/0!</v>
      </c>
      <c r="S13" s="54" t="e">
        <f t="shared" si="11"/>
        <v>#DIV/0!</v>
      </c>
      <c r="T13" s="55" t="e">
        <f t="shared" si="12"/>
        <v>#DIV/0!</v>
      </c>
      <c r="U13" s="56" t="e">
        <f t="shared" si="13"/>
        <v>#DIV/0!</v>
      </c>
      <c r="V13" s="57" t="e">
        <f t="shared" si="14"/>
        <v>#DIV/0!</v>
      </c>
    </row>
    <row r="14" spans="1:24" hidden="1" outlineLevel="1" x14ac:dyDescent="0.2">
      <c r="A14" s="224"/>
      <c r="B14" s="41"/>
      <c r="C14" s="42"/>
      <c r="D14" s="43" t="b">
        <f t="shared" si="0"/>
        <v>0</v>
      </c>
      <c r="E14" s="43" t="b">
        <f t="shared" si="1"/>
        <v>0</v>
      </c>
      <c r="F14" s="43" t="b">
        <f t="shared" si="2"/>
        <v>0</v>
      </c>
      <c r="G14" s="43" t="b">
        <f t="shared" si="3"/>
        <v>0</v>
      </c>
      <c r="H14" s="356"/>
      <c r="I14" s="157" t="e">
        <f t="shared" si="4"/>
        <v>#DIV/0!</v>
      </c>
      <c r="J14" s="45">
        <f t="shared" si="5"/>
        <v>269.54000000000002</v>
      </c>
      <c r="K14" s="46">
        <f t="shared" si="6"/>
        <v>68.399452804377574</v>
      </c>
      <c r="L14" s="47">
        <f t="shared" si="7"/>
        <v>1.4619999999999998E-2</v>
      </c>
      <c r="M14" s="48">
        <v>2.35E-7</v>
      </c>
      <c r="N14" s="49">
        <v>1</v>
      </c>
      <c r="O14" s="50">
        <v>69200</v>
      </c>
      <c r="P14" s="51">
        <f t="shared" si="8"/>
        <v>0</v>
      </c>
      <c r="Q14" s="52">
        <f t="shared" si="9"/>
        <v>0</v>
      </c>
      <c r="R14" s="53" t="e">
        <f t="shared" si="10"/>
        <v>#DIV/0!</v>
      </c>
      <c r="S14" s="54" t="e">
        <f t="shared" si="11"/>
        <v>#DIV/0!</v>
      </c>
      <c r="T14" s="55" t="e">
        <f t="shared" si="12"/>
        <v>#DIV/0!</v>
      </c>
      <c r="U14" s="56" t="e">
        <f t="shared" si="13"/>
        <v>#DIV/0!</v>
      </c>
      <c r="V14" s="57" t="e">
        <f t="shared" si="14"/>
        <v>#DIV/0!</v>
      </c>
    </row>
    <row r="15" spans="1:24" hidden="1" outlineLevel="1" x14ac:dyDescent="0.2">
      <c r="A15" s="224"/>
      <c r="B15" s="41"/>
      <c r="C15" s="42"/>
      <c r="D15" s="43" t="b">
        <f t="shared" si="0"/>
        <v>0</v>
      </c>
      <c r="E15" s="43" t="b">
        <f t="shared" si="1"/>
        <v>0</v>
      </c>
      <c r="F15" s="43" t="b">
        <f t="shared" si="2"/>
        <v>0</v>
      </c>
      <c r="G15" s="43" t="b">
        <f t="shared" si="3"/>
        <v>0</v>
      </c>
      <c r="H15" s="356"/>
      <c r="I15" s="157" t="e">
        <f t="shared" si="4"/>
        <v>#DIV/0!</v>
      </c>
      <c r="J15" s="45">
        <f t="shared" si="5"/>
        <v>269.54000000000002</v>
      </c>
      <c r="K15" s="46">
        <f t="shared" si="6"/>
        <v>68.399452804377574</v>
      </c>
      <c r="L15" s="47">
        <f t="shared" si="7"/>
        <v>1.4619999999999998E-2</v>
      </c>
      <c r="M15" s="48">
        <v>2.35E-7</v>
      </c>
      <c r="N15" s="49">
        <v>1</v>
      </c>
      <c r="O15" s="50">
        <v>69200</v>
      </c>
      <c r="P15" s="51">
        <f t="shared" si="8"/>
        <v>0</v>
      </c>
      <c r="Q15" s="52">
        <f t="shared" si="9"/>
        <v>0</v>
      </c>
      <c r="R15" s="53" t="e">
        <f t="shared" si="10"/>
        <v>#DIV/0!</v>
      </c>
      <c r="S15" s="54" t="e">
        <f t="shared" si="11"/>
        <v>#DIV/0!</v>
      </c>
      <c r="T15" s="55" t="e">
        <f t="shared" si="12"/>
        <v>#DIV/0!</v>
      </c>
      <c r="U15" s="56" t="e">
        <f t="shared" si="13"/>
        <v>#DIV/0!</v>
      </c>
      <c r="V15" s="57" t="e">
        <f t="shared" si="14"/>
        <v>#DIV/0!</v>
      </c>
    </row>
    <row r="16" spans="1:24" hidden="1" outlineLevel="1" x14ac:dyDescent="0.2">
      <c r="A16" s="224"/>
      <c r="B16" s="41"/>
      <c r="C16" s="42"/>
      <c r="D16" s="43" t="b">
        <f t="shared" si="0"/>
        <v>0</v>
      </c>
      <c r="E16" s="43" t="b">
        <f t="shared" si="1"/>
        <v>0</v>
      </c>
      <c r="F16" s="43" t="b">
        <f t="shared" si="2"/>
        <v>0</v>
      </c>
      <c r="G16" s="43" t="b">
        <f t="shared" si="3"/>
        <v>0</v>
      </c>
      <c r="H16" s="356"/>
      <c r="I16" s="157" t="e">
        <f t="shared" si="4"/>
        <v>#DIV/0!</v>
      </c>
      <c r="J16" s="45">
        <f t="shared" si="5"/>
        <v>269.54000000000002</v>
      </c>
      <c r="K16" s="46">
        <f t="shared" si="6"/>
        <v>68.399452804377574</v>
      </c>
      <c r="L16" s="47">
        <f t="shared" si="7"/>
        <v>1.4619999999999998E-2</v>
      </c>
      <c r="M16" s="48">
        <v>2.35E-7</v>
      </c>
      <c r="N16" s="49">
        <v>1</v>
      </c>
      <c r="O16" s="50">
        <v>69200</v>
      </c>
      <c r="P16" s="51">
        <f t="shared" si="8"/>
        <v>0</v>
      </c>
      <c r="Q16" s="52">
        <f t="shared" si="9"/>
        <v>0</v>
      </c>
      <c r="R16" s="53" t="e">
        <f t="shared" si="10"/>
        <v>#DIV/0!</v>
      </c>
      <c r="S16" s="54" t="e">
        <f t="shared" si="11"/>
        <v>#DIV/0!</v>
      </c>
      <c r="T16" s="55" t="e">
        <f t="shared" si="12"/>
        <v>#DIV/0!</v>
      </c>
      <c r="U16" s="56" t="e">
        <f t="shared" si="13"/>
        <v>#DIV/0!</v>
      </c>
      <c r="V16" s="57" t="e">
        <f t="shared" si="14"/>
        <v>#DIV/0!</v>
      </c>
    </row>
    <row r="17" spans="1:30" hidden="1" outlineLevel="1" x14ac:dyDescent="0.2">
      <c r="A17" s="224"/>
      <c r="B17" s="41"/>
      <c r="C17" s="42"/>
      <c r="D17" s="43" t="b">
        <f t="shared" si="0"/>
        <v>0</v>
      </c>
      <c r="E17" s="43" t="b">
        <f t="shared" si="1"/>
        <v>0</v>
      </c>
      <c r="F17" s="43" t="b">
        <f t="shared" si="2"/>
        <v>0</v>
      </c>
      <c r="G17" s="43" t="b">
        <f t="shared" si="3"/>
        <v>0</v>
      </c>
      <c r="H17" s="356"/>
      <c r="I17" s="157" t="e">
        <f t="shared" si="4"/>
        <v>#DIV/0!</v>
      </c>
      <c r="J17" s="45">
        <f t="shared" si="5"/>
        <v>269.54000000000002</v>
      </c>
      <c r="K17" s="46">
        <f t="shared" si="6"/>
        <v>68.399452804377574</v>
      </c>
      <c r="L17" s="47">
        <f t="shared" si="7"/>
        <v>1.4619999999999998E-2</v>
      </c>
      <c r="M17" s="48">
        <v>2.35E-7</v>
      </c>
      <c r="N17" s="49">
        <v>1</v>
      </c>
      <c r="O17" s="50">
        <v>69200</v>
      </c>
      <c r="P17" s="51">
        <f t="shared" si="8"/>
        <v>0</v>
      </c>
      <c r="Q17" s="52">
        <f t="shared" si="9"/>
        <v>0</v>
      </c>
      <c r="R17" s="53" t="e">
        <f t="shared" si="10"/>
        <v>#DIV/0!</v>
      </c>
      <c r="S17" s="54" t="e">
        <f t="shared" si="11"/>
        <v>#DIV/0!</v>
      </c>
      <c r="T17" s="55" t="e">
        <f t="shared" si="12"/>
        <v>#DIV/0!</v>
      </c>
      <c r="U17" s="56" t="e">
        <f t="shared" si="13"/>
        <v>#DIV/0!</v>
      </c>
      <c r="V17" s="57" t="e">
        <f t="shared" si="14"/>
        <v>#DIV/0!</v>
      </c>
    </row>
    <row r="18" spans="1:30" hidden="1" outlineLevel="1" x14ac:dyDescent="0.2">
      <c r="A18" s="224"/>
      <c r="B18" s="41"/>
      <c r="C18" s="42"/>
      <c r="D18" s="43" t="b">
        <f t="shared" si="0"/>
        <v>0</v>
      </c>
      <c r="E18" s="43" t="b">
        <f t="shared" si="1"/>
        <v>0</v>
      </c>
      <c r="F18" s="43" t="b">
        <f t="shared" si="2"/>
        <v>0</v>
      </c>
      <c r="G18" s="43" t="b">
        <f t="shared" si="3"/>
        <v>0</v>
      </c>
      <c r="H18" s="356"/>
      <c r="I18" s="157" t="e">
        <f t="shared" si="4"/>
        <v>#DIV/0!</v>
      </c>
      <c r="J18" s="45">
        <f t="shared" si="5"/>
        <v>269.54000000000002</v>
      </c>
      <c r="K18" s="46">
        <f t="shared" si="6"/>
        <v>68.399452804377574</v>
      </c>
      <c r="L18" s="47">
        <f t="shared" si="7"/>
        <v>1.4619999999999998E-2</v>
      </c>
      <c r="M18" s="48">
        <v>2.35E-7</v>
      </c>
      <c r="N18" s="49">
        <v>1</v>
      </c>
      <c r="O18" s="50">
        <v>69200</v>
      </c>
      <c r="P18" s="51">
        <f t="shared" si="8"/>
        <v>0</v>
      </c>
      <c r="Q18" s="52">
        <f t="shared" si="9"/>
        <v>0</v>
      </c>
      <c r="R18" s="53" t="e">
        <f t="shared" si="10"/>
        <v>#DIV/0!</v>
      </c>
      <c r="S18" s="54" t="e">
        <f t="shared" si="11"/>
        <v>#DIV/0!</v>
      </c>
      <c r="T18" s="55" t="e">
        <f t="shared" si="12"/>
        <v>#DIV/0!</v>
      </c>
      <c r="U18" s="56" t="e">
        <f t="shared" si="13"/>
        <v>#DIV/0!</v>
      </c>
      <c r="V18" s="57" t="e">
        <f t="shared" si="14"/>
        <v>#DIV/0!</v>
      </c>
    </row>
    <row r="19" spans="1:30" hidden="1" outlineLevel="1" x14ac:dyDescent="0.2">
      <c r="A19" s="224"/>
      <c r="B19" s="41"/>
      <c r="C19" s="42"/>
      <c r="D19" s="43" t="b">
        <f t="shared" si="0"/>
        <v>0</v>
      </c>
      <c r="E19" s="43" t="b">
        <f t="shared" si="1"/>
        <v>0</v>
      </c>
      <c r="F19" s="43" t="b">
        <f t="shared" si="2"/>
        <v>0</v>
      </c>
      <c r="G19" s="43" t="b">
        <f t="shared" si="3"/>
        <v>0</v>
      </c>
      <c r="H19" s="356"/>
      <c r="I19" s="157" t="e">
        <f t="shared" si="4"/>
        <v>#DIV/0!</v>
      </c>
      <c r="J19" s="45">
        <f t="shared" si="5"/>
        <v>269.54000000000002</v>
      </c>
      <c r="K19" s="46">
        <f t="shared" si="6"/>
        <v>68.399452804377574</v>
      </c>
      <c r="L19" s="47">
        <f t="shared" si="7"/>
        <v>1.4619999999999998E-2</v>
      </c>
      <c r="M19" s="48">
        <v>2.35E-7</v>
      </c>
      <c r="N19" s="49">
        <v>1</v>
      </c>
      <c r="O19" s="50">
        <v>69200</v>
      </c>
      <c r="P19" s="51">
        <f t="shared" si="8"/>
        <v>0</v>
      </c>
      <c r="Q19" s="52">
        <f t="shared" si="9"/>
        <v>0</v>
      </c>
      <c r="R19" s="53" t="e">
        <f t="shared" si="10"/>
        <v>#DIV/0!</v>
      </c>
      <c r="S19" s="54" t="e">
        <f t="shared" si="11"/>
        <v>#DIV/0!</v>
      </c>
      <c r="T19" s="55" t="e">
        <f t="shared" si="12"/>
        <v>#DIV/0!</v>
      </c>
      <c r="U19" s="56" t="e">
        <f t="shared" si="13"/>
        <v>#DIV/0!</v>
      </c>
      <c r="V19" s="57" t="e">
        <f t="shared" si="14"/>
        <v>#DIV/0!</v>
      </c>
    </row>
    <row r="20" spans="1:30" hidden="1" outlineLevel="1" x14ac:dyDescent="0.2">
      <c r="A20" s="224"/>
      <c r="B20" s="41"/>
      <c r="C20" s="42"/>
      <c r="D20" s="43" t="b">
        <f t="shared" si="0"/>
        <v>0</v>
      </c>
      <c r="E20" s="43" t="b">
        <f t="shared" si="1"/>
        <v>0</v>
      </c>
      <c r="F20" s="43" t="b">
        <f t="shared" si="2"/>
        <v>0</v>
      </c>
      <c r="G20" s="43" t="b">
        <f t="shared" si="3"/>
        <v>0</v>
      </c>
      <c r="H20" s="356"/>
      <c r="I20" s="157" t="e">
        <f t="shared" si="4"/>
        <v>#DIV/0!</v>
      </c>
      <c r="J20" s="45">
        <f t="shared" si="5"/>
        <v>269.54000000000002</v>
      </c>
      <c r="K20" s="46">
        <f t="shared" si="6"/>
        <v>68.399452804377574</v>
      </c>
      <c r="L20" s="47">
        <f t="shared" si="7"/>
        <v>1.4619999999999998E-2</v>
      </c>
      <c r="M20" s="48">
        <v>2.35E-7</v>
      </c>
      <c r="N20" s="49">
        <v>1</v>
      </c>
      <c r="O20" s="50">
        <v>69200</v>
      </c>
      <c r="P20" s="51">
        <f t="shared" si="8"/>
        <v>0</v>
      </c>
      <c r="Q20" s="52">
        <f t="shared" si="9"/>
        <v>0</v>
      </c>
      <c r="R20" s="53" t="e">
        <f t="shared" si="10"/>
        <v>#DIV/0!</v>
      </c>
      <c r="S20" s="54" t="e">
        <f t="shared" si="11"/>
        <v>#DIV/0!</v>
      </c>
      <c r="T20" s="55" t="e">
        <f t="shared" si="12"/>
        <v>#DIV/0!</v>
      </c>
      <c r="U20" s="56" t="e">
        <f t="shared" si="13"/>
        <v>#DIV/0!</v>
      </c>
      <c r="V20" s="57" t="e">
        <f t="shared" si="14"/>
        <v>#DIV/0!</v>
      </c>
    </row>
    <row r="21" spans="1:30" hidden="1" outlineLevel="1" x14ac:dyDescent="0.2">
      <c r="A21" s="224"/>
      <c r="B21" s="41"/>
      <c r="C21" s="42"/>
      <c r="D21" s="43" t="b">
        <f t="shared" si="0"/>
        <v>0</v>
      </c>
      <c r="E21" s="43" t="b">
        <f t="shared" si="1"/>
        <v>0</v>
      </c>
      <c r="F21" s="43" t="b">
        <f t="shared" si="2"/>
        <v>0</v>
      </c>
      <c r="G21" s="43" t="b">
        <f t="shared" si="3"/>
        <v>0</v>
      </c>
      <c r="H21" s="356"/>
      <c r="I21" s="157" t="e">
        <f t="shared" si="4"/>
        <v>#DIV/0!</v>
      </c>
      <c r="J21" s="45">
        <f t="shared" si="5"/>
        <v>269.54000000000002</v>
      </c>
      <c r="K21" s="46">
        <f t="shared" si="6"/>
        <v>68.399452804377574</v>
      </c>
      <c r="L21" s="47">
        <f t="shared" si="7"/>
        <v>1.4619999999999998E-2</v>
      </c>
      <c r="M21" s="48">
        <v>2.35E-7</v>
      </c>
      <c r="N21" s="49">
        <v>1</v>
      </c>
      <c r="O21" s="50">
        <v>69200</v>
      </c>
      <c r="P21" s="51">
        <f t="shared" si="8"/>
        <v>0</v>
      </c>
      <c r="Q21" s="52">
        <f t="shared" si="9"/>
        <v>0</v>
      </c>
      <c r="R21" s="53" t="e">
        <f t="shared" si="10"/>
        <v>#DIV/0!</v>
      </c>
      <c r="S21" s="54" t="e">
        <f t="shared" si="11"/>
        <v>#DIV/0!</v>
      </c>
      <c r="T21" s="55" t="e">
        <f t="shared" si="12"/>
        <v>#DIV/0!</v>
      </c>
      <c r="U21" s="56" t="e">
        <f t="shared" si="13"/>
        <v>#DIV/0!</v>
      </c>
      <c r="V21" s="57" t="e">
        <f t="shared" si="14"/>
        <v>#DIV/0!</v>
      </c>
    </row>
    <row r="22" spans="1:30" hidden="1" outlineLevel="1" x14ac:dyDescent="0.2">
      <c r="A22" s="224"/>
      <c r="B22" s="41"/>
      <c r="C22" s="42"/>
      <c r="D22" s="43" t="b">
        <f t="shared" si="0"/>
        <v>0</v>
      </c>
      <c r="E22" s="43" t="b">
        <f t="shared" si="1"/>
        <v>0</v>
      </c>
      <c r="F22" s="43" t="b">
        <f t="shared" si="2"/>
        <v>0</v>
      </c>
      <c r="G22" s="43" t="b">
        <f t="shared" si="3"/>
        <v>0</v>
      </c>
      <c r="H22" s="356"/>
      <c r="I22" s="157" t="e">
        <f t="shared" si="4"/>
        <v>#DIV/0!</v>
      </c>
      <c r="J22" s="45">
        <f t="shared" si="5"/>
        <v>269.54000000000002</v>
      </c>
      <c r="K22" s="46">
        <f t="shared" si="6"/>
        <v>68.399452804377574</v>
      </c>
      <c r="L22" s="47">
        <f t="shared" si="7"/>
        <v>1.4619999999999998E-2</v>
      </c>
      <c r="M22" s="48">
        <v>2.35E-7</v>
      </c>
      <c r="N22" s="49">
        <v>1</v>
      </c>
      <c r="O22" s="50">
        <v>69200</v>
      </c>
      <c r="P22" s="51">
        <f t="shared" si="8"/>
        <v>0</v>
      </c>
      <c r="Q22" s="52">
        <f t="shared" si="9"/>
        <v>0</v>
      </c>
      <c r="R22" s="53" t="e">
        <f t="shared" si="10"/>
        <v>#DIV/0!</v>
      </c>
      <c r="S22" s="54" t="e">
        <f t="shared" si="11"/>
        <v>#DIV/0!</v>
      </c>
      <c r="T22" s="55" t="e">
        <f t="shared" si="12"/>
        <v>#DIV/0!</v>
      </c>
      <c r="U22" s="56" t="e">
        <f t="shared" si="13"/>
        <v>#DIV/0!</v>
      </c>
      <c r="V22" s="57" t="e">
        <f t="shared" si="14"/>
        <v>#DIV/0!</v>
      </c>
    </row>
    <row r="23" spans="1:30" hidden="1" outlineLevel="1" x14ac:dyDescent="0.2">
      <c r="A23" s="224"/>
      <c r="B23" s="41"/>
      <c r="C23" s="42"/>
      <c r="D23" s="43" t="b">
        <f t="shared" si="0"/>
        <v>0</v>
      </c>
      <c r="E23" s="43" t="b">
        <f t="shared" si="1"/>
        <v>0</v>
      </c>
      <c r="F23" s="43" t="b">
        <f t="shared" si="2"/>
        <v>0</v>
      </c>
      <c r="G23" s="43" t="b">
        <f t="shared" si="3"/>
        <v>0</v>
      </c>
      <c r="H23" s="356"/>
      <c r="I23" s="157" t="e">
        <f t="shared" si="4"/>
        <v>#DIV/0!</v>
      </c>
      <c r="J23" s="45">
        <f t="shared" si="5"/>
        <v>269.54000000000002</v>
      </c>
      <c r="K23" s="46">
        <f t="shared" si="6"/>
        <v>68.399452804377574</v>
      </c>
      <c r="L23" s="47">
        <f t="shared" si="7"/>
        <v>1.4619999999999998E-2</v>
      </c>
      <c r="M23" s="48">
        <v>2.35E-7</v>
      </c>
      <c r="N23" s="49">
        <v>1</v>
      </c>
      <c r="O23" s="50">
        <v>69200</v>
      </c>
      <c r="P23" s="51">
        <f t="shared" si="8"/>
        <v>0</v>
      </c>
      <c r="Q23" s="52">
        <f t="shared" si="9"/>
        <v>0</v>
      </c>
      <c r="R23" s="53" t="e">
        <f t="shared" si="10"/>
        <v>#DIV/0!</v>
      </c>
      <c r="S23" s="54" t="e">
        <f t="shared" si="11"/>
        <v>#DIV/0!</v>
      </c>
      <c r="T23" s="55" t="e">
        <f t="shared" si="12"/>
        <v>#DIV/0!</v>
      </c>
      <c r="U23" s="56" t="e">
        <f t="shared" si="13"/>
        <v>#DIV/0!</v>
      </c>
      <c r="V23" s="57" t="e">
        <f t="shared" si="14"/>
        <v>#DIV/0!</v>
      </c>
    </row>
    <row r="24" spans="1:30" hidden="1" outlineLevel="1" x14ac:dyDescent="0.2">
      <c r="A24" s="224"/>
      <c r="B24" s="41"/>
      <c r="C24" s="42"/>
      <c r="D24" s="43" t="b">
        <f t="shared" si="0"/>
        <v>0</v>
      </c>
      <c r="E24" s="43" t="b">
        <f t="shared" si="1"/>
        <v>0</v>
      </c>
      <c r="F24" s="43" t="b">
        <f t="shared" si="2"/>
        <v>0</v>
      </c>
      <c r="G24" s="43" t="b">
        <f t="shared" si="3"/>
        <v>0</v>
      </c>
      <c r="H24" s="356"/>
      <c r="I24" s="157" t="e">
        <f t="shared" si="4"/>
        <v>#DIV/0!</v>
      </c>
      <c r="J24" s="45">
        <f t="shared" si="5"/>
        <v>269.54000000000002</v>
      </c>
      <c r="K24" s="46">
        <f t="shared" si="6"/>
        <v>68.399452804377574</v>
      </c>
      <c r="L24" s="47">
        <f t="shared" si="7"/>
        <v>1.4619999999999998E-2</v>
      </c>
      <c r="M24" s="48">
        <v>2.35E-7</v>
      </c>
      <c r="N24" s="49">
        <v>1</v>
      </c>
      <c r="O24" s="50">
        <v>69200</v>
      </c>
      <c r="P24" s="51">
        <f t="shared" si="8"/>
        <v>0</v>
      </c>
      <c r="Q24" s="52">
        <f t="shared" si="9"/>
        <v>0</v>
      </c>
      <c r="R24" s="53" t="e">
        <f t="shared" si="10"/>
        <v>#DIV/0!</v>
      </c>
      <c r="S24" s="54" t="e">
        <f t="shared" si="11"/>
        <v>#DIV/0!</v>
      </c>
      <c r="T24" s="55" t="e">
        <f t="shared" si="12"/>
        <v>#DIV/0!</v>
      </c>
      <c r="U24" s="56" t="e">
        <f t="shared" si="13"/>
        <v>#DIV/0!</v>
      </c>
      <c r="V24" s="57" t="e">
        <f t="shared" si="14"/>
        <v>#DIV/0!</v>
      </c>
    </row>
    <row r="25" spans="1:30" hidden="1" outlineLevel="1" x14ac:dyDescent="0.2">
      <c r="A25" s="224"/>
      <c r="B25" s="41"/>
      <c r="C25" s="42"/>
      <c r="D25" s="43" t="b">
        <f t="shared" si="0"/>
        <v>0</v>
      </c>
      <c r="E25" s="43" t="b">
        <f t="shared" si="1"/>
        <v>0</v>
      </c>
      <c r="F25" s="43" t="b">
        <f t="shared" si="2"/>
        <v>0</v>
      </c>
      <c r="G25" s="43" t="b">
        <f t="shared" si="3"/>
        <v>0</v>
      </c>
      <c r="H25" s="356"/>
      <c r="I25" s="157" t="e">
        <f t="shared" si="4"/>
        <v>#DIV/0!</v>
      </c>
      <c r="J25" s="45">
        <f t="shared" si="5"/>
        <v>269.54000000000002</v>
      </c>
      <c r="K25" s="46">
        <f t="shared" si="6"/>
        <v>68.399452804377574</v>
      </c>
      <c r="L25" s="47">
        <f t="shared" si="7"/>
        <v>1.4619999999999998E-2</v>
      </c>
      <c r="M25" s="48">
        <v>2.35E-7</v>
      </c>
      <c r="N25" s="49">
        <v>1</v>
      </c>
      <c r="O25" s="50">
        <v>69200</v>
      </c>
      <c r="P25" s="51">
        <f t="shared" si="8"/>
        <v>0</v>
      </c>
      <c r="Q25" s="52">
        <f t="shared" si="9"/>
        <v>0</v>
      </c>
      <c r="R25" s="53" t="e">
        <f t="shared" si="10"/>
        <v>#DIV/0!</v>
      </c>
      <c r="S25" s="54" t="e">
        <f t="shared" si="11"/>
        <v>#DIV/0!</v>
      </c>
      <c r="T25" s="55" t="e">
        <f t="shared" si="12"/>
        <v>#DIV/0!</v>
      </c>
      <c r="U25" s="56" t="e">
        <f t="shared" si="13"/>
        <v>#DIV/0!</v>
      </c>
      <c r="V25" s="57" t="e">
        <f t="shared" si="14"/>
        <v>#DIV/0!</v>
      </c>
    </row>
    <row r="26" spans="1:30" hidden="1" outlineLevel="1" x14ac:dyDescent="0.2">
      <c r="A26" s="224"/>
      <c r="B26" s="41"/>
      <c r="C26" s="42"/>
      <c r="D26" s="43" t="b">
        <f t="shared" si="0"/>
        <v>0</v>
      </c>
      <c r="E26" s="43" t="b">
        <f t="shared" si="1"/>
        <v>0</v>
      </c>
      <c r="F26" s="43" t="b">
        <f t="shared" si="2"/>
        <v>0</v>
      </c>
      <c r="G26" s="43" t="b">
        <f t="shared" si="3"/>
        <v>0</v>
      </c>
      <c r="H26" s="356"/>
      <c r="I26" s="157" t="e">
        <f t="shared" si="4"/>
        <v>#DIV/0!</v>
      </c>
      <c r="J26" s="45">
        <f t="shared" si="5"/>
        <v>269.54000000000002</v>
      </c>
      <c r="K26" s="46">
        <f t="shared" si="6"/>
        <v>68.399452804377574</v>
      </c>
      <c r="L26" s="47">
        <f t="shared" si="7"/>
        <v>1.4619999999999998E-2</v>
      </c>
      <c r="M26" s="48">
        <v>2.35E-7</v>
      </c>
      <c r="N26" s="49">
        <v>1</v>
      </c>
      <c r="O26" s="50">
        <v>69200</v>
      </c>
      <c r="P26" s="51">
        <f t="shared" si="8"/>
        <v>0</v>
      </c>
      <c r="Q26" s="52">
        <f t="shared" si="9"/>
        <v>0</v>
      </c>
      <c r="R26" s="53" t="e">
        <f t="shared" si="10"/>
        <v>#DIV/0!</v>
      </c>
      <c r="S26" s="54" t="e">
        <f t="shared" si="11"/>
        <v>#DIV/0!</v>
      </c>
      <c r="T26" s="55" t="e">
        <f t="shared" si="12"/>
        <v>#DIV/0!</v>
      </c>
      <c r="U26" s="56" t="e">
        <f t="shared" si="13"/>
        <v>#DIV/0!</v>
      </c>
      <c r="V26" s="57" t="e">
        <f t="shared" si="14"/>
        <v>#DIV/0!</v>
      </c>
    </row>
    <row r="27" spans="1:30" hidden="1" outlineLevel="1" x14ac:dyDescent="0.2">
      <c r="A27" s="224"/>
      <c r="B27" s="41"/>
      <c r="C27" s="42"/>
      <c r="D27" s="43" t="b">
        <f t="shared" si="0"/>
        <v>0</v>
      </c>
      <c r="E27" s="43" t="b">
        <f t="shared" si="1"/>
        <v>0</v>
      </c>
      <c r="F27" s="43" t="b">
        <f t="shared" si="2"/>
        <v>0</v>
      </c>
      <c r="G27" s="43" t="b">
        <f t="shared" si="3"/>
        <v>0</v>
      </c>
      <c r="H27" s="356"/>
      <c r="I27" s="157" t="e">
        <f t="shared" si="4"/>
        <v>#DIV/0!</v>
      </c>
      <c r="J27" s="45">
        <f t="shared" si="5"/>
        <v>269.54000000000002</v>
      </c>
      <c r="K27" s="46">
        <f t="shared" si="6"/>
        <v>68.399452804377574</v>
      </c>
      <c r="L27" s="47">
        <f t="shared" si="7"/>
        <v>1.4619999999999998E-2</v>
      </c>
      <c r="M27" s="48">
        <v>2.35E-7</v>
      </c>
      <c r="N27" s="49">
        <v>1</v>
      </c>
      <c r="O27" s="50">
        <v>69200</v>
      </c>
      <c r="P27" s="51">
        <f t="shared" si="8"/>
        <v>0</v>
      </c>
      <c r="Q27" s="52">
        <f t="shared" si="9"/>
        <v>0</v>
      </c>
      <c r="R27" s="53" t="e">
        <f t="shared" si="10"/>
        <v>#DIV/0!</v>
      </c>
      <c r="S27" s="54" t="e">
        <f t="shared" si="11"/>
        <v>#DIV/0!</v>
      </c>
      <c r="T27" s="55" t="e">
        <f t="shared" si="12"/>
        <v>#DIV/0!</v>
      </c>
      <c r="U27" s="56" t="e">
        <f t="shared" si="13"/>
        <v>#DIV/0!</v>
      </c>
      <c r="V27" s="57" t="e">
        <f t="shared" si="14"/>
        <v>#DIV/0!</v>
      </c>
    </row>
    <row r="28" spans="1:30" hidden="1" outlineLevel="1" x14ac:dyDescent="0.2">
      <c r="A28" s="224"/>
      <c r="B28" s="41"/>
      <c r="C28" s="42"/>
      <c r="D28" s="43" t="b">
        <f t="shared" si="0"/>
        <v>0</v>
      </c>
      <c r="E28" s="43" t="b">
        <f t="shared" si="1"/>
        <v>0</v>
      </c>
      <c r="F28" s="43" t="b">
        <f t="shared" si="2"/>
        <v>0</v>
      </c>
      <c r="G28" s="43" t="b">
        <f t="shared" si="3"/>
        <v>0</v>
      </c>
      <c r="H28" s="356"/>
      <c r="I28" s="157" t="e">
        <f t="shared" si="4"/>
        <v>#DIV/0!</v>
      </c>
      <c r="J28" s="45">
        <f t="shared" si="5"/>
        <v>269.54000000000002</v>
      </c>
      <c r="K28" s="46">
        <f t="shared" si="6"/>
        <v>68.399452804377574</v>
      </c>
      <c r="L28" s="47">
        <f t="shared" si="7"/>
        <v>1.4619999999999998E-2</v>
      </c>
      <c r="M28" s="48">
        <v>2.35E-7</v>
      </c>
      <c r="N28" s="49">
        <v>1</v>
      </c>
      <c r="O28" s="50">
        <v>69200</v>
      </c>
      <c r="P28" s="51">
        <f t="shared" si="8"/>
        <v>0</v>
      </c>
      <c r="Q28" s="52">
        <f t="shared" si="9"/>
        <v>0</v>
      </c>
      <c r="R28" s="53" t="e">
        <f t="shared" si="10"/>
        <v>#DIV/0!</v>
      </c>
      <c r="S28" s="54" t="e">
        <f t="shared" si="11"/>
        <v>#DIV/0!</v>
      </c>
      <c r="T28" s="55" t="e">
        <f t="shared" si="12"/>
        <v>#DIV/0!</v>
      </c>
      <c r="U28" s="56" t="e">
        <f t="shared" si="13"/>
        <v>#DIV/0!</v>
      </c>
      <c r="V28" s="57" t="e">
        <f t="shared" si="14"/>
        <v>#DIV/0!</v>
      </c>
    </row>
    <row r="29" spans="1:30" hidden="1" outlineLevel="1" x14ac:dyDescent="0.2">
      <c r="A29" s="224"/>
      <c r="B29" s="41"/>
      <c r="C29" s="42"/>
      <c r="D29" s="43" t="b">
        <f t="shared" si="0"/>
        <v>0</v>
      </c>
      <c r="E29" s="43" t="b">
        <f t="shared" si="1"/>
        <v>0</v>
      </c>
      <c r="F29" s="43" t="b">
        <f t="shared" si="2"/>
        <v>0</v>
      </c>
      <c r="G29" s="43" t="b">
        <f t="shared" si="3"/>
        <v>0</v>
      </c>
      <c r="H29" s="356"/>
      <c r="I29" s="157" t="e">
        <f t="shared" si="4"/>
        <v>#DIV/0!</v>
      </c>
      <c r="J29" s="45">
        <f t="shared" si="5"/>
        <v>269.54000000000002</v>
      </c>
      <c r="K29" s="46">
        <f t="shared" si="6"/>
        <v>68.399452804377574</v>
      </c>
      <c r="L29" s="47">
        <f t="shared" si="7"/>
        <v>1.4619999999999998E-2</v>
      </c>
      <c r="M29" s="48">
        <v>2.35E-7</v>
      </c>
      <c r="N29" s="49">
        <v>1</v>
      </c>
      <c r="O29" s="50">
        <v>69200</v>
      </c>
      <c r="P29" s="51">
        <f t="shared" si="8"/>
        <v>0</v>
      </c>
      <c r="Q29" s="52">
        <f t="shared" si="9"/>
        <v>0</v>
      </c>
      <c r="R29" s="53" t="e">
        <f t="shared" si="10"/>
        <v>#DIV/0!</v>
      </c>
      <c r="S29" s="54" t="e">
        <f t="shared" si="11"/>
        <v>#DIV/0!</v>
      </c>
      <c r="T29" s="55" t="e">
        <f t="shared" si="12"/>
        <v>#DIV/0!</v>
      </c>
      <c r="U29" s="56" t="e">
        <f t="shared" si="13"/>
        <v>#DIV/0!</v>
      </c>
      <c r="V29" s="57" t="e">
        <f t="shared" si="14"/>
        <v>#DIV/0!</v>
      </c>
    </row>
    <row r="30" spans="1:30" outlineLevel="1" x14ac:dyDescent="0.2">
      <c r="A30" s="224"/>
      <c r="B30" s="41"/>
      <c r="C30" s="42"/>
      <c r="D30" s="43"/>
      <c r="E30" s="43"/>
      <c r="F30" s="43"/>
      <c r="G30" s="43"/>
      <c r="H30" s="356">
        <v>10</v>
      </c>
      <c r="I30" s="157"/>
      <c r="J30" s="45"/>
      <c r="K30" s="46"/>
      <c r="L30" s="47"/>
      <c r="M30" s="48"/>
      <c r="N30" s="49"/>
      <c r="O30" s="50"/>
      <c r="P30" s="51"/>
      <c r="Q30" s="52"/>
      <c r="R30" s="53"/>
      <c r="S30" s="54"/>
      <c r="T30" s="55"/>
      <c r="U30" s="56"/>
      <c r="V30" s="57"/>
    </row>
    <row r="31" spans="1:30" outlineLevel="1" x14ac:dyDescent="0.2">
      <c r="A31" s="303" t="s">
        <v>189</v>
      </c>
      <c r="B31" s="41">
        <f>+B32+B33</f>
        <v>3.04</v>
      </c>
      <c r="C31" s="42">
        <f>7.5+10+5.5+5.5+20</f>
        <v>48.5</v>
      </c>
      <c r="D31" s="43">
        <f t="shared" si="0"/>
        <v>13</v>
      </c>
      <c r="E31" s="43">
        <f t="shared" si="1"/>
        <v>13</v>
      </c>
      <c r="F31" s="43" t="b">
        <f t="shared" si="2"/>
        <v>0</v>
      </c>
      <c r="G31" s="43" t="b">
        <f t="shared" si="3"/>
        <v>0</v>
      </c>
      <c r="H31" s="356">
        <v>15</v>
      </c>
      <c r="I31" s="157">
        <f t="shared" si="4"/>
        <v>1.9541698828225013E-2</v>
      </c>
      <c r="J31" s="45">
        <f t="shared" si="5"/>
        <v>269.54000000000002</v>
      </c>
      <c r="K31" s="46">
        <f>$K$7</f>
        <v>68.399452804377574</v>
      </c>
      <c r="L31" s="47">
        <f t="shared" si="7"/>
        <v>1.4619999999999998E-2</v>
      </c>
      <c r="M31" s="48">
        <v>2.35E-7</v>
      </c>
      <c r="N31" s="49">
        <v>1</v>
      </c>
      <c r="O31" s="50">
        <v>69200</v>
      </c>
      <c r="P31" s="51">
        <f>SUM(B31/J31)*N31</f>
        <v>1.127847443793129E-2</v>
      </c>
      <c r="Q31" s="52">
        <f t="shared" si="9"/>
        <v>0.59360866661719958</v>
      </c>
      <c r="R31" s="53">
        <f>(Q31/3600/(((D31/1000)^2*PI())/4))</f>
        <v>1.242284727867407</v>
      </c>
      <c r="S31" s="54">
        <f t="shared" si="11"/>
        <v>52.779457766504706</v>
      </c>
      <c r="T31" s="55">
        <f t="shared" si="12"/>
        <v>68722.133882026756</v>
      </c>
      <c r="U31" s="56">
        <f t="shared" si="13"/>
        <v>3847.9163844244417</v>
      </c>
      <c r="V31" s="57">
        <f t="shared" si="14"/>
        <v>7.2287446528204832E-2</v>
      </c>
      <c r="W31" s="350" t="str">
        <f>IF(AND(H31=12,V31&lt;0.2),"12",IF(AND(H31=15,V31&lt;0.2),"15",IF(AND(H31=22,V31&lt;0.2),"22",IF(AND(H31=28,V31&lt;0.2),"28",IF(AND(H31=35,V31&lt;0.2),"25",IF(AND(H31=42,V31&lt;0.2),"42","54"))))))</f>
        <v>15</v>
      </c>
      <c r="AC31">
        <v>1</v>
      </c>
      <c r="AD31">
        <v>10</v>
      </c>
    </row>
    <row r="32" spans="1:30" outlineLevel="1" x14ac:dyDescent="0.2">
      <c r="A32" s="224" t="s">
        <v>164</v>
      </c>
      <c r="B32" s="41">
        <v>3.04</v>
      </c>
      <c r="C32" s="42">
        <f>3.5+4.5+2.5</f>
        <v>10.5</v>
      </c>
      <c r="D32" s="43">
        <f t="shared" si="0"/>
        <v>8</v>
      </c>
      <c r="E32" s="43">
        <f t="shared" si="1"/>
        <v>8</v>
      </c>
      <c r="F32" s="43" t="b">
        <f t="shared" si="2"/>
        <v>0</v>
      </c>
      <c r="G32" s="43" t="b">
        <f t="shared" si="3"/>
        <v>0</v>
      </c>
      <c r="H32" s="356">
        <v>10</v>
      </c>
      <c r="I32" s="157">
        <f t="shared" si="4"/>
        <v>1.7308083209845657E-2</v>
      </c>
      <c r="J32" s="45">
        <f t="shared" si="5"/>
        <v>269.54000000000002</v>
      </c>
      <c r="K32" s="46">
        <f t="shared" si="6"/>
        <v>68.399452804377574</v>
      </c>
      <c r="L32" s="47">
        <f t="shared" si="7"/>
        <v>1.4619999999999998E-2</v>
      </c>
      <c r="M32" s="48">
        <v>2.35E-7</v>
      </c>
      <c r="N32" s="49">
        <v>1</v>
      </c>
      <c r="O32" s="50">
        <v>69200</v>
      </c>
      <c r="P32" s="51">
        <f t="shared" si="8"/>
        <v>1.127847443793129E-2</v>
      </c>
      <c r="Q32" s="52">
        <f t="shared" si="9"/>
        <v>0.59360866661719958</v>
      </c>
      <c r="R32" s="53">
        <f t="shared" si="10"/>
        <v>3.2804081095248709</v>
      </c>
      <c r="S32" s="54">
        <f t="shared" si="11"/>
        <v>368.02590167703625</v>
      </c>
      <c r="T32" s="55">
        <f t="shared" si="12"/>
        <v>111673.46755829349</v>
      </c>
      <c r="U32" s="56">
        <f t="shared" si="13"/>
        <v>8360.3925951060628</v>
      </c>
      <c r="V32" s="57">
        <f t="shared" si="14"/>
        <v>0.15705939846297517</v>
      </c>
      <c r="W32" s="350" t="str">
        <f t="shared" ref="W32" si="15">IF(AND(H32=12,V32&lt;0.2),"12",IF(AND(H32=15,V32&lt;0.2),"15",IF(AND(H32=22,V32&lt;0.2),"22",IF(AND(H32=28,V32&lt;0.2),"28",IF(AND(H32=35,V32&lt;0.2),"25",IF(AND(H32=42,V32&lt;0.2),"42","54"))))))</f>
        <v>54</v>
      </c>
      <c r="X32" s="324" t="s">
        <v>165</v>
      </c>
      <c r="Y32" s="324"/>
      <c r="Z32" s="324"/>
      <c r="AC32">
        <v>2</v>
      </c>
      <c r="AD32">
        <v>12</v>
      </c>
    </row>
    <row r="33" spans="1:28" outlineLevel="1" x14ac:dyDescent="0.2">
      <c r="A33" s="224"/>
      <c r="B33" s="41"/>
      <c r="C33" s="42"/>
      <c r="D33" s="43"/>
      <c r="E33" s="43"/>
      <c r="F33" s="43"/>
      <c r="G33" s="43"/>
      <c r="H33" s="356"/>
      <c r="I33" s="157"/>
      <c r="J33" s="45"/>
      <c r="K33" s="46"/>
      <c r="L33" s="47"/>
      <c r="M33" s="48"/>
      <c r="N33" s="49"/>
      <c r="O33" s="50"/>
      <c r="P33" s="51"/>
      <c r="Q33" s="52"/>
      <c r="R33" s="53"/>
      <c r="S33" s="54"/>
      <c r="T33" s="55"/>
      <c r="U33" s="56"/>
      <c r="V33" s="57"/>
    </row>
    <row r="34" spans="1:28" outlineLevel="1" x14ac:dyDescent="0.2">
      <c r="A34" s="224"/>
      <c r="B34" s="41"/>
      <c r="C34" s="42"/>
      <c r="D34" s="43"/>
      <c r="E34" s="43"/>
      <c r="F34" s="43"/>
      <c r="G34" s="43"/>
      <c r="H34" s="356"/>
      <c r="I34" s="157"/>
      <c r="J34" s="45"/>
      <c r="K34" s="46"/>
      <c r="L34" s="47"/>
      <c r="M34" s="48"/>
      <c r="N34" s="49"/>
      <c r="O34" s="50"/>
      <c r="P34" s="51"/>
      <c r="Q34" s="52"/>
      <c r="R34" s="53"/>
      <c r="S34" s="54"/>
      <c r="T34" s="55"/>
      <c r="U34" s="56"/>
      <c r="V34" s="57"/>
    </row>
    <row r="35" spans="1:28" outlineLevel="1" x14ac:dyDescent="0.2">
      <c r="A35" s="304"/>
      <c r="B35" s="305"/>
      <c r="C35" s="306"/>
      <c r="D35" s="307"/>
      <c r="E35" s="307"/>
      <c r="F35" s="307"/>
      <c r="G35" s="307"/>
      <c r="H35" s="356"/>
      <c r="I35" s="309"/>
      <c r="J35" s="310"/>
      <c r="K35" s="311"/>
      <c r="L35" s="312"/>
      <c r="M35" s="313"/>
      <c r="N35" s="314"/>
      <c r="O35" s="315"/>
      <c r="P35" s="316"/>
      <c r="Q35" s="317"/>
      <c r="R35" s="318"/>
      <c r="S35" s="319"/>
      <c r="T35" s="320"/>
      <c r="U35" s="321"/>
      <c r="V35" s="322"/>
    </row>
    <row r="36" spans="1:28" outlineLevel="1" x14ac:dyDescent="0.2">
      <c r="A36" s="224"/>
      <c r="B36" s="41"/>
      <c r="C36" s="42"/>
      <c r="D36" s="43"/>
      <c r="E36" s="43"/>
      <c r="F36" s="43"/>
      <c r="G36" s="43"/>
      <c r="H36" s="356"/>
      <c r="I36" s="157"/>
      <c r="J36" s="45"/>
      <c r="K36" s="46"/>
      <c r="L36" s="47"/>
      <c r="M36" s="48"/>
      <c r="N36" s="49"/>
      <c r="O36" s="50"/>
      <c r="P36" s="51"/>
      <c r="Q36" s="52"/>
      <c r="R36" s="53"/>
      <c r="S36" s="54"/>
      <c r="T36" s="55"/>
      <c r="U36" s="56"/>
      <c r="V36" s="57"/>
      <c r="X36" s="137"/>
      <c r="Y36" s="137"/>
      <c r="Z36" s="137"/>
      <c r="AA36" s="137"/>
      <c r="AB36" s="137"/>
    </row>
    <row r="37" spans="1:28" outlineLevel="1" x14ac:dyDescent="0.2">
      <c r="A37" s="304"/>
      <c r="B37" s="305"/>
      <c r="C37" s="306"/>
      <c r="D37" s="307"/>
      <c r="E37" s="307"/>
      <c r="F37" s="307"/>
      <c r="G37" s="307"/>
      <c r="H37" s="356"/>
      <c r="I37" s="309"/>
      <c r="J37" s="310"/>
      <c r="K37" s="311"/>
      <c r="L37" s="312"/>
      <c r="M37" s="313"/>
      <c r="N37" s="314"/>
      <c r="O37" s="315"/>
      <c r="P37" s="316"/>
      <c r="Q37" s="317"/>
      <c r="R37" s="318"/>
      <c r="S37" s="319"/>
      <c r="T37" s="320"/>
      <c r="U37" s="321"/>
      <c r="V37" s="322"/>
    </row>
    <row r="38" spans="1:28" outlineLevel="1" x14ac:dyDescent="0.2">
      <c r="A38" s="224"/>
      <c r="B38" s="41"/>
      <c r="C38" s="42"/>
      <c r="D38" s="43"/>
      <c r="E38" s="43"/>
      <c r="F38" s="43"/>
      <c r="G38" s="43"/>
      <c r="H38" s="356"/>
      <c r="I38" s="157"/>
      <c r="J38" s="45"/>
      <c r="K38" s="46"/>
      <c r="L38" s="47"/>
      <c r="M38" s="48"/>
      <c r="N38" s="49"/>
      <c r="O38" s="50"/>
      <c r="P38" s="51"/>
      <c r="Q38" s="52"/>
      <c r="R38" s="53"/>
      <c r="S38" s="54"/>
      <c r="T38" s="55"/>
      <c r="U38" s="56"/>
      <c r="V38" s="57"/>
    </row>
    <row r="39" spans="1:28" outlineLevel="1" x14ac:dyDescent="0.2">
      <c r="A39" s="224"/>
      <c r="B39" s="41"/>
      <c r="C39" s="42"/>
      <c r="D39" s="43"/>
      <c r="E39" s="43"/>
      <c r="F39" s="43"/>
      <c r="G39" s="43"/>
      <c r="H39" s="356"/>
      <c r="I39" s="157"/>
      <c r="J39" s="45"/>
      <c r="K39" s="46"/>
      <c r="L39" s="47"/>
      <c r="M39" s="48"/>
      <c r="N39" s="49"/>
      <c r="O39" s="50"/>
      <c r="P39" s="51"/>
      <c r="Q39" s="52"/>
      <c r="R39" s="53"/>
      <c r="S39" s="54"/>
      <c r="T39" s="55"/>
      <c r="U39" s="56"/>
      <c r="V39" s="57"/>
    </row>
    <row r="40" spans="1:28" outlineLevel="1" x14ac:dyDescent="0.2">
      <c r="A40" s="224"/>
      <c r="B40" s="41"/>
      <c r="C40" s="42"/>
      <c r="D40" s="43"/>
      <c r="E40" s="43"/>
      <c r="F40" s="43"/>
      <c r="G40" s="43"/>
      <c r="H40" s="356"/>
      <c r="I40" s="157"/>
      <c r="J40" s="45"/>
      <c r="K40" s="46"/>
      <c r="L40" s="47"/>
      <c r="M40" s="48"/>
      <c r="N40" s="49"/>
      <c r="O40" s="50"/>
      <c r="P40" s="51"/>
      <c r="Q40" s="52"/>
      <c r="R40" s="53"/>
      <c r="S40" s="54"/>
      <c r="T40" s="55"/>
      <c r="U40" s="56"/>
      <c r="V40" s="57"/>
    </row>
    <row r="41" spans="1:28" outlineLevel="1" x14ac:dyDescent="0.2">
      <c r="A41" s="224"/>
      <c r="B41" s="41"/>
      <c r="C41" s="42"/>
      <c r="D41" s="43"/>
      <c r="E41" s="43"/>
      <c r="F41" s="43"/>
      <c r="G41" s="43"/>
      <c r="H41" s="356"/>
      <c r="I41" s="157"/>
      <c r="J41" s="45"/>
      <c r="K41" s="46"/>
      <c r="L41" s="47"/>
      <c r="M41" s="48"/>
      <c r="N41" s="49"/>
      <c r="O41" s="50"/>
      <c r="P41" s="51"/>
      <c r="Q41" s="52"/>
      <c r="R41" s="53"/>
      <c r="S41" s="54"/>
      <c r="T41" s="55"/>
      <c r="U41" s="56"/>
      <c r="V41" s="57"/>
    </row>
    <row r="42" spans="1:28" outlineLevel="1" x14ac:dyDescent="0.2">
      <c r="A42" s="224"/>
      <c r="B42" s="41"/>
      <c r="C42" s="42"/>
      <c r="D42" s="43"/>
      <c r="E42" s="43"/>
      <c r="F42" s="43"/>
      <c r="G42" s="43"/>
      <c r="H42" s="356"/>
      <c r="I42" s="157"/>
      <c r="J42" s="45"/>
      <c r="K42" s="46"/>
      <c r="L42" s="47"/>
      <c r="M42" s="48"/>
      <c r="N42" s="49"/>
      <c r="O42" s="50"/>
      <c r="P42" s="51"/>
      <c r="Q42" s="52"/>
      <c r="R42" s="53"/>
      <c r="S42" s="54"/>
      <c r="T42" s="55"/>
      <c r="U42" s="56"/>
      <c r="V42" s="57"/>
    </row>
    <row r="43" spans="1:28" outlineLevel="1" x14ac:dyDescent="0.2">
      <c r="A43" s="224"/>
      <c r="B43" s="41"/>
      <c r="C43" s="42"/>
      <c r="D43" s="43"/>
      <c r="E43" s="43"/>
      <c r="F43" s="43"/>
      <c r="G43" s="43"/>
      <c r="H43" s="356"/>
      <c r="I43" s="157"/>
      <c r="J43" s="45"/>
      <c r="K43" s="46"/>
      <c r="L43" s="47"/>
      <c r="M43" s="48"/>
      <c r="N43" s="49"/>
      <c r="O43" s="50"/>
      <c r="P43" s="51"/>
      <c r="Q43" s="52"/>
      <c r="R43" s="53"/>
      <c r="S43" s="54"/>
      <c r="T43" s="55"/>
      <c r="U43" s="56"/>
      <c r="V43" s="57"/>
    </row>
    <row r="44" spans="1:28" outlineLevel="1" x14ac:dyDescent="0.2">
      <c r="A44" s="224"/>
      <c r="B44" s="215"/>
      <c r="C44" s="42"/>
      <c r="D44" s="43"/>
      <c r="E44" s="43"/>
      <c r="F44" s="43"/>
      <c r="G44" s="43"/>
      <c r="H44" s="356"/>
      <c r="I44" s="157"/>
      <c r="J44" s="45"/>
      <c r="K44" s="46"/>
      <c r="L44" s="47"/>
      <c r="M44" s="48"/>
      <c r="N44" s="49"/>
      <c r="O44" s="50"/>
      <c r="P44" s="51"/>
      <c r="Q44" s="52"/>
      <c r="R44" s="53"/>
      <c r="S44" s="54"/>
      <c r="T44" s="55"/>
      <c r="U44" s="56"/>
      <c r="V44" s="57"/>
    </row>
    <row r="45" spans="1:28" outlineLevel="1" x14ac:dyDescent="0.2">
      <c r="A45" s="224"/>
      <c r="B45" s="41"/>
      <c r="C45" s="42"/>
      <c r="D45" s="43"/>
      <c r="E45" s="43"/>
      <c r="F45" s="43"/>
      <c r="G45" s="43"/>
      <c r="H45" s="356"/>
      <c r="I45" s="157"/>
      <c r="J45" s="45"/>
      <c r="K45" s="46"/>
      <c r="L45" s="47"/>
      <c r="M45" s="48"/>
      <c r="N45" s="49"/>
      <c r="O45" s="50"/>
      <c r="P45" s="51"/>
      <c r="Q45" s="52"/>
      <c r="R45" s="53"/>
      <c r="S45" s="54"/>
      <c r="T45" s="55"/>
      <c r="U45" s="56"/>
      <c r="V45" s="57"/>
    </row>
    <row r="46" spans="1:28" outlineLevel="1" x14ac:dyDescent="0.2">
      <c r="A46" s="224"/>
      <c r="B46" s="41"/>
      <c r="C46" s="42"/>
      <c r="D46" s="43"/>
      <c r="E46" s="43"/>
      <c r="F46" s="43"/>
      <c r="G46" s="43"/>
      <c r="H46" s="356"/>
      <c r="I46" s="157"/>
      <c r="J46" s="45"/>
      <c r="K46" s="46"/>
      <c r="L46" s="47"/>
      <c r="M46" s="48"/>
      <c r="N46" s="49"/>
      <c r="O46" s="50"/>
      <c r="P46" s="51"/>
      <c r="Q46" s="52"/>
      <c r="R46" s="53"/>
      <c r="S46" s="54"/>
      <c r="T46" s="55"/>
      <c r="U46" s="56"/>
      <c r="V46" s="57"/>
    </row>
    <row r="47" spans="1:28" outlineLevel="1" x14ac:dyDescent="0.2">
      <c r="A47" s="224"/>
      <c r="B47" s="41"/>
      <c r="C47" s="42"/>
      <c r="D47" s="43"/>
      <c r="E47" s="43"/>
      <c r="F47" s="43"/>
      <c r="G47" s="43"/>
      <c r="H47" s="356"/>
      <c r="I47" s="157"/>
      <c r="J47" s="45"/>
      <c r="K47" s="46"/>
      <c r="L47" s="47"/>
      <c r="M47" s="48"/>
      <c r="N47" s="49"/>
      <c r="O47" s="50"/>
      <c r="P47" s="51"/>
      <c r="Q47" s="52"/>
      <c r="R47" s="53"/>
      <c r="S47" s="54"/>
      <c r="T47" s="55"/>
      <c r="U47" s="56"/>
      <c r="V47" s="57"/>
    </row>
    <row r="48" spans="1:28" outlineLevel="1" x14ac:dyDescent="0.2">
      <c r="A48" s="224"/>
      <c r="B48" s="41"/>
      <c r="C48" s="42"/>
      <c r="D48" s="43"/>
      <c r="E48" s="43"/>
      <c r="F48" s="43"/>
      <c r="G48" s="43"/>
      <c r="H48" s="356"/>
      <c r="I48" s="157"/>
      <c r="J48" s="45"/>
      <c r="K48" s="46"/>
      <c r="L48" s="47"/>
      <c r="M48" s="48"/>
      <c r="N48" s="49"/>
      <c r="O48" s="50"/>
      <c r="P48" s="51"/>
      <c r="Q48" s="52"/>
      <c r="R48" s="53"/>
      <c r="S48" s="54"/>
      <c r="T48" s="55"/>
      <c r="U48" s="56"/>
      <c r="V48" s="57"/>
    </row>
    <row r="49" spans="1:28" outlineLevel="1" x14ac:dyDescent="0.2">
      <c r="A49" s="304"/>
      <c r="B49" s="305"/>
      <c r="C49" s="306"/>
      <c r="D49" s="307"/>
      <c r="E49" s="307"/>
      <c r="F49" s="307"/>
      <c r="G49" s="307"/>
      <c r="H49" s="356"/>
      <c r="I49" s="309"/>
      <c r="J49" s="310"/>
      <c r="K49" s="311"/>
      <c r="L49" s="312"/>
      <c r="M49" s="313"/>
      <c r="N49" s="314"/>
      <c r="O49" s="315"/>
      <c r="P49" s="316"/>
      <c r="Q49" s="317"/>
      <c r="R49" s="318"/>
      <c r="S49" s="319"/>
      <c r="T49" s="320"/>
      <c r="U49" s="321"/>
      <c r="V49" s="322"/>
    </row>
    <row r="50" spans="1:28" outlineLevel="1" x14ac:dyDescent="0.2">
      <c r="A50" s="302"/>
      <c r="B50" s="41"/>
      <c r="C50" s="42"/>
      <c r="D50" s="43"/>
      <c r="E50" s="43"/>
      <c r="F50" s="43"/>
      <c r="G50" s="43"/>
      <c r="H50" s="356"/>
      <c r="I50" s="157"/>
      <c r="J50" s="45"/>
      <c r="K50" s="46"/>
      <c r="L50" s="47"/>
      <c r="M50" s="48"/>
      <c r="N50" s="49"/>
      <c r="O50" s="50"/>
      <c r="P50" s="51"/>
      <c r="Q50" s="52"/>
      <c r="R50" s="53"/>
      <c r="S50" s="54"/>
      <c r="T50" s="55"/>
      <c r="U50" s="56"/>
      <c r="V50" s="57"/>
      <c r="X50" s="323"/>
      <c r="Y50" s="323"/>
      <c r="Z50" s="323"/>
      <c r="AA50" s="323"/>
      <c r="AB50" s="323"/>
    </row>
    <row r="51" spans="1:28" outlineLevel="1" x14ac:dyDescent="0.2">
      <c r="A51" s="304"/>
      <c r="B51" s="305"/>
      <c r="C51" s="306"/>
      <c r="D51" s="307"/>
      <c r="E51" s="307"/>
      <c r="F51" s="307"/>
      <c r="G51" s="307"/>
      <c r="H51" s="356"/>
      <c r="I51" s="309"/>
      <c r="J51" s="310"/>
      <c r="K51" s="311"/>
      <c r="L51" s="312"/>
      <c r="M51" s="313"/>
      <c r="N51" s="314"/>
      <c r="O51" s="315"/>
      <c r="P51" s="316"/>
      <c r="Q51" s="317"/>
      <c r="R51" s="318"/>
      <c r="S51" s="319"/>
      <c r="T51" s="320"/>
      <c r="U51" s="321"/>
      <c r="V51" s="322"/>
    </row>
    <row r="52" spans="1:28" outlineLevel="1" x14ac:dyDescent="0.2">
      <c r="A52" s="224"/>
      <c r="B52" s="41"/>
      <c r="C52" s="81"/>
      <c r="D52" s="43"/>
      <c r="E52" s="43"/>
      <c r="F52" s="43"/>
      <c r="G52" s="43"/>
      <c r="H52" s="356"/>
      <c r="I52" s="157"/>
      <c r="J52" s="45"/>
      <c r="K52" s="46"/>
      <c r="L52" s="47"/>
      <c r="M52" s="48"/>
      <c r="N52" s="49"/>
      <c r="O52" s="50"/>
      <c r="P52" s="51"/>
      <c r="Q52" s="52"/>
      <c r="R52" s="53"/>
      <c r="S52" s="54"/>
      <c r="T52" s="55"/>
      <c r="U52" s="56"/>
      <c r="V52" s="57"/>
    </row>
    <row r="53" spans="1:28" outlineLevel="1" x14ac:dyDescent="0.2">
      <c r="A53" s="224"/>
      <c r="B53" s="41"/>
      <c r="C53" s="81"/>
      <c r="D53" s="43"/>
      <c r="E53" s="43"/>
      <c r="F53" s="43"/>
      <c r="G53" s="43"/>
      <c r="H53" s="356"/>
      <c r="I53" s="157"/>
      <c r="J53" s="45"/>
      <c r="K53" s="46"/>
      <c r="L53" s="47"/>
      <c r="M53" s="48"/>
      <c r="N53" s="49"/>
      <c r="O53" s="50"/>
      <c r="P53" s="51"/>
      <c r="Q53" s="52"/>
      <c r="R53" s="53"/>
      <c r="S53" s="54"/>
      <c r="T53" s="55"/>
      <c r="U53" s="56"/>
      <c r="V53" s="57"/>
    </row>
    <row r="54" spans="1:28" outlineLevel="1" x14ac:dyDescent="0.2">
      <c r="A54" s="224"/>
      <c r="B54" s="41"/>
      <c r="C54" s="81"/>
      <c r="D54" s="43"/>
      <c r="E54" s="43"/>
      <c r="F54" s="43"/>
      <c r="G54" s="43"/>
      <c r="H54" s="356"/>
      <c r="I54" s="157"/>
      <c r="J54" s="45"/>
      <c r="K54" s="46"/>
      <c r="L54" s="47"/>
      <c r="M54" s="48"/>
      <c r="N54" s="49"/>
      <c r="O54" s="50"/>
      <c r="P54" s="51"/>
      <c r="Q54" s="52"/>
      <c r="R54" s="53"/>
      <c r="S54" s="54"/>
      <c r="T54" s="55"/>
      <c r="U54" s="56"/>
      <c r="V54" s="57"/>
    </row>
    <row r="55" spans="1:28" outlineLevel="1" x14ac:dyDescent="0.2">
      <c r="A55" s="224"/>
      <c r="B55" s="41"/>
      <c r="C55" s="81"/>
      <c r="D55" s="43"/>
      <c r="E55" s="43"/>
      <c r="F55" s="43"/>
      <c r="G55" s="43"/>
      <c r="H55" s="356"/>
      <c r="I55" s="157"/>
      <c r="J55" s="45"/>
      <c r="K55" s="46"/>
      <c r="L55" s="47"/>
      <c r="M55" s="48"/>
      <c r="N55" s="49"/>
      <c r="O55" s="50"/>
      <c r="P55" s="51"/>
      <c r="Q55" s="52"/>
      <c r="R55" s="53"/>
      <c r="S55" s="54"/>
      <c r="T55" s="55"/>
      <c r="U55" s="56"/>
      <c r="V55" s="57"/>
    </row>
    <row r="56" spans="1:28" outlineLevel="1" x14ac:dyDescent="0.2">
      <c r="A56" s="224"/>
      <c r="B56" s="215"/>
      <c r="C56" s="81"/>
      <c r="D56" s="43"/>
      <c r="E56" s="43"/>
      <c r="F56" s="43"/>
      <c r="G56" s="43"/>
      <c r="H56" s="356"/>
      <c r="I56" s="157"/>
      <c r="J56" s="45"/>
      <c r="K56" s="46"/>
      <c r="L56" s="47"/>
      <c r="M56" s="48"/>
      <c r="N56" s="49"/>
      <c r="O56" s="50"/>
      <c r="P56" s="51"/>
      <c r="Q56" s="52"/>
      <c r="R56" s="53"/>
      <c r="S56" s="54"/>
      <c r="T56" s="55"/>
      <c r="U56" s="56"/>
      <c r="V56" s="57"/>
    </row>
    <row r="57" spans="1:28" outlineLevel="1" x14ac:dyDescent="0.2">
      <c r="A57" s="224"/>
      <c r="B57" s="215"/>
      <c r="C57" s="81"/>
      <c r="D57" s="43"/>
      <c r="E57" s="43"/>
      <c r="F57" s="43"/>
      <c r="G57" s="43"/>
      <c r="H57" s="356"/>
      <c r="I57" s="157"/>
      <c r="J57" s="45"/>
      <c r="K57" s="46"/>
      <c r="L57" s="47"/>
      <c r="M57" s="48"/>
      <c r="N57" s="49"/>
      <c r="O57" s="50"/>
      <c r="P57" s="51"/>
      <c r="Q57" s="52"/>
      <c r="R57" s="53"/>
      <c r="S57" s="54"/>
      <c r="T57" s="55"/>
      <c r="U57" s="56"/>
      <c r="V57" s="57"/>
    </row>
    <row r="58" spans="1:28" outlineLevel="1" x14ac:dyDescent="0.2">
      <c r="A58" s="224"/>
      <c r="B58" s="215"/>
      <c r="C58" s="81"/>
      <c r="D58" s="43"/>
      <c r="E58" s="43"/>
      <c r="F58" s="43"/>
      <c r="G58" s="43"/>
      <c r="H58" s="356"/>
      <c r="I58" s="157"/>
      <c r="J58" s="45"/>
      <c r="K58" s="46"/>
      <c r="L58" s="47"/>
      <c r="M58" s="48"/>
      <c r="N58" s="49"/>
      <c r="O58" s="50"/>
      <c r="P58" s="51"/>
      <c r="Q58" s="52"/>
      <c r="R58" s="53"/>
      <c r="S58" s="54"/>
      <c r="T58" s="55"/>
      <c r="U58" s="56"/>
      <c r="V58" s="57"/>
    </row>
    <row r="59" spans="1:28" outlineLevel="1" x14ac:dyDescent="0.2">
      <c r="A59" s="224"/>
      <c r="B59" s="215"/>
      <c r="C59" s="81"/>
      <c r="D59" s="43"/>
      <c r="E59" s="43"/>
      <c r="F59" s="43"/>
      <c r="G59" s="43"/>
      <c r="H59" s="356"/>
      <c r="I59" s="157"/>
      <c r="J59" s="45"/>
      <c r="K59" s="46"/>
      <c r="L59" s="47"/>
      <c r="M59" s="48"/>
      <c r="N59" s="49"/>
      <c r="O59" s="50"/>
      <c r="P59" s="51"/>
      <c r="Q59" s="52"/>
      <c r="R59" s="53"/>
      <c r="S59" s="54"/>
      <c r="T59" s="55"/>
      <c r="U59" s="56"/>
      <c r="V59" s="57"/>
    </row>
    <row r="60" spans="1:28" outlineLevel="1" x14ac:dyDescent="0.2">
      <c r="A60" s="224"/>
      <c r="B60" s="215"/>
      <c r="C60" s="81"/>
      <c r="D60" s="43"/>
      <c r="E60" s="43"/>
      <c r="F60" s="43"/>
      <c r="G60" s="43"/>
      <c r="H60" s="356"/>
      <c r="I60" s="157"/>
      <c r="J60" s="45"/>
      <c r="K60" s="46"/>
      <c r="L60" s="47"/>
      <c r="M60" s="48"/>
      <c r="N60" s="49"/>
      <c r="O60" s="50"/>
      <c r="P60" s="51"/>
      <c r="Q60" s="52"/>
      <c r="R60" s="53"/>
      <c r="S60" s="54"/>
      <c r="T60" s="55"/>
      <c r="U60" s="56"/>
      <c r="V60" s="57"/>
    </row>
    <row r="61" spans="1:28" outlineLevel="1" x14ac:dyDescent="0.2">
      <c r="A61" s="304"/>
      <c r="B61" s="305"/>
      <c r="C61" s="81"/>
      <c r="D61" s="307"/>
      <c r="E61" s="307"/>
      <c r="F61" s="307"/>
      <c r="G61" s="307"/>
      <c r="H61" s="356"/>
      <c r="I61" s="309"/>
      <c r="J61" s="310"/>
      <c r="K61" s="311"/>
      <c r="L61" s="312"/>
      <c r="M61" s="313"/>
      <c r="N61" s="314"/>
      <c r="O61" s="315"/>
      <c r="P61" s="316"/>
      <c r="Q61" s="317"/>
      <c r="R61" s="318"/>
      <c r="S61" s="319"/>
      <c r="T61" s="320"/>
      <c r="U61" s="321"/>
      <c r="V61" s="322"/>
    </row>
    <row r="62" spans="1:28" outlineLevel="1" x14ac:dyDescent="0.2">
      <c r="A62" s="224"/>
      <c r="B62" s="215"/>
      <c r="C62" s="81"/>
      <c r="D62" s="43"/>
      <c r="E62" s="43"/>
      <c r="F62" s="43"/>
      <c r="G62" s="43"/>
      <c r="H62" s="356"/>
      <c r="I62" s="157"/>
      <c r="J62" s="45"/>
      <c r="K62" s="46"/>
      <c r="L62" s="47"/>
      <c r="M62" s="48"/>
      <c r="N62" s="49"/>
      <c r="O62" s="50"/>
      <c r="P62" s="51"/>
      <c r="Q62" s="52"/>
      <c r="R62" s="53"/>
      <c r="S62" s="54"/>
      <c r="T62" s="55"/>
      <c r="U62" s="56"/>
      <c r="V62" s="57"/>
    </row>
    <row r="63" spans="1:28" outlineLevel="1" x14ac:dyDescent="0.2">
      <c r="A63" s="304"/>
      <c r="B63" s="305"/>
      <c r="C63" s="81"/>
      <c r="D63" s="307"/>
      <c r="E63" s="307"/>
      <c r="F63" s="307"/>
      <c r="G63" s="307"/>
      <c r="H63" s="356"/>
      <c r="I63" s="309"/>
      <c r="J63" s="310"/>
      <c r="K63" s="311"/>
      <c r="L63" s="312"/>
      <c r="M63" s="313"/>
      <c r="N63" s="314"/>
      <c r="O63" s="315"/>
      <c r="P63" s="316"/>
      <c r="Q63" s="317"/>
      <c r="R63" s="318"/>
      <c r="S63" s="319"/>
      <c r="T63" s="320"/>
      <c r="U63" s="321"/>
      <c r="V63" s="322"/>
    </row>
    <row r="64" spans="1:28" outlineLevel="1" x14ac:dyDescent="0.2">
      <c r="A64" s="224"/>
      <c r="B64" s="215"/>
      <c r="C64" s="81"/>
      <c r="D64" s="43"/>
      <c r="E64" s="43"/>
      <c r="F64" s="43"/>
      <c r="G64" s="43"/>
      <c r="H64" s="356"/>
      <c r="I64" s="157"/>
      <c r="J64" s="45"/>
      <c r="K64" s="46"/>
      <c r="L64" s="47"/>
      <c r="M64" s="48"/>
      <c r="N64" s="49"/>
      <c r="O64" s="50"/>
      <c r="P64" s="51"/>
      <c r="Q64" s="52"/>
      <c r="R64" s="53"/>
      <c r="S64" s="54"/>
      <c r="T64" s="55"/>
      <c r="U64" s="56"/>
      <c r="V64" s="57"/>
    </row>
    <row r="65" spans="1:22" outlineLevel="1" x14ac:dyDescent="0.2">
      <c r="A65" s="224"/>
      <c r="B65" s="215"/>
      <c r="C65" s="81"/>
      <c r="D65" s="43"/>
      <c r="E65" s="43"/>
      <c r="F65" s="43"/>
      <c r="G65" s="43"/>
      <c r="H65" s="356"/>
      <c r="I65" s="157"/>
      <c r="J65" s="45"/>
      <c r="K65" s="46"/>
      <c r="L65" s="47"/>
      <c r="M65" s="48"/>
      <c r="N65" s="49"/>
      <c r="O65" s="50"/>
      <c r="P65" s="51"/>
      <c r="Q65" s="52"/>
      <c r="R65" s="53"/>
      <c r="S65" s="54"/>
      <c r="T65" s="55"/>
      <c r="U65" s="56"/>
      <c r="V65" s="57"/>
    </row>
    <row r="66" spans="1:22" outlineLevel="1" x14ac:dyDescent="0.2">
      <c r="A66" s="224"/>
      <c r="B66" s="215"/>
      <c r="C66" s="81"/>
      <c r="D66" s="43"/>
      <c r="E66" s="43"/>
      <c r="F66" s="43"/>
      <c r="G66" s="43"/>
      <c r="H66" s="356"/>
      <c r="I66" s="157"/>
      <c r="J66" s="45"/>
      <c r="K66" s="46"/>
      <c r="L66" s="47"/>
      <c r="M66" s="48"/>
      <c r="N66" s="49"/>
      <c r="O66" s="50"/>
      <c r="P66" s="51"/>
      <c r="Q66" s="52"/>
      <c r="R66" s="53"/>
      <c r="S66" s="54"/>
      <c r="T66" s="55"/>
      <c r="U66" s="56"/>
      <c r="V66" s="57"/>
    </row>
    <row r="67" spans="1:22" outlineLevel="1" x14ac:dyDescent="0.2">
      <c r="A67" s="224"/>
      <c r="B67" s="215"/>
      <c r="C67" s="81"/>
      <c r="D67" s="43"/>
      <c r="E67" s="43"/>
      <c r="F67" s="43"/>
      <c r="G67" s="43"/>
      <c r="H67" s="356"/>
      <c r="I67" s="157"/>
      <c r="J67" s="45"/>
      <c r="K67" s="46"/>
      <c r="L67" s="47"/>
      <c r="M67" s="48"/>
      <c r="N67" s="49"/>
      <c r="O67" s="50"/>
      <c r="P67" s="51"/>
      <c r="Q67" s="52"/>
      <c r="R67" s="53"/>
      <c r="S67" s="54"/>
      <c r="T67" s="55"/>
      <c r="U67" s="56"/>
      <c r="V67" s="57"/>
    </row>
    <row r="68" spans="1:22" outlineLevel="1" x14ac:dyDescent="0.2">
      <c r="A68" s="224"/>
      <c r="B68" s="215"/>
      <c r="C68" s="81"/>
      <c r="D68" s="43"/>
      <c r="E68" s="43"/>
      <c r="F68" s="43"/>
      <c r="G68" s="43"/>
      <c r="H68" s="356"/>
      <c r="I68" s="157"/>
      <c r="J68" s="45"/>
      <c r="K68" s="46"/>
      <c r="L68" s="47"/>
      <c r="M68" s="48"/>
      <c r="N68" s="49"/>
      <c r="O68" s="50"/>
      <c r="P68" s="51"/>
      <c r="Q68" s="52"/>
      <c r="R68" s="53"/>
      <c r="S68" s="54"/>
      <c r="T68" s="55"/>
      <c r="U68" s="56"/>
      <c r="V68" s="57"/>
    </row>
    <row r="69" spans="1:22" outlineLevel="1" x14ac:dyDescent="0.2">
      <c r="A69" s="224"/>
      <c r="B69" s="215"/>
      <c r="C69" s="81"/>
      <c r="D69" s="43"/>
      <c r="E69" s="43"/>
      <c r="F69" s="43"/>
      <c r="G69" s="43"/>
      <c r="H69" s="356"/>
      <c r="I69" s="157"/>
      <c r="J69" s="45"/>
      <c r="K69" s="46"/>
      <c r="L69" s="47"/>
      <c r="M69" s="48"/>
      <c r="N69" s="49"/>
      <c r="O69" s="50"/>
      <c r="P69" s="51"/>
      <c r="Q69" s="52"/>
      <c r="R69" s="53"/>
      <c r="S69" s="54"/>
      <c r="T69" s="55"/>
      <c r="U69" s="56"/>
      <c r="V69" s="57"/>
    </row>
    <row r="70" spans="1:22" outlineLevel="1" x14ac:dyDescent="0.2">
      <c r="A70" s="224"/>
      <c r="B70" s="215"/>
      <c r="C70" s="81"/>
      <c r="D70" s="43"/>
      <c r="E70" s="43"/>
      <c r="F70" s="43"/>
      <c r="G70" s="43"/>
      <c r="H70" s="356"/>
      <c r="I70" s="157"/>
      <c r="J70" s="45"/>
      <c r="K70" s="46"/>
      <c r="L70" s="47"/>
      <c r="M70" s="48"/>
      <c r="N70" s="49"/>
      <c r="O70" s="50"/>
      <c r="P70" s="51"/>
      <c r="Q70" s="52"/>
      <c r="R70" s="53"/>
      <c r="S70" s="54"/>
      <c r="T70" s="55"/>
      <c r="U70" s="56"/>
      <c r="V70" s="57"/>
    </row>
    <row r="71" spans="1:22" outlineLevel="1" x14ac:dyDescent="0.2">
      <c r="A71" s="304"/>
      <c r="B71" s="305"/>
      <c r="C71" s="81"/>
      <c r="D71" s="307"/>
      <c r="E71" s="307"/>
      <c r="F71" s="307"/>
      <c r="G71" s="307"/>
      <c r="H71" s="356"/>
      <c r="I71" s="309"/>
      <c r="J71" s="310"/>
      <c r="K71" s="311"/>
      <c r="L71" s="312"/>
      <c r="M71" s="313"/>
      <c r="N71" s="314"/>
      <c r="O71" s="315"/>
      <c r="P71" s="316"/>
      <c r="Q71" s="317"/>
      <c r="R71" s="318"/>
      <c r="S71" s="319"/>
      <c r="T71" s="320"/>
      <c r="U71" s="321"/>
      <c r="V71" s="322"/>
    </row>
    <row r="72" spans="1:22" outlineLevel="1" x14ac:dyDescent="0.2">
      <c r="A72" s="224"/>
      <c r="B72" s="215"/>
      <c r="C72" s="81"/>
      <c r="D72" s="43"/>
      <c r="E72" s="43"/>
      <c r="F72" s="43"/>
      <c r="G72" s="43"/>
      <c r="H72" s="356"/>
      <c r="I72" s="157"/>
      <c r="J72" s="45"/>
      <c r="K72" s="46"/>
      <c r="L72" s="47"/>
      <c r="M72" s="48"/>
      <c r="N72" s="49"/>
      <c r="O72" s="50"/>
      <c r="P72" s="51"/>
      <c r="Q72" s="52"/>
      <c r="R72" s="53"/>
      <c r="S72" s="54"/>
      <c r="T72" s="55"/>
      <c r="U72" s="56"/>
      <c r="V72" s="57"/>
    </row>
    <row r="73" spans="1:22" outlineLevel="1" x14ac:dyDescent="0.2">
      <c r="A73" s="224"/>
      <c r="B73" s="215"/>
      <c r="C73" s="81"/>
      <c r="D73" s="43"/>
      <c r="E73" s="43"/>
      <c r="F73" s="43"/>
      <c r="G73" s="43"/>
      <c r="H73" s="356"/>
      <c r="I73" s="157"/>
      <c r="J73" s="45"/>
      <c r="K73" s="46"/>
      <c r="L73" s="47"/>
      <c r="M73" s="48"/>
      <c r="N73" s="49"/>
      <c r="O73" s="50"/>
      <c r="P73" s="51"/>
      <c r="Q73" s="52"/>
      <c r="R73" s="53"/>
      <c r="S73" s="54"/>
      <c r="T73" s="55"/>
      <c r="U73" s="56"/>
      <c r="V73" s="57"/>
    </row>
    <row r="74" spans="1:22" outlineLevel="1" x14ac:dyDescent="0.2">
      <c r="A74" s="304"/>
      <c r="B74" s="305"/>
      <c r="C74" s="81"/>
      <c r="D74" s="307"/>
      <c r="E74" s="307"/>
      <c r="F74" s="307"/>
      <c r="G74" s="307"/>
      <c r="H74" s="356"/>
      <c r="I74" s="309"/>
      <c r="J74" s="310"/>
      <c r="K74" s="311"/>
      <c r="L74" s="312"/>
      <c r="M74" s="313"/>
      <c r="N74" s="314"/>
      <c r="O74" s="315"/>
      <c r="P74" s="316"/>
      <c r="Q74" s="317"/>
      <c r="R74" s="318"/>
      <c r="S74" s="319"/>
      <c r="T74" s="320"/>
      <c r="U74" s="321"/>
      <c r="V74" s="322"/>
    </row>
    <row r="75" spans="1:22" outlineLevel="1" x14ac:dyDescent="0.2">
      <c r="A75" s="224"/>
      <c r="B75" s="215"/>
      <c r="C75" s="81"/>
      <c r="D75" s="43"/>
      <c r="E75" s="43"/>
      <c r="F75" s="43"/>
      <c r="G75" s="43"/>
      <c r="H75" s="356"/>
      <c r="I75" s="157"/>
      <c r="J75" s="45"/>
      <c r="K75" s="46"/>
      <c r="L75" s="47"/>
      <c r="M75" s="48"/>
      <c r="N75" s="49"/>
      <c r="O75" s="50"/>
      <c r="P75" s="51"/>
      <c r="Q75" s="52"/>
      <c r="R75" s="53"/>
      <c r="S75" s="54"/>
      <c r="T75" s="55"/>
      <c r="U75" s="56"/>
      <c r="V75" s="57"/>
    </row>
    <row r="76" spans="1:22" outlineLevel="1" x14ac:dyDescent="0.2">
      <c r="A76" s="304"/>
      <c r="B76" s="305"/>
      <c r="C76" s="81"/>
      <c r="D76" s="307"/>
      <c r="E76" s="307"/>
      <c r="F76" s="307"/>
      <c r="G76" s="307"/>
      <c r="H76" s="356"/>
      <c r="I76" s="309"/>
      <c r="J76" s="310"/>
      <c r="K76" s="311"/>
      <c r="L76" s="312"/>
      <c r="M76" s="313"/>
      <c r="N76" s="314"/>
      <c r="O76" s="315"/>
      <c r="P76" s="316"/>
      <c r="Q76" s="317"/>
      <c r="R76" s="318"/>
      <c r="S76" s="319"/>
      <c r="T76" s="320"/>
      <c r="U76" s="321"/>
      <c r="V76" s="322"/>
    </row>
    <row r="77" spans="1:22" outlineLevel="1" x14ac:dyDescent="0.2">
      <c r="A77" s="224"/>
      <c r="B77" s="215"/>
      <c r="C77" s="81"/>
      <c r="D77" s="43"/>
      <c r="E77" s="43"/>
      <c r="F77" s="43"/>
      <c r="G77" s="43"/>
      <c r="H77" s="356"/>
      <c r="I77" s="157"/>
      <c r="J77" s="45"/>
      <c r="K77" s="46"/>
      <c r="L77" s="47"/>
      <c r="M77" s="48"/>
      <c r="N77" s="49"/>
      <c r="O77" s="50"/>
      <c r="P77" s="51"/>
      <c r="Q77" s="52"/>
      <c r="R77" s="53"/>
      <c r="S77" s="54"/>
      <c r="T77" s="55"/>
      <c r="U77" s="56"/>
      <c r="V77" s="57"/>
    </row>
    <row r="78" spans="1:22" outlineLevel="1" x14ac:dyDescent="0.2">
      <c r="A78" s="224"/>
      <c r="B78" s="215"/>
      <c r="C78" s="81"/>
      <c r="D78" s="43"/>
      <c r="E78" s="43"/>
      <c r="F78" s="43"/>
      <c r="G78" s="43"/>
      <c r="H78" s="356"/>
      <c r="I78" s="157"/>
      <c r="J78" s="45"/>
      <c r="K78" s="46"/>
      <c r="L78" s="47"/>
      <c r="M78" s="48"/>
      <c r="N78" s="49"/>
      <c r="O78" s="50"/>
      <c r="P78" s="51"/>
      <c r="Q78" s="52"/>
      <c r="R78" s="53"/>
      <c r="S78" s="54"/>
      <c r="T78" s="55"/>
      <c r="U78" s="56"/>
      <c r="V78" s="57"/>
    </row>
    <row r="79" spans="1:22" outlineLevel="1" x14ac:dyDescent="0.2">
      <c r="A79" s="224"/>
      <c r="B79" s="215"/>
      <c r="C79" s="81"/>
      <c r="D79" s="43"/>
      <c r="E79" s="43"/>
      <c r="F79" s="43"/>
      <c r="G79" s="43"/>
      <c r="H79" s="356"/>
      <c r="I79" s="157"/>
      <c r="J79" s="45"/>
      <c r="K79" s="46"/>
      <c r="L79" s="47"/>
      <c r="M79" s="48"/>
      <c r="N79" s="49"/>
      <c r="O79" s="50"/>
      <c r="P79" s="51"/>
      <c r="Q79" s="52"/>
      <c r="R79" s="53"/>
      <c r="S79" s="54"/>
      <c r="T79" s="55"/>
      <c r="U79" s="56"/>
      <c r="V79" s="57"/>
    </row>
    <row r="80" spans="1:22" outlineLevel="1" x14ac:dyDescent="0.2">
      <c r="A80" s="224"/>
      <c r="B80" s="215"/>
      <c r="C80" s="81"/>
      <c r="D80" s="43"/>
      <c r="E80" s="43"/>
      <c r="F80" s="43"/>
      <c r="G80" s="43"/>
      <c r="H80" s="356"/>
      <c r="I80" s="157"/>
      <c r="J80" s="45"/>
      <c r="K80" s="46"/>
      <c r="L80" s="47"/>
      <c r="M80" s="48"/>
      <c r="N80" s="49"/>
      <c r="O80" s="50"/>
      <c r="P80" s="51"/>
      <c r="Q80" s="52"/>
      <c r="R80" s="53"/>
      <c r="S80" s="54"/>
      <c r="T80" s="55"/>
      <c r="U80" s="56"/>
      <c r="V80" s="57"/>
    </row>
    <row r="81" spans="1:22" outlineLevel="1" x14ac:dyDescent="0.2">
      <c r="A81" s="224"/>
      <c r="B81" s="215"/>
      <c r="C81" s="81"/>
      <c r="D81" s="43"/>
      <c r="E81" s="43"/>
      <c r="F81" s="43"/>
      <c r="G81" s="43"/>
      <c r="H81" s="356"/>
      <c r="I81" s="157"/>
      <c r="J81" s="45"/>
      <c r="K81" s="46"/>
      <c r="L81" s="47"/>
      <c r="M81" s="48"/>
      <c r="N81" s="49"/>
      <c r="O81" s="50"/>
      <c r="P81" s="51"/>
      <c r="Q81" s="52"/>
      <c r="R81" s="53"/>
      <c r="S81" s="54"/>
      <c r="T81" s="55"/>
      <c r="U81" s="56"/>
      <c r="V81" s="57"/>
    </row>
    <row r="82" spans="1:22" outlineLevel="1" x14ac:dyDescent="0.2">
      <c r="A82" s="224"/>
      <c r="B82" s="215"/>
      <c r="C82" s="81"/>
      <c r="D82" s="43"/>
      <c r="E82" s="43"/>
      <c r="F82" s="43"/>
      <c r="G82" s="43"/>
      <c r="H82" s="356"/>
      <c r="I82" s="157"/>
      <c r="J82" s="45"/>
      <c r="K82" s="46"/>
      <c r="L82" s="47"/>
      <c r="M82" s="48"/>
      <c r="N82" s="49"/>
      <c r="O82" s="50"/>
      <c r="P82" s="51"/>
      <c r="Q82" s="52"/>
      <c r="R82" s="53"/>
      <c r="S82" s="54"/>
      <c r="T82" s="55"/>
      <c r="U82" s="56"/>
      <c r="V82" s="57"/>
    </row>
    <row r="83" spans="1:22" outlineLevel="1" x14ac:dyDescent="0.2">
      <c r="A83" s="224"/>
      <c r="B83" s="215"/>
      <c r="C83" s="81"/>
      <c r="D83" s="43"/>
      <c r="E83" s="43"/>
      <c r="F83" s="43"/>
      <c r="G83" s="43"/>
      <c r="H83" s="356"/>
      <c r="I83" s="157"/>
      <c r="J83" s="45"/>
      <c r="K83" s="46"/>
      <c r="L83" s="47"/>
      <c r="M83" s="48"/>
      <c r="N83" s="49"/>
      <c r="O83" s="50"/>
      <c r="P83" s="51"/>
      <c r="Q83" s="52"/>
      <c r="R83" s="53"/>
      <c r="S83" s="54"/>
      <c r="T83" s="55"/>
      <c r="U83" s="56"/>
      <c r="V83" s="57"/>
    </row>
    <row r="84" spans="1:22" outlineLevel="1" x14ac:dyDescent="0.2">
      <c r="A84" s="304"/>
      <c r="B84" s="305"/>
      <c r="C84" s="81"/>
      <c r="D84" s="307"/>
      <c r="E84" s="307"/>
      <c r="F84" s="307"/>
      <c r="G84" s="307"/>
      <c r="H84" s="356"/>
      <c r="I84" s="309"/>
      <c r="J84" s="310"/>
      <c r="K84" s="311"/>
      <c r="L84" s="312"/>
      <c r="M84" s="313"/>
      <c r="N84" s="314"/>
      <c r="O84" s="315"/>
      <c r="P84" s="316"/>
      <c r="Q84" s="317"/>
      <c r="R84" s="318"/>
      <c r="S84" s="319"/>
      <c r="T84" s="320"/>
      <c r="U84" s="321"/>
      <c r="V84" s="322"/>
    </row>
    <row r="85" spans="1:22" outlineLevel="1" x14ac:dyDescent="0.2">
      <c r="A85" s="224"/>
      <c r="B85" s="215"/>
      <c r="C85" s="81"/>
      <c r="D85" s="43"/>
      <c r="E85" s="43"/>
      <c r="F85" s="43"/>
      <c r="G85" s="43"/>
      <c r="H85" s="356"/>
      <c r="I85" s="157"/>
      <c r="J85" s="45"/>
      <c r="K85" s="46"/>
      <c r="L85" s="47"/>
      <c r="M85" s="48"/>
      <c r="N85" s="49"/>
      <c r="O85" s="50"/>
      <c r="P85" s="51"/>
      <c r="Q85" s="52"/>
      <c r="R85" s="53"/>
      <c r="S85" s="54"/>
      <c r="T85" s="55"/>
      <c r="U85" s="56"/>
      <c r="V85" s="57"/>
    </row>
    <row r="86" spans="1:22" outlineLevel="1" x14ac:dyDescent="0.2">
      <c r="A86" s="224"/>
      <c r="B86" s="215"/>
      <c r="C86" s="81"/>
      <c r="D86" s="43"/>
      <c r="E86" s="43"/>
      <c r="F86" s="43"/>
      <c r="G86" s="43"/>
      <c r="H86" s="356"/>
      <c r="I86" s="157"/>
      <c r="J86" s="45"/>
      <c r="K86" s="46"/>
      <c r="L86" s="47"/>
      <c r="M86" s="48"/>
      <c r="N86" s="49"/>
      <c r="O86" s="50"/>
      <c r="P86" s="51"/>
      <c r="Q86" s="52"/>
      <c r="R86" s="53"/>
      <c r="S86" s="54"/>
      <c r="T86" s="55"/>
      <c r="U86" s="56"/>
      <c r="V86" s="57"/>
    </row>
    <row r="87" spans="1:22" outlineLevel="1" x14ac:dyDescent="0.2">
      <c r="A87" s="224"/>
      <c r="B87" s="215"/>
      <c r="C87" s="81"/>
      <c r="D87" s="43"/>
      <c r="E87" s="43"/>
      <c r="F87" s="43"/>
      <c r="G87" s="43"/>
      <c r="H87" s="356"/>
      <c r="I87" s="157"/>
      <c r="J87" s="45"/>
      <c r="K87" s="46"/>
      <c r="L87" s="47"/>
      <c r="M87" s="48"/>
      <c r="N87" s="49"/>
      <c r="O87" s="50"/>
      <c r="P87" s="51"/>
      <c r="Q87" s="52"/>
      <c r="R87" s="53"/>
      <c r="S87" s="54"/>
      <c r="T87" s="55"/>
      <c r="U87" s="56"/>
      <c r="V87" s="57"/>
    </row>
    <row r="88" spans="1:22" outlineLevel="1" x14ac:dyDescent="0.2">
      <c r="A88" s="224"/>
      <c r="B88" s="215"/>
      <c r="C88" s="81"/>
      <c r="D88" s="43"/>
      <c r="E88" s="43"/>
      <c r="F88" s="43"/>
      <c r="G88" s="43"/>
      <c r="H88" s="356"/>
      <c r="I88" s="157"/>
      <c r="J88" s="45"/>
      <c r="K88" s="46"/>
      <c r="L88" s="47"/>
      <c r="M88" s="48"/>
      <c r="N88" s="49"/>
      <c r="O88" s="50"/>
      <c r="P88" s="51"/>
      <c r="Q88" s="52"/>
      <c r="R88" s="53"/>
      <c r="S88" s="54"/>
      <c r="T88" s="55"/>
      <c r="U88" s="56"/>
      <c r="V88" s="57"/>
    </row>
    <row r="89" spans="1:22" outlineLevel="1" x14ac:dyDescent="0.2">
      <c r="A89" s="304"/>
      <c r="B89" s="305"/>
      <c r="C89" s="81"/>
      <c r="D89" s="307"/>
      <c r="E89" s="307"/>
      <c r="F89" s="307"/>
      <c r="G89" s="307"/>
      <c r="H89" s="356"/>
      <c r="I89" s="309"/>
      <c r="J89" s="310"/>
      <c r="K89" s="311"/>
      <c r="L89" s="312"/>
      <c r="M89" s="313"/>
      <c r="N89" s="314"/>
      <c r="O89" s="315"/>
      <c r="P89" s="316"/>
      <c r="Q89" s="317"/>
      <c r="R89" s="318"/>
      <c r="S89" s="319"/>
      <c r="T89" s="320"/>
      <c r="U89" s="321"/>
      <c r="V89" s="322"/>
    </row>
    <row r="90" spans="1:22" outlineLevel="1" x14ac:dyDescent="0.2">
      <c r="A90" s="224"/>
      <c r="B90" s="215"/>
      <c r="C90" s="81"/>
      <c r="D90" s="43"/>
      <c r="E90" s="43"/>
      <c r="F90" s="43"/>
      <c r="G90" s="43"/>
      <c r="H90" s="356"/>
      <c r="I90" s="157"/>
      <c r="J90" s="45"/>
      <c r="K90" s="46"/>
      <c r="L90" s="47"/>
      <c r="M90" s="48"/>
      <c r="N90" s="49"/>
      <c r="O90" s="50"/>
      <c r="P90" s="51"/>
      <c r="Q90" s="52"/>
      <c r="R90" s="53"/>
      <c r="S90" s="54"/>
      <c r="T90" s="55"/>
      <c r="U90" s="56"/>
      <c r="V90" s="57"/>
    </row>
    <row r="91" spans="1:22" outlineLevel="1" x14ac:dyDescent="0.2">
      <c r="A91" s="304"/>
      <c r="B91" s="305"/>
      <c r="C91" s="81"/>
      <c r="D91" s="307"/>
      <c r="E91" s="307"/>
      <c r="F91" s="307"/>
      <c r="G91" s="307"/>
      <c r="H91" s="356"/>
      <c r="I91" s="309"/>
      <c r="J91" s="310"/>
      <c r="K91" s="311"/>
      <c r="L91" s="312"/>
      <c r="M91" s="313"/>
      <c r="N91" s="314"/>
      <c r="O91" s="315"/>
      <c r="P91" s="316"/>
      <c r="Q91" s="317"/>
      <c r="R91" s="318"/>
      <c r="S91" s="319"/>
      <c r="T91" s="320"/>
      <c r="U91" s="321"/>
      <c r="V91" s="322"/>
    </row>
    <row r="92" spans="1:22" outlineLevel="1" x14ac:dyDescent="0.2">
      <c r="A92" s="224"/>
      <c r="B92" s="215"/>
      <c r="C92" s="81"/>
      <c r="D92" s="43"/>
      <c r="E92" s="43"/>
      <c r="F92" s="43"/>
      <c r="G92" s="43"/>
      <c r="H92" s="356"/>
      <c r="I92" s="157"/>
      <c r="J92" s="45"/>
      <c r="K92" s="46"/>
      <c r="L92" s="47"/>
      <c r="M92" s="48"/>
      <c r="N92" s="49"/>
      <c r="O92" s="50"/>
      <c r="P92" s="51"/>
      <c r="Q92" s="52"/>
      <c r="R92" s="53"/>
      <c r="S92" s="54"/>
      <c r="T92" s="55"/>
      <c r="U92" s="56"/>
      <c r="V92" s="57"/>
    </row>
    <row r="93" spans="1:22" outlineLevel="1" x14ac:dyDescent="0.2">
      <c r="A93" s="224"/>
      <c r="B93" s="215"/>
      <c r="C93" s="81"/>
      <c r="D93" s="43"/>
      <c r="E93" s="43"/>
      <c r="F93" s="43"/>
      <c r="G93" s="43"/>
      <c r="H93" s="356"/>
      <c r="I93" s="157"/>
      <c r="J93" s="45"/>
      <c r="K93" s="46"/>
      <c r="L93" s="47"/>
      <c r="M93" s="48"/>
      <c r="N93" s="49"/>
      <c r="O93" s="50"/>
      <c r="P93" s="51"/>
      <c r="Q93" s="52"/>
      <c r="R93" s="53"/>
      <c r="S93" s="54"/>
      <c r="T93" s="55"/>
      <c r="U93" s="56"/>
      <c r="V93" s="57"/>
    </row>
    <row r="94" spans="1:22" outlineLevel="1" x14ac:dyDescent="0.2">
      <c r="A94" s="224"/>
      <c r="B94" s="215"/>
      <c r="C94" s="81"/>
      <c r="D94" s="43"/>
      <c r="E94" s="43"/>
      <c r="F94" s="43"/>
      <c r="G94" s="43"/>
      <c r="H94" s="356"/>
      <c r="I94" s="157"/>
      <c r="J94" s="45"/>
      <c r="K94" s="46"/>
      <c r="L94" s="47"/>
      <c r="M94" s="48"/>
      <c r="N94" s="49"/>
      <c r="O94" s="50"/>
      <c r="P94" s="51"/>
      <c r="Q94" s="52"/>
      <c r="R94" s="53"/>
      <c r="S94" s="54"/>
      <c r="T94" s="55"/>
      <c r="U94" s="56"/>
      <c r="V94" s="57"/>
    </row>
    <row r="95" spans="1:22" outlineLevel="1" x14ac:dyDescent="0.2">
      <c r="A95" s="304"/>
      <c r="B95" s="305"/>
      <c r="C95" s="81"/>
      <c r="D95" s="307"/>
      <c r="E95" s="307"/>
      <c r="F95" s="307"/>
      <c r="G95" s="307"/>
      <c r="H95" s="356"/>
      <c r="I95" s="309"/>
      <c r="J95" s="310"/>
      <c r="K95" s="311"/>
      <c r="L95" s="312"/>
      <c r="M95" s="313"/>
      <c r="N95" s="314"/>
      <c r="O95" s="315"/>
      <c r="P95" s="316"/>
      <c r="Q95" s="317"/>
      <c r="R95" s="318"/>
      <c r="S95" s="319"/>
      <c r="T95" s="320"/>
      <c r="U95" s="321"/>
      <c r="V95" s="322"/>
    </row>
    <row r="96" spans="1:22" outlineLevel="1" x14ac:dyDescent="0.2">
      <c r="A96" s="224"/>
      <c r="B96" s="215"/>
      <c r="C96" s="81"/>
      <c r="D96" s="43"/>
      <c r="E96" s="43"/>
      <c r="F96" s="43"/>
      <c r="G96" s="43"/>
      <c r="H96" s="356"/>
      <c r="I96" s="157"/>
      <c r="J96" s="45"/>
      <c r="K96" s="46"/>
      <c r="L96" s="47"/>
      <c r="M96" s="48"/>
      <c r="N96" s="49"/>
      <c r="O96" s="50"/>
      <c r="P96" s="51"/>
      <c r="Q96" s="52"/>
      <c r="R96" s="53"/>
      <c r="S96" s="54"/>
      <c r="T96" s="55"/>
      <c r="U96" s="56"/>
      <c r="V96" s="57"/>
    </row>
    <row r="97" spans="1:22" outlineLevel="1" x14ac:dyDescent="0.2">
      <c r="A97" s="304"/>
      <c r="B97" s="305"/>
      <c r="C97" s="81"/>
      <c r="D97" s="307"/>
      <c r="E97" s="307"/>
      <c r="F97" s="307"/>
      <c r="G97" s="307"/>
      <c r="H97" s="356"/>
      <c r="I97" s="309"/>
      <c r="J97" s="310"/>
      <c r="K97" s="311"/>
      <c r="L97" s="312"/>
      <c r="M97" s="313"/>
      <c r="N97" s="314"/>
      <c r="O97" s="315"/>
      <c r="P97" s="316"/>
      <c r="Q97" s="317"/>
      <c r="R97" s="318"/>
      <c r="S97" s="319"/>
      <c r="T97" s="320"/>
      <c r="U97" s="321"/>
      <c r="V97" s="322"/>
    </row>
    <row r="98" spans="1:22" outlineLevel="1" x14ac:dyDescent="0.2">
      <c r="A98" s="224"/>
      <c r="B98" s="215"/>
      <c r="C98" s="81"/>
      <c r="D98" s="43"/>
      <c r="E98" s="43"/>
      <c r="F98" s="43"/>
      <c r="G98" s="43"/>
      <c r="H98" s="356"/>
      <c r="I98" s="157"/>
      <c r="J98" s="45"/>
      <c r="K98" s="46"/>
      <c r="L98" s="47"/>
      <c r="M98" s="48"/>
      <c r="N98" s="49"/>
      <c r="O98" s="50"/>
      <c r="P98" s="51"/>
      <c r="Q98" s="52"/>
      <c r="R98" s="53"/>
      <c r="S98" s="54"/>
      <c r="T98" s="55"/>
      <c r="U98" s="56"/>
      <c r="V98" s="57"/>
    </row>
    <row r="99" spans="1:22" outlineLevel="1" x14ac:dyDescent="0.2">
      <c r="A99" s="304"/>
      <c r="B99" s="305"/>
      <c r="C99" s="81"/>
      <c r="D99" s="307"/>
      <c r="E99" s="307"/>
      <c r="F99" s="307"/>
      <c r="G99" s="307"/>
      <c r="H99" s="356"/>
      <c r="I99" s="309"/>
      <c r="J99" s="310"/>
      <c r="K99" s="311"/>
      <c r="L99" s="312"/>
      <c r="M99" s="313"/>
      <c r="N99" s="314"/>
      <c r="O99" s="315"/>
      <c r="P99" s="316"/>
      <c r="Q99" s="317"/>
      <c r="R99" s="318"/>
      <c r="S99" s="319"/>
      <c r="T99" s="320"/>
      <c r="U99" s="321"/>
      <c r="V99" s="322"/>
    </row>
    <row r="100" spans="1:22" outlineLevel="1" x14ac:dyDescent="0.2">
      <c r="A100" s="224"/>
      <c r="B100" s="215"/>
      <c r="C100" s="81"/>
      <c r="D100" s="43"/>
      <c r="E100" s="43"/>
      <c r="F100" s="43"/>
      <c r="G100" s="43"/>
      <c r="H100" s="356"/>
      <c r="I100" s="157"/>
      <c r="J100" s="45"/>
      <c r="K100" s="46"/>
      <c r="L100" s="47"/>
      <c r="M100" s="48"/>
      <c r="N100" s="49"/>
      <c r="O100" s="50"/>
      <c r="P100" s="51"/>
      <c r="Q100" s="52"/>
      <c r="R100" s="53"/>
      <c r="S100" s="54"/>
      <c r="T100" s="55"/>
      <c r="U100" s="56"/>
      <c r="V100" s="57"/>
    </row>
    <row r="101" spans="1:22" outlineLevel="1" x14ac:dyDescent="0.2">
      <c r="A101" s="224"/>
      <c r="B101" s="215"/>
      <c r="C101" s="81"/>
      <c r="D101" s="43"/>
      <c r="E101" s="43"/>
      <c r="F101" s="43"/>
      <c r="G101" s="43"/>
      <c r="H101" s="356"/>
      <c r="I101" s="157"/>
      <c r="J101" s="45"/>
      <c r="K101" s="46"/>
      <c r="L101" s="47"/>
      <c r="M101" s="48"/>
      <c r="N101" s="49"/>
      <c r="O101" s="50"/>
      <c r="P101" s="51"/>
      <c r="Q101" s="52"/>
      <c r="R101" s="53"/>
      <c r="S101" s="54"/>
      <c r="T101" s="55"/>
      <c r="U101" s="56"/>
      <c r="V101" s="57"/>
    </row>
    <row r="102" spans="1:22" outlineLevel="1" x14ac:dyDescent="0.2">
      <c r="A102" s="224"/>
      <c r="B102" s="215"/>
      <c r="C102" s="81"/>
      <c r="D102" s="43"/>
      <c r="E102" s="43"/>
      <c r="F102" s="43"/>
      <c r="G102" s="43"/>
      <c r="H102" s="356"/>
      <c r="I102" s="157"/>
      <c r="J102" s="45"/>
      <c r="K102" s="46"/>
      <c r="L102" s="47"/>
      <c r="M102" s="48"/>
      <c r="N102" s="49"/>
      <c r="O102" s="50"/>
      <c r="P102" s="51"/>
      <c r="Q102" s="52"/>
      <c r="R102" s="53"/>
      <c r="S102" s="54"/>
      <c r="T102" s="55"/>
      <c r="U102" s="56"/>
      <c r="V102" s="57"/>
    </row>
    <row r="103" spans="1:22" outlineLevel="1" x14ac:dyDescent="0.2">
      <c r="A103" s="304"/>
      <c r="B103" s="305"/>
      <c r="C103" s="81"/>
      <c r="D103" s="307"/>
      <c r="E103" s="307"/>
      <c r="F103" s="307"/>
      <c r="G103" s="307"/>
      <c r="H103" s="356"/>
      <c r="I103" s="309"/>
      <c r="J103" s="310"/>
      <c r="K103" s="311"/>
      <c r="L103" s="312"/>
      <c r="M103" s="313"/>
      <c r="N103" s="314"/>
      <c r="O103" s="315"/>
      <c r="P103" s="316"/>
      <c r="Q103" s="317"/>
      <c r="R103" s="318"/>
      <c r="S103" s="319"/>
      <c r="T103" s="320"/>
      <c r="U103" s="321"/>
      <c r="V103" s="322"/>
    </row>
    <row r="104" spans="1:22" outlineLevel="1" x14ac:dyDescent="0.2">
      <c r="A104" s="224"/>
      <c r="B104" s="215"/>
      <c r="C104" s="81"/>
      <c r="D104" s="43"/>
      <c r="E104" s="43"/>
      <c r="F104" s="43"/>
      <c r="G104" s="43"/>
      <c r="H104" s="356"/>
      <c r="I104" s="157"/>
      <c r="J104" s="45"/>
      <c r="K104" s="46"/>
      <c r="L104" s="47"/>
      <c r="M104" s="48"/>
      <c r="N104" s="49"/>
      <c r="O104" s="50"/>
      <c r="P104" s="51"/>
      <c r="Q104" s="52"/>
      <c r="R104" s="53"/>
      <c r="S104" s="54"/>
      <c r="T104" s="55"/>
      <c r="U104" s="56"/>
      <c r="V104" s="57"/>
    </row>
    <row r="105" spans="1:22" outlineLevel="1" x14ac:dyDescent="0.2">
      <c r="A105" s="304"/>
      <c r="B105" s="305"/>
      <c r="C105" s="81"/>
      <c r="D105" s="307"/>
      <c r="E105" s="307"/>
      <c r="F105" s="307"/>
      <c r="G105" s="307"/>
      <c r="H105" s="356"/>
      <c r="I105" s="309"/>
      <c r="J105" s="310"/>
      <c r="K105" s="311"/>
      <c r="L105" s="312"/>
      <c r="M105" s="313"/>
      <c r="N105" s="314"/>
      <c r="O105" s="315"/>
      <c r="P105" s="316"/>
      <c r="Q105" s="317"/>
      <c r="R105" s="318"/>
      <c r="S105" s="319"/>
      <c r="T105" s="320"/>
      <c r="U105" s="321"/>
      <c r="V105" s="322"/>
    </row>
    <row r="106" spans="1:22" outlineLevel="1" x14ac:dyDescent="0.2">
      <c r="A106" s="224"/>
      <c r="B106" s="215"/>
      <c r="C106" s="81"/>
      <c r="D106" s="43"/>
      <c r="E106" s="43"/>
      <c r="F106" s="43"/>
      <c r="G106" s="43"/>
      <c r="H106" s="356"/>
      <c r="I106" s="157"/>
      <c r="J106" s="45"/>
      <c r="K106" s="46"/>
      <c r="L106" s="47"/>
      <c r="M106" s="48"/>
      <c r="N106" s="49"/>
      <c r="O106" s="50"/>
      <c r="P106" s="51"/>
      <c r="Q106" s="52"/>
      <c r="R106" s="53"/>
      <c r="S106" s="54"/>
      <c r="T106" s="55"/>
      <c r="U106" s="56"/>
      <c r="V106" s="57"/>
    </row>
    <row r="107" spans="1:22" outlineLevel="1" x14ac:dyDescent="0.2">
      <c r="A107" s="224"/>
      <c r="B107" s="215"/>
      <c r="C107" s="81"/>
      <c r="D107" s="43"/>
      <c r="E107" s="43"/>
      <c r="F107" s="43"/>
      <c r="G107" s="43"/>
      <c r="H107" s="356"/>
      <c r="I107" s="157"/>
      <c r="J107" s="45"/>
      <c r="K107" s="46"/>
      <c r="L107" s="47"/>
      <c r="M107" s="48"/>
      <c r="N107" s="49"/>
      <c r="O107" s="50"/>
      <c r="P107" s="51"/>
      <c r="Q107" s="52"/>
      <c r="R107" s="53"/>
      <c r="S107" s="54"/>
      <c r="T107" s="55"/>
      <c r="U107" s="56"/>
      <c r="V107" s="57"/>
    </row>
    <row r="108" spans="1:22" outlineLevel="1" x14ac:dyDescent="0.2">
      <c r="A108" s="224"/>
      <c r="B108" s="215"/>
      <c r="C108" s="81"/>
      <c r="D108" s="43"/>
      <c r="E108" s="43"/>
      <c r="F108" s="43"/>
      <c r="G108" s="43"/>
      <c r="H108" s="356"/>
      <c r="I108" s="157"/>
      <c r="J108" s="45"/>
      <c r="K108" s="46"/>
      <c r="L108" s="47"/>
      <c r="M108" s="48"/>
      <c r="N108" s="49"/>
      <c r="O108" s="50"/>
      <c r="P108" s="51"/>
      <c r="Q108" s="52"/>
      <c r="R108" s="53"/>
      <c r="S108" s="54"/>
      <c r="T108" s="55"/>
      <c r="U108" s="56"/>
      <c r="V108" s="57"/>
    </row>
    <row r="109" spans="1:22" outlineLevel="1" x14ac:dyDescent="0.2">
      <c r="A109" s="304"/>
      <c r="B109" s="305"/>
      <c r="C109" s="81"/>
      <c r="D109" s="307"/>
      <c r="E109" s="307"/>
      <c r="F109" s="307"/>
      <c r="G109" s="307"/>
      <c r="H109" s="356"/>
      <c r="I109" s="309"/>
      <c r="J109" s="310"/>
      <c r="K109" s="311"/>
      <c r="L109" s="312"/>
      <c r="M109" s="313"/>
      <c r="N109" s="314"/>
      <c r="O109" s="315"/>
      <c r="P109" s="316"/>
      <c r="Q109" s="317"/>
      <c r="R109" s="318"/>
      <c r="S109" s="319"/>
      <c r="T109" s="320"/>
      <c r="U109" s="321"/>
      <c r="V109" s="322"/>
    </row>
    <row r="110" spans="1:22" outlineLevel="1" x14ac:dyDescent="0.2">
      <c r="A110" s="224"/>
      <c r="B110" s="215"/>
      <c r="C110" s="81"/>
      <c r="D110" s="43"/>
      <c r="E110" s="43"/>
      <c r="F110" s="43"/>
      <c r="G110" s="43"/>
      <c r="H110" s="356"/>
      <c r="I110" s="157"/>
      <c r="J110" s="45"/>
      <c r="K110" s="46"/>
      <c r="L110" s="47"/>
      <c r="M110" s="48"/>
      <c r="N110" s="49"/>
      <c r="O110" s="50"/>
      <c r="P110" s="51"/>
      <c r="Q110" s="52"/>
      <c r="R110" s="53"/>
      <c r="S110" s="54"/>
      <c r="T110" s="55"/>
      <c r="U110" s="56"/>
      <c r="V110" s="57"/>
    </row>
    <row r="111" spans="1:22" outlineLevel="1" x14ac:dyDescent="0.2">
      <c r="A111" s="224"/>
      <c r="B111" s="215"/>
      <c r="C111" s="81"/>
      <c r="D111" s="43"/>
      <c r="E111" s="43"/>
      <c r="F111" s="43"/>
      <c r="G111" s="43"/>
      <c r="H111" s="356"/>
      <c r="I111" s="157"/>
      <c r="J111" s="45"/>
      <c r="K111" s="46"/>
      <c r="L111" s="47"/>
      <c r="M111" s="48"/>
      <c r="N111" s="49"/>
      <c r="O111" s="50"/>
      <c r="P111" s="51"/>
      <c r="Q111" s="52"/>
      <c r="R111" s="53"/>
      <c r="S111" s="54"/>
      <c r="T111" s="55"/>
      <c r="U111" s="56"/>
      <c r="V111" s="57"/>
    </row>
    <row r="112" spans="1:22" outlineLevel="1" x14ac:dyDescent="0.2">
      <c r="A112" s="224"/>
      <c r="B112" s="215"/>
      <c r="C112" s="81"/>
      <c r="D112" s="43"/>
      <c r="E112" s="43"/>
      <c r="F112" s="43"/>
      <c r="G112" s="43"/>
      <c r="H112" s="356"/>
      <c r="I112" s="157"/>
      <c r="J112" s="45"/>
      <c r="K112" s="46"/>
      <c r="L112" s="47"/>
      <c r="M112" s="48"/>
      <c r="N112" s="49"/>
      <c r="O112" s="50"/>
      <c r="P112" s="51"/>
      <c r="Q112" s="52"/>
      <c r="R112" s="53"/>
      <c r="S112" s="54"/>
      <c r="T112" s="55"/>
      <c r="U112" s="56"/>
      <c r="V112" s="57"/>
    </row>
    <row r="113" spans="1:22" outlineLevel="1" x14ac:dyDescent="0.2">
      <c r="A113" s="224"/>
      <c r="B113" s="215"/>
      <c r="C113" s="81"/>
      <c r="D113" s="43"/>
      <c r="E113" s="43"/>
      <c r="F113" s="43"/>
      <c r="G113" s="43"/>
      <c r="H113" s="356"/>
      <c r="I113" s="157"/>
      <c r="J113" s="45"/>
      <c r="K113" s="46"/>
      <c r="L113" s="47"/>
      <c r="M113" s="48"/>
      <c r="N113" s="49"/>
      <c r="O113" s="50"/>
      <c r="P113" s="51"/>
      <c r="Q113" s="52"/>
      <c r="R113" s="53"/>
      <c r="S113" s="54"/>
      <c r="T113" s="55"/>
      <c r="U113" s="56"/>
      <c r="V113" s="57"/>
    </row>
    <row r="114" spans="1:22" outlineLevel="1" x14ac:dyDescent="0.2">
      <c r="A114" s="224"/>
      <c r="B114" s="215"/>
      <c r="C114" s="81"/>
      <c r="D114" s="43"/>
      <c r="E114" s="43"/>
      <c r="F114" s="43"/>
      <c r="G114" s="43"/>
      <c r="H114" s="356"/>
      <c r="I114" s="157"/>
      <c r="J114" s="45"/>
      <c r="K114" s="46"/>
      <c r="L114" s="47"/>
      <c r="M114" s="48"/>
      <c r="N114" s="49"/>
      <c r="O114" s="50"/>
      <c r="P114" s="51"/>
      <c r="Q114" s="52"/>
      <c r="R114" s="53"/>
      <c r="S114" s="54"/>
      <c r="T114" s="55"/>
      <c r="U114" s="56"/>
      <c r="V114" s="57"/>
    </row>
    <row r="115" spans="1:22" outlineLevel="1" x14ac:dyDescent="0.2">
      <c r="A115" s="304"/>
      <c r="B115" s="305"/>
      <c r="C115" s="81"/>
      <c r="D115" s="307"/>
      <c r="E115" s="307"/>
      <c r="F115" s="307"/>
      <c r="G115" s="307"/>
      <c r="H115" s="356"/>
      <c r="I115" s="309"/>
      <c r="J115" s="310"/>
      <c r="K115" s="311"/>
      <c r="L115" s="312"/>
      <c r="M115" s="313"/>
      <c r="N115" s="314"/>
      <c r="O115" s="315"/>
      <c r="P115" s="316"/>
      <c r="Q115" s="317"/>
      <c r="R115" s="318"/>
      <c r="S115" s="319"/>
      <c r="T115" s="320"/>
      <c r="U115" s="321"/>
      <c r="V115" s="322"/>
    </row>
    <row r="116" spans="1:22" outlineLevel="1" x14ac:dyDescent="0.2">
      <c r="A116" s="224"/>
      <c r="B116" s="215"/>
      <c r="C116" s="81"/>
      <c r="D116" s="43"/>
      <c r="E116" s="43"/>
      <c r="F116" s="43"/>
      <c r="G116" s="43"/>
      <c r="H116" s="356"/>
      <c r="I116" s="157"/>
      <c r="J116" s="45"/>
      <c r="K116" s="46"/>
      <c r="L116" s="47"/>
      <c r="M116" s="48"/>
      <c r="N116" s="49"/>
      <c r="O116" s="50"/>
      <c r="P116" s="51"/>
      <c r="Q116" s="52"/>
      <c r="R116" s="53"/>
      <c r="S116" s="54"/>
      <c r="T116" s="55"/>
      <c r="U116" s="56"/>
      <c r="V116" s="57"/>
    </row>
    <row r="117" spans="1:22" outlineLevel="1" x14ac:dyDescent="0.2">
      <c r="A117" s="224"/>
      <c r="B117" s="215"/>
      <c r="C117" s="81"/>
      <c r="D117" s="43"/>
      <c r="E117" s="43"/>
      <c r="F117" s="43"/>
      <c r="G117" s="43"/>
      <c r="H117" s="356"/>
      <c r="I117" s="157"/>
      <c r="J117" s="45"/>
      <c r="K117" s="46"/>
      <c r="L117" s="47"/>
      <c r="M117" s="48"/>
      <c r="N117" s="49"/>
      <c r="O117" s="50"/>
      <c r="P117" s="51"/>
      <c r="Q117" s="52"/>
      <c r="R117" s="53"/>
      <c r="S117" s="54"/>
      <c r="T117" s="55"/>
      <c r="U117" s="56"/>
      <c r="V117" s="57"/>
    </row>
    <row r="118" spans="1:22" outlineLevel="1" x14ac:dyDescent="0.2">
      <c r="A118" s="224"/>
      <c r="B118" s="215"/>
      <c r="C118" s="81"/>
      <c r="D118" s="43"/>
      <c r="E118" s="43"/>
      <c r="F118" s="43"/>
      <c r="G118" s="43"/>
      <c r="H118" s="356"/>
      <c r="I118" s="157"/>
      <c r="J118" s="45"/>
      <c r="K118" s="46"/>
      <c r="L118" s="47"/>
      <c r="M118" s="48"/>
      <c r="N118" s="49"/>
      <c r="O118" s="50"/>
      <c r="P118" s="51"/>
      <c r="Q118" s="52"/>
      <c r="R118" s="53"/>
      <c r="S118" s="54"/>
      <c r="T118" s="55"/>
      <c r="U118" s="56"/>
      <c r="V118" s="57"/>
    </row>
    <row r="119" spans="1:22" outlineLevel="1" x14ac:dyDescent="0.2">
      <c r="A119" s="224"/>
      <c r="B119" s="215"/>
      <c r="C119" s="81"/>
      <c r="D119" s="43"/>
      <c r="E119" s="43"/>
      <c r="F119" s="43"/>
      <c r="G119" s="43"/>
      <c r="H119" s="356"/>
      <c r="I119" s="157"/>
      <c r="J119" s="45"/>
      <c r="K119" s="46"/>
      <c r="L119" s="47"/>
      <c r="M119" s="48"/>
      <c r="N119" s="49"/>
      <c r="O119" s="50"/>
      <c r="P119" s="51"/>
      <c r="Q119" s="52"/>
      <c r="R119" s="53"/>
      <c r="S119" s="54"/>
      <c r="T119" s="55"/>
      <c r="U119" s="56"/>
      <c r="V119" s="57"/>
    </row>
    <row r="120" spans="1:22" outlineLevel="1" x14ac:dyDescent="0.2">
      <c r="A120" s="224"/>
      <c r="B120" s="215"/>
      <c r="C120" s="81"/>
      <c r="D120" s="43"/>
      <c r="E120" s="43"/>
      <c r="F120" s="43"/>
      <c r="G120" s="43"/>
      <c r="H120" s="356"/>
      <c r="I120" s="157"/>
      <c r="J120" s="45"/>
      <c r="K120" s="46"/>
      <c r="L120" s="47"/>
      <c r="M120" s="48"/>
      <c r="N120" s="49"/>
      <c r="O120" s="50"/>
      <c r="P120" s="51"/>
      <c r="Q120" s="52"/>
      <c r="R120" s="53"/>
      <c r="S120" s="54"/>
      <c r="T120" s="55"/>
      <c r="U120" s="56"/>
      <c r="V120" s="57"/>
    </row>
    <row r="121" spans="1:22" outlineLevel="1" x14ac:dyDescent="0.2">
      <c r="A121" s="224"/>
      <c r="B121" s="215"/>
      <c r="C121" s="81"/>
      <c r="D121" s="43"/>
      <c r="E121" s="43"/>
      <c r="F121" s="43"/>
      <c r="G121" s="43"/>
      <c r="H121" s="356"/>
      <c r="I121" s="157"/>
      <c r="J121" s="45"/>
      <c r="K121" s="46"/>
      <c r="L121" s="47"/>
      <c r="M121" s="48"/>
      <c r="N121" s="49"/>
      <c r="O121" s="50"/>
      <c r="P121" s="51"/>
      <c r="Q121" s="52"/>
      <c r="R121" s="53"/>
      <c r="S121" s="54"/>
      <c r="T121" s="55"/>
      <c r="U121" s="56"/>
      <c r="V121" s="57"/>
    </row>
    <row r="122" spans="1:22" outlineLevel="1" x14ac:dyDescent="0.2">
      <c r="A122" s="224"/>
      <c r="B122" s="215"/>
      <c r="C122" s="81"/>
      <c r="D122" s="43"/>
      <c r="E122" s="43"/>
      <c r="F122" s="43"/>
      <c r="G122" s="43"/>
      <c r="H122" s="356"/>
      <c r="I122" s="157"/>
      <c r="J122" s="45"/>
      <c r="K122" s="46"/>
      <c r="L122" s="47"/>
      <c r="M122" s="48"/>
      <c r="N122" s="49"/>
      <c r="O122" s="50"/>
      <c r="P122" s="51"/>
      <c r="Q122" s="52"/>
      <c r="R122" s="53"/>
      <c r="S122" s="54"/>
      <c r="T122" s="55"/>
      <c r="U122" s="56"/>
      <c r="V122" s="57"/>
    </row>
    <row r="123" spans="1:22" outlineLevel="1" x14ac:dyDescent="0.2">
      <c r="A123" s="304"/>
      <c r="B123" s="305"/>
      <c r="C123" s="81"/>
      <c r="D123" s="307"/>
      <c r="E123" s="307"/>
      <c r="F123" s="307"/>
      <c r="G123" s="307"/>
      <c r="H123" s="356"/>
      <c r="I123" s="309"/>
      <c r="J123" s="310"/>
      <c r="K123" s="311"/>
      <c r="L123" s="312"/>
      <c r="M123" s="313"/>
      <c r="N123" s="314"/>
      <c r="O123" s="315"/>
      <c r="P123" s="316"/>
      <c r="Q123" s="317"/>
      <c r="R123" s="318"/>
      <c r="S123" s="319"/>
      <c r="T123" s="320"/>
      <c r="U123" s="321"/>
      <c r="V123" s="322"/>
    </row>
    <row r="124" spans="1:22" outlineLevel="1" x14ac:dyDescent="0.2">
      <c r="A124" s="224"/>
      <c r="B124" s="215"/>
      <c r="C124" s="81"/>
      <c r="D124" s="43"/>
      <c r="E124" s="43"/>
      <c r="F124" s="43"/>
      <c r="G124" s="43"/>
      <c r="H124" s="356"/>
      <c r="I124" s="157"/>
      <c r="J124" s="45"/>
      <c r="K124" s="46"/>
      <c r="L124" s="47"/>
      <c r="M124" s="48"/>
      <c r="N124" s="49"/>
      <c r="O124" s="50"/>
      <c r="P124" s="51"/>
      <c r="Q124" s="52"/>
      <c r="R124" s="53"/>
      <c r="S124" s="54"/>
      <c r="T124" s="55"/>
      <c r="U124" s="56"/>
      <c r="V124" s="57"/>
    </row>
    <row r="125" spans="1:22" outlineLevel="1" x14ac:dyDescent="0.2">
      <c r="A125" s="224"/>
      <c r="B125" s="215"/>
      <c r="C125" s="81"/>
      <c r="D125" s="43"/>
      <c r="E125" s="43"/>
      <c r="F125" s="43"/>
      <c r="G125" s="43"/>
      <c r="H125" s="356"/>
      <c r="I125" s="157"/>
      <c r="J125" s="45"/>
      <c r="K125" s="46"/>
      <c r="L125" s="47"/>
      <c r="M125" s="48"/>
      <c r="N125" s="49"/>
      <c r="O125" s="50"/>
      <c r="P125" s="51"/>
      <c r="Q125" s="52"/>
      <c r="R125" s="53"/>
      <c r="S125" s="54"/>
      <c r="T125" s="55"/>
      <c r="U125" s="56"/>
      <c r="V125" s="57"/>
    </row>
    <row r="126" spans="1:22" outlineLevel="1" x14ac:dyDescent="0.2">
      <c r="A126" s="224"/>
      <c r="B126" s="215"/>
      <c r="C126" s="81"/>
      <c r="D126" s="43"/>
      <c r="E126" s="43"/>
      <c r="F126" s="43"/>
      <c r="G126" s="43"/>
      <c r="H126" s="356"/>
      <c r="I126" s="157"/>
      <c r="J126" s="45"/>
      <c r="K126" s="46"/>
      <c r="L126" s="47"/>
      <c r="M126" s="48"/>
      <c r="N126" s="49"/>
      <c r="O126" s="50"/>
      <c r="P126" s="51"/>
      <c r="Q126" s="52"/>
      <c r="R126" s="53"/>
      <c r="S126" s="54"/>
      <c r="T126" s="55"/>
      <c r="U126" s="56"/>
      <c r="V126" s="57"/>
    </row>
    <row r="127" spans="1:22" outlineLevel="1" x14ac:dyDescent="0.2">
      <c r="A127" s="304"/>
      <c r="B127" s="305"/>
      <c r="C127" s="81"/>
      <c r="D127" s="307"/>
      <c r="E127" s="307"/>
      <c r="F127" s="307"/>
      <c r="G127" s="307"/>
      <c r="H127" s="356"/>
      <c r="I127" s="309"/>
      <c r="J127" s="310"/>
      <c r="K127" s="311"/>
      <c r="L127" s="312"/>
      <c r="M127" s="313"/>
      <c r="N127" s="314"/>
      <c r="O127" s="315"/>
      <c r="P127" s="316"/>
      <c r="Q127" s="317"/>
      <c r="R127" s="318"/>
      <c r="S127" s="319"/>
      <c r="T127" s="320"/>
      <c r="U127" s="321"/>
      <c r="V127" s="322"/>
    </row>
    <row r="128" spans="1:22" outlineLevel="1" x14ac:dyDescent="0.2">
      <c r="A128" s="224"/>
      <c r="B128" s="215"/>
      <c r="C128" s="81"/>
      <c r="D128" s="43"/>
      <c r="E128" s="43"/>
      <c r="F128" s="43"/>
      <c r="G128" s="43"/>
      <c r="H128" s="356"/>
      <c r="I128" s="157"/>
      <c r="J128" s="45"/>
      <c r="K128" s="46"/>
      <c r="L128" s="47"/>
      <c r="M128" s="48"/>
      <c r="N128" s="49"/>
      <c r="O128" s="50"/>
      <c r="P128" s="51"/>
      <c r="Q128" s="52"/>
      <c r="R128" s="53"/>
      <c r="S128" s="54"/>
      <c r="T128" s="55"/>
      <c r="U128" s="56"/>
      <c r="V128" s="57"/>
    </row>
    <row r="129" spans="1:24" outlineLevel="1" x14ac:dyDescent="0.2">
      <c r="A129" s="224"/>
      <c r="B129" s="215"/>
      <c r="C129" s="81"/>
      <c r="D129" s="43"/>
      <c r="E129" s="43"/>
      <c r="F129" s="43"/>
      <c r="G129" s="43"/>
      <c r="H129" s="356"/>
      <c r="I129" s="157"/>
      <c r="J129" s="45"/>
      <c r="K129" s="46"/>
      <c r="L129" s="47"/>
      <c r="M129" s="48"/>
      <c r="N129" s="49"/>
      <c r="O129" s="50"/>
      <c r="P129" s="51"/>
      <c r="Q129" s="52"/>
      <c r="R129" s="53"/>
      <c r="S129" s="54"/>
      <c r="T129" s="55"/>
      <c r="U129" s="56"/>
      <c r="V129" s="57"/>
    </row>
    <row r="130" spans="1:24" outlineLevel="1" x14ac:dyDescent="0.2">
      <c r="A130" s="224"/>
      <c r="B130" s="215"/>
      <c r="C130" s="81"/>
      <c r="D130" s="43"/>
      <c r="E130" s="43"/>
      <c r="F130" s="43"/>
      <c r="G130" s="43"/>
      <c r="H130" s="356"/>
      <c r="I130" s="157"/>
      <c r="J130" s="45"/>
      <c r="K130" s="46"/>
      <c r="L130" s="47"/>
      <c r="M130" s="48"/>
      <c r="N130" s="49"/>
      <c r="O130" s="50"/>
      <c r="P130" s="51"/>
      <c r="Q130" s="52"/>
      <c r="R130" s="53"/>
      <c r="S130" s="54"/>
      <c r="T130" s="55"/>
      <c r="U130" s="56"/>
      <c r="V130" s="57"/>
    </row>
    <row r="131" spans="1:24" outlineLevel="1" x14ac:dyDescent="0.2">
      <c r="A131" s="304"/>
      <c r="B131" s="305"/>
      <c r="C131" s="81"/>
      <c r="D131" s="307"/>
      <c r="E131" s="307"/>
      <c r="F131" s="307"/>
      <c r="G131" s="307"/>
      <c r="H131" s="356"/>
      <c r="I131" s="309"/>
      <c r="J131" s="310"/>
      <c r="K131" s="311"/>
      <c r="L131" s="312"/>
      <c r="M131" s="313"/>
      <c r="N131" s="314"/>
      <c r="O131" s="315"/>
      <c r="P131" s="316"/>
      <c r="Q131" s="317"/>
      <c r="R131" s="318"/>
      <c r="S131" s="319"/>
      <c r="T131" s="320"/>
      <c r="U131" s="321"/>
      <c r="V131" s="322"/>
    </row>
    <row r="132" spans="1:24" outlineLevel="1" x14ac:dyDescent="0.2">
      <c r="A132" s="224"/>
      <c r="B132" s="215"/>
      <c r="C132" s="81"/>
      <c r="D132" s="43"/>
      <c r="E132" s="43"/>
      <c r="F132" s="43"/>
      <c r="G132" s="43"/>
      <c r="H132" s="356"/>
      <c r="I132" s="157"/>
      <c r="J132" s="45"/>
      <c r="K132" s="46"/>
      <c r="L132" s="47"/>
      <c r="M132" s="48"/>
      <c r="N132" s="49"/>
      <c r="O132" s="50"/>
      <c r="P132" s="51"/>
      <c r="Q132" s="52"/>
      <c r="R132" s="53"/>
      <c r="S132" s="54"/>
      <c r="T132" s="55"/>
      <c r="U132" s="56"/>
      <c r="V132" s="57"/>
    </row>
    <row r="133" spans="1:24" outlineLevel="1" x14ac:dyDescent="0.2">
      <c r="A133" s="224"/>
      <c r="B133" s="215"/>
      <c r="C133" s="81"/>
      <c r="D133" s="43"/>
      <c r="E133" s="43"/>
      <c r="F133" s="43"/>
      <c r="G133" s="43"/>
      <c r="H133" s="356"/>
      <c r="I133" s="157"/>
      <c r="J133" s="45"/>
      <c r="K133" s="46"/>
      <c r="L133" s="47"/>
      <c r="M133" s="48"/>
      <c r="N133" s="49"/>
      <c r="O133" s="50"/>
      <c r="P133" s="51"/>
      <c r="Q133" s="52"/>
      <c r="R133" s="53"/>
      <c r="S133" s="54"/>
      <c r="T133" s="55"/>
      <c r="U133" s="56"/>
      <c r="V133" s="57"/>
    </row>
    <row r="134" spans="1:24" outlineLevel="1" x14ac:dyDescent="0.2">
      <c r="A134" s="224"/>
      <c r="B134" s="215"/>
      <c r="C134" s="81"/>
      <c r="D134" s="43"/>
      <c r="E134" s="43"/>
      <c r="F134" s="43"/>
      <c r="G134" s="43"/>
      <c r="H134" s="356"/>
      <c r="I134" s="157"/>
      <c r="J134" s="45"/>
      <c r="K134" s="46"/>
      <c r="L134" s="47"/>
      <c r="M134" s="48"/>
      <c r="N134" s="49"/>
      <c r="O134" s="50"/>
      <c r="P134" s="51"/>
      <c r="Q134" s="52"/>
      <c r="R134" s="53"/>
      <c r="S134" s="54"/>
      <c r="T134" s="55"/>
      <c r="U134" s="56"/>
      <c r="V134" s="57"/>
    </row>
    <row r="135" spans="1:24" outlineLevel="1" x14ac:dyDescent="0.2">
      <c r="A135" s="304"/>
      <c r="B135" s="305"/>
      <c r="C135" s="81"/>
      <c r="D135" s="307"/>
      <c r="E135" s="307"/>
      <c r="F135" s="307"/>
      <c r="G135" s="307"/>
      <c r="H135" s="356"/>
      <c r="I135" s="309"/>
      <c r="J135" s="310"/>
      <c r="K135" s="311"/>
      <c r="L135" s="312"/>
      <c r="M135" s="313"/>
      <c r="N135" s="314"/>
      <c r="O135" s="315"/>
      <c r="P135" s="316"/>
      <c r="Q135" s="317"/>
      <c r="R135" s="318"/>
      <c r="S135" s="319"/>
      <c r="T135" s="320"/>
      <c r="U135" s="321"/>
      <c r="V135" s="322"/>
    </row>
    <row r="136" spans="1:24" outlineLevel="1" x14ac:dyDescent="0.2">
      <c r="A136" s="224"/>
      <c r="B136" s="215"/>
      <c r="C136" s="81"/>
      <c r="D136" s="43"/>
      <c r="E136" s="43"/>
      <c r="F136" s="43"/>
      <c r="G136" s="43"/>
      <c r="H136" s="356"/>
      <c r="I136" s="157"/>
      <c r="J136" s="45"/>
      <c r="K136" s="46"/>
      <c r="L136" s="47"/>
      <c r="M136" s="48"/>
      <c r="N136" s="49"/>
      <c r="O136" s="50"/>
      <c r="P136" s="51"/>
      <c r="Q136" s="52"/>
      <c r="R136" s="53"/>
      <c r="S136" s="54"/>
      <c r="T136" s="55"/>
      <c r="U136" s="56"/>
      <c r="V136" s="57"/>
    </row>
    <row r="137" spans="1:24" outlineLevel="1" x14ac:dyDescent="0.2">
      <c r="A137" s="224"/>
      <c r="B137" s="215"/>
      <c r="C137" s="81"/>
      <c r="D137" s="43"/>
      <c r="E137" s="43"/>
      <c r="F137" s="43"/>
      <c r="G137" s="43"/>
      <c r="H137" s="356"/>
      <c r="I137" s="157"/>
      <c r="J137" s="45"/>
      <c r="K137" s="46"/>
      <c r="L137" s="47"/>
      <c r="M137" s="48"/>
      <c r="N137" s="49"/>
      <c r="O137" s="50"/>
      <c r="P137" s="51"/>
      <c r="Q137" s="52"/>
      <c r="R137" s="53"/>
      <c r="S137" s="54"/>
      <c r="T137" s="55"/>
      <c r="U137" s="56"/>
      <c r="V137" s="57"/>
    </row>
    <row r="138" spans="1:24" outlineLevel="1" x14ac:dyDescent="0.2">
      <c r="A138" s="224"/>
      <c r="B138" s="215"/>
      <c r="C138" s="81"/>
      <c r="D138" s="43"/>
      <c r="E138" s="43"/>
      <c r="F138" s="43"/>
      <c r="G138" s="43"/>
      <c r="H138" s="356"/>
      <c r="I138" s="157"/>
      <c r="J138" s="45"/>
      <c r="K138" s="46"/>
      <c r="L138" s="47"/>
      <c r="M138" s="48"/>
      <c r="N138" s="49"/>
      <c r="O138" s="50"/>
      <c r="P138" s="51"/>
      <c r="Q138" s="52"/>
      <c r="R138" s="53"/>
      <c r="S138" s="54"/>
      <c r="T138" s="55"/>
      <c r="U138" s="56"/>
      <c r="V138" s="57"/>
    </row>
    <row r="139" spans="1:24" outlineLevel="1" x14ac:dyDescent="0.2">
      <c r="A139" s="224"/>
      <c r="B139" s="215"/>
      <c r="C139" s="81"/>
      <c r="D139" s="43"/>
      <c r="E139" s="43"/>
      <c r="F139" s="43"/>
      <c r="G139" s="43"/>
      <c r="H139" s="356"/>
      <c r="I139" s="157"/>
      <c r="J139" s="45"/>
      <c r="K139" s="46"/>
      <c r="L139" s="47"/>
      <c r="M139" s="48"/>
      <c r="N139" s="49"/>
      <c r="O139" s="50"/>
      <c r="P139" s="51"/>
      <c r="Q139" s="52"/>
      <c r="R139" s="53"/>
      <c r="S139" s="54"/>
      <c r="T139" s="55"/>
      <c r="U139" s="56"/>
      <c r="V139" s="57"/>
    </row>
    <row r="140" spans="1:24" outlineLevel="1" x14ac:dyDescent="0.2">
      <c r="A140" s="224"/>
      <c r="B140" s="215"/>
      <c r="C140" s="63"/>
      <c r="D140" s="43"/>
      <c r="E140" s="43"/>
      <c r="F140" s="43"/>
      <c r="G140" s="43"/>
      <c r="H140" s="356"/>
      <c r="I140" s="157"/>
      <c r="J140" s="45"/>
      <c r="K140" s="46"/>
      <c r="L140" s="47"/>
      <c r="M140" s="48"/>
      <c r="N140" s="49"/>
      <c r="O140" s="50"/>
      <c r="P140" s="51"/>
      <c r="Q140" s="52"/>
      <c r="R140" s="53"/>
      <c r="S140" s="54"/>
      <c r="T140" s="55"/>
      <c r="U140" s="56"/>
      <c r="V140" s="57"/>
    </row>
    <row r="141" spans="1:24" x14ac:dyDescent="0.2">
      <c r="A141" s="40"/>
      <c r="B141" s="72"/>
      <c r="C141" s="42"/>
      <c r="D141" s="73"/>
      <c r="E141" s="73"/>
      <c r="F141" s="73"/>
      <c r="G141" s="73"/>
      <c r="H141" s="357"/>
      <c r="I141" s="59"/>
      <c r="J141" s="28"/>
      <c r="K141" s="62"/>
      <c r="L141" s="217"/>
      <c r="M141" s="31"/>
      <c r="N141" s="32"/>
      <c r="O141" s="33"/>
      <c r="P141" s="69"/>
      <c r="Q141" s="62"/>
      <c r="R141" s="63"/>
      <c r="S141" s="64"/>
      <c r="T141" s="65"/>
      <c r="U141" s="74"/>
      <c r="V141" s="66"/>
      <c r="X141" s="208"/>
    </row>
    <row r="142" spans="1:24" outlineLevel="1" collapsed="1" x14ac:dyDescent="0.2">
      <c r="A142" s="75"/>
      <c r="B142" s="41"/>
      <c r="C142" s="42"/>
      <c r="D142" s="58"/>
      <c r="E142" s="58"/>
      <c r="F142" s="58"/>
      <c r="G142" s="58"/>
      <c r="H142" s="356"/>
      <c r="I142" s="157"/>
      <c r="J142" s="45"/>
      <c r="K142" s="76"/>
      <c r="L142" s="77"/>
      <c r="M142" s="48"/>
      <c r="N142" s="78"/>
      <c r="O142" s="50"/>
      <c r="P142" s="51"/>
      <c r="Q142" s="52"/>
      <c r="R142" s="53"/>
      <c r="S142" s="54"/>
      <c r="T142" s="55"/>
      <c r="U142" s="56"/>
      <c r="V142" s="57"/>
    </row>
    <row r="143" spans="1:24" hidden="1" outlineLevel="2" x14ac:dyDescent="0.2">
      <c r="A143" s="75"/>
      <c r="B143" s="41"/>
      <c r="C143" s="42"/>
      <c r="D143" s="58"/>
      <c r="E143" s="58"/>
      <c r="F143" s="58"/>
      <c r="G143" s="58"/>
      <c r="H143" s="356"/>
      <c r="I143" s="157"/>
      <c r="J143" s="45"/>
      <c r="K143" s="76"/>
      <c r="L143" s="77"/>
      <c r="M143" s="48"/>
      <c r="N143" s="78"/>
      <c r="O143" s="50"/>
      <c r="P143" s="51"/>
      <c r="Q143" s="52"/>
      <c r="R143" s="53"/>
      <c r="S143" s="54"/>
      <c r="T143" s="55"/>
      <c r="U143" s="56"/>
      <c r="V143" s="57"/>
    </row>
    <row r="144" spans="1:24" hidden="1" outlineLevel="2" x14ac:dyDescent="0.2">
      <c r="A144" s="225"/>
      <c r="B144" s="226"/>
      <c r="C144" s="227"/>
      <c r="D144" s="228"/>
      <c r="E144" s="228"/>
      <c r="F144" s="228"/>
      <c r="G144" s="228"/>
      <c r="H144" s="356"/>
      <c r="I144" s="229"/>
      <c r="J144" s="230"/>
      <c r="K144" s="231"/>
      <c r="L144" s="232"/>
      <c r="M144" s="233"/>
      <c r="N144" s="234"/>
      <c r="O144" s="235"/>
      <c r="P144" s="236"/>
      <c r="Q144" s="237"/>
      <c r="R144" s="238"/>
      <c r="S144" s="239"/>
      <c r="T144" s="240"/>
      <c r="U144" s="241"/>
      <c r="V144" s="242"/>
    </row>
    <row r="145" spans="1:22" hidden="1" outlineLevel="2" x14ac:dyDescent="0.2">
      <c r="A145" s="75"/>
      <c r="B145" s="41"/>
      <c r="C145" s="42"/>
      <c r="D145" s="58"/>
      <c r="E145" s="58"/>
      <c r="F145" s="58"/>
      <c r="G145" s="58"/>
      <c r="H145" s="356"/>
      <c r="I145" s="157"/>
      <c r="J145" s="45"/>
      <c r="K145" s="76"/>
      <c r="L145" s="77"/>
      <c r="M145" s="48"/>
      <c r="N145" s="78"/>
      <c r="O145" s="50"/>
      <c r="P145" s="51"/>
      <c r="Q145" s="52"/>
      <c r="R145" s="53"/>
      <c r="S145" s="54"/>
      <c r="T145" s="55"/>
      <c r="U145" s="56"/>
      <c r="V145" s="57"/>
    </row>
    <row r="146" spans="1:22" hidden="1" outlineLevel="2" x14ac:dyDescent="0.2">
      <c r="A146" s="75"/>
      <c r="B146" s="41"/>
      <c r="C146" s="42"/>
      <c r="D146" s="58"/>
      <c r="E146" s="58"/>
      <c r="F146" s="58"/>
      <c r="G146" s="58"/>
      <c r="H146" s="356"/>
      <c r="I146" s="157"/>
      <c r="J146" s="45"/>
      <c r="K146" s="76"/>
      <c r="L146" s="77"/>
      <c r="M146" s="48"/>
      <c r="N146" s="78"/>
      <c r="O146" s="50"/>
      <c r="P146" s="51"/>
      <c r="Q146" s="52"/>
      <c r="R146" s="53"/>
      <c r="S146" s="54"/>
      <c r="T146" s="55"/>
      <c r="U146" s="56"/>
      <c r="V146" s="57"/>
    </row>
    <row r="147" spans="1:22" hidden="1" outlineLevel="2" x14ac:dyDescent="0.2">
      <c r="A147" s="75"/>
      <c r="B147" s="41"/>
      <c r="C147" s="42"/>
      <c r="D147" s="58"/>
      <c r="E147" s="58"/>
      <c r="F147" s="58"/>
      <c r="G147" s="58"/>
      <c r="H147" s="356"/>
      <c r="I147" s="157"/>
      <c r="J147" s="45"/>
      <c r="K147" s="76"/>
      <c r="L147" s="77"/>
      <c r="M147" s="48"/>
      <c r="N147" s="78"/>
      <c r="O147" s="50"/>
      <c r="P147" s="51"/>
      <c r="Q147" s="52"/>
      <c r="R147" s="53"/>
      <c r="S147" s="54"/>
      <c r="T147" s="55"/>
      <c r="U147" s="56"/>
      <c r="V147" s="57"/>
    </row>
    <row r="148" spans="1:22" outlineLevel="1" collapsed="1" x14ac:dyDescent="0.2">
      <c r="A148" s="75"/>
      <c r="B148" s="41"/>
      <c r="C148" s="42"/>
      <c r="D148" s="58"/>
      <c r="E148" s="58"/>
      <c r="F148" s="58"/>
      <c r="G148" s="58"/>
      <c r="H148" s="356"/>
      <c r="I148" s="157"/>
      <c r="J148" s="45"/>
      <c r="K148" s="76"/>
      <c r="L148" s="77"/>
      <c r="M148" s="48"/>
      <c r="N148" s="78"/>
      <c r="O148" s="50"/>
      <c r="P148" s="51"/>
      <c r="Q148" s="52"/>
      <c r="R148" s="53"/>
      <c r="S148" s="54"/>
      <c r="T148" s="55"/>
      <c r="U148" s="56"/>
      <c r="V148" s="57"/>
    </row>
    <row r="149" spans="1:22" hidden="1" outlineLevel="2" x14ac:dyDescent="0.2">
      <c r="A149" s="75"/>
      <c r="B149" s="41"/>
      <c r="C149" s="42"/>
      <c r="D149" s="58"/>
      <c r="E149" s="58"/>
      <c r="F149" s="58"/>
      <c r="G149" s="58"/>
      <c r="H149" s="356"/>
      <c r="I149" s="157"/>
      <c r="J149" s="45"/>
      <c r="K149" s="76"/>
      <c r="L149" s="77"/>
      <c r="M149" s="48"/>
      <c r="N149" s="78"/>
      <c r="O149" s="50"/>
      <c r="P149" s="51"/>
      <c r="Q149" s="52"/>
      <c r="R149" s="53"/>
      <c r="S149" s="54"/>
      <c r="T149" s="55"/>
      <c r="U149" s="56"/>
      <c r="V149" s="57"/>
    </row>
    <row r="150" spans="1:22" hidden="1" outlineLevel="2" x14ac:dyDescent="0.2">
      <c r="A150" s="243"/>
      <c r="B150" s="244"/>
      <c r="C150" s="245"/>
      <c r="D150" s="246"/>
      <c r="E150" s="246"/>
      <c r="F150" s="246"/>
      <c r="G150" s="246"/>
      <c r="H150" s="356"/>
      <c r="I150" s="229"/>
      <c r="J150" s="247"/>
      <c r="K150" s="248"/>
      <c r="L150" s="232"/>
      <c r="M150" s="233"/>
      <c r="N150" s="234"/>
      <c r="O150" s="235"/>
      <c r="P150" s="249"/>
      <c r="Q150" s="250"/>
      <c r="R150" s="238"/>
      <c r="S150" s="239"/>
      <c r="T150" s="240"/>
      <c r="U150" s="241"/>
      <c r="V150" s="242"/>
    </row>
    <row r="151" spans="1:22" hidden="1" outlineLevel="2" x14ac:dyDescent="0.2">
      <c r="A151" s="75"/>
      <c r="B151" s="41"/>
      <c r="C151" s="42"/>
      <c r="D151" s="58"/>
      <c r="E151" s="58"/>
      <c r="F151" s="58"/>
      <c r="G151" s="58"/>
      <c r="H151" s="356"/>
      <c r="I151" s="157"/>
      <c r="J151" s="45"/>
      <c r="K151" s="76"/>
      <c r="L151" s="77"/>
      <c r="M151" s="48"/>
      <c r="N151" s="78"/>
      <c r="O151" s="50"/>
      <c r="P151" s="51"/>
      <c r="Q151" s="52"/>
      <c r="R151" s="53"/>
      <c r="S151" s="54"/>
      <c r="T151" s="55"/>
      <c r="U151" s="56"/>
      <c r="V151" s="57"/>
    </row>
    <row r="152" spans="1:22" hidden="1" outlineLevel="2" x14ac:dyDescent="0.2">
      <c r="A152" s="75"/>
      <c r="B152" s="41"/>
      <c r="C152" s="42"/>
      <c r="D152" s="58"/>
      <c r="E152" s="58"/>
      <c r="F152" s="58"/>
      <c r="G152" s="58"/>
      <c r="H152" s="356"/>
      <c r="I152" s="157"/>
      <c r="J152" s="45"/>
      <c r="K152" s="76"/>
      <c r="L152" s="77"/>
      <c r="M152" s="48"/>
      <c r="N152" s="78"/>
      <c r="O152" s="50"/>
      <c r="P152" s="51"/>
      <c r="Q152" s="52"/>
      <c r="R152" s="53"/>
      <c r="S152" s="54"/>
      <c r="T152" s="55"/>
      <c r="U152" s="56"/>
      <c r="V152" s="57"/>
    </row>
    <row r="153" spans="1:22" hidden="1" outlineLevel="2" x14ac:dyDescent="0.2">
      <c r="A153" s="75"/>
      <c r="B153" s="41"/>
      <c r="C153" s="42"/>
      <c r="D153" s="58"/>
      <c r="E153" s="58"/>
      <c r="F153" s="58"/>
      <c r="G153" s="58"/>
      <c r="H153" s="356"/>
      <c r="I153" s="157"/>
      <c r="J153" s="45"/>
      <c r="K153" s="76"/>
      <c r="L153" s="77"/>
      <c r="M153" s="48"/>
      <c r="N153" s="78"/>
      <c r="O153" s="50"/>
      <c r="P153" s="51"/>
      <c r="Q153" s="52"/>
      <c r="R153" s="53"/>
      <c r="S153" s="54"/>
      <c r="T153" s="55"/>
      <c r="U153" s="56"/>
      <c r="V153" s="57"/>
    </row>
    <row r="154" spans="1:22" hidden="1" outlineLevel="2" x14ac:dyDescent="0.2">
      <c r="A154" s="75"/>
      <c r="B154" s="41"/>
      <c r="C154" s="42"/>
      <c r="D154" s="58"/>
      <c r="E154" s="58"/>
      <c r="F154" s="58"/>
      <c r="G154" s="58"/>
      <c r="H154" s="356"/>
      <c r="I154" s="219"/>
      <c r="J154" s="45"/>
      <c r="K154" s="62"/>
      <c r="L154" s="217"/>
      <c r="M154" s="60"/>
      <c r="N154" s="88"/>
      <c r="O154" s="61"/>
      <c r="P154" s="34"/>
      <c r="Q154" s="62"/>
      <c r="R154" s="220"/>
      <c r="S154" s="64"/>
      <c r="T154" s="65"/>
      <c r="U154" s="38"/>
      <c r="V154" s="221"/>
    </row>
    <row r="155" spans="1:22" outlineLevel="1" collapsed="1" x14ac:dyDescent="0.2">
      <c r="A155" s="75"/>
      <c r="B155" s="41"/>
      <c r="C155" s="42"/>
      <c r="D155" s="58"/>
      <c r="E155" s="58"/>
      <c r="F155" s="58"/>
      <c r="G155" s="58"/>
      <c r="H155" s="356"/>
      <c r="I155" s="157"/>
      <c r="J155" s="45"/>
      <c r="K155" s="76"/>
      <c r="L155" s="77"/>
      <c r="M155" s="48"/>
      <c r="N155" s="78"/>
      <c r="O155" s="50"/>
      <c r="P155" s="51"/>
      <c r="Q155" s="52"/>
      <c r="R155" s="53"/>
      <c r="S155" s="54"/>
      <c r="T155" s="55"/>
      <c r="U155" s="56"/>
      <c r="V155" s="57"/>
    </row>
    <row r="156" spans="1:22" hidden="1" outlineLevel="2" x14ac:dyDescent="0.2">
      <c r="A156" s="75"/>
      <c r="B156" s="41"/>
      <c r="C156" s="42"/>
      <c r="D156" s="58"/>
      <c r="E156" s="58"/>
      <c r="F156" s="58"/>
      <c r="G156" s="58"/>
      <c r="H156" s="356"/>
      <c r="I156" s="157"/>
      <c r="J156" s="45"/>
      <c r="K156" s="76"/>
      <c r="L156" s="77"/>
      <c r="M156" s="48"/>
      <c r="N156" s="78"/>
      <c r="O156" s="50"/>
      <c r="P156" s="51"/>
      <c r="Q156" s="52"/>
      <c r="R156" s="53"/>
      <c r="S156" s="54"/>
      <c r="T156" s="55"/>
      <c r="U156" s="56"/>
      <c r="V156" s="57"/>
    </row>
    <row r="157" spans="1:22" hidden="1" outlineLevel="2" x14ac:dyDescent="0.2">
      <c r="A157" s="243"/>
      <c r="B157" s="244"/>
      <c r="C157" s="245"/>
      <c r="D157" s="246"/>
      <c r="E157" s="246"/>
      <c r="F157" s="246"/>
      <c r="G157" s="246"/>
      <c r="H157" s="356"/>
      <c r="I157" s="229"/>
      <c r="J157" s="247"/>
      <c r="K157" s="248"/>
      <c r="L157" s="232"/>
      <c r="M157" s="233"/>
      <c r="N157" s="234"/>
      <c r="O157" s="235"/>
      <c r="P157" s="249"/>
      <c r="Q157" s="250"/>
      <c r="R157" s="238"/>
      <c r="S157" s="239"/>
      <c r="T157" s="240"/>
      <c r="U157" s="241"/>
      <c r="V157" s="242"/>
    </row>
    <row r="158" spans="1:22" hidden="1" outlineLevel="2" x14ac:dyDescent="0.2">
      <c r="A158" s="75"/>
      <c r="B158" s="41"/>
      <c r="C158" s="42"/>
      <c r="D158" s="58"/>
      <c r="E158" s="58"/>
      <c r="F158" s="58"/>
      <c r="G158" s="58"/>
      <c r="H158" s="356"/>
      <c r="I158" s="157"/>
      <c r="J158" s="45"/>
      <c r="K158" s="76"/>
      <c r="L158" s="77"/>
      <c r="M158" s="48"/>
      <c r="N158" s="78"/>
      <c r="O158" s="50"/>
      <c r="P158" s="51"/>
      <c r="Q158" s="52"/>
      <c r="R158" s="53"/>
      <c r="S158" s="54"/>
      <c r="T158" s="55"/>
      <c r="U158" s="56"/>
      <c r="V158" s="57"/>
    </row>
    <row r="159" spans="1:22" hidden="1" outlineLevel="2" x14ac:dyDescent="0.2">
      <c r="A159" s="75"/>
      <c r="B159" s="41"/>
      <c r="C159" s="42"/>
      <c r="D159" s="58"/>
      <c r="E159" s="58"/>
      <c r="F159" s="58"/>
      <c r="G159" s="58"/>
      <c r="H159" s="356"/>
      <c r="I159" s="157"/>
      <c r="J159" s="45"/>
      <c r="K159" s="76"/>
      <c r="L159" s="77"/>
      <c r="M159" s="48"/>
      <c r="N159" s="78"/>
      <c r="O159" s="50"/>
      <c r="P159" s="51"/>
      <c r="Q159" s="52"/>
      <c r="R159" s="53"/>
      <c r="S159" s="54"/>
      <c r="T159" s="55"/>
      <c r="U159" s="56"/>
      <c r="V159" s="57"/>
    </row>
    <row r="160" spans="1:22" hidden="1" outlineLevel="2" x14ac:dyDescent="0.2">
      <c r="A160" s="75"/>
      <c r="B160" s="41"/>
      <c r="C160" s="42"/>
      <c r="D160" s="58"/>
      <c r="E160" s="58"/>
      <c r="F160" s="58"/>
      <c r="G160" s="58"/>
      <c r="H160" s="356"/>
      <c r="I160" s="157"/>
      <c r="J160" s="45"/>
      <c r="K160" s="76"/>
      <c r="L160" s="77"/>
      <c r="M160" s="48"/>
      <c r="N160" s="78"/>
      <c r="O160" s="50"/>
      <c r="P160" s="51"/>
      <c r="Q160" s="52"/>
      <c r="R160" s="53"/>
      <c r="S160" s="54"/>
      <c r="T160" s="55"/>
      <c r="U160" s="56"/>
      <c r="V160" s="57"/>
    </row>
    <row r="161" spans="1:24" outlineLevel="1" collapsed="1" x14ac:dyDescent="0.2">
      <c r="A161" s="40"/>
      <c r="B161" s="41"/>
      <c r="C161" s="42"/>
      <c r="D161" s="58"/>
      <c r="E161" s="58"/>
      <c r="F161" s="58"/>
      <c r="G161" s="58"/>
      <c r="H161" s="357"/>
      <c r="I161" s="59"/>
      <c r="J161" s="45"/>
      <c r="K161" s="62"/>
      <c r="L161" s="217"/>
      <c r="M161" s="33"/>
      <c r="N161" s="32"/>
      <c r="O161" s="33"/>
      <c r="P161" s="69"/>
      <c r="Q161" s="62"/>
      <c r="R161" s="63"/>
      <c r="S161" s="64"/>
      <c r="T161" s="65"/>
      <c r="U161" s="65"/>
      <c r="V161" s="66"/>
    </row>
    <row r="162" spans="1:24" outlineLevel="1" collapsed="1" x14ac:dyDescent="0.2">
      <c r="A162" s="75"/>
      <c r="B162" s="41"/>
      <c r="C162" s="42"/>
      <c r="D162" s="58"/>
      <c r="E162" s="58"/>
      <c r="F162" s="58"/>
      <c r="G162" s="58"/>
      <c r="H162" s="356"/>
      <c r="I162" s="157"/>
      <c r="J162" s="45"/>
      <c r="K162" s="62"/>
      <c r="L162" s="79"/>
      <c r="M162" s="48"/>
      <c r="N162" s="78"/>
      <c r="O162" s="50"/>
      <c r="P162" s="51"/>
      <c r="Q162" s="52"/>
      <c r="R162" s="53"/>
      <c r="S162" s="54"/>
      <c r="T162" s="55"/>
      <c r="U162" s="56"/>
      <c r="V162" s="57"/>
    </row>
    <row r="163" spans="1:24" hidden="1" outlineLevel="2" x14ac:dyDescent="0.2">
      <c r="A163" s="80"/>
      <c r="B163" s="41"/>
      <c r="C163" s="42"/>
      <c r="D163" s="58"/>
      <c r="E163" s="58"/>
      <c r="F163" s="58"/>
      <c r="G163" s="58"/>
      <c r="H163" s="356"/>
      <c r="I163" s="157"/>
      <c r="J163" s="45"/>
      <c r="K163" s="62"/>
      <c r="L163" s="79"/>
      <c r="M163" s="48"/>
      <c r="N163" s="78"/>
      <c r="O163" s="50"/>
      <c r="P163" s="51"/>
      <c r="Q163" s="52"/>
      <c r="R163" s="53"/>
      <c r="S163" s="54"/>
      <c r="T163" s="55"/>
      <c r="U163" s="56"/>
      <c r="V163" s="57"/>
    </row>
    <row r="164" spans="1:24" hidden="1" outlineLevel="2" x14ac:dyDescent="0.2">
      <c r="A164" s="80"/>
      <c r="B164" s="41"/>
      <c r="C164" s="42"/>
      <c r="D164" s="58"/>
      <c r="E164" s="58"/>
      <c r="F164" s="58"/>
      <c r="G164" s="58"/>
      <c r="H164" s="356"/>
      <c r="I164" s="157"/>
      <c r="J164" s="45"/>
      <c r="K164" s="62"/>
      <c r="L164" s="79"/>
      <c r="M164" s="48"/>
      <c r="N164" s="78"/>
      <c r="O164" s="50"/>
      <c r="P164" s="51"/>
      <c r="Q164" s="52"/>
      <c r="R164" s="53"/>
      <c r="S164" s="54"/>
      <c r="T164" s="55"/>
      <c r="U164" s="56"/>
      <c r="V164" s="57"/>
    </row>
    <row r="165" spans="1:24" hidden="1" outlineLevel="2" x14ac:dyDescent="0.2">
      <c r="A165" s="80"/>
      <c r="B165" s="41"/>
      <c r="C165" s="42"/>
      <c r="D165" s="58"/>
      <c r="E165" s="58"/>
      <c r="F165" s="58"/>
      <c r="G165" s="58"/>
      <c r="H165" s="356"/>
      <c r="I165" s="157"/>
      <c r="J165" s="45"/>
      <c r="K165" s="62"/>
      <c r="L165" s="79"/>
      <c r="M165" s="48"/>
      <c r="N165" s="78"/>
      <c r="O165" s="50"/>
      <c r="P165" s="51"/>
      <c r="Q165" s="52"/>
      <c r="R165" s="53"/>
      <c r="S165" s="54"/>
      <c r="T165" s="55"/>
      <c r="U165" s="56"/>
      <c r="V165" s="57"/>
    </row>
    <row r="166" spans="1:24" hidden="1" outlineLevel="2" x14ac:dyDescent="0.2">
      <c r="A166" s="80"/>
      <c r="B166" s="41"/>
      <c r="C166" s="42"/>
      <c r="D166" s="58"/>
      <c r="E166" s="58"/>
      <c r="F166" s="58"/>
      <c r="G166" s="58"/>
      <c r="H166" s="356"/>
      <c r="I166" s="157"/>
      <c r="J166" s="45"/>
      <c r="K166" s="62"/>
      <c r="L166" s="79"/>
      <c r="M166" s="48"/>
      <c r="N166" s="78"/>
      <c r="O166" s="50"/>
      <c r="P166" s="51"/>
      <c r="Q166" s="52"/>
      <c r="R166" s="53"/>
      <c r="S166" s="54"/>
      <c r="T166" s="55"/>
      <c r="U166" s="56"/>
      <c r="V166" s="57"/>
    </row>
    <row r="167" spans="1:24" hidden="1" outlineLevel="2" x14ac:dyDescent="0.2">
      <c r="A167" s="80"/>
      <c r="B167" s="41"/>
      <c r="C167" s="42"/>
      <c r="D167" s="58"/>
      <c r="E167" s="58"/>
      <c r="F167" s="58"/>
      <c r="G167" s="58"/>
      <c r="H167" s="356"/>
      <c r="I167" s="157"/>
      <c r="J167" s="45"/>
      <c r="K167" s="62"/>
      <c r="L167" s="79"/>
      <c r="M167" s="48"/>
      <c r="N167" s="78"/>
      <c r="O167" s="50"/>
      <c r="P167" s="51"/>
      <c r="Q167" s="52"/>
      <c r="R167" s="53"/>
      <c r="S167" s="54"/>
      <c r="T167" s="55"/>
      <c r="U167" s="56"/>
      <c r="V167" s="57"/>
    </row>
    <row r="168" spans="1:24" hidden="1" outlineLevel="2" x14ac:dyDescent="0.2">
      <c r="A168" s="80"/>
      <c r="B168" s="81"/>
      <c r="C168" s="82"/>
      <c r="D168" s="83"/>
      <c r="E168" s="83"/>
      <c r="F168" s="83"/>
      <c r="G168" s="83"/>
      <c r="H168" s="218"/>
      <c r="I168" s="157"/>
      <c r="J168" s="45"/>
      <c r="K168" s="62"/>
      <c r="L168" s="79"/>
      <c r="M168" s="48"/>
      <c r="N168" s="78"/>
      <c r="O168" s="50"/>
      <c r="P168" s="51"/>
      <c r="Q168" s="52"/>
      <c r="R168" s="53"/>
      <c r="S168" s="54"/>
      <c r="T168" s="55"/>
      <c r="U168" s="56"/>
      <c r="V168" s="57"/>
    </row>
    <row r="169" spans="1:24" hidden="1" outlineLevel="2" x14ac:dyDescent="0.2">
      <c r="A169" s="80"/>
      <c r="B169" s="81"/>
      <c r="C169" s="82"/>
      <c r="D169" s="83"/>
      <c r="E169" s="83"/>
      <c r="F169" s="83"/>
      <c r="G169" s="83"/>
      <c r="H169" s="218"/>
      <c r="I169" s="157"/>
      <c r="J169" s="45"/>
      <c r="K169" s="62"/>
      <c r="L169" s="79"/>
      <c r="M169" s="48"/>
      <c r="N169" s="78"/>
      <c r="O169" s="50"/>
      <c r="P169" s="51"/>
      <c r="Q169" s="52"/>
      <c r="R169" s="53"/>
      <c r="S169" s="54"/>
      <c r="T169" s="55"/>
      <c r="U169" s="56"/>
      <c r="V169" s="57"/>
    </row>
    <row r="170" spans="1:24" hidden="1" outlineLevel="2" x14ac:dyDescent="0.2">
      <c r="A170" s="80"/>
      <c r="B170" s="81"/>
      <c r="C170" s="82"/>
      <c r="D170" s="83"/>
      <c r="E170" s="83"/>
      <c r="F170" s="83"/>
      <c r="G170" s="83"/>
      <c r="H170" s="218"/>
      <c r="I170" s="157"/>
      <c r="J170" s="45"/>
      <c r="K170" s="62"/>
      <c r="L170" s="79"/>
      <c r="M170" s="48"/>
      <c r="N170" s="78"/>
      <c r="O170" s="50"/>
      <c r="P170" s="51"/>
      <c r="Q170" s="52"/>
      <c r="R170" s="53"/>
      <c r="S170" s="54"/>
      <c r="T170" s="55"/>
      <c r="U170" s="56"/>
      <c r="V170" s="57"/>
    </row>
    <row r="171" spans="1:24" hidden="1" outlineLevel="2" x14ac:dyDescent="0.2">
      <c r="A171" s="80"/>
      <c r="B171" s="81"/>
      <c r="C171" s="82"/>
      <c r="D171" s="83"/>
      <c r="E171" s="83"/>
      <c r="F171" s="83"/>
      <c r="G171" s="83"/>
      <c r="H171" s="218"/>
      <c r="I171" s="157"/>
      <c r="J171" s="45"/>
      <c r="K171" s="62"/>
      <c r="L171" s="79"/>
      <c r="M171" s="48"/>
      <c r="N171" s="78"/>
      <c r="O171" s="50"/>
      <c r="P171" s="51"/>
      <c r="Q171" s="52"/>
      <c r="R171" s="53"/>
      <c r="S171" s="54"/>
      <c r="T171" s="55"/>
      <c r="U171" s="56"/>
      <c r="V171" s="57"/>
    </row>
    <row r="172" spans="1:24" outlineLevel="1" collapsed="1" x14ac:dyDescent="0.2">
      <c r="A172" s="80"/>
      <c r="B172" s="81"/>
      <c r="C172" s="82"/>
      <c r="D172" s="83"/>
      <c r="E172" s="83"/>
      <c r="F172" s="83"/>
      <c r="G172" s="83"/>
      <c r="H172" s="218"/>
      <c r="I172" s="84"/>
      <c r="J172" s="45"/>
      <c r="K172" s="84"/>
      <c r="L172" s="84"/>
      <c r="M172" s="84"/>
      <c r="N172" s="85"/>
      <c r="O172" s="84"/>
      <c r="P172" s="84"/>
      <c r="Q172" s="84"/>
      <c r="R172" s="84"/>
      <c r="S172" s="84"/>
      <c r="T172" s="84"/>
      <c r="U172" s="84"/>
      <c r="V172" s="66"/>
    </row>
    <row r="173" spans="1:24" collapsed="1" x14ac:dyDescent="0.2">
      <c r="A173" s="86"/>
      <c r="B173" s="41"/>
      <c r="C173" s="42"/>
      <c r="D173" s="58"/>
      <c r="E173" s="58"/>
      <c r="F173" s="58"/>
      <c r="G173" s="58"/>
      <c r="H173" s="356"/>
      <c r="I173" s="84"/>
      <c r="J173" s="45"/>
      <c r="K173" s="218"/>
      <c r="L173" s="218"/>
      <c r="M173" s="84"/>
      <c r="N173" s="85"/>
      <c r="O173" s="84"/>
      <c r="P173" s="84"/>
      <c r="Q173" s="84"/>
      <c r="R173" s="84"/>
      <c r="S173" s="84"/>
      <c r="T173" s="84"/>
      <c r="U173" s="84"/>
      <c r="V173" s="347"/>
      <c r="X173" s="209"/>
    </row>
    <row r="174" spans="1:24" hidden="1" outlineLevel="1" x14ac:dyDescent="0.2">
      <c r="A174" s="223"/>
      <c r="B174" s="81"/>
      <c r="C174" s="81"/>
      <c r="D174" s="43"/>
      <c r="E174" s="43"/>
      <c r="F174" s="43"/>
      <c r="G174" s="43"/>
      <c r="H174" s="218"/>
      <c r="I174" s="157"/>
      <c r="J174" s="45"/>
      <c r="K174" s="76"/>
      <c r="L174" s="79"/>
      <c r="M174" s="48"/>
      <c r="N174" s="78"/>
      <c r="O174" s="50"/>
      <c r="P174" s="51"/>
      <c r="Q174" s="52"/>
      <c r="R174" s="53"/>
      <c r="S174" s="54"/>
      <c r="T174" s="55"/>
      <c r="U174" s="56"/>
      <c r="V174" s="57"/>
      <c r="X174" s="210"/>
    </row>
    <row r="175" spans="1:24" hidden="1" outlineLevel="1" x14ac:dyDescent="0.2">
      <c r="A175" s="223"/>
      <c r="B175" s="81"/>
      <c r="C175" s="81"/>
      <c r="D175" s="43"/>
      <c r="E175" s="43"/>
      <c r="F175" s="43"/>
      <c r="G175" s="43"/>
      <c r="H175" s="218"/>
      <c r="I175" s="157"/>
      <c r="J175" s="45"/>
      <c r="K175" s="76"/>
      <c r="L175" s="79"/>
      <c r="M175" s="48"/>
      <c r="N175" s="78"/>
      <c r="O175" s="50"/>
      <c r="P175" s="51"/>
      <c r="Q175" s="52"/>
      <c r="R175" s="53"/>
      <c r="S175" s="54"/>
      <c r="T175" s="55"/>
      <c r="U175" s="56"/>
      <c r="V175" s="57"/>
      <c r="X175" s="211"/>
    </row>
    <row r="176" spans="1:24" hidden="1" outlineLevel="1" x14ac:dyDescent="0.2">
      <c r="A176" s="223"/>
      <c r="B176" s="81"/>
      <c r="C176" s="81"/>
      <c r="D176" s="43"/>
      <c r="E176" s="43"/>
      <c r="F176" s="43"/>
      <c r="G176" s="43"/>
      <c r="H176" s="218"/>
      <c r="I176" s="157"/>
      <c r="J176" s="45"/>
      <c r="K176" s="76"/>
      <c r="L176" s="79"/>
      <c r="M176" s="48"/>
      <c r="N176" s="78"/>
      <c r="O176" s="50"/>
      <c r="P176" s="51"/>
      <c r="Q176" s="52"/>
      <c r="R176" s="53"/>
      <c r="S176" s="54"/>
      <c r="T176" s="55"/>
      <c r="U176" s="56"/>
      <c r="V176" s="57"/>
      <c r="X176" s="209"/>
    </row>
    <row r="177" spans="1:24" hidden="1" outlineLevel="1" x14ac:dyDescent="0.2">
      <c r="A177" s="223"/>
      <c r="B177" s="81"/>
      <c r="C177" s="81"/>
      <c r="D177" s="43"/>
      <c r="E177" s="43"/>
      <c r="F177" s="43"/>
      <c r="G177" s="43"/>
      <c r="H177" s="218"/>
      <c r="I177" s="157"/>
      <c r="J177" s="45"/>
      <c r="K177" s="76"/>
      <c r="L177" s="79"/>
      <c r="M177" s="48"/>
      <c r="N177" s="78"/>
      <c r="O177" s="50"/>
      <c r="P177" s="51"/>
      <c r="Q177" s="52"/>
      <c r="R177" s="53"/>
      <c r="S177" s="54"/>
      <c r="T177" s="55"/>
      <c r="U177" s="56"/>
      <c r="V177" s="57"/>
      <c r="X177" s="211"/>
    </row>
    <row r="178" spans="1:24" hidden="1" outlineLevel="1" x14ac:dyDescent="0.2">
      <c r="A178" s="223"/>
      <c r="B178" s="81"/>
      <c r="C178" s="81"/>
      <c r="D178" s="43"/>
      <c r="E178" s="43"/>
      <c r="F178" s="43"/>
      <c r="G178" s="43"/>
      <c r="H178" s="218"/>
      <c r="I178" s="157"/>
      <c r="J178" s="45"/>
      <c r="K178" s="76"/>
      <c r="L178" s="79"/>
      <c r="M178" s="48"/>
      <c r="N178" s="78"/>
      <c r="O178" s="50"/>
      <c r="P178" s="51"/>
      <c r="Q178" s="52"/>
      <c r="R178" s="53"/>
      <c r="S178" s="54"/>
      <c r="T178" s="55"/>
      <c r="U178" s="56"/>
      <c r="V178" s="57"/>
      <c r="X178" s="209"/>
    </row>
    <row r="179" spans="1:24" hidden="1" outlineLevel="1" x14ac:dyDescent="0.2">
      <c r="A179" s="223"/>
      <c r="B179" s="81"/>
      <c r="C179" s="81"/>
      <c r="D179" s="43"/>
      <c r="E179" s="43"/>
      <c r="F179" s="43"/>
      <c r="G179" s="43"/>
      <c r="H179" s="218"/>
      <c r="I179" s="157"/>
      <c r="J179" s="45"/>
      <c r="K179" s="76"/>
      <c r="L179" s="79"/>
      <c r="M179" s="48"/>
      <c r="N179" s="78"/>
      <c r="O179" s="50"/>
      <c r="P179" s="51"/>
      <c r="Q179" s="52"/>
      <c r="R179" s="53"/>
      <c r="S179" s="54"/>
      <c r="T179" s="55"/>
      <c r="U179" s="56"/>
      <c r="V179" s="57"/>
      <c r="X179" s="211"/>
    </row>
    <row r="180" spans="1:24" hidden="1" outlineLevel="1" x14ac:dyDescent="0.2">
      <c r="A180" s="223"/>
      <c r="B180" s="81"/>
      <c r="C180" s="81"/>
      <c r="D180" s="43"/>
      <c r="E180" s="43"/>
      <c r="F180" s="43"/>
      <c r="G180" s="43"/>
      <c r="H180" s="218"/>
      <c r="I180" s="157"/>
      <c r="J180" s="45"/>
      <c r="K180" s="76"/>
      <c r="L180" s="79"/>
      <c r="M180" s="48"/>
      <c r="N180" s="78"/>
      <c r="O180" s="50"/>
      <c r="P180" s="51"/>
      <c r="Q180" s="52"/>
      <c r="R180" s="53"/>
      <c r="S180" s="54"/>
      <c r="T180" s="55"/>
      <c r="U180" s="56"/>
      <c r="V180" s="57"/>
      <c r="X180" s="211"/>
    </row>
    <row r="181" spans="1:24" hidden="1" outlineLevel="1" x14ac:dyDescent="0.2">
      <c r="A181" s="223"/>
      <c r="B181" s="81"/>
      <c r="C181" s="81"/>
      <c r="D181" s="43"/>
      <c r="E181" s="43"/>
      <c r="F181" s="43"/>
      <c r="G181" s="43"/>
      <c r="H181" s="218"/>
      <c r="I181" s="157"/>
      <c r="J181" s="45"/>
      <c r="K181" s="76"/>
      <c r="L181" s="79"/>
      <c r="M181" s="48"/>
      <c r="N181" s="78"/>
      <c r="O181" s="50"/>
      <c r="P181" s="51"/>
      <c r="Q181" s="52"/>
      <c r="R181" s="53"/>
      <c r="S181" s="54"/>
      <c r="T181" s="55"/>
      <c r="U181" s="56"/>
      <c r="V181" s="57"/>
      <c r="X181" s="211"/>
    </row>
    <row r="182" spans="1:24" hidden="1" outlineLevel="1" x14ac:dyDescent="0.2">
      <c r="A182" s="223"/>
      <c r="B182" s="81"/>
      <c r="C182" s="81"/>
      <c r="D182" s="43"/>
      <c r="E182" s="43"/>
      <c r="F182" s="43"/>
      <c r="G182" s="43"/>
      <c r="H182" s="218"/>
      <c r="I182" s="157"/>
      <c r="J182" s="45"/>
      <c r="K182" s="76"/>
      <c r="L182" s="79"/>
      <c r="M182" s="48"/>
      <c r="N182" s="78"/>
      <c r="O182" s="50"/>
      <c r="P182" s="51"/>
      <c r="Q182" s="52"/>
      <c r="R182" s="53"/>
      <c r="S182" s="54"/>
      <c r="T182" s="55"/>
      <c r="U182" s="56"/>
      <c r="V182" s="57"/>
      <c r="X182" s="211"/>
    </row>
    <row r="183" spans="1:24" hidden="1" outlineLevel="1" x14ac:dyDescent="0.2">
      <c r="A183" s="223"/>
      <c r="B183" s="81"/>
      <c r="C183" s="81"/>
      <c r="D183" s="43"/>
      <c r="E183" s="43"/>
      <c r="F183" s="43"/>
      <c r="G183" s="43"/>
      <c r="H183" s="218"/>
      <c r="I183" s="157"/>
      <c r="J183" s="45"/>
      <c r="K183" s="76"/>
      <c r="L183" s="79"/>
      <c r="M183" s="48"/>
      <c r="N183" s="78"/>
      <c r="O183" s="50"/>
      <c r="P183" s="51"/>
      <c r="Q183" s="52"/>
      <c r="R183" s="53"/>
      <c r="S183" s="54"/>
      <c r="T183" s="55"/>
      <c r="U183" s="56"/>
      <c r="V183" s="57"/>
      <c r="X183" s="209"/>
    </row>
    <row r="184" spans="1:24" hidden="1" outlineLevel="1" x14ac:dyDescent="0.2">
      <c r="A184" s="223"/>
      <c r="B184" s="81"/>
      <c r="C184" s="81"/>
      <c r="D184" s="43"/>
      <c r="E184" s="43"/>
      <c r="F184" s="43"/>
      <c r="G184" s="43"/>
      <c r="H184" s="218"/>
      <c r="I184" s="157"/>
      <c r="J184" s="45"/>
      <c r="K184" s="76"/>
      <c r="L184" s="79"/>
      <c r="M184" s="48"/>
      <c r="N184" s="78"/>
      <c r="O184" s="50"/>
      <c r="P184" s="51"/>
      <c r="Q184" s="52"/>
      <c r="R184" s="53"/>
      <c r="S184" s="54"/>
      <c r="T184" s="55"/>
      <c r="U184" s="56"/>
      <c r="V184" s="57"/>
      <c r="X184" s="211"/>
    </row>
    <row r="185" spans="1:24" hidden="1" outlineLevel="1" x14ac:dyDescent="0.2">
      <c r="A185" s="223"/>
      <c r="B185" s="81"/>
      <c r="C185" s="81"/>
      <c r="D185" s="43"/>
      <c r="E185" s="43"/>
      <c r="F185" s="43"/>
      <c r="G185" s="43"/>
      <c r="H185" s="218"/>
      <c r="I185" s="157"/>
      <c r="J185" s="45"/>
      <c r="K185" s="76"/>
      <c r="L185" s="79"/>
      <c r="M185" s="48"/>
      <c r="N185" s="78"/>
      <c r="O185" s="50"/>
      <c r="P185" s="51"/>
      <c r="Q185" s="52"/>
      <c r="R185" s="53"/>
      <c r="S185" s="54"/>
      <c r="T185" s="55"/>
      <c r="U185" s="56"/>
      <c r="V185" s="57"/>
      <c r="X185" s="209"/>
    </row>
    <row r="186" spans="1:24" hidden="1" outlineLevel="1" x14ac:dyDescent="0.2">
      <c r="A186" s="223"/>
      <c r="B186" s="81"/>
      <c r="C186" s="81"/>
      <c r="D186" s="43"/>
      <c r="E186" s="43"/>
      <c r="F186" s="43"/>
      <c r="G186" s="43"/>
      <c r="H186" s="218"/>
      <c r="I186" s="157"/>
      <c r="J186" s="45"/>
      <c r="K186" s="76"/>
      <c r="L186" s="79"/>
      <c r="M186" s="48"/>
      <c r="N186" s="78"/>
      <c r="O186" s="50"/>
      <c r="P186" s="51"/>
      <c r="Q186" s="52"/>
      <c r="R186" s="53"/>
      <c r="S186" s="54"/>
      <c r="T186" s="55"/>
      <c r="U186" s="56"/>
      <c r="V186" s="57"/>
      <c r="X186" s="209"/>
    </row>
    <row r="187" spans="1:24" hidden="1" outlineLevel="1" x14ac:dyDescent="0.2">
      <c r="A187" s="223"/>
      <c r="B187" s="81"/>
      <c r="C187" s="82"/>
      <c r="D187" s="43"/>
      <c r="E187" s="43"/>
      <c r="F187" s="43"/>
      <c r="G187" s="43"/>
      <c r="H187" s="218"/>
      <c r="I187" s="157"/>
      <c r="J187" s="45"/>
      <c r="K187" s="76"/>
      <c r="L187" s="79"/>
      <c r="M187" s="48"/>
      <c r="N187" s="78"/>
      <c r="O187" s="50"/>
      <c r="P187" s="51"/>
      <c r="Q187" s="52"/>
      <c r="R187" s="53"/>
      <c r="S187" s="54"/>
      <c r="T187" s="55"/>
      <c r="U187" s="56"/>
      <c r="V187" s="57"/>
      <c r="X187" s="212"/>
    </row>
    <row r="188" spans="1:24" hidden="1" outlineLevel="1" x14ac:dyDescent="0.2">
      <c r="A188" s="223"/>
      <c r="B188" s="81"/>
      <c r="C188" s="82"/>
      <c r="D188" s="43"/>
      <c r="E188" s="43"/>
      <c r="F188" s="43"/>
      <c r="G188" s="43"/>
      <c r="H188" s="218"/>
      <c r="I188" s="157"/>
      <c r="J188" s="45"/>
      <c r="K188" s="76"/>
      <c r="L188" s="79"/>
      <c r="M188" s="48"/>
      <c r="N188" s="78"/>
      <c r="O188" s="50"/>
      <c r="P188" s="51"/>
      <c r="Q188" s="52"/>
      <c r="R188" s="53"/>
      <c r="S188" s="54"/>
      <c r="T188" s="55"/>
      <c r="U188" s="56"/>
      <c r="V188" s="57"/>
      <c r="X188" s="209"/>
    </row>
    <row r="189" spans="1:24" hidden="1" outlineLevel="1" x14ac:dyDescent="0.2">
      <c r="A189" s="223"/>
      <c r="B189" s="81"/>
      <c r="C189" s="82"/>
      <c r="D189" s="43"/>
      <c r="E189" s="43"/>
      <c r="F189" s="43"/>
      <c r="G189" s="43"/>
      <c r="H189" s="218"/>
      <c r="I189" s="157"/>
      <c r="J189" s="45"/>
      <c r="K189" s="76"/>
      <c r="L189" s="79"/>
      <c r="M189" s="48"/>
      <c r="N189" s="78"/>
      <c r="O189" s="50"/>
      <c r="P189" s="51"/>
      <c r="Q189" s="52"/>
      <c r="R189" s="53"/>
      <c r="S189" s="54"/>
      <c r="T189" s="55"/>
      <c r="U189" s="56"/>
      <c r="V189" s="57"/>
      <c r="X189" s="212"/>
    </row>
    <row r="190" spans="1:24" hidden="1" outlineLevel="1" x14ac:dyDescent="0.2">
      <c r="A190" s="223"/>
      <c r="B190" s="81"/>
      <c r="C190" s="81"/>
      <c r="D190" s="43"/>
      <c r="E190" s="43"/>
      <c r="F190" s="43"/>
      <c r="G190" s="43"/>
      <c r="H190" s="218"/>
      <c r="I190" s="157"/>
      <c r="J190" s="45"/>
      <c r="K190" s="76"/>
      <c r="L190" s="79"/>
      <c r="M190" s="48"/>
      <c r="N190" s="78"/>
      <c r="O190" s="50"/>
      <c r="P190" s="51"/>
      <c r="Q190" s="52"/>
      <c r="R190" s="53"/>
      <c r="S190" s="54"/>
      <c r="T190" s="55"/>
      <c r="U190" s="56"/>
      <c r="V190" s="57"/>
      <c r="X190" s="213"/>
    </row>
    <row r="191" spans="1:24" hidden="1" outlineLevel="1" x14ac:dyDescent="0.2">
      <c r="A191" s="223"/>
      <c r="B191" s="81"/>
      <c r="C191" s="81"/>
      <c r="D191" s="43"/>
      <c r="E191" s="43"/>
      <c r="F191" s="43"/>
      <c r="G191" s="43"/>
      <c r="H191" s="218"/>
      <c r="I191" s="157"/>
      <c r="J191" s="45"/>
      <c r="K191" s="76"/>
      <c r="L191" s="79"/>
      <c r="M191" s="48"/>
      <c r="N191" s="78"/>
      <c r="O191" s="50"/>
      <c r="P191" s="51"/>
      <c r="Q191" s="52"/>
      <c r="R191" s="53"/>
      <c r="S191" s="54"/>
      <c r="T191" s="55"/>
      <c r="U191" s="56"/>
      <c r="V191" s="57"/>
      <c r="X191" s="211"/>
    </row>
    <row r="192" spans="1:24" hidden="1" outlineLevel="1" x14ac:dyDescent="0.2">
      <c r="A192" s="223"/>
      <c r="B192" s="81"/>
      <c r="C192" s="81"/>
      <c r="D192" s="43"/>
      <c r="E192" s="43"/>
      <c r="F192" s="43"/>
      <c r="G192" s="43"/>
      <c r="H192" s="218"/>
      <c r="I192" s="157"/>
      <c r="J192" s="45"/>
      <c r="K192" s="76"/>
      <c r="L192" s="79"/>
      <c r="M192" s="48"/>
      <c r="N192" s="78"/>
      <c r="O192" s="50"/>
      <c r="P192" s="51"/>
      <c r="Q192" s="52"/>
      <c r="R192" s="53"/>
      <c r="S192" s="54"/>
      <c r="T192" s="55"/>
      <c r="U192" s="56"/>
      <c r="V192" s="57"/>
      <c r="X192" s="209"/>
    </row>
    <row r="193" spans="1:24" hidden="1" outlineLevel="1" x14ac:dyDescent="0.2">
      <c r="A193" s="223"/>
      <c r="B193" s="81"/>
      <c r="C193" s="82"/>
      <c r="D193" s="43"/>
      <c r="E193" s="43"/>
      <c r="F193" s="43"/>
      <c r="G193" s="43"/>
      <c r="H193" s="218"/>
      <c r="I193" s="157"/>
      <c r="J193" s="45"/>
      <c r="K193" s="76"/>
      <c r="L193" s="79"/>
      <c r="M193" s="48"/>
      <c r="N193" s="78"/>
      <c r="O193" s="50"/>
      <c r="P193" s="51"/>
      <c r="Q193" s="52"/>
      <c r="R193" s="53"/>
      <c r="S193" s="54"/>
      <c r="T193" s="55"/>
      <c r="U193" s="56"/>
      <c r="V193" s="57"/>
      <c r="X193" s="209"/>
    </row>
    <row r="194" spans="1:24" hidden="1" outlineLevel="1" x14ac:dyDescent="0.2">
      <c r="A194" s="223"/>
      <c r="B194" s="81"/>
      <c r="C194" s="81"/>
      <c r="D194" s="43"/>
      <c r="E194" s="43"/>
      <c r="F194" s="43"/>
      <c r="G194" s="43"/>
      <c r="H194" s="218"/>
      <c r="I194" s="157"/>
      <c r="J194" s="45"/>
      <c r="K194" s="76"/>
      <c r="L194" s="79"/>
      <c r="M194" s="48"/>
      <c r="N194" s="78"/>
      <c r="O194" s="50"/>
      <c r="P194" s="51"/>
      <c r="Q194" s="52"/>
      <c r="R194" s="53"/>
      <c r="S194" s="54"/>
      <c r="T194" s="55"/>
      <c r="U194" s="56"/>
      <c r="V194" s="57"/>
      <c r="X194" s="211"/>
    </row>
    <row r="195" spans="1:24" hidden="1" outlineLevel="1" x14ac:dyDescent="0.2">
      <c r="A195" s="223"/>
      <c r="B195" s="81"/>
      <c r="C195" s="82"/>
      <c r="D195" s="43"/>
      <c r="E195" s="43"/>
      <c r="F195" s="43"/>
      <c r="G195" s="43"/>
      <c r="H195" s="218"/>
      <c r="I195" s="157"/>
      <c r="J195" s="45"/>
      <c r="K195" s="76"/>
      <c r="L195" s="79"/>
      <c r="M195" s="48"/>
      <c r="N195" s="78"/>
      <c r="O195" s="50"/>
      <c r="P195" s="51"/>
      <c r="Q195" s="52"/>
      <c r="R195" s="53"/>
      <c r="S195" s="54"/>
      <c r="T195" s="55"/>
      <c r="U195" s="56"/>
      <c r="V195" s="57"/>
      <c r="X195" s="212"/>
    </row>
    <row r="196" spans="1:24" hidden="1" outlineLevel="1" x14ac:dyDescent="0.2">
      <c r="A196" s="223"/>
      <c r="B196" s="81"/>
      <c r="C196" s="82"/>
      <c r="D196" s="43"/>
      <c r="E196" s="43"/>
      <c r="F196" s="43"/>
      <c r="G196" s="43"/>
      <c r="H196" s="218"/>
      <c r="I196" s="157"/>
      <c r="J196" s="45"/>
      <c r="K196" s="76"/>
      <c r="L196" s="79"/>
      <c r="M196" s="48"/>
      <c r="N196" s="78"/>
      <c r="O196" s="50"/>
      <c r="P196" s="51"/>
      <c r="Q196" s="52"/>
      <c r="R196" s="53"/>
      <c r="S196" s="54"/>
      <c r="T196" s="55"/>
      <c r="U196" s="56"/>
      <c r="V196" s="57"/>
      <c r="X196" s="209"/>
    </row>
    <row r="197" spans="1:24" hidden="1" outlineLevel="1" x14ac:dyDescent="0.2">
      <c r="A197" s="223"/>
      <c r="B197" s="81"/>
      <c r="C197" s="82"/>
      <c r="D197" s="43"/>
      <c r="E197" s="43"/>
      <c r="F197" s="43"/>
      <c r="G197" s="43"/>
      <c r="H197" s="218"/>
      <c r="I197" s="157"/>
      <c r="J197" s="45"/>
      <c r="K197" s="76"/>
      <c r="L197" s="79"/>
      <c r="M197" s="48"/>
      <c r="N197" s="78"/>
      <c r="O197" s="50"/>
      <c r="P197" s="51"/>
      <c r="Q197" s="52"/>
      <c r="R197" s="53"/>
      <c r="S197" s="54"/>
      <c r="T197" s="55"/>
      <c r="U197" s="56"/>
      <c r="V197" s="57"/>
      <c r="X197" s="209"/>
    </row>
    <row r="198" spans="1:24" hidden="1" outlineLevel="1" x14ac:dyDescent="0.2">
      <c r="A198" s="223"/>
      <c r="B198" s="81"/>
      <c r="C198" s="82"/>
      <c r="D198" s="43"/>
      <c r="E198" s="43"/>
      <c r="F198" s="43"/>
      <c r="G198" s="43"/>
      <c r="H198" s="218"/>
      <c r="I198" s="157"/>
      <c r="J198" s="45"/>
      <c r="K198" s="76"/>
      <c r="L198" s="79"/>
      <c r="M198" s="48"/>
      <c r="N198" s="78"/>
      <c r="O198" s="50"/>
      <c r="P198" s="51"/>
      <c r="Q198" s="52"/>
      <c r="R198" s="53"/>
      <c r="S198" s="54"/>
      <c r="T198" s="55"/>
      <c r="U198" s="56"/>
      <c r="V198" s="57"/>
      <c r="X198" s="212"/>
    </row>
    <row r="199" spans="1:24" hidden="1" outlineLevel="1" x14ac:dyDescent="0.2">
      <c r="A199" s="223"/>
      <c r="B199" s="81"/>
      <c r="C199" s="82"/>
      <c r="D199" s="43"/>
      <c r="E199" s="43"/>
      <c r="F199" s="43"/>
      <c r="G199" s="43"/>
      <c r="H199" s="218"/>
      <c r="I199" s="157"/>
      <c r="J199" s="45"/>
      <c r="K199" s="76"/>
      <c r="L199" s="79"/>
      <c r="M199" s="48"/>
      <c r="N199" s="78"/>
      <c r="O199" s="50"/>
      <c r="P199" s="51"/>
      <c r="Q199" s="52"/>
      <c r="R199" s="53"/>
      <c r="S199" s="54"/>
      <c r="T199" s="55"/>
      <c r="U199" s="56"/>
      <c r="V199" s="57"/>
      <c r="X199" s="209"/>
    </row>
    <row r="200" spans="1:24" hidden="1" outlineLevel="1" x14ac:dyDescent="0.2">
      <c r="A200" s="223"/>
      <c r="B200" s="81"/>
      <c r="C200" s="81"/>
      <c r="D200" s="43"/>
      <c r="E200" s="43"/>
      <c r="F200" s="43"/>
      <c r="G200" s="43"/>
      <c r="H200" s="218"/>
      <c r="I200" s="157"/>
      <c r="J200" s="45"/>
      <c r="K200" s="76"/>
      <c r="L200" s="79"/>
      <c r="M200" s="48"/>
      <c r="N200" s="78"/>
      <c r="O200" s="50"/>
      <c r="P200" s="51"/>
      <c r="Q200" s="52"/>
      <c r="R200" s="53"/>
      <c r="S200" s="54"/>
      <c r="T200" s="55"/>
      <c r="U200" s="56"/>
      <c r="V200" s="57"/>
      <c r="X200" s="211"/>
    </row>
    <row r="201" spans="1:24" hidden="1" outlineLevel="1" x14ac:dyDescent="0.2">
      <c r="A201" s="223"/>
      <c r="B201" s="81"/>
      <c r="C201" s="82"/>
      <c r="D201" s="43"/>
      <c r="E201" s="43"/>
      <c r="F201" s="43"/>
      <c r="G201" s="43"/>
      <c r="H201" s="218"/>
      <c r="I201" s="157"/>
      <c r="J201" s="45"/>
      <c r="K201" s="76"/>
      <c r="L201" s="79"/>
      <c r="M201" s="48"/>
      <c r="N201" s="78"/>
      <c r="O201" s="50"/>
      <c r="P201" s="51"/>
      <c r="Q201" s="52"/>
      <c r="R201" s="53"/>
      <c r="S201" s="54"/>
      <c r="T201" s="55"/>
      <c r="U201" s="56"/>
      <c r="V201" s="57"/>
      <c r="X201" s="209"/>
    </row>
    <row r="202" spans="1:24" hidden="1" outlineLevel="1" x14ac:dyDescent="0.2">
      <c r="A202" s="223"/>
      <c r="B202" s="81"/>
      <c r="C202" s="81"/>
      <c r="D202" s="43"/>
      <c r="E202" s="43"/>
      <c r="F202" s="43"/>
      <c r="G202" s="43"/>
      <c r="H202" s="218"/>
      <c r="I202" s="157"/>
      <c r="J202" s="45"/>
      <c r="K202" s="76"/>
      <c r="L202" s="79"/>
      <c r="M202" s="48"/>
      <c r="N202" s="78"/>
      <c r="O202" s="50"/>
      <c r="P202" s="51"/>
      <c r="Q202" s="52"/>
      <c r="R202" s="53"/>
      <c r="S202" s="54"/>
      <c r="T202" s="55"/>
      <c r="U202" s="56"/>
      <c r="V202" s="57"/>
      <c r="X202" s="211"/>
    </row>
    <row r="203" spans="1:24" hidden="1" outlineLevel="1" x14ac:dyDescent="0.2">
      <c r="A203" s="223"/>
      <c r="B203" s="81"/>
      <c r="C203" s="81"/>
      <c r="D203" s="43"/>
      <c r="E203" s="43"/>
      <c r="F203" s="43"/>
      <c r="G203" s="43"/>
      <c r="H203" s="218"/>
      <c r="I203" s="157"/>
      <c r="J203" s="45"/>
      <c r="K203" s="76"/>
      <c r="L203" s="79"/>
      <c r="M203" s="48"/>
      <c r="N203" s="78"/>
      <c r="O203" s="50"/>
      <c r="P203" s="51"/>
      <c r="Q203" s="52"/>
      <c r="R203" s="53"/>
      <c r="S203" s="54"/>
      <c r="T203" s="55"/>
      <c r="U203" s="56"/>
      <c r="V203" s="57"/>
      <c r="X203" s="209"/>
    </row>
    <row r="204" spans="1:24" hidden="1" outlineLevel="1" x14ac:dyDescent="0.2">
      <c r="A204" s="223"/>
      <c r="B204" s="81"/>
      <c r="C204" s="82"/>
      <c r="D204" s="43"/>
      <c r="E204" s="43"/>
      <c r="F204" s="43"/>
      <c r="G204" s="43"/>
      <c r="H204" s="218"/>
      <c r="I204" s="157"/>
      <c r="J204" s="45"/>
      <c r="K204" s="76"/>
      <c r="L204" s="79"/>
      <c r="M204" s="48"/>
      <c r="N204" s="78"/>
      <c r="O204" s="50"/>
      <c r="P204" s="51"/>
      <c r="Q204" s="52"/>
      <c r="R204" s="53"/>
      <c r="S204" s="54"/>
      <c r="T204" s="55"/>
      <c r="U204" s="56"/>
      <c r="V204" s="57"/>
      <c r="X204" s="209"/>
    </row>
    <row r="205" spans="1:24" hidden="1" outlineLevel="1" x14ac:dyDescent="0.2">
      <c r="A205" s="223"/>
      <c r="B205" s="81"/>
      <c r="C205" s="81"/>
      <c r="D205" s="43"/>
      <c r="E205" s="43"/>
      <c r="F205" s="43"/>
      <c r="G205" s="43"/>
      <c r="H205" s="218"/>
      <c r="I205" s="157"/>
      <c r="J205" s="45"/>
      <c r="K205" s="76"/>
      <c r="L205" s="79"/>
      <c r="M205" s="48"/>
      <c r="N205" s="78"/>
      <c r="O205" s="50"/>
      <c r="P205" s="51"/>
      <c r="Q205" s="52"/>
      <c r="R205" s="53"/>
      <c r="S205" s="54"/>
      <c r="T205" s="55"/>
      <c r="U205" s="56"/>
      <c r="V205" s="57"/>
      <c r="X205" s="211"/>
    </row>
    <row r="206" spans="1:24" hidden="1" outlineLevel="1" x14ac:dyDescent="0.2">
      <c r="A206" s="223"/>
      <c r="B206" s="81"/>
      <c r="C206" s="81"/>
      <c r="D206" s="43"/>
      <c r="E206" s="43"/>
      <c r="F206" s="43"/>
      <c r="G206" s="43"/>
      <c r="H206" s="218"/>
      <c r="I206" s="157"/>
      <c r="J206" s="45"/>
      <c r="K206" s="76"/>
      <c r="L206" s="79"/>
      <c r="M206" s="48"/>
      <c r="N206" s="78"/>
      <c r="O206" s="50"/>
      <c r="P206" s="51"/>
      <c r="Q206" s="52"/>
      <c r="R206" s="53"/>
      <c r="S206" s="54"/>
      <c r="T206" s="55"/>
      <c r="U206" s="56"/>
      <c r="V206" s="57"/>
      <c r="X206" s="211"/>
    </row>
    <row r="207" spans="1:24" hidden="1" outlineLevel="1" x14ac:dyDescent="0.2">
      <c r="A207" s="223"/>
      <c r="B207" s="81"/>
      <c r="C207" s="81"/>
      <c r="D207" s="43"/>
      <c r="E207" s="43"/>
      <c r="F207" s="43"/>
      <c r="G207" s="43"/>
      <c r="H207" s="218"/>
      <c r="I207" s="157"/>
      <c r="J207" s="45"/>
      <c r="K207" s="76"/>
      <c r="L207" s="79"/>
      <c r="M207" s="48"/>
      <c r="N207" s="78"/>
      <c r="O207" s="50"/>
      <c r="P207" s="51"/>
      <c r="Q207" s="52"/>
      <c r="R207" s="53"/>
      <c r="S207" s="54"/>
      <c r="T207" s="55"/>
      <c r="U207" s="56"/>
      <c r="V207" s="57"/>
      <c r="X207" s="209"/>
    </row>
    <row r="208" spans="1:24" hidden="1" outlineLevel="1" x14ac:dyDescent="0.2">
      <c r="A208" s="223"/>
      <c r="B208" s="81"/>
      <c r="C208" s="81"/>
      <c r="D208" s="43"/>
      <c r="E208" s="43"/>
      <c r="F208" s="43"/>
      <c r="G208" s="43"/>
      <c r="H208" s="218"/>
      <c r="I208" s="157"/>
      <c r="J208" s="45"/>
      <c r="K208" s="76"/>
      <c r="L208" s="79"/>
      <c r="M208" s="48"/>
      <c r="N208" s="78"/>
      <c r="O208" s="50"/>
      <c r="P208" s="51"/>
      <c r="Q208" s="52"/>
      <c r="R208" s="53"/>
      <c r="S208" s="54"/>
      <c r="T208" s="55"/>
      <c r="U208" s="56"/>
      <c r="V208" s="57"/>
      <c r="X208" s="211"/>
    </row>
    <row r="209" spans="1:24" outlineLevel="1" x14ac:dyDescent="0.2">
      <c r="A209" s="223"/>
      <c r="B209" s="81"/>
      <c r="C209" s="81"/>
      <c r="D209" s="43"/>
      <c r="E209" s="43"/>
      <c r="F209" s="43"/>
      <c r="G209" s="43"/>
      <c r="H209" s="218"/>
      <c r="I209" s="157"/>
      <c r="J209" s="45"/>
      <c r="K209" s="76"/>
      <c r="L209" s="79"/>
      <c r="M209" s="48"/>
      <c r="N209" s="78"/>
      <c r="O209" s="50"/>
      <c r="P209" s="51"/>
      <c r="Q209" s="52"/>
      <c r="R209" s="53"/>
      <c r="S209" s="54"/>
      <c r="T209" s="55"/>
      <c r="U209" s="56"/>
      <c r="V209" s="57"/>
      <c r="X209" s="209"/>
    </row>
    <row r="210" spans="1:24" outlineLevel="1" x14ac:dyDescent="0.2">
      <c r="A210" s="329"/>
      <c r="B210" s="81"/>
      <c r="C210" s="81"/>
      <c r="D210" s="43"/>
      <c r="E210" s="43"/>
      <c r="F210" s="43"/>
      <c r="G210" s="43"/>
      <c r="H210" s="218"/>
      <c r="I210" s="157"/>
      <c r="J210" s="45"/>
      <c r="K210" s="76"/>
      <c r="L210" s="79"/>
      <c r="M210" s="48"/>
      <c r="N210" s="78"/>
      <c r="O210" s="50"/>
      <c r="P210" s="51"/>
      <c r="Q210" s="52"/>
      <c r="R210" s="53"/>
      <c r="S210" s="54"/>
      <c r="T210" s="55"/>
      <c r="U210" s="56"/>
      <c r="V210" s="57"/>
      <c r="X210" s="209"/>
    </row>
    <row r="211" spans="1:24" outlineLevel="1" x14ac:dyDescent="0.2">
      <c r="A211" s="329"/>
      <c r="B211" s="81"/>
      <c r="C211" s="81"/>
      <c r="D211" s="43"/>
      <c r="E211" s="43"/>
      <c r="F211" s="43"/>
      <c r="G211" s="43"/>
      <c r="H211" s="218"/>
      <c r="I211" s="157"/>
      <c r="J211" s="45"/>
      <c r="K211" s="76"/>
      <c r="L211" s="79"/>
      <c r="M211" s="48"/>
      <c r="N211" s="78"/>
      <c r="O211" s="50"/>
      <c r="P211" s="51"/>
      <c r="Q211" s="52"/>
      <c r="R211" s="53"/>
      <c r="S211" s="54"/>
      <c r="T211" s="55"/>
      <c r="U211" s="56"/>
      <c r="V211" s="57"/>
      <c r="X211" s="209"/>
    </row>
    <row r="212" spans="1:24" outlineLevel="1" x14ac:dyDescent="0.2">
      <c r="A212" s="330"/>
      <c r="B212" s="326"/>
      <c r="C212" s="81"/>
      <c r="D212" s="43"/>
      <c r="E212" s="43"/>
      <c r="F212" s="43"/>
      <c r="G212" s="43"/>
      <c r="H212" s="218"/>
      <c r="I212" s="157"/>
      <c r="J212" s="45"/>
      <c r="K212" s="76"/>
      <c r="L212" s="79"/>
      <c r="M212" s="48"/>
      <c r="N212" s="78"/>
      <c r="O212" s="50"/>
      <c r="P212" s="51"/>
      <c r="Q212" s="52"/>
      <c r="R212" s="53"/>
      <c r="S212" s="54"/>
      <c r="T212" s="55"/>
      <c r="U212" s="56"/>
      <c r="V212" s="57"/>
      <c r="X212" s="209"/>
    </row>
    <row r="213" spans="1:24" outlineLevel="1" x14ac:dyDescent="0.2">
      <c r="A213" s="331"/>
      <c r="B213" s="328"/>
      <c r="C213" s="81"/>
      <c r="D213" s="43"/>
      <c r="E213" s="43"/>
      <c r="F213" s="43"/>
      <c r="G213" s="43"/>
      <c r="H213" s="218"/>
      <c r="I213" s="157"/>
      <c r="J213" s="45"/>
      <c r="K213" s="76"/>
      <c r="L213" s="79"/>
      <c r="M213" s="48"/>
      <c r="N213" s="78"/>
      <c r="O213" s="50"/>
      <c r="P213" s="51"/>
      <c r="Q213" s="52"/>
      <c r="R213" s="53"/>
      <c r="S213" s="54"/>
      <c r="T213" s="55"/>
      <c r="U213" s="56"/>
      <c r="V213" s="57"/>
      <c r="X213" s="209"/>
    </row>
    <row r="214" spans="1:24" outlineLevel="1" x14ac:dyDescent="0.2">
      <c r="A214" s="329"/>
      <c r="B214" s="81"/>
      <c r="C214" s="81"/>
      <c r="D214" s="43"/>
      <c r="E214" s="43"/>
      <c r="F214" s="43"/>
      <c r="G214" s="43"/>
      <c r="H214" s="218"/>
      <c r="I214" s="157"/>
      <c r="J214" s="45"/>
      <c r="K214" s="76"/>
      <c r="L214" s="79"/>
      <c r="M214" s="48"/>
      <c r="N214" s="78"/>
      <c r="O214" s="50"/>
      <c r="P214" s="51"/>
      <c r="Q214" s="52"/>
      <c r="R214" s="53"/>
      <c r="S214" s="54"/>
      <c r="T214" s="55"/>
      <c r="U214" s="56"/>
      <c r="V214" s="57"/>
      <c r="X214" s="209"/>
    </row>
    <row r="215" spans="1:24" outlineLevel="1" x14ac:dyDescent="0.2">
      <c r="A215" s="331"/>
      <c r="B215" s="328"/>
      <c r="C215" s="81"/>
      <c r="D215" s="43"/>
      <c r="E215" s="43"/>
      <c r="F215" s="43"/>
      <c r="G215" s="43"/>
      <c r="H215" s="218"/>
      <c r="I215" s="157"/>
      <c r="J215" s="45"/>
      <c r="K215" s="76"/>
      <c r="L215" s="79"/>
      <c r="M215" s="48"/>
      <c r="N215" s="78"/>
      <c r="O215" s="50"/>
      <c r="P215" s="51"/>
      <c r="Q215" s="52"/>
      <c r="R215" s="53"/>
      <c r="S215" s="54"/>
      <c r="T215" s="55"/>
      <c r="U215" s="56"/>
      <c r="V215" s="57"/>
      <c r="X215" s="209"/>
    </row>
    <row r="216" spans="1:24" outlineLevel="1" x14ac:dyDescent="0.2">
      <c r="A216" s="329"/>
      <c r="B216" s="81"/>
      <c r="C216" s="81"/>
      <c r="D216" s="43"/>
      <c r="E216" s="43"/>
      <c r="F216" s="43"/>
      <c r="G216" s="43"/>
      <c r="H216" s="218"/>
      <c r="I216" s="157"/>
      <c r="J216" s="45"/>
      <c r="K216" s="76"/>
      <c r="L216" s="79"/>
      <c r="M216" s="48"/>
      <c r="N216" s="78"/>
      <c r="O216" s="50"/>
      <c r="P216" s="51"/>
      <c r="Q216" s="52"/>
      <c r="R216" s="53"/>
      <c r="S216" s="54"/>
      <c r="T216" s="55"/>
      <c r="U216" s="56"/>
      <c r="V216" s="57"/>
      <c r="X216" s="209"/>
    </row>
    <row r="217" spans="1:24" outlineLevel="1" x14ac:dyDescent="0.2">
      <c r="A217" s="332"/>
      <c r="B217" s="305"/>
      <c r="C217" s="81"/>
      <c r="D217" s="43"/>
      <c r="E217" s="43"/>
      <c r="F217" s="43"/>
      <c r="G217" s="43"/>
      <c r="H217" s="218"/>
      <c r="I217" s="157"/>
      <c r="J217" s="45"/>
      <c r="K217" s="76"/>
      <c r="L217" s="79"/>
      <c r="M217" s="48"/>
      <c r="N217" s="78"/>
      <c r="O217" s="50"/>
      <c r="P217" s="51"/>
      <c r="Q217" s="52"/>
      <c r="R217" s="53"/>
      <c r="S217" s="54"/>
      <c r="T217" s="55"/>
      <c r="U217" s="56"/>
      <c r="V217" s="57"/>
      <c r="X217" s="209"/>
    </row>
    <row r="218" spans="1:24" outlineLevel="1" x14ac:dyDescent="0.2">
      <c r="A218" s="333"/>
      <c r="B218" s="41"/>
      <c r="C218" s="81"/>
      <c r="D218" s="43"/>
      <c r="E218" s="43"/>
      <c r="F218" s="43"/>
      <c r="G218" s="43"/>
      <c r="H218" s="218"/>
      <c r="I218" s="157"/>
      <c r="J218" s="45"/>
      <c r="K218" s="76"/>
      <c r="L218" s="79"/>
      <c r="M218" s="48"/>
      <c r="N218" s="78"/>
      <c r="O218" s="50"/>
      <c r="P218" s="51"/>
      <c r="Q218" s="52"/>
      <c r="R218" s="53"/>
      <c r="S218" s="54"/>
      <c r="T218" s="55"/>
      <c r="U218" s="56"/>
      <c r="V218" s="57"/>
      <c r="X218" s="209"/>
    </row>
    <row r="219" spans="1:24" outlineLevel="1" x14ac:dyDescent="0.2">
      <c r="A219" s="334"/>
      <c r="B219" s="327"/>
      <c r="C219" s="81"/>
      <c r="D219" s="43"/>
      <c r="E219" s="43"/>
      <c r="F219" s="43"/>
      <c r="G219" s="43"/>
      <c r="H219" s="218"/>
      <c r="I219" s="157"/>
      <c r="J219" s="45"/>
      <c r="K219" s="76"/>
      <c r="L219" s="79"/>
      <c r="M219" s="48"/>
      <c r="N219" s="78"/>
      <c r="O219" s="50"/>
      <c r="P219" s="51"/>
      <c r="Q219" s="52"/>
      <c r="R219" s="53"/>
      <c r="S219" s="54"/>
      <c r="T219" s="55"/>
      <c r="U219" s="56"/>
      <c r="V219" s="57"/>
      <c r="X219" s="209"/>
    </row>
    <row r="220" spans="1:24" outlineLevel="1" x14ac:dyDescent="0.2">
      <c r="A220" s="333"/>
      <c r="B220" s="41"/>
      <c r="C220" s="81"/>
      <c r="D220" s="43"/>
      <c r="E220" s="43"/>
      <c r="F220" s="43"/>
      <c r="G220" s="43"/>
      <c r="H220" s="218"/>
      <c r="I220" s="157"/>
      <c r="J220" s="45"/>
      <c r="K220" s="76"/>
      <c r="L220" s="79"/>
      <c r="M220" s="48"/>
      <c r="N220" s="78"/>
      <c r="O220" s="50"/>
      <c r="P220" s="51"/>
      <c r="Q220" s="52"/>
      <c r="R220" s="53"/>
      <c r="S220" s="54"/>
      <c r="T220" s="55"/>
      <c r="U220" s="56"/>
      <c r="V220" s="57"/>
      <c r="X220" s="209"/>
    </row>
    <row r="221" spans="1:24" outlineLevel="1" x14ac:dyDescent="0.2">
      <c r="A221" s="334"/>
      <c r="B221" s="327"/>
      <c r="C221" s="81"/>
      <c r="D221" s="43"/>
      <c r="E221" s="43"/>
      <c r="F221" s="43"/>
      <c r="G221" s="43"/>
      <c r="H221" s="218"/>
      <c r="I221" s="157"/>
      <c r="J221" s="45"/>
      <c r="K221" s="76"/>
      <c r="L221" s="79"/>
      <c r="M221" s="48"/>
      <c r="N221" s="78"/>
      <c r="O221" s="50"/>
      <c r="P221" s="51"/>
      <c r="Q221" s="52"/>
      <c r="R221" s="53"/>
      <c r="S221" s="54"/>
      <c r="T221" s="55"/>
      <c r="U221" s="56"/>
      <c r="V221" s="57"/>
      <c r="X221" s="209"/>
    </row>
    <row r="222" spans="1:24" outlineLevel="1" x14ac:dyDescent="0.2">
      <c r="A222" s="334"/>
      <c r="B222" s="327"/>
      <c r="C222" s="81"/>
      <c r="D222" s="43"/>
      <c r="E222" s="43"/>
      <c r="F222" s="43"/>
      <c r="G222" s="43"/>
      <c r="H222" s="218"/>
      <c r="I222" s="157"/>
      <c r="J222" s="45"/>
      <c r="K222" s="76"/>
      <c r="L222" s="79"/>
      <c r="M222" s="48"/>
      <c r="N222" s="78"/>
      <c r="O222" s="50"/>
      <c r="P222" s="51"/>
      <c r="Q222" s="52"/>
      <c r="R222" s="53"/>
      <c r="S222" s="54"/>
      <c r="T222" s="55"/>
      <c r="U222" s="56"/>
      <c r="V222" s="57"/>
      <c r="X222" s="209"/>
    </row>
    <row r="223" spans="1:24" outlineLevel="1" x14ac:dyDescent="0.2">
      <c r="A223" s="332"/>
      <c r="B223" s="305"/>
      <c r="C223" s="81"/>
      <c r="D223" s="43"/>
      <c r="E223" s="43"/>
      <c r="F223" s="43"/>
      <c r="G223" s="43"/>
      <c r="H223" s="218"/>
      <c r="I223" s="157"/>
      <c r="J223" s="45"/>
      <c r="K223" s="76"/>
      <c r="L223" s="79"/>
      <c r="M223" s="48"/>
      <c r="N223" s="78"/>
      <c r="O223" s="50"/>
      <c r="P223" s="51"/>
      <c r="Q223" s="52"/>
      <c r="R223" s="53"/>
      <c r="S223" s="54"/>
      <c r="T223" s="55"/>
      <c r="U223" s="56"/>
      <c r="V223" s="57"/>
      <c r="X223" s="209"/>
    </row>
    <row r="224" spans="1:24" outlineLevel="1" x14ac:dyDescent="0.2">
      <c r="A224" s="329"/>
      <c r="B224" s="81"/>
      <c r="C224" s="81"/>
      <c r="D224" s="43"/>
      <c r="E224" s="43"/>
      <c r="F224" s="43"/>
      <c r="G224" s="43"/>
      <c r="H224" s="218"/>
      <c r="I224" s="157"/>
      <c r="J224" s="45"/>
      <c r="K224" s="76"/>
      <c r="L224" s="79"/>
      <c r="M224" s="48"/>
      <c r="N224" s="78"/>
      <c r="O224" s="50"/>
      <c r="P224" s="51"/>
      <c r="Q224" s="52"/>
      <c r="R224" s="53"/>
      <c r="S224" s="54"/>
      <c r="T224" s="55"/>
      <c r="U224" s="56"/>
      <c r="V224" s="57"/>
      <c r="X224" s="209"/>
    </row>
    <row r="225" spans="1:24" outlineLevel="1" x14ac:dyDescent="0.2">
      <c r="A225" s="333"/>
      <c r="B225" s="81"/>
      <c r="C225" s="81"/>
      <c r="D225" s="43"/>
      <c r="E225" s="43"/>
      <c r="F225" s="43"/>
      <c r="G225" s="43"/>
      <c r="H225" s="218"/>
      <c r="I225" s="157"/>
      <c r="J225" s="45"/>
      <c r="K225" s="76"/>
      <c r="L225" s="79"/>
      <c r="M225" s="48"/>
      <c r="N225" s="78"/>
      <c r="O225" s="50"/>
      <c r="P225" s="51"/>
      <c r="Q225" s="52"/>
      <c r="R225" s="53"/>
      <c r="S225" s="54"/>
      <c r="T225" s="55"/>
      <c r="U225" s="56"/>
      <c r="V225" s="57"/>
      <c r="X225" s="209"/>
    </row>
    <row r="226" spans="1:24" outlineLevel="1" x14ac:dyDescent="0.2">
      <c r="A226" s="332"/>
      <c r="B226" s="305"/>
      <c r="C226" s="81"/>
      <c r="D226" s="43"/>
      <c r="E226" s="43"/>
      <c r="F226" s="43"/>
      <c r="G226" s="43"/>
      <c r="H226" s="218"/>
      <c r="I226" s="157"/>
      <c r="J226" s="45"/>
      <c r="K226" s="76"/>
      <c r="L226" s="79"/>
      <c r="M226" s="48"/>
      <c r="N226" s="78"/>
      <c r="O226" s="50"/>
      <c r="P226" s="51"/>
      <c r="Q226" s="52"/>
      <c r="R226" s="53"/>
      <c r="S226" s="54"/>
      <c r="T226" s="55"/>
      <c r="U226" s="56"/>
      <c r="V226" s="57"/>
      <c r="X226" s="209"/>
    </row>
    <row r="227" spans="1:24" outlineLevel="1" x14ac:dyDescent="0.2">
      <c r="A227" s="329"/>
      <c r="B227" s="81"/>
      <c r="C227" s="81"/>
      <c r="D227" s="43"/>
      <c r="E227" s="43"/>
      <c r="F227" s="43"/>
      <c r="G227" s="43"/>
      <c r="H227" s="218"/>
      <c r="I227" s="157"/>
      <c r="J227" s="45"/>
      <c r="K227" s="76"/>
      <c r="L227" s="79"/>
      <c r="M227" s="48"/>
      <c r="N227" s="78"/>
      <c r="O227" s="50"/>
      <c r="P227" s="51"/>
      <c r="Q227" s="52"/>
      <c r="R227" s="53"/>
      <c r="S227" s="54"/>
      <c r="T227" s="55"/>
      <c r="U227" s="56"/>
      <c r="V227" s="57"/>
      <c r="X227" s="209"/>
    </row>
    <row r="228" spans="1:24" outlineLevel="1" x14ac:dyDescent="0.2">
      <c r="A228" s="330"/>
      <c r="B228" s="326"/>
      <c r="C228" s="81"/>
      <c r="D228" s="43"/>
      <c r="E228" s="43"/>
      <c r="F228" s="43"/>
      <c r="G228" s="43"/>
      <c r="H228" s="218"/>
      <c r="I228" s="157"/>
      <c r="J228" s="45"/>
      <c r="K228" s="76"/>
      <c r="L228" s="79"/>
      <c r="M228" s="48"/>
      <c r="N228" s="78"/>
      <c r="O228" s="50"/>
      <c r="P228" s="51"/>
      <c r="Q228" s="52"/>
      <c r="R228" s="53"/>
      <c r="S228" s="54"/>
      <c r="T228" s="55"/>
      <c r="U228" s="56"/>
      <c r="V228" s="57"/>
      <c r="X228" s="209"/>
    </row>
    <row r="229" spans="1:24" outlineLevel="1" x14ac:dyDescent="0.2">
      <c r="A229" s="330"/>
      <c r="B229" s="326"/>
      <c r="C229" s="81"/>
      <c r="D229" s="43"/>
      <c r="E229" s="43"/>
      <c r="F229" s="43"/>
      <c r="G229" s="43"/>
      <c r="H229" s="218"/>
      <c r="I229" s="157"/>
      <c r="J229" s="45"/>
      <c r="K229" s="76"/>
      <c r="L229" s="79"/>
      <c r="M229" s="48"/>
      <c r="N229" s="78"/>
      <c r="O229" s="50"/>
      <c r="P229" s="51"/>
      <c r="Q229" s="52"/>
      <c r="R229" s="53"/>
      <c r="S229" s="54"/>
      <c r="T229" s="55"/>
      <c r="U229" s="56"/>
      <c r="V229" s="57"/>
      <c r="X229" s="209"/>
    </row>
    <row r="230" spans="1:24" outlineLevel="1" x14ac:dyDescent="0.2">
      <c r="A230" s="332"/>
      <c r="B230" s="305"/>
      <c r="C230" s="81"/>
      <c r="D230" s="43"/>
      <c r="E230" s="43"/>
      <c r="F230" s="43"/>
      <c r="G230" s="43"/>
      <c r="H230" s="218"/>
      <c r="I230" s="157"/>
      <c r="J230" s="45"/>
      <c r="K230" s="76"/>
      <c r="L230" s="79"/>
      <c r="M230" s="48"/>
      <c r="N230" s="78"/>
      <c r="O230" s="50"/>
      <c r="P230" s="51"/>
      <c r="Q230" s="52"/>
      <c r="R230" s="53"/>
      <c r="S230" s="54"/>
      <c r="T230" s="55"/>
      <c r="U230" s="56"/>
      <c r="V230" s="57"/>
      <c r="X230" s="209"/>
    </row>
    <row r="231" spans="1:24" outlineLevel="1" x14ac:dyDescent="0.2">
      <c r="A231" s="333"/>
      <c r="B231" s="41"/>
      <c r="C231" s="81"/>
      <c r="D231" s="43"/>
      <c r="E231" s="43"/>
      <c r="F231" s="43"/>
      <c r="G231" s="43"/>
      <c r="H231" s="218"/>
      <c r="I231" s="157"/>
      <c r="J231" s="45"/>
      <c r="K231" s="76"/>
      <c r="L231" s="79"/>
      <c r="M231" s="48"/>
      <c r="N231" s="78"/>
      <c r="O231" s="50"/>
      <c r="P231" s="51"/>
      <c r="Q231" s="52"/>
      <c r="R231" s="53"/>
      <c r="S231" s="54"/>
      <c r="T231" s="55"/>
      <c r="U231" s="56"/>
      <c r="V231" s="57"/>
      <c r="X231" s="209"/>
    </row>
    <row r="232" spans="1:24" outlineLevel="1" x14ac:dyDescent="0.2">
      <c r="A232" s="335"/>
      <c r="B232" s="325"/>
      <c r="C232" s="81"/>
      <c r="D232" s="43"/>
      <c r="E232" s="43"/>
      <c r="F232" s="43"/>
      <c r="G232" s="43"/>
      <c r="H232" s="218"/>
      <c r="I232" s="157"/>
      <c r="J232" s="45"/>
      <c r="K232" s="76"/>
      <c r="L232" s="79"/>
      <c r="M232" s="48"/>
      <c r="N232" s="78"/>
      <c r="O232" s="50"/>
      <c r="P232" s="51"/>
      <c r="Q232" s="52"/>
      <c r="R232" s="53"/>
      <c r="S232" s="54"/>
      <c r="T232" s="55"/>
      <c r="U232" s="56"/>
      <c r="V232" s="57"/>
      <c r="X232" s="209"/>
    </row>
    <row r="233" spans="1:24" outlineLevel="1" x14ac:dyDescent="0.2">
      <c r="A233" s="333"/>
      <c r="B233" s="41"/>
      <c r="C233" s="81"/>
      <c r="D233" s="43"/>
      <c r="E233" s="43"/>
      <c r="F233" s="43"/>
      <c r="G233" s="43"/>
      <c r="H233" s="218"/>
      <c r="I233" s="157"/>
      <c r="J233" s="45"/>
      <c r="K233" s="76"/>
      <c r="L233" s="79"/>
      <c r="M233" s="48"/>
      <c r="N233" s="78"/>
      <c r="O233" s="50"/>
      <c r="P233" s="51"/>
      <c r="Q233" s="52"/>
      <c r="R233" s="53"/>
      <c r="S233" s="54"/>
      <c r="T233" s="55"/>
      <c r="U233" s="56"/>
      <c r="V233" s="57"/>
      <c r="X233" s="209"/>
    </row>
    <row r="234" spans="1:24" outlineLevel="1" x14ac:dyDescent="0.2">
      <c r="A234" s="334"/>
      <c r="B234" s="327"/>
      <c r="C234" s="81"/>
      <c r="D234" s="43"/>
      <c r="E234" s="43"/>
      <c r="F234" s="43"/>
      <c r="G234" s="43"/>
      <c r="H234" s="218"/>
      <c r="I234" s="157"/>
      <c r="J234" s="45"/>
      <c r="K234" s="76"/>
      <c r="L234" s="79"/>
      <c r="M234" s="48"/>
      <c r="N234" s="78"/>
      <c r="O234" s="50"/>
      <c r="P234" s="51"/>
      <c r="Q234" s="52"/>
      <c r="R234" s="53"/>
      <c r="S234" s="54"/>
      <c r="T234" s="55"/>
      <c r="U234" s="56"/>
      <c r="V234" s="57"/>
      <c r="X234" s="209"/>
    </row>
    <row r="235" spans="1:24" outlineLevel="1" x14ac:dyDescent="0.2">
      <c r="A235" s="333"/>
      <c r="B235" s="41"/>
      <c r="C235" s="81"/>
      <c r="D235" s="43"/>
      <c r="E235" s="43"/>
      <c r="F235" s="43"/>
      <c r="G235" s="43"/>
      <c r="H235" s="218"/>
      <c r="I235" s="157"/>
      <c r="J235" s="45"/>
      <c r="K235" s="76"/>
      <c r="L235" s="79"/>
      <c r="M235" s="48"/>
      <c r="N235" s="78"/>
      <c r="O235" s="50"/>
      <c r="P235" s="51"/>
      <c r="Q235" s="52"/>
      <c r="R235" s="53"/>
      <c r="S235" s="54"/>
      <c r="T235" s="55"/>
      <c r="U235" s="56"/>
      <c r="V235" s="57"/>
      <c r="X235" s="209"/>
    </row>
    <row r="236" spans="1:24" outlineLevel="1" x14ac:dyDescent="0.2">
      <c r="A236" s="335"/>
      <c r="B236" s="325"/>
      <c r="C236" s="81"/>
      <c r="D236" s="43"/>
      <c r="E236" s="43"/>
      <c r="F236" s="43"/>
      <c r="G236" s="43"/>
      <c r="H236" s="218"/>
      <c r="I236" s="157"/>
      <c r="J236" s="45"/>
      <c r="K236" s="76"/>
      <c r="L236" s="79"/>
      <c r="M236" s="48"/>
      <c r="N236" s="78"/>
      <c r="O236" s="50"/>
      <c r="P236" s="51"/>
      <c r="Q236" s="52"/>
      <c r="R236" s="53"/>
      <c r="S236" s="54"/>
      <c r="T236" s="55"/>
      <c r="U236" s="56"/>
      <c r="V236" s="57"/>
      <c r="X236" s="209"/>
    </row>
    <row r="237" spans="1:24" outlineLevel="1" x14ac:dyDescent="0.2">
      <c r="A237" s="333"/>
      <c r="B237" s="41"/>
      <c r="C237" s="81"/>
      <c r="D237" s="43"/>
      <c r="E237" s="43"/>
      <c r="F237" s="43"/>
      <c r="G237" s="43"/>
      <c r="H237" s="218"/>
      <c r="I237" s="157"/>
      <c r="J237" s="45"/>
      <c r="K237" s="76"/>
      <c r="L237" s="79"/>
      <c r="M237" s="48"/>
      <c r="N237" s="78"/>
      <c r="O237" s="50"/>
      <c r="P237" s="51"/>
      <c r="Q237" s="52"/>
      <c r="R237" s="53"/>
      <c r="S237" s="54"/>
      <c r="T237" s="55"/>
      <c r="U237" s="56"/>
      <c r="V237" s="57"/>
      <c r="X237" s="209"/>
    </row>
    <row r="238" spans="1:24" outlineLevel="1" x14ac:dyDescent="0.2">
      <c r="A238" s="329"/>
      <c r="B238" s="81"/>
      <c r="C238" s="81"/>
      <c r="D238" s="43"/>
      <c r="E238" s="43"/>
      <c r="F238" s="43"/>
      <c r="G238" s="43"/>
      <c r="H238" s="218"/>
      <c r="I238" s="157"/>
      <c r="J238" s="45"/>
      <c r="K238" s="76"/>
      <c r="L238" s="79"/>
      <c r="M238" s="48"/>
      <c r="N238" s="78"/>
      <c r="O238" s="50"/>
      <c r="P238" s="51"/>
      <c r="Q238" s="52"/>
      <c r="R238" s="53"/>
      <c r="S238" s="54"/>
      <c r="T238" s="55"/>
      <c r="U238" s="56"/>
      <c r="V238" s="57"/>
      <c r="X238" s="209"/>
    </row>
    <row r="239" spans="1:24" outlineLevel="1" x14ac:dyDescent="0.2">
      <c r="A239" s="333"/>
      <c r="B239" s="41"/>
      <c r="C239" s="81"/>
      <c r="D239" s="43"/>
      <c r="E239" s="43"/>
      <c r="F239" s="43"/>
      <c r="G239" s="43"/>
      <c r="H239" s="218"/>
      <c r="I239" s="157"/>
      <c r="J239" s="45"/>
      <c r="K239" s="76"/>
      <c r="L239" s="79"/>
      <c r="M239" s="48"/>
      <c r="N239" s="78"/>
      <c r="O239" s="50"/>
      <c r="P239" s="51"/>
      <c r="Q239" s="52"/>
      <c r="R239" s="53"/>
      <c r="S239" s="54"/>
      <c r="T239" s="55"/>
      <c r="U239" s="56"/>
      <c r="V239" s="57"/>
      <c r="X239" s="209"/>
    </row>
    <row r="240" spans="1:24" outlineLevel="1" x14ac:dyDescent="0.2">
      <c r="A240" s="335"/>
      <c r="B240" s="325"/>
      <c r="C240" s="81"/>
      <c r="D240" s="43"/>
      <c r="E240" s="43"/>
      <c r="F240" s="43"/>
      <c r="G240" s="43"/>
      <c r="H240" s="218"/>
      <c r="I240" s="157"/>
      <c r="J240" s="45"/>
      <c r="K240" s="76"/>
      <c r="L240" s="79"/>
      <c r="M240" s="48"/>
      <c r="N240" s="78"/>
      <c r="O240" s="50"/>
      <c r="P240" s="51"/>
      <c r="Q240" s="52"/>
      <c r="R240" s="53"/>
      <c r="S240" s="54"/>
      <c r="T240" s="55"/>
      <c r="U240" s="56"/>
      <c r="V240" s="57"/>
      <c r="X240" s="209"/>
    </row>
    <row r="241" spans="1:29" outlineLevel="1" x14ac:dyDescent="0.2">
      <c r="A241" s="333"/>
      <c r="B241" s="215"/>
      <c r="C241" s="81"/>
      <c r="D241" s="43"/>
      <c r="E241" s="43"/>
      <c r="F241" s="43"/>
      <c r="G241" s="43"/>
      <c r="H241" s="218"/>
      <c r="I241" s="157"/>
      <c r="J241" s="45"/>
      <c r="K241" s="76"/>
      <c r="L241" s="79"/>
      <c r="M241" s="48"/>
      <c r="N241" s="78"/>
      <c r="O241" s="50"/>
      <c r="P241" s="51"/>
      <c r="Q241" s="52"/>
      <c r="R241" s="53"/>
      <c r="S241" s="54"/>
      <c r="T241" s="55"/>
      <c r="U241" s="56"/>
      <c r="V241" s="57"/>
      <c r="X241" s="209"/>
    </row>
    <row r="242" spans="1:29" outlineLevel="1" x14ac:dyDescent="0.2">
      <c r="A242" s="335"/>
      <c r="B242" s="325"/>
      <c r="C242" s="81"/>
      <c r="D242" s="43"/>
      <c r="E242" s="43"/>
      <c r="F242" s="43"/>
      <c r="G242" s="43"/>
      <c r="H242" s="218"/>
      <c r="I242" s="157"/>
      <c r="J242" s="45"/>
      <c r="K242" s="76"/>
      <c r="L242" s="79"/>
      <c r="M242" s="48"/>
      <c r="N242" s="78"/>
      <c r="O242" s="50"/>
      <c r="P242" s="51"/>
      <c r="Q242" s="52"/>
      <c r="R242" s="53"/>
      <c r="S242" s="54"/>
      <c r="T242" s="55"/>
      <c r="U242" s="56"/>
      <c r="V242" s="57"/>
      <c r="X242" s="209"/>
    </row>
    <row r="243" spans="1:29" outlineLevel="1" x14ac:dyDescent="0.2">
      <c r="A243" s="333"/>
      <c r="B243" s="41"/>
      <c r="C243" s="81"/>
      <c r="D243" s="43"/>
      <c r="E243" s="43"/>
      <c r="F243" s="43"/>
      <c r="G243" s="43"/>
      <c r="H243" s="218"/>
      <c r="I243" s="157"/>
      <c r="J243" s="45"/>
      <c r="K243" s="76"/>
      <c r="L243" s="79"/>
      <c r="M243" s="48"/>
      <c r="N243" s="78"/>
      <c r="O243" s="50"/>
      <c r="P243" s="51"/>
      <c r="Q243" s="52"/>
      <c r="R243" s="53"/>
      <c r="S243" s="54"/>
      <c r="T243" s="55"/>
      <c r="U243" s="56"/>
      <c r="V243" s="57"/>
      <c r="X243" s="209"/>
    </row>
    <row r="244" spans="1:29" outlineLevel="1" x14ac:dyDescent="0.2">
      <c r="A244" s="335"/>
      <c r="B244" s="325"/>
      <c r="C244" s="81"/>
      <c r="D244" s="43"/>
      <c r="E244" s="43"/>
      <c r="F244" s="43"/>
      <c r="G244" s="43"/>
      <c r="H244" s="218"/>
      <c r="I244" s="157"/>
      <c r="J244" s="45"/>
      <c r="K244" s="76"/>
      <c r="L244" s="79"/>
      <c r="M244" s="48"/>
      <c r="N244" s="78"/>
      <c r="O244" s="50"/>
      <c r="P244" s="51"/>
      <c r="Q244" s="52"/>
      <c r="R244" s="53"/>
      <c r="S244" s="54"/>
      <c r="T244" s="55"/>
      <c r="U244" s="56"/>
      <c r="V244" s="57"/>
      <c r="X244" s="209"/>
    </row>
    <row r="245" spans="1:29" outlineLevel="1" x14ac:dyDescent="0.2">
      <c r="A245" s="335"/>
      <c r="B245" s="325"/>
      <c r="C245" s="81"/>
      <c r="D245" s="43"/>
      <c r="E245" s="43"/>
      <c r="F245" s="43"/>
      <c r="G245" s="43"/>
      <c r="H245" s="218"/>
      <c r="I245" s="157"/>
      <c r="J245" s="45"/>
      <c r="K245" s="76"/>
      <c r="L245" s="79"/>
      <c r="M245" s="48"/>
      <c r="N245" s="78"/>
      <c r="O245" s="50"/>
      <c r="P245" s="51"/>
      <c r="Q245" s="52"/>
      <c r="R245" s="53"/>
      <c r="S245" s="54"/>
      <c r="T245" s="55"/>
      <c r="U245" s="56"/>
      <c r="V245" s="57"/>
      <c r="X245" s="209"/>
    </row>
    <row r="246" spans="1:29" outlineLevel="1" x14ac:dyDescent="0.2">
      <c r="A246" s="332"/>
      <c r="B246" s="305"/>
      <c r="C246" s="81"/>
      <c r="D246" s="43"/>
      <c r="E246" s="43"/>
      <c r="F246" s="43"/>
      <c r="G246" s="43"/>
      <c r="H246" s="218"/>
      <c r="I246" s="157"/>
      <c r="J246" s="45"/>
      <c r="K246" s="76"/>
      <c r="L246" s="79"/>
      <c r="M246" s="48"/>
      <c r="N246" s="78"/>
      <c r="O246" s="50"/>
      <c r="P246" s="51"/>
      <c r="Q246" s="52"/>
      <c r="R246" s="53"/>
      <c r="S246" s="54"/>
      <c r="T246" s="55"/>
      <c r="U246" s="56"/>
      <c r="V246" s="57"/>
      <c r="X246" s="209"/>
    </row>
    <row r="247" spans="1:29" outlineLevel="1" x14ac:dyDescent="0.2">
      <c r="A247" s="336"/>
      <c r="B247" s="41"/>
      <c r="C247" s="81"/>
      <c r="D247" s="43"/>
      <c r="E247" s="43"/>
      <c r="F247" s="43"/>
      <c r="G247" s="43"/>
      <c r="H247" s="218"/>
      <c r="I247" s="157"/>
      <c r="J247" s="45"/>
      <c r="K247" s="76"/>
      <c r="L247" s="79"/>
      <c r="M247" s="48"/>
      <c r="N247" s="78"/>
      <c r="O247" s="50"/>
      <c r="P247" s="51"/>
      <c r="Q247" s="52"/>
      <c r="R247" s="53"/>
      <c r="S247" s="54"/>
      <c r="T247" s="55"/>
      <c r="U247" s="56"/>
      <c r="V247" s="57"/>
      <c r="X247" s="209"/>
      <c r="Y247" s="323"/>
      <c r="Z247" s="323"/>
      <c r="AA247" s="323"/>
      <c r="AB247" s="323"/>
      <c r="AC247" s="323"/>
    </row>
    <row r="248" spans="1:29" outlineLevel="1" x14ac:dyDescent="0.2">
      <c r="A248" s="332"/>
      <c r="B248" s="305"/>
      <c r="C248" s="81"/>
      <c r="D248" s="43"/>
      <c r="E248" s="43"/>
      <c r="F248" s="43"/>
      <c r="G248" s="43"/>
      <c r="H248" s="218"/>
      <c r="I248" s="157"/>
      <c r="J248" s="45"/>
      <c r="K248" s="76"/>
      <c r="L248" s="79"/>
      <c r="M248" s="48"/>
      <c r="N248" s="78"/>
      <c r="O248" s="50"/>
      <c r="P248" s="51"/>
      <c r="Q248" s="52"/>
      <c r="R248" s="53"/>
      <c r="S248" s="54"/>
      <c r="T248" s="55"/>
      <c r="U248" s="56"/>
      <c r="V248" s="57"/>
      <c r="X248" s="209"/>
    </row>
    <row r="249" spans="1:29" outlineLevel="1" x14ac:dyDescent="0.2">
      <c r="A249" s="333"/>
      <c r="B249" s="41"/>
      <c r="C249" s="81"/>
      <c r="D249" s="43"/>
      <c r="E249" s="43"/>
      <c r="F249" s="43"/>
      <c r="G249" s="43"/>
      <c r="H249" s="218"/>
      <c r="I249" s="157"/>
      <c r="J249" s="45"/>
      <c r="K249" s="76"/>
      <c r="L249" s="79"/>
      <c r="M249" s="48"/>
      <c r="N249" s="78"/>
      <c r="O249" s="50"/>
      <c r="P249" s="51"/>
      <c r="Q249" s="52"/>
      <c r="R249" s="53"/>
      <c r="S249" s="54"/>
      <c r="T249" s="55"/>
      <c r="U249" s="56"/>
      <c r="V249" s="57"/>
      <c r="X249" s="209"/>
    </row>
    <row r="250" spans="1:29" outlineLevel="1" x14ac:dyDescent="0.2">
      <c r="A250" s="334"/>
      <c r="B250" s="327"/>
      <c r="C250" s="81"/>
      <c r="D250" s="43"/>
      <c r="E250" s="43"/>
      <c r="F250" s="43"/>
      <c r="G250" s="43"/>
      <c r="H250" s="218"/>
      <c r="I250" s="157"/>
      <c r="J250" s="45"/>
      <c r="K250" s="76"/>
      <c r="L250" s="79"/>
      <c r="M250" s="48"/>
      <c r="N250" s="78"/>
      <c r="O250" s="50"/>
      <c r="P250" s="51"/>
      <c r="Q250" s="52"/>
      <c r="R250" s="53"/>
      <c r="S250" s="54"/>
      <c r="T250" s="55"/>
      <c r="U250" s="56"/>
      <c r="V250" s="57"/>
      <c r="X250" s="209"/>
    </row>
    <row r="251" spans="1:29" outlineLevel="1" x14ac:dyDescent="0.2">
      <c r="A251" s="333"/>
      <c r="B251" s="41"/>
      <c r="C251" s="81"/>
      <c r="D251" s="43"/>
      <c r="E251" s="43"/>
      <c r="F251" s="43"/>
      <c r="G251" s="43"/>
      <c r="H251" s="218"/>
      <c r="I251" s="157"/>
      <c r="J251" s="45"/>
      <c r="K251" s="76"/>
      <c r="L251" s="79"/>
      <c r="M251" s="48"/>
      <c r="N251" s="78"/>
      <c r="O251" s="50"/>
      <c r="P251" s="51"/>
      <c r="Q251" s="52"/>
      <c r="R251" s="53"/>
      <c r="S251" s="54"/>
      <c r="T251" s="55"/>
      <c r="U251" s="56"/>
      <c r="V251" s="57"/>
      <c r="X251" s="209"/>
    </row>
    <row r="252" spans="1:29" outlineLevel="1" x14ac:dyDescent="0.2">
      <c r="A252" s="334"/>
      <c r="B252" s="327"/>
      <c r="C252" s="81"/>
      <c r="D252" s="43"/>
      <c r="E252" s="43"/>
      <c r="F252" s="43"/>
      <c r="G252" s="43"/>
      <c r="H252" s="218"/>
      <c r="I252" s="157"/>
      <c r="J252" s="45"/>
      <c r="K252" s="76"/>
      <c r="L252" s="79"/>
      <c r="M252" s="48"/>
      <c r="N252" s="78"/>
      <c r="O252" s="50"/>
      <c r="P252" s="51"/>
      <c r="Q252" s="52"/>
      <c r="R252" s="53"/>
      <c r="S252" s="54"/>
      <c r="T252" s="55"/>
      <c r="U252" s="56"/>
      <c r="V252" s="57"/>
      <c r="X252" s="209"/>
    </row>
    <row r="253" spans="1:29" outlineLevel="1" x14ac:dyDescent="0.2">
      <c r="A253" s="332"/>
      <c r="B253" s="305"/>
      <c r="C253" s="81"/>
      <c r="D253" s="43"/>
      <c r="E253" s="43"/>
      <c r="F253" s="43"/>
      <c r="G253" s="43"/>
      <c r="H253" s="218"/>
      <c r="I253" s="157"/>
      <c r="J253" s="45"/>
      <c r="K253" s="76"/>
      <c r="L253" s="79"/>
      <c r="M253" s="48"/>
      <c r="N253" s="78"/>
      <c r="O253" s="50"/>
      <c r="P253" s="51"/>
      <c r="Q253" s="52"/>
      <c r="R253" s="53"/>
      <c r="S253" s="54"/>
      <c r="T253" s="55"/>
      <c r="U253" s="56"/>
      <c r="V253" s="57"/>
      <c r="X253" s="209"/>
    </row>
    <row r="254" spans="1:29" outlineLevel="1" x14ac:dyDescent="0.2">
      <c r="A254" s="333"/>
      <c r="B254" s="41"/>
      <c r="C254" s="81"/>
      <c r="D254" s="43"/>
      <c r="E254" s="43"/>
      <c r="F254" s="43"/>
      <c r="G254" s="43"/>
      <c r="H254" s="218"/>
      <c r="I254" s="157"/>
      <c r="J254" s="45"/>
      <c r="K254" s="76"/>
      <c r="L254" s="79"/>
      <c r="M254" s="48"/>
      <c r="N254" s="78"/>
      <c r="O254" s="50"/>
      <c r="P254" s="51"/>
      <c r="Q254" s="52"/>
      <c r="R254" s="53"/>
      <c r="S254" s="54"/>
      <c r="T254" s="55"/>
      <c r="U254" s="56"/>
      <c r="V254" s="57"/>
      <c r="X254" s="209"/>
    </row>
    <row r="255" spans="1:29" outlineLevel="1" x14ac:dyDescent="0.2">
      <c r="A255" s="334"/>
      <c r="B255" s="327"/>
      <c r="C255" s="81"/>
      <c r="D255" s="43"/>
      <c r="E255" s="43"/>
      <c r="F255" s="43"/>
      <c r="G255" s="43"/>
      <c r="H255" s="218"/>
      <c r="I255" s="157"/>
      <c r="J255" s="45"/>
      <c r="K255" s="76"/>
      <c r="L255" s="79"/>
      <c r="M255" s="48"/>
      <c r="N255" s="78"/>
      <c r="O255" s="50"/>
      <c r="P255" s="51"/>
      <c r="Q255" s="52"/>
      <c r="R255" s="53"/>
      <c r="S255" s="54"/>
      <c r="T255" s="55"/>
      <c r="U255" s="56"/>
      <c r="V255" s="57"/>
      <c r="X255" s="209"/>
    </row>
    <row r="256" spans="1:29" outlineLevel="1" x14ac:dyDescent="0.2">
      <c r="A256" s="333"/>
      <c r="B256" s="41"/>
      <c r="C256" s="81"/>
      <c r="D256" s="43"/>
      <c r="E256" s="43"/>
      <c r="F256" s="43"/>
      <c r="G256" s="43"/>
      <c r="H256" s="218"/>
      <c r="I256" s="157"/>
      <c r="J256" s="45"/>
      <c r="K256" s="76"/>
      <c r="L256" s="79"/>
      <c r="M256" s="48"/>
      <c r="N256" s="78"/>
      <c r="O256" s="50"/>
      <c r="P256" s="51"/>
      <c r="Q256" s="52"/>
      <c r="R256" s="53"/>
      <c r="S256" s="54"/>
      <c r="T256" s="55"/>
      <c r="U256" s="56"/>
      <c r="V256" s="57"/>
      <c r="X256" s="209"/>
    </row>
    <row r="257" spans="1:24" outlineLevel="1" x14ac:dyDescent="0.2">
      <c r="A257" s="334"/>
      <c r="B257" s="327"/>
      <c r="C257" s="81"/>
      <c r="D257" s="43"/>
      <c r="E257" s="43"/>
      <c r="F257" s="43"/>
      <c r="G257" s="43"/>
      <c r="H257" s="218"/>
      <c r="I257" s="157"/>
      <c r="J257" s="45"/>
      <c r="K257" s="76"/>
      <c r="L257" s="79"/>
      <c r="M257" s="48"/>
      <c r="N257" s="78"/>
      <c r="O257" s="50"/>
      <c r="P257" s="51"/>
      <c r="Q257" s="52"/>
      <c r="R257" s="53"/>
      <c r="S257" s="54"/>
      <c r="T257" s="55"/>
      <c r="U257" s="56"/>
      <c r="V257" s="57"/>
      <c r="X257" s="209"/>
    </row>
    <row r="258" spans="1:24" outlineLevel="1" x14ac:dyDescent="0.2">
      <c r="A258" s="333"/>
      <c r="B258" s="41"/>
      <c r="C258" s="81"/>
      <c r="D258" s="43"/>
      <c r="E258" s="43"/>
      <c r="F258" s="43"/>
      <c r="G258" s="43"/>
      <c r="H258" s="218"/>
      <c r="I258" s="157"/>
      <c r="J258" s="45"/>
      <c r="K258" s="76"/>
      <c r="L258" s="79"/>
      <c r="M258" s="48"/>
      <c r="N258" s="78"/>
      <c r="O258" s="50"/>
      <c r="P258" s="51"/>
      <c r="Q258" s="52"/>
      <c r="R258" s="53"/>
      <c r="S258" s="54"/>
      <c r="T258" s="55"/>
      <c r="U258" s="56"/>
      <c r="V258" s="57"/>
      <c r="X258" s="209"/>
    </row>
    <row r="259" spans="1:24" outlineLevel="1" x14ac:dyDescent="0.2">
      <c r="A259" s="334"/>
      <c r="B259" s="327"/>
      <c r="C259" s="81"/>
      <c r="D259" s="43"/>
      <c r="E259" s="43"/>
      <c r="F259" s="43"/>
      <c r="G259" s="43"/>
      <c r="H259" s="218"/>
      <c r="I259" s="157"/>
      <c r="J259" s="45"/>
      <c r="K259" s="76"/>
      <c r="L259" s="79"/>
      <c r="M259" s="48"/>
      <c r="N259" s="78"/>
      <c r="O259" s="50"/>
      <c r="P259" s="51"/>
      <c r="Q259" s="52"/>
      <c r="R259" s="53"/>
      <c r="S259" s="54"/>
      <c r="T259" s="55"/>
      <c r="U259" s="56"/>
      <c r="V259" s="57"/>
      <c r="X259" s="209"/>
    </row>
    <row r="260" spans="1:24" outlineLevel="1" x14ac:dyDescent="0.2">
      <c r="A260" s="334"/>
      <c r="B260" s="327"/>
      <c r="C260" s="81"/>
      <c r="D260" s="43"/>
      <c r="E260" s="43"/>
      <c r="F260" s="43"/>
      <c r="G260" s="43"/>
      <c r="H260" s="218"/>
      <c r="I260" s="157"/>
      <c r="J260" s="45"/>
      <c r="K260" s="76"/>
      <c r="L260" s="79"/>
      <c r="M260" s="48"/>
      <c r="N260" s="78"/>
      <c r="O260" s="50"/>
      <c r="P260" s="51"/>
      <c r="Q260" s="52"/>
      <c r="R260" s="53"/>
      <c r="S260" s="54"/>
      <c r="T260" s="55"/>
      <c r="U260" s="56"/>
      <c r="V260" s="57"/>
      <c r="X260" s="209"/>
    </row>
    <row r="261" spans="1:24" outlineLevel="1" x14ac:dyDescent="0.2">
      <c r="A261" s="332"/>
      <c r="B261" s="305"/>
      <c r="C261" s="81"/>
      <c r="D261" s="43"/>
      <c r="E261" s="43"/>
      <c r="F261" s="43"/>
      <c r="G261" s="43"/>
      <c r="H261" s="218"/>
      <c r="I261" s="157"/>
      <c r="J261" s="45"/>
      <c r="K261" s="76"/>
      <c r="L261" s="79"/>
      <c r="M261" s="48"/>
      <c r="N261" s="78"/>
      <c r="O261" s="50"/>
      <c r="P261" s="51"/>
      <c r="Q261" s="52"/>
      <c r="R261" s="53"/>
      <c r="S261" s="54"/>
      <c r="T261" s="55"/>
      <c r="U261" s="56"/>
      <c r="V261" s="57"/>
      <c r="X261" s="209"/>
    </row>
    <row r="262" spans="1:24" outlineLevel="1" x14ac:dyDescent="0.2">
      <c r="A262" s="333"/>
      <c r="B262" s="41"/>
      <c r="C262" s="81"/>
      <c r="D262" s="43"/>
      <c r="E262" s="43"/>
      <c r="F262" s="43"/>
      <c r="G262" s="43"/>
      <c r="H262" s="218"/>
      <c r="I262" s="157"/>
      <c r="J262" s="45"/>
      <c r="K262" s="76"/>
      <c r="L262" s="79"/>
      <c r="M262" s="48"/>
      <c r="N262" s="78"/>
      <c r="O262" s="50"/>
      <c r="P262" s="51"/>
      <c r="Q262" s="52"/>
      <c r="R262" s="53"/>
      <c r="S262" s="54"/>
      <c r="T262" s="55"/>
      <c r="U262" s="56"/>
      <c r="V262" s="57"/>
      <c r="X262" s="209"/>
    </row>
    <row r="263" spans="1:24" outlineLevel="1" x14ac:dyDescent="0.2">
      <c r="A263" s="334"/>
      <c r="B263" s="327"/>
      <c r="C263" s="81"/>
      <c r="D263" s="43"/>
      <c r="E263" s="43"/>
      <c r="F263" s="43"/>
      <c r="G263" s="43"/>
      <c r="H263" s="218"/>
      <c r="I263" s="157"/>
      <c r="J263" s="45"/>
      <c r="K263" s="76"/>
      <c r="L263" s="79"/>
      <c r="M263" s="48"/>
      <c r="N263" s="78"/>
      <c r="O263" s="50"/>
      <c r="P263" s="51"/>
      <c r="Q263" s="52"/>
      <c r="R263" s="53"/>
      <c r="S263" s="54"/>
      <c r="T263" s="55"/>
      <c r="U263" s="56"/>
      <c r="V263" s="57"/>
      <c r="X263" s="209"/>
    </row>
    <row r="264" spans="1:24" outlineLevel="1" x14ac:dyDescent="0.2">
      <c r="A264" s="333"/>
      <c r="B264" s="41"/>
      <c r="C264" s="81"/>
      <c r="D264" s="43"/>
      <c r="E264" s="43"/>
      <c r="F264" s="43"/>
      <c r="G264" s="43"/>
      <c r="H264" s="218"/>
      <c r="I264" s="157"/>
      <c r="J264" s="45"/>
      <c r="K264" s="76"/>
      <c r="L264" s="79"/>
      <c r="M264" s="48"/>
      <c r="N264" s="78"/>
      <c r="O264" s="50"/>
      <c r="P264" s="51"/>
      <c r="Q264" s="52"/>
      <c r="R264" s="53"/>
      <c r="S264" s="54"/>
      <c r="T264" s="55"/>
      <c r="U264" s="56"/>
      <c r="V264" s="57"/>
      <c r="X264" s="209"/>
    </row>
    <row r="265" spans="1:24" outlineLevel="1" x14ac:dyDescent="0.2">
      <c r="A265" s="334"/>
      <c r="B265" s="327"/>
      <c r="C265" s="81"/>
      <c r="D265" s="43"/>
      <c r="E265" s="43"/>
      <c r="F265" s="43"/>
      <c r="G265" s="43"/>
      <c r="H265" s="218"/>
      <c r="I265" s="157"/>
      <c r="J265" s="45"/>
      <c r="K265" s="76"/>
      <c r="L265" s="79"/>
      <c r="M265" s="48"/>
      <c r="N265" s="78"/>
      <c r="O265" s="50"/>
      <c r="P265" s="51"/>
      <c r="Q265" s="52"/>
      <c r="R265" s="53"/>
      <c r="S265" s="54"/>
      <c r="T265" s="55"/>
      <c r="U265" s="56"/>
      <c r="V265" s="57"/>
      <c r="X265" s="209"/>
    </row>
    <row r="266" spans="1:24" outlineLevel="1" x14ac:dyDescent="0.2">
      <c r="A266" s="333"/>
      <c r="B266" s="41"/>
      <c r="C266" s="81"/>
      <c r="D266" s="43"/>
      <c r="E266" s="43"/>
      <c r="F266" s="43"/>
      <c r="G266" s="43"/>
      <c r="H266" s="218"/>
      <c r="I266" s="157"/>
      <c r="J266" s="45"/>
      <c r="K266" s="76"/>
      <c r="L266" s="79"/>
      <c r="M266" s="48"/>
      <c r="N266" s="78"/>
      <c r="O266" s="50"/>
      <c r="P266" s="51"/>
      <c r="Q266" s="52"/>
      <c r="R266" s="53"/>
      <c r="S266" s="54"/>
      <c r="T266" s="55"/>
      <c r="U266" s="56"/>
      <c r="V266" s="57"/>
      <c r="X266" s="209"/>
    </row>
    <row r="267" spans="1:24" outlineLevel="1" x14ac:dyDescent="0.2">
      <c r="A267" s="334"/>
      <c r="B267" s="327"/>
      <c r="C267" s="81"/>
      <c r="D267" s="43"/>
      <c r="E267" s="43"/>
      <c r="F267" s="43"/>
      <c r="G267" s="43"/>
      <c r="H267" s="218"/>
      <c r="I267" s="157"/>
      <c r="J267" s="45"/>
      <c r="K267" s="76"/>
      <c r="L267" s="79"/>
      <c r="M267" s="48"/>
      <c r="N267" s="78"/>
      <c r="O267" s="50"/>
      <c r="P267" s="51"/>
      <c r="Q267" s="52"/>
      <c r="R267" s="53"/>
      <c r="S267" s="54"/>
      <c r="T267" s="55"/>
      <c r="U267" s="56"/>
      <c r="V267" s="57"/>
      <c r="X267" s="209"/>
    </row>
    <row r="268" spans="1:24" outlineLevel="1" x14ac:dyDescent="0.2">
      <c r="A268" s="333"/>
      <c r="B268" s="41"/>
      <c r="C268" s="81"/>
      <c r="D268" s="43"/>
      <c r="E268" s="43"/>
      <c r="F268" s="43"/>
      <c r="G268" s="43"/>
      <c r="H268" s="218"/>
      <c r="I268" s="157"/>
      <c r="J268" s="45"/>
      <c r="K268" s="76"/>
      <c r="L268" s="79"/>
      <c r="M268" s="48"/>
      <c r="N268" s="78"/>
      <c r="O268" s="50"/>
      <c r="P268" s="51"/>
      <c r="Q268" s="52"/>
      <c r="R268" s="53"/>
      <c r="S268" s="54"/>
      <c r="T268" s="55"/>
      <c r="U268" s="56"/>
      <c r="V268" s="57"/>
      <c r="X268" s="209"/>
    </row>
    <row r="269" spans="1:24" outlineLevel="1" x14ac:dyDescent="0.2">
      <c r="A269" s="332"/>
      <c r="B269" s="305"/>
      <c r="C269" s="81"/>
      <c r="D269" s="43"/>
      <c r="E269" s="43"/>
      <c r="F269" s="43"/>
      <c r="G269" s="43"/>
      <c r="H269" s="218"/>
      <c r="I269" s="157"/>
      <c r="J269" s="45"/>
      <c r="K269" s="76"/>
      <c r="L269" s="79"/>
      <c r="M269" s="48"/>
      <c r="N269" s="78"/>
      <c r="O269" s="50"/>
      <c r="P269" s="51"/>
      <c r="Q269" s="52"/>
      <c r="R269" s="53"/>
      <c r="S269" s="54"/>
      <c r="T269" s="55"/>
      <c r="U269" s="56"/>
      <c r="V269" s="57"/>
      <c r="X269" s="209"/>
    </row>
    <row r="270" spans="1:24" outlineLevel="1" x14ac:dyDescent="0.2">
      <c r="A270" s="333"/>
      <c r="B270" s="41"/>
      <c r="C270" s="81"/>
      <c r="D270" s="43"/>
      <c r="E270" s="43"/>
      <c r="F270" s="43"/>
      <c r="G270" s="43"/>
      <c r="H270" s="218"/>
      <c r="I270" s="157"/>
      <c r="J270" s="45"/>
      <c r="K270" s="76"/>
      <c r="L270" s="79"/>
      <c r="M270" s="48"/>
      <c r="N270" s="78"/>
      <c r="O270" s="50"/>
      <c r="P270" s="51"/>
      <c r="Q270" s="52"/>
      <c r="R270" s="53"/>
      <c r="S270" s="54"/>
      <c r="T270" s="55"/>
      <c r="U270" s="56"/>
      <c r="V270" s="57"/>
      <c r="X270" s="209"/>
    </row>
    <row r="271" spans="1:24" outlineLevel="1" x14ac:dyDescent="0.2">
      <c r="A271" s="335"/>
      <c r="B271" s="325"/>
      <c r="C271" s="81"/>
      <c r="D271" s="43"/>
      <c r="E271" s="43"/>
      <c r="F271" s="43"/>
      <c r="G271" s="43"/>
      <c r="H271" s="218"/>
      <c r="I271" s="157"/>
      <c r="J271" s="45"/>
      <c r="K271" s="76"/>
      <c r="L271" s="79"/>
      <c r="M271" s="48"/>
      <c r="N271" s="78"/>
      <c r="O271" s="50"/>
      <c r="P271" s="51"/>
      <c r="Q271" s="52"/>
      <c r="R271" s="53"/>
      <c r="S271" s="54"/>
      <c r="T271" s="55"/>
      <c r="U271" s="56"/>
      <c r="V271" s="57"/>
      <c r="X271" s="209"/>
    </row>
    <row r="272" spans="1:24" outlineLevel="1" x14ac:dyDescent="0.2">
      <c r="A272" s="333"/>
      <c r="B272" s="41"/>
      <c r="C272" s="81"/>
      <c r="D272" s="43"/>
      <c r="E272" s="43"/>
      <c r="F272" s="43"/>
      <c r="G272" s="43"/>
      <c r="H272" s="218"/>
      <c r="I272" s="157"/>
      <c r="J272" s="45"/>
      <c r="K272" s="76"/>
      <c r="L272" s="79"/>
      <c r="M272" s="48"/>
      <c r="N272" s="78"/>
      <c r="O272" s="50"/>
      <c r="P272" s="51"/>
      <c r="Q272" s="52"/>
      <c r="R272" s="53"/>
      <c r="S272" s="54"/>
      <c r="T272" s="55"/>
      <c r="U272" s="56"/>
      <c r="V272" s="57"/>
      <c r="X272" s="209"/>
    </row>
    <row r="273" spans="1:24" outlineLevel="1" x14ac:dyDescent="0.2">
      <c r="A273" s="335"/>
      <c r="B273" s="325"/>
      <c r="C273" s="81"/>
      <c r="D273" s="43"/>
      <c r="E273" s="43"/>
      <c r="F273" s="43"/>
      <c r="G273" s="43"/>
      <c r="H273" s="218"/>
      <c r="I273" s="157"/>
      <c r="J273" s="45"/>
      <c r="K273" s="76"/>
      <c r="L273" s="79"/>
      <c r="M273" s="48"/>
      <c r="N273" s="78"/>
      <c r="O273" s="50"/>
      <c r="P273" s="51"/>
      <c r="Q273" s="52"/>
      <c r="R273" s="53"/>
      <c r="S273" s="54"/>
      <c r="T273" s="55"/>
      <c r="U273" s="56"/>
      <c r="V273" s="57"/>
      <c r="X273" s="209"/>
    </row>
    <row r="274" spans="1:24" outlineLevel="1" x14ac:dyDescent="0.2">
      <c r="A274" s="333"/>
      <c r="B274" s="215"/>
      <c r="C274" s="81"/>
      <c r="D274" s="43"/>
      <c r="E274" s="43"/>
      <c r="F274" s="43"/>
      <c r="G274" s="43"/>
      <c r="H274" s="218"/>
      <c r="I274" s="157"/>
      <c r="J274" s="45"/>
      <c r="K274" s="76"/>
      <c r="L274" s="79"/>
      <c r="M274" s="48"/>
      <c r="N274" s="78"/>
      <c r="O274" s="50"/>
      <c r="P274" s="51"/>
      <c r="Q274" s="52"/>
      <c r="R274" s="53"/>
      <c r="S274" s="54"/>
      <c r="T274" s="55"/>
      <c r="U274" s="56"/>
      <c r="V274" s="57"/>
      <c r="X274" s="209"/>
    </row>
    <row r="275" spans="1:24" outlineLevel="1" x14ac:dyDescent="0.2">
      <c r="A275" s="335"/>
      <c r="B275" s="325"/>
      <c r="C275" s="81"/>
      <c r="D275" s="43"/>
      <c r="E275" s="43"/>
      <c r="F275" s="43"/>
      <c r="G275" s="43"/>
      <c r="H275" s="218"/>
      <c r="I275" s="157"/>
      <c r="J275" s="45"/>
      <c r="K275" s="76"/>
      <c r="L275" s="79"/>
      <c r="M275" s="48"/>
      <c r="N275" s="78"/>
      <c r="O275" s="50"/>
      <c r="P275" s="51"/>
      <c r="Q275" s="52"/>
      <c r="R275" s="53"/>
      <c r="S275" s="54"/>
      <c r="T275" s="55"/>
      <c r="U275" s="56"/>
      <c r="V275" s="57"/>
      <c r="X275" s="209"/>
    </row>
    <row r="276" spans="1:24" outlineLevel="1" x14ac:dyDescent="0.2">
      <c r="A276" s="333"/>
      <c r="B276" s="215"/>
      <c r="C276" s="81"/>
      <c r="D276" s="43"/>
      <c r="E276" s="43"/>
      <c r="F276" s="43"/>
      <c r="G276" s="43"/>
      <c r="H276" s="218"/>
      <c r="I276" s="157"/>
      <c r="J276" s="45"/>
      <c r="K276" s="76"/>
      <c r="L276" s="79"/>
      <c r="M276" s="48"/>
      <c r="N276" s="78"/>
      <c r="O276" s="50"/>
      <c r="P276" s="51"/>
      <c r="Q276" s="52"/>
      <c r="R276" s="53"/>
      <c r="S276" s="54"/>
      <c r="T276" s="55"/>
      <c r="U276" s="56"/>
      <c r="V276" s="57"/>
      <c r="X276" s="209"/>
    </row>
    <row r="277" spans="1:24" outlineLevel="1" x14ac:dyDescent="0.2">
      <c r="A277" s="335"/>
      <c r="B277" s="325"/>
      <c r="C277" s="81"/>
      <c r="D277" s="43"/>
      <c r="E277" s="43"/>
      <c r="F277" s="43"/>
      <c r="G277" s="43"/>
      <c r="H277" s="218"/>
      <c r="I277" s="157"/>
      <c r="J277" s="45"/>
      <c r="K277" s="76"/>
      <c r="L277" s="79"/>
      <c r="M277" s="48"/>
      <c r="N277" s="78"/>
      <c r="O277" s="50"/>
      <c r="P277" s="51"/>
      <c r="Q277" s="52"/>
      <c r="R277" s="53"/>
      <c r="S277" s="54"/>
      <c r="T277" s="55"/>
      <c r="U277" s="56"/>
      <c r="V277" s="57"/>
      <c r="X277" s="209"/>
    </row>
    <row r="278" spans="1:24" outlineLevel="1" x14ac:dyDescent="0.2">
      <c r="A278" s="335"/>
      <c r="B278" s="325"/>
      <c r="C278" s="81"/>
      <c r="D278" s="43"/>
      <c r="E278" s="43"/>
      <c r="F278" s="43"/>
      <c r="G278" s="43"/>
      <c r="H278" s="218"/>
      <c r="I278" s="157"/>
      <c r="J278" s="45"/>
      <c r="K278" s="76"/>
      <c r="L278" s="79"/>
      <c r="M278" s="48"/>
      <c r="N278" s="78"/>
      <c r="O278" s="50"/>
      <c r="P278" s="51"/>
      <c r="Q278" s="52"/>
      <c r="R278" s="53"/>
      <c r="S278" s="54"/>
      <c r="T278" s="55"/>
      <c r="U278" s="56"/>
      <c r="V278" s="57"/>
      <c r="X278" s="209"/>
    </row>
    <row r="279" spans="1:24" outlineLevel="1" x14ac:dyDescent="0.2">
      <c r="A279" s="332"/>
      <c r="B279" s="305"/>
      <c r="C279" s="81"/>
      <c r="D279" s="43"/>
      <c r="E279" s="43"/>
      <c r="F279" s="43"/>
      <c r="G279" s="43"/>
      <c r="H279" s="218"/>
      <c r="I279" s="157"/>
      <c r="J279" s="45"/>
      <c r="K279" s="76"/>
      <c r="L279" s="79"/>
      <c r="M279" s="48"/>
      <c r="N279" s="78"/>
      <c r="O279" s="50"/>
      <c r="P279" s="51"/>
      <c r="Q279" s="52"/>
      <c r="R279" s="53"/>
      <c r="S279" s="54"/>
      <c r="T279" s="55"/>
      <c r="U279" s="56"/>
      <c r="V279" s="57"/>
      <c r="X279" s="209"/>
    </row>
    <row r="280" spans="1:24" outlineLevel="1" x14ac:dyDescent="0.2">
      <c r="A280" s="333"/>
      <c r="B280" s="215"/>
      <c r="C280" s="81"/>
      <c r="D280" s="43"/>
      <c r="E280" s="43"/>
      <c r="F280" s="43"/>
      <c r="G280" s="43"/>
      <c r="H280" s="218"/>
      <c r="I280" s="157"/>
      <c r="J280" s="45"/>
      <c r="K280" s="76"/>
      <c r="L280" s="79"/>
      <c r="M280" s="48"/>
      <c r="N280" s="78"/>
      <c r="O280" s="50"/>
      <c r="P280" s="51"/>
      <c r="Q280" s="52"/>
      <c r="R280" s="53"/>
      <c r="S280" s="54"/>
      <c r="T280" s="55"/>
      <c r="U280" s="56"/>
      <c r="V280" s="57"/>
      <c r="X280" s="209"/>
    </row>
    <row r="281" spans="1:24" outlineLevel="1" x14ac:dyDescent="0.2">
      <c r="A281" s="332"/>
      <c r="B281" s="305"/>
      <c r="C281" s="81"/>
      <c r="D281" s="43"/>
      <c r="E281" s="43"/>
      <c r="F281" s="43"/>
      <c r="G281" s="43"/>
      <c r="H281" s="218"/>
      <c r="I281" s="157"/>
      <c r="J281" s="45"/>
      <c r="K281" s="76"/>
      <c r="L281" s="79"/>
      <c r="M281" s="48"/>
      <c r="N281" s="78"/>
      <c r="O281" s="50"/>
      <c r="P281" s="51"/>
      <c r="Q281" s="52"/>
      <c r="R281" s="53"/>
      <c r="S281" s="54"/>
      <c r="T281" s="55"/>
      <c r="U281" s="56"/>
      <c r="V281" s="57"/>
      <c r="X281" s="209"/>
    </row>
    <row r="282" spans="1:24" outlineLevel="1" x14ac:dyDescent="0.2">
      <c r="A282" s="333"/>
      <c r="B282" s="215"/>
      <c r="C282" s="81"/>
      <c r="D282" s="43"/>
      <c r="E282" s="43"/>
      <c r="F282" s="43"/>
      <c r="G282" s="43"/>
      <c r="H282" s="218"/>
      <c r="I282" s="157"/>
      <c r="J282" s="45"/>
      <c r="K282" s="76"/>
      <c r="L282" s="79"/>
      <c r="M282" s="48"/>
      <c r="N282" s="78"/>
      <c r="O282" s="50"/>
      <c r="P282" s="51"/>
      <c r="Q282" s="52"/>
      <c r="R282" s="53"/>
      <c r="S282" s="54"/>
      <c r="T282" s="55"/>
      <c r="U282" s="56"/>
      <c r="V282" s="57"/>
      <c r="X282" s="209"/>
    </row>
    <row r="283" spans="1:24" outlineLevel="1" x14ac:dyDescent="0.2">
      <c r="A283" s="335"/>
      <c r="B283" s="325"/>
      <c r="C283" s="81"/>
      <c r="D283" s="43"/>
      <c r="E283" s="43"/>
      <c r="F283" s="43"/>
      <c r="G283" s="43"/>
      <c r="H283" s="218"/>
      <c r="I283" s="157"/>
      <c r="J283" s="45"/>
      <c r="K283" s="76"/>
      <c r="L283" s="79"/>
      <c r="M283" s="48"/>
      <c r="N283" s="78"/>
      <c r="O283" s="50"/>
      <c r="P283" s="51"/>
      <c r="Q283" s="52"/>
      <c r="R283" s="53"/>
      <c r="S283" s="54"/>
      <c r="T283" s="55"/>
      <c r="U283" s="56"/>
      <c r="V283" s="57"/>
      <c r="X283" s="209"/>
    </row>
    <row r="284" spans="1:24" outlineLevel="1" x14ac:dyDescent="0.2">
      <c r="A284" s="333"/>
      <c r="B284" s="215"/>
      <c r="C284" s="81"/>
      <c r="D284" s="43"/>
      <c r="E284" s="43"/>
      <c r="F284" s="43"/>
      <c r="G284" s="43"/>
      <c r="H284" s="218"/>
      <c r="I284" s="157"/>
      <c r="J284" s="45"/>
      <c r="K284" s="76"/>
      <c r="L284" s="79"/>
      <c r="M284" s="48"/>
      <c r="N284" s="78"/>
      <c r="O284" s="50"/>
      <c r="P284" s="51"/>
      <c r="Q284" s="52"/>
      <c r="R284" s="53"/>
      <c r="S284" s="54"/>
      <c r="T284" s="55"/>
      <c r="U284" s="56"/>
      <c r="V284" s="57"/>
      <c r="X284" s="209"/>
    </row>
    <row r="285" spans="1:24" outlineLevel="1" x14ac:dyDescent="0.2">
      <c r="A285" s="335"/>
      <c r="B285" s="325"/>
      <c r="C285" s="81"/>
      <c r="D285" s="43"/>
      <c r="E285" s="43"/>
      <c r="F285" s="43"/>
      <c r="G285" s="43"/>
      <c r="H285" s="218"/>
      <c r="I285" s="157"/>
      <c r="J285" s="45"/>
      <c r="K285" s="76"/>
      <c r="L285" s="79"/>
      <c r="M285" s="48"/>
      <c r="N285" s="78"/>
      <c r="O285" s="50"/>
      <c r="P285" s="51"/>
      <c r="Q285" s="52"/>
      <c r="R285" s="53"/>
      <c r="S285" s="54"/>
      <c r="T285" s="55"/>
      <c r="U285" s="56"/>
      <c r="V285" s="57"/>
      <c r="X285" s="209"/>
    </row>
    <row r="286" spans="1:24" outlineLevel="1" x14ac:dyDescent="0.2">
      <c r="A286" s="333"/>
      <c r="B286" s="215"/>
      <c r="C286" s="81"/>
      <c r="D286" s="43"/>
      <c r="E286" s="43"/>
      <c r="F286" s="43"/>
      <c r="G286" s="43"/>
      <c r="H286" s="218"/>
      <c r="I286" s="157"/>
      <c r="J286" s="45"/>
      <c r="K286" s="76"/>
      <c r="L286" s="79"/>
      <c r="M286" s="48"/>
      <c r="N286" s="78"/>
      <c r="O286" s="50"/>
      <c r="P286" s="51"/>
      <c r="Q286" s="52"/>
      <c r="R286" s="53"/>
      <c r="S286" s="54"/>
      <c r="T286" s="55"/>
      <c r="U286" s="56"/>
      <c r="V286" s="57"/>
      <c r="X286" s="209"/>
    </row>
    <row r="287" spans="1:24" outlineLevel="1" x14ac:dyDescent="0.2">
      <c r="A287" s="335"/>
      <c r="B287" s="325"/>
      <c r="C287" s="81"/>
      <c r="D287" s="43"/>
      <c r="E287" s="43"/>
      <c r="F287" s="43"/>
      <c r="G287" s="43"/>
      <c r="H287" s="218"/>
      <c r="I287" s="157"/>
      <c r="J287" s="45"/>
      <c r="K287" s="76"/>
      <c r="L287" s="79"/>
      <c r="M287" s="48"/>
      <c r="N287" s="78"/>
      <c r="O287" s="50"/>
      <c r="P287" s="51"/>
      <c r="Q287" s="52"/>
      <c r="R287" s="53"/>
      <c r="S287" s="54"/>
      <c r="T287" s="55"/>
      <c r="U287" s="56"/>
      <c r="V287" s="57"/>
      <c r="X287" s="209"/>
    </row>
    <row r="288" spans="1:24" outlineLevel="1" x14ac:dyDescent="0.2">
      <c r="A288" s="335"/>
      <c r="B288" s="325"/>
      <c r="C288" s="81"/>
      <c r="D288" s="43"/>
      <c r="E288" s="43"/>
      <c r="F288" s="43"/>
      <c r="G288" s="43"/>
      <c r="H288" s="218"/>
      <c r="I288" s="157"/>
      <c r="J288" s="45"/>
      <c r="K288" s="76"/>
      <c r="L288" s="79"/>
      <c r="M288" s="48"/>
      <c r="N288" s="78"/>
      <c r="O288" s="50"/>
      <c r="P288" s="51"/>
      <c r="Q288" s="52"/>
      <c r="R288" s="53"/>
      <c r="S288" s="54"/>
      <c r="T288" s="55"/>
      <c r="U288" s="56"/>
      <c r="V288" s="57"/>
      <c r="X288" s="209"/>
    </row>
    <row r="289" spans="1:24" outlineLevel="1" x14ac:dyDescent="0.2">
      <c r="A289" s="332"/>
      <c r="B289" s="305"/>
      <c r="C289" s="81"/>
      <c r="D289" s="43"/>
      <c r="E289" s="43"/>
      <c r="F289" s="43"/>
      <c r="G289" s="43"/>
      <c r="H289" s="218"/>
      <c r="I289" s="157"/>
      <c r="J289" s="45"/>
      <c r="K289" s="76"/>
      <c r="L289" s="79"/>
      <c r="M289" s="48"/>
      <c r="N289" s="78"/>
      <c r="O289" s="50"/>
      <c r="P289" s="51"/>
      <c r="Q289" s="52"/>
      <c r="R289" s="53"/>
      <c r="S289" s="54"/>
      <c r="T289" s="55"/>
      <c r="U289" s="56"/>
      <c r="V289" s="57"/>
      <c r="X289" s="209"/>
    </row>
    <row r="290" spans="1:24" outlineLevel="1" x14ac:dyDescent="0.2">
      <c r="A290" s="333"/>
      <c r="B290" s="215"/>
      <c r="C290" s="81"/>
      <c r="D290" s="43"/>
      <c r="E290" s="43"/>
      <c r="F290" s="43"/>
      <c r="G290" s="43"/>
      <c r="H290" s="218"/>
      <c r="I290" s="157"/>
      <c r="J290" s="45"/>
      <c r="K290" s="76"/>
      <c r="L290" s="79"/>
      <c r="M290" s="48"/>
      <c r="N290" s="78"/>
      <c r="O290" s="50"/>
      <c r="P290" s="51"/>
      <c r="Q290" s="52"/>
      <c r="R290" s="53"/>
      <c r="S290" s="54"/>
      <c r="T290" s="55"/>
      <c r="U290" s="56"/>
      <c r="V290" s="57"/>
      <c r="X290" s="209"/>
    </row>
    <row r="291" spans="1:24" outlineLevel="1" x14ac:dyDescent="0.2">
      <c r="A291" s="335"/>
      <c r="B291" s="325"/>
      <c r="C291" s="81"/>
      <c r="D291" s="43"/>
      <c r="E291" s="43"/>
      <c r="F291" s="43"/>
      <c r="G291" s="43"/>
      <c r="H291" s="218"/>
      <c r="I291" s="157"/>
      <c r="J291" s="45"/>
      <c r="K291" s="76"/>
      <c r="L291" s="79"/>
      <c r="M291" s="48"/>
      <c r="N291" s="78"/>
      <c r="O291" s="50"/>
      <c r="P291" s="51"/>
      <c r="Q291" s="52"/>
      <c r="R291" s="53"/>
      <c r="S291" s="54"/>
      <c r="T291" s="55"/>
      <c r="U291" s="56"/>
      <c r="V291" s="57"/>
      <c r="X291" s="209"/>
    </row>
    <row r="292" spans="1:24" outlineLevel="1" x14ac:dyDescent="0.2">
      <c r="A292" s="332"/>
      <c r="B292" s="305"/>
      <c r="C292" s="81"/>
      <c r="D292" s="43"/>
      <c r="E292" s="43"/>
      <c r="F292" s="43"/>
      <c r="G292" s="43"/>
      <c r="H292" s="218"/>
      <c r="I292" s="157"/>
      <c r="J292" s="45"/>
      <c r="K292" s="76"/>
      <c r="L292" s="79"/>
      <c r="M292" s="48"/>
      <c r="N292" s="78"/>
      <c r="O292" s="50"/>
      <c r="P292" s="51"/>
      <c r="Q292" s="52"/>
      <c r="R292" s="53"/>
      <c r="S292" s="54"/>
      <c r="T292" s="55"/>
      <c r="U292" s="56"/>
      <c r="V292" s="57"/>
      <c r="X292" s="209"/>
    </row>
    <row r="293" spans="1:24" outlineLevel="1" x14ac:dyDescent="0.2">
      <c r="A293" s="333"/>
      <c r="B293" s="215"/>
      <c r="C293" s="81"/>
      <c r="D293" s="43"/>
      <c r="E293" s="43"/>
      <c r="F293" s="43"/>
      <c r="G293" s="43"/>
      <c r="H293" s="218"/>
      <c r="I293" s="157"/>
      <c r="J293" s="45"/>
      <c r="K293" s="76"/>
      <c r="L293" s="79"/>
      <c r="M293" s="48"/>
      <c r="N293" s="78"/>
      <c r="O293" s="50"/>
      <c r="P293" s="51"/>
      <c r="Q293" s="52"/>
      <c r="R293" s="53"/>
      <c r="S293" s="54"/>
      <c r="T293" s="55"/>
      <c r="U293" s="56"/>
      <c r="V293" s="57"/>
      <c r="X293" s="209"/>
    </row>
    <row r="294" spans="1:24" outlineLevel="1" x14ac:dyDescent="0.2">
      <c r="A294" s="332"/>
      <c r="B294" s="305"/>
      <c r="C294" s="81"/>
      <c r="D294" s="43"/>
      <c r="E294" s="43"/>
      <c r="F294" s="43"/>
      <c r="G294" s="43"/>
      <c r="H294" s="218"/>
      <c r="I294" s="157"/>
      <c r="J294" s="45"/>
      <c r="K294" s="76"/>
      <c r="L294" s="79"/>
      <c r="M294" s="48"/>
      <c r="N294" s="78"/>
      <c r="O294" s="50"/>
      <c r="P294" s="51"/>
      <c r="Q294" s="52"/>
      <c r="R294" s="53"/>
      <c r="S294" s="54"/>
      <c r="T294" s="55"/>
      <c r="U294" s="56"/>
      <c r="V294" s="57"/>
      <c r="X294" s="209"/>
    </row>
    <row r="295" spans="1:24" outlineLevel="1" x14ac:dyDescent="0.2">
      <c r="A295" s="333"/>
      <c r="B295" s="215"/>
      <c r="C295" s="81"/>
      <c r="D295" s="43"/>
      <c r="E295" s="43"/>
      <c r="F295" s="43"/>
      <c r="G295" s="43"/>
      <c r="H295" s="218"/>
      <c r="I295" s="157"/>
      <c r="J295" s="45"/>
      <c r="K295" s="76"/>
      <c r="L295" s="79"/>
      <c r="M295" s="48"/>
      <c r="N295" s="78"/>
      <c r="O295" s="50"/>
      <c r="P295" s="51"/>
      <c r="Q295" s="52"/>
      <c r="R295" s="53"/>
      <c r="S295" s="54"/>
      <c r="T295" s="55"/>
      <c r="U295" s="56"/>
      <c r="V295" s="57"/>
      <c r="X295" s="209"/>
    </row>
    <row r="296" spans="1:24" outlineLevel="1" x14ac:dyDescent="0.2">
      <c r="A296" s="335"/>
      <c r="B296" s="325"/>
      <c r="C296" s="81"/>
      <c r="D296" s="43"/>
      <c r="E296" s="43"/>
      <c r="F296" s="43"/>
      <c r="G296" s="43"/>
      <c r="H296" s="218"/>
      <c r="I296" s="157"/>
      <c r="J296" s="45"/>
      <c r="K296" s="76"/>
      <c r="L296" s="79"/>
      <c r="M296" s="48"/>
      <c r="N296" s="78"/>
      <c r="O296" s="50"/>
      <c r="P296" s="51"/>
      <c r="Q296" s="52"/>
      <c r="R296" s="53"/>
      <c r="S296" s="54"/>
      <c r="T296" s="55"/>
      <c r="U296" s="56"/>
      <c r="V296" s="57"/>
      <c r="X296" s="209"/>
    </row>
    <row r="297" spans="1:24" outlineLevel="1" x14ac:dyDescent="0.2">
      <c r="A297" s="333"/>
      <c r="B297" s="215"/>
      <c r="C297" s="81"/>
      <c r="D297" s="43"/>
      <c r="E297" s="43"/>
      <c r="F297" s="43"/>
      <c r="G297" s="43"/>
      <c r="H297" s="218"/>
      <c r="I297" s="157"/>
      <c r="J297" s="45"/>
      <c r="K297" s="76"/>
      <c r="L297" s="79"/>
      <c r="M297" s="48"/>
      <c r="N297" s="78"/>
      <c r="O297" s="50"/>
      <c r="P297" s="51"/>
      <c r="Q297" s="52"/>
      <c r="R297" s="53"/>
      <c r="S297" s="54"/>
      <c r="T297" s="55"/>
      <c r="U297" s="56"/>
      <c r="V297" s="57"/>
      <c r="X297" s="209"/>
    </row>
    <row r="298" spans="1:24" outlineLevel="1" x14ac:dyDescent="0.2">
      <c r="A298" s="335"/>
      <c r="B298" s="325"/>
      <c r="C298" s="81"/>
      <c r="D298" s="43"/>
      <c r="E298" s="43"/>
      <c r="F298" s="43"/>
      <c r="G298" s="43"/>
      <c r="H298" s="218"/>
      <c r="I298" s="157"/>
      <c r="J298" s="45"/>
      <c r="K298" s="76"/>
      <c r="L298" s="79"/>
      <c r="M298" s="48"/>
      <c r="N298" s="78"/>
      <c r="O298" s="50"/>
      <c r="P298" s="51"/>
      <c r="Q298" s="52"/>
      <c r="R298" s="53"/>
      <c r="S298" s="54"/>
      <c r="T298" s="55"/>
      <c r="U298" s="56"/>
      <c r="V298" s="57"/>
      <c r="X298" s="209"/>
    </row>
    <row r="299" spans="1:24" outlineLevel="1" x14ac:dyDescent="0.2">
      <c r="A299" s="333"/>
      <c r="B299" s="215"/>
      <c r="C299" s="81"/>
      <c r="D299" s="43"/>
      <c r="E299" s="43"/>
      <c r="F299" s="43"/>
      <c r="G299" s="43"/>
      <c r="H299" s="218"/>
      <c r="I299" s="157"/>
      <c r="J299" s="45"/>
      <c r="K299" s="76"/>
      <c r="L299" s="79"/>
      <c r="M299" s="48"/>
      <c r="N299" s="78"/>
      <c r="O299" s="50"/>
      <c r="P299" s="51"/>
      <c r="Q299" s="52"/>
      <c r="R299" s="53"/>
      <c r="S299" s="54"/>
      <c r="T299" s="55"/>
      <c r="U299" s="56"/>
      <c r="V299" s="57"/>
      <c r="X299" s="209"/>
    </row>
    <row r="300" spans="1:24" outlineLevel="1" x14ac:dyDescent="0.2">
      <c r="A300" s="335"/>
      <c r="B300" s="325"/>
      <c r="C300" s="81"/>
      <c r="D300" s="43"/>
      <c r="E300" s="43"/>
      <c r="F300" s="43"/>
      <c r="G300" s="43"/>
      <c r="H300" s="218"/>
      <c r="I300" s="157"/>
      <c r="J300" s="45"/>
      <c r="K300" s="76"/>
      <c r="L300" s="79"/>
      <c r="M300" s="48"/>
      <c r="N300" s="78"/>
      <c r="O300" s="50"/>
      <c r="P300" s="51"/>
      <c r="Q300" s="52"/>
      <c r="R300" s="53"/>
      <c r="S300" s="54"/>
      <c r="T300" s="55"/>
      <c r="U300" s="56"/>
      <c r="V300" s="57"/>
      <c r="X300" s="209"/>
    </row>
    <row r="301" spans="1:24" outlineLevel="1" x14ac:dyDescent="0.2">
      <c r="A301" s="335"/>
      <c r="B301" s="325"/>
      <c r="C301" s="81"/>
      <c r="D301" s="43"/>
      <c r="E301" s="43"/>
      <c r="F301" s="43"/>
      <c r="G301" s="43"/>
      <c r="H301" s="218"/>
      <c r="I301" s="157"/>
      <c r="J301" s="45"/>
      <c r="K301" s="76"/>
      <c r="L301" s="79"/>
      <c r="M301" s="48"/>
      <c r="N301" s="78"/>
      <c r="O301" s="50"/>
      <c r="P301" s="51"/>
      <c r="Q301" s="52"/>
      <c r="R301" s="53"/>
      <c r="S301" s="54"/>
      <c r="T301" s="55"/>
      <c r="U301" s="56"/>
      <c r="V301" s="57"/>
      <c r="X301" s="209"/>
    </row>
    <row r="302" spans="1:24" outlineLevel="1" x14ac:dyDescent="0.2">
      <c r="A302" s="332"/>
      <c r="B302" s="305"/>
      <c r="C302" s="81"/>
      <c r="D302" s="43"/>
      <c r="E302" s="43"/>
      <c r="F302" s="43"/>
      <c r="G302" s="43"/>
      <c r="H302" s="218"/>
      <c r="I302" s="157"/>
      <c r="J302" s="45"/>
      <c r="K302" s="76"/>
      <c r="L302" s="79"/>
      <c r="M302" s="48"/>
      <c r="N302" s="78"/>
      <c r="O302" s="50"/>
      <c r="P302" s="51"/>
      <c r="Q302" s="52"/>
      <c r="R302" s="53"/>
      <c r="S302" s="54"/>
      <c r="T302" s="55"/>
      <c r="U302" s="56"/>
      <c r="V302" s="57"/>
      <c r="X302" s="209"/>
    </row>
    <row r="303" spans="1:24" outlineLevel="1" x14ac:dyDescent="0.2">
      <c r="A303" s="333"/>
      <c r="B303" s="215"/>
      <c r="C303" s="81"/>
      <c r="D303" s="43"/>
      <c r="E303" s="43"/>
      <c r="F303" s="43"/>
      <c r="G303" s="43"/>
      <c r="H303" s="218"/>
      <c r="I303" s="157"/>
      <c r="J303" s="45"/>
      <c r="K303" s="76"/>
      <c r="L303" s="79"/>
      <c r="M303" s="48"/>
      <c r="N303" s="78"/>
      <c r="O303" s="50"/>
      <c r="P303" s="51"/>
      <c r="Q303" s="52"/>
      <c r="R303" s="53"/>
      <c r="S303" s="54"/>
      <c r="T303" s="55"/>
      <c r="U303" s="56"/>
      <c r="V303" s="57"/>
      <c r="X303" s="209"/>
    </row>
    <row r="304" spans="1:24" outlineLevel="1" x14ac:dyDescent="0.2">
      <c r="A304" s="335"/>
      <c r="B304" s="325"/>
      <c r="C304" s="81"/>
      <c r="D304" s="43"/>
      <c r="E304" s="43"/>
      <c r="F304" s="43"/>
      <c r="G304" s="43"/>
      <c r="H304" s="218"/>
      <c r="I304" s="157"/>
      <c r="J304" s="45"/>
      <c r="K304" s="76"/>
      <c r="L304" s="79"/>
      <c r="M304" s="48"/>
      <c r="N304" s="78"/>
      <c r="O304" s="50"/>
      <c r="P304" s="51"/>
      <c r="Q304" s="52"/>
      <c r="R304" s="53"/>
      <c r="S304" s="54"/>
      <c r="T304" s="55"/>
      <c r="U304" s="56"/>
      <c r="V304" s="57"/>
      <c r="X304" s="209"/>
    </row>
    <row r="305" spans="1:24" outlineLevel="1" x14ac:dyDescent="0.2">
      <c r="A305" s="333"/>
      <c r="B305" s="215"/>
      <c r="C305" s="81"/>
      <c r="D305" s="43"/>
      <c r="E305" s="43"/>
      <c r="F305" s="43"/>
      <c r="G305" s="43"/>
      <c r="H305" s="218"/>
      <c r="I305" s="157"/>
      <c r="J305" s="45"/>
      <c r="K305" s="76"/>
      <c r="L305" s="79"/>
      <c r="M305" s="48"/>
      <c r="N305" s="78"/>
      <c r="O305" s="50"/>
      <c r="P305" s="51"/>
      <c r="Q305" s="52"/>
      <c r="R305" s="53"/>
      <c r="S305" s="54"/>
      <c r="T305" s="55"/>
      <c r="U305" s="56"/>
      <c r="V305" s="57"/>
      <c r="X305" s="209"/>
    </row>
    <row r="306" spans="1:24" outlineLevel="1" x14ac:dyDescent="0.2">
      <c r="A306" s="335"/>
      <c r="B306" s="325"/>
      <c r="C306" s="81"/>
      <c r="D306" s="43"/>
      <c r="E306" s="43"/>
      <c r="F306" s="43"/>
      <c r="G306" s="43"/>
      <c r="H306" s="218"/>
      <c r="I306" s="157"/>
      <c r="J306" s="45"/>
      <c r="K306" s="76"/>
      <c r="L306" s="79"/>
      <c r="M306" s="48"/>
      <c r="N306" s="78"/>
      <c r="O306" s="50"/>
      <c r="P306" s="51"/>
      <c r="Q306" s="52"/>
      <c r="R306" s="53"/>
      <c r="S306" s="54"/>
      <c r="T306" s="55"/>
      <c r="U306" s="56"/>
      <c r="V306" s="57"/>
      <c r="X306" s="209"/>
    </row>
    <row r="307" spans="1:24" outlineLevel="1" x14ac:dyDescent="0.2">
      <c r="A307" s="332"/>
      <c r="B307" s="305"/>
      <c r="C307" s="81"/>
      <c r="D307" s="43"/>
      <c r="E307" s="43"/>
      <c r="F307" s="43"/>
      <c r="G307" s="43"/>
      <c r="H307" s="218"/>
      <c r="I307" s="157"/>
      <c r="J307" s="45"/>
      <c r="K307" s="76"/>
      <c r="L307" s="79"/>
      <c r="M307" s="48"/>
      <c r="N307" s="78"/>
      <c r="O307" s="50"/>
      <c r="P307" s="51"/>
      <c r="Q307" s="52"/>
      <c r="R307" s="53"/>
      <c r="S307" s="54"/>
      <c r="T307" s="55"/>
      <c r="U307" s="56"/>
      <c r="V307" s="57"/>
      <c r="X307" s="209"/>
    </row>
    <row r="308" spans="1:24" outlineLevel="1" x14ac:dyDescent="0.2">
      <c r="A308" s="333"/>
      <c r="B308" s="215"/>
      <c r="C308" s="81"/>
      <c r="D308" s="43"/>
      <c r="E308" s="43"/>
      <c r="F308" s="43"/>
      <c r="G308" s="43"/>
      <c r="H308" s="218"/>
      <c r="I308" s="157"/>
      <c r="J308" s="45"/>
      <c r="K308" s="76"/>
      <c r="L308" s="79"/>
      <c r="M308" s="48"/>
      <c r="N308" s="78"/>
      <c r="O308" s="50"/>
      <c r="P308" s="51"/>
      <c r="Q308" s="52"/>
      <c r="R308" s="53"/>
      <c r="S308" s="54"/>
      <c r="T308" s="55"/>
      <c r="U308" s="56"/>
      <c r="V308" s="57"/>
      <c r="X308" s="209"/>
    </row>
    <row r="309" spans="1:24" outlineLevel="1" x14ac:dyDescent="0.2">
      <c r="A309" s="332"/>
      <c r="B309" s="305"/>
      <c r="C309" s="81"/>
      <c r="D309" s="43"/>
      <c r="E309" s="43"/>
      <c r="F309" s="43"/>
      <c r="G309" s="43"/>
      <c r="H309" s="218"/>
      <c r="I309" s="157"/>
      <c r="J309" s="45"/>
      <c r="K309" s="76"/>
      <c r="L309" s="79"/>
      <c r="M309" s="48"/>
      <c r="N309" s="78"/>
      <c r="O309" s="50"/>
      <c r="P309" s="51"/>
      <c r="Q309" s="52"/>
      <c r="R309" s="53"/>
      <c r="S309" s="54"/>
      <c r="T309" s="55"/>
      <c r="U309" s="56"/>
      <c r="V309" s="57"/>
      <c r="X309" s="209"/>
    </row>
    <row r="310" spans="1:24" outlineLevel="1" x14ac:dyDescent="0.2">
      <c r="A310" s="333"/>
      <c r="B310" s="215"/>
      <c r="C310" s="81"/>
      <c r="D310" s="43"/>
      <c r="E310" s="43"/>
      <c r="F310" s="43"/>
      <c r="G310" s="43"/>
      <c r="H310" s="218"/>
      <c r="I310" s="157"/>
      <c r="J310" s="45"/>
      <c r="K310" s="76"/>
      <c r="L310" s="79"/>
      <c r="M310" s="48"/>
      <c r="N310" s="78"/>
      <c r="O310" s="50"/>
      <c r="P310" s="51"/>
      <c r="Q310" s="52"/>
      <c r="R310" s="53"/>
      <c r="S310" s="54"/>
      <c r="T310" s="55"/>
      <c r="U310" s="56"/>
      <c r="V310" s="57"/>
      <c r="X310" s="209"/>
    </row>
    <row r="311" spans="1:24" outlineLevel="1" x14ac:dyDescent="0.2">
      <c r="A311" s="335"/>
      <c r="B311" s="325"/>
      <c r="C311" s="81"/>
      <c r="D311" s="43"/>
      <c r="E311" s="43"/>
      <c r="F311" s="43"/>
      <c r="G311" s="43"/>
      <c r="H311" s="218"/>
      <c r="I311" s="157"/>
      <c r="J311" s="45"/>
      <c r="K311" s="76"/>
      <c r="L311" s="79"/>
      <c r="M311" s="48"/>
      <c r="N311" s="78"/>
      <c r="O311" s="50"/>
      <c r="P311" s="51"/>
      <c r="Q311" s="52"/>
      <c r="R311" s="53"/>
      <c r="S311" s="54"/>
      <c r="T311" s="55"/>
      <c r="U311" s="56"/>
      <c r="V311" s="57"/>
      <c r="X311" s="209"/>
    </row>
    <row r="312" spans="1:24" outlineLevel="1" x14ac:dyDescent="0.2">
      <c r="A312" s="335"/>
      <c r="B312" s="325"/>
      <c r="C312" s="81"/>
      <c r="D312" s="43"/>
      <c r="E312" s="43"/>
      <c r="F312" s="43"/>
      <c r="G312" s="43"/>
      <c r="H312" s="218"/>
      <c r="I312" s="157"/>
      <c r="J312" s="45"/>
      <c r="K312" s="76"/>
      <c r="L312" s="79"/>
      <c r="M312" s="48"/>
      <c r="N312" s="78"/>
      <c r="O312" s="50"/>
      <c r="P312" s="51"/>
      <c r="Q312" s="52"/>
      <c r="R312" s="53"/>
      <c r="S312" s="54"/>
      <c r="T312" s="55"/>
      <c r="U312" s="56"/>
      <c r="V312" s="57"/>
      <c r="X312" s="209"/>
    </row>
    <row r="313" spans="1:24" outlineLevel="1" x14ac:dyDescent="0.2">
      <c r="A313" s="332"/>
      <c r="B313" s="305"/>
      <c r="C313" s="81"/>
      <c r="D313" s="43"/>
      <c r="E313" s="43"/>
      <c r="F313" s="43"/>
      <c r="G313" s="43"/>
      <c r="H313" s="218"/>
      <c r="I313" s="157"/>
      <c r="J313" s="45"/>
      <c r="K313" s="76"/>
      <c r="L313" s="79"/>
      <c r="M313" s="48"/>
      <c r="N313" s="78"/>
      <c r="O313" s="50"/>
      <c r="P313" s="51"/>
      <c r="Q313" s="52"/>
      <c r="R313" s="53"/>
      <c r="S313" s="54"/>
      <c r="T313" s="55"/>
      <c r="U313" s="56"/>
      <c r="V313" s="57"/>
      <c r="X313" s="209"/>
    </row>
    <row r="314" spans="1:24" outlineLevel="1" x14ac:dyDescent="0.2">
      <c r="A314" s="333"/>
      <c r="B314" s="215"/>
      <c r="C314" s="81"/>
      <c r="D314" s="43"/>
      <c r="E314" s="43"/>
      <c r="F314" s="43"/>
      <c r="G314" s="43"/>
      <c r="H314" s="218"/>
      <c r="I314" s="157"/>
      <c r="J314" s="45"/>
      <c r="K314" s="76"/>
      <c r="L314" s="79"/>
      <c r="M314" s="48"/>
      <c r="N314" s="78"/>
      <c r="O314" s="50"/>
      <c r="P314" s="51"/>
      <c r="Q314" s="52"/>
      <c r="R314" s="53"/>
      <c r="S314" s="54"/>
      <c r="T314" s="55"/>
      <c r="U314" s="56"/>
      <c r="V314" s="57"/>
      <c r="X314" s="209"/>
    </row>
    <row r="315" spans="1:24" outlineLevel="1" x14ac:dyDescent="0.2">
      <c r="A315" s="332"/>
      <c r="B315" s="305"/>
      <c r="C315" s="81"/>
      <c r="D315" s="43"/>
      <c r="E315" s="43"/>
      <c r="F315" s="43"/>
      <c r="G315" s="43"/>
      <c r="H315" s="218"/>
      <c r="I315" s="157"/>
      <c r="J315" s="45"/>
      <c r="K315" s="76"/>
      <c r="L315" s="79"/>
      <c r="M315" s="48"/>
      <c r="N315" s="78"/>
      <c r="O315" s="50"/>
      <c r="P315" s="51"/>
      <c r="Q315" s="52"/>
      <c r="R315" s="53"/>
      <c r="S315" s="54"/>
      <c r="T315" s="55"/>
      <c r="U315" s="56"/>
      <c r="V315" s="57"/>
      <c r="X315" s="209"/>
    </row>
    <row r="316" spans="1:24" outlineLevel="1" x14ac:dyDescent="0.2">
      <c r="A316" s="333"/>
      <c r="B316" s="215"/>
      <c r="C316" s="81"/>
      <c r="D316" s="43"/>
      <c r="E316" s="43"/>
      <c r="F316" s="43"/>
      <c r="G316" s="43"/>
      <c r="H316" s="218"/>
      <c r="I316" s="157"/>
      <c r="J316" s="45"/>
      <c r="K316" s="76"/>
      <c r="L316" s="79"/>
      <c r="M316" s="48"/>
      <c r="N316" s="78"/>
      <c r="O316" s="50"/>
      <c r="P316" s="51"/>
      <c r="Q316" s="52"/>
      <c r="R316" s="53"/>
      <c r="S316" s="54"/>
      <c r="T316" s="55"/>
      <c r="U316" s="56"/>
      <c r="V316" s="57"/>
      <c r="X316" s="209"/>
    </row>
    <row r="317" spans="1:24" outlineLevel="1" x14ac:dyDescent="0.2">
      <c r="A317" s="332"/>
      <c r="B317" s="305"/>
      <c r="C317" s="81"/>
      <c r="D317" s="43"/>
      <c r="E317" s="43"/>
      <c r="F317" s="43"/>
      <c r="G317" s="43"/>
      <c r="H317" s="218"/>
      <c r="I317" s="157"/>
      <c r="J317" s="45"/>
      <c r="K317" s="76"/>
      <c r="L317" s="79"/>
      <c r="M317" s="48"/>
      <c r="N317" s="78"/>
      <c r="O317" s="50"/>
      <c r="P317" s="51"/>
      <c r="Q317" s="52"/>
      <c r="R317" s="53"/>
      <c r="S317" s="54"/>
      <c r="T317" s="55"/>
      <c r="U317" s="56"/>
      <c r="V317" s="57"/>
      <c r="X317" s="209"/>
    </row>
    <row r="318" spans="1:24" outlineLevel="1" x14ac:dyDescent="0.2">
      <c r="A318" s="333"/>
      <c r="B318" s="215"/>
      <c r="C318" s="81"/>
      <c r="D318" s="43"/>
      <c r="E318" s="43"/>
      <c r="F318" s="43"/>
      <c r="G318" s="43"/>
      <c r="H318" s="218"/>
      <c r="I318" s="157"/>
      <c r="J318" s="45"/>
      <c r="K318" s="76"/>
      <c r="L318" s="79"/>
      <c r="M318" s="48"/>
      <c r="N318" s="78"/>
      <c r="O318" s="50"/>
      <c r="P318" s="51"/>
      <c r="Q318" s="52"/>
      <c r="R318" s="53"/>
      <c r="S318" s="54"/>
      <c r="T318" s="55"/>
      <c r="U318" s="56"/>
      <c r="V318" s="57"/>
      <c r="X318" s="209"/>
    </row>
    <row r="319" spans="1:24" outlineLevel="1" x14ac:dyDescent="0.2">
      <c r="A319" s="335"/>
      <c r="B319" s="325"/>
      <c r="C319" s="81"/>
      <c r="D319" s="43"/>
      <c r="E319" s="43"/>
      <c r="F319" s="43"/>
      <c r="G319" s="43"/>
      <c r="H319" s="218"/>
      <c r="I319" s="157"/>
      <c r="J319" s="45"/>
      <c r="K319" s="76"/>
      <c r="L319" s="79"/>
      <c r="M319" s="48"/>
      <c r="N319" s="78"/>
      <c r="O319" s="50"/>
      <c r="P319" s="51"/>
      <c r="Q319" s="52"/>
      <c r="R319" s="53"/>
      <c r="S319" s="54"/>
      <c r="T319" s="55"/>
      <c r="U319" s="56"/>
      <c r="V319" s="57"/>
      <c r="X319" s="209"/>
    </row>
    <row r="320" spans="1:24" outlineLevel="1" x14ac:dyDescent="0.2">
      <c r="A320" s="335"/>
      <c r="B320" s="325"/>
      <c r="C320" s="81"/>
      <c r="D320" s="43"/>
      <c r="E320" s="43"/>
      <c r="F320" s="43"/>
      <c r="G320" s="43"/>
      <c r="H320" s="218"/>
      <c r="I320" s="157"/>
      <c r="J320" s="45"/>
      <c r="K320" s="76"/>
      <c r="L320" s="79"/>
      <c r="M320" s="48"/>
      <c r="N320" s="78"/>
      <c r="O320" s="50"/>
      <c r="P320" s="51"/>
      <c r="Q320" s="52"/>
      <c r="R320" s="53"/>
      <c r="S320" s="54"/>
      <c r="T320" s="55"/>
      <c r="U320" s="56"/>
      <c r="V320" s="57"/>
      <c r="X320" s="209"/>
    </row>
    <row r="321" spans="1:24" outlineLevel="1" x14ac:dyDescent="0.2">
      <c r="A321" s="332"/>
      <c r="B321" s="305"/>
      <c r="C321" s="81"/>
      <c r="D321" s="43"/>
      <c r="E321" s="43"/>
      <c r="F321" s="43"/>
      <c r="G321" s="43"/>
      <c r="H321" s="218"/>
      <c r="I321" s="157"/>
      <c r="J321" s="45"/>
      <c r="K321" s="76"/>
      <c r="L321" s="79"/>
      <c r="M321" s="48"/>
      <c r="N321" s="78"/>
      <c r="O321" s="50"/>
      <c r="P321" s="51"/>
      <c r="Q321" s="52"/>
      <c r="R321" s="53"/>
      <c r="S321" s="54"/>
      <c r="T321" s="55"/>
      <c r="U321" s="56"/>
      <c r="V321" s="57"/>
      <c r="X321" s="209"/>
    </row>
    <row r="322" spans="1:24" outlineLevel="1" x14ac:dyDescent="0.2">
      <c r="A322" s="333"/>
      <c r="B322" s="215"/>
      <c r="C322" s="81"/>
      <c r="D322" s="43"/>
      <c r="E322" s="43"/>
      <c r="F322" s="43"/>
      <c r="G322" s="43"/>
      <c r="H322" s="218"/>
      <c r="I322" s="157"/>
      <c r="J322" s="45"/>
      <c r="K322" s="76"/>
      <c r="L322" s="79"/>
      <c r="M322" s="48"/>
      <c r="N322" s="78"/>
      <c r="O322" s="50"/>
      <c r="P322" s="51"/>
      <c r="Q322" s="52"/>
      <c r="R322" s="53"/>
      <c r="S322" s="54"/>
      <c r="T322" s="55"/>
      <c r="U322" s="56"/>
      <c r="V322" s="57"/>
      <c r="X322" s="209"/>
    </row>
    <row r="323" spans="1:24" outlineLevel="1" x14ac:dyDescent="0.2">
      <c r="A323" s="332"/>
      <c r="B323" s="305"/>
      <c r="C323" s="81"/>
      <c r="D323" s="43"/>
      <c r="E323" s="43"/>
      <c r="F323" s="43"/>
      <c r="G323" s="43"/>
      <c r="H323" s="218"/>
      <c r="I323" s="157"/>
      <c r="J323" s="45"/>
      <c r="K323" s="76"/>
      <c r="L323" s="79"/>
      <c r="M323" s="48"/>
      <c r="N323" s="78"/>
      <c r="O323" s="50"/>
      <c r="P323" s="51"/>
      <c r="Q323" s="52"/>
      <c r="R323" s="53"/>
      <c r="S323" s="54"/>
      <c r="T323" s="55"/>
      <c r="U323" s="56"/>
      <c r="V323" s="57"/>
      <c r="X323" s="209"/>
    </row>
    <row r="324" spans="1:24" outlineLevel="1" x14ac:dyDescent="0.2">
      <c r="A324" s="333"/>
      <c r="B324" s="215"/>
      <c r="C324" s="81"/>
      <c r="D324" s="43"/>
      <c r="E324" s="43"/>
      <c r="F324" s="43"/>
      <c r="G324" s="43"/>
      <c r="H324" s="218"/>
      <c r="I324" s="157"/>
      <c r="J324" s="45"/>
      <c r="K324" s="76"/>
      <c r="L324" s="79"/>
      <c r="M324" s="48"/>
      <c r="N324" s="78"/>
      <c r="O324" s="50"/>
      <c r="P324" s="51"/>
      <c r="Q324" s="52"/>
      <c r="R324" s="53"/>
      <c r="S324" s="54"/>
      <c r="T324" s="55"/>
      <c r="U324" s="56"/>
      <c r="V324" s="57"/>
      <c r="X324" s="209"/>
    </row>
    <row r="325" spans="1:24" outlineLevel="1" x14ac:dyDescent="0.2">
      <c r="A325" s="335"/>
      <c r="B325" s="325"/>
      <c r="C325" s="81"/>
      <c r="D325" s="43"/>
      <c r="E325" s="43"/>
      <c r="F325" s="43"/>
      <c r="G325" s="43"/>
      <c r="H325" s="218"/>
      <c r="I325" s="157"/>
      <c r="J325" s="45"/>
      <c r="K325" s="76"/>
      <c r="L325" s="79"/>
      <c r="M325" s="48"/>
      <c r="N325" s="78"/>
      <c r="O325" s="50"/>
      <c r="P325" s="51"/>
      <c r="Q325" s="52"/>
      <c r="R325" s="53"/>
      <c r="S325" s="54"/>
      <c r="T325" s="55"/>
      <c r="U325" s="56"/>
      <c r="V325" s="57"/>
      <c r="X325" s="209"/>
    </row>
    <row r="326" spans="1:24" outlineLevel="1" x14ac:dyDescent="0.2">
      <c r="A326" s="335"/>
      <c r="B326" s="325"/>
      <c r="C326" s="81"/>
      <c r="D326" s="43"/>
      <c r="E326" s="43"/>
      <c r="F326" s="43"/>
      <c r="G326" s="43"/>
      <c r="H326" s="218"/>
      <c r="I326" s="157"/>
      <c r="J326" s="45"/>
      <c r="K326" s="76"/>
      <c r="L326" s="79"/>
      <c r="M326" s="48"/>
      <c r="N326" s="78"/>
      <c r="O326" s="50"/>
      <c r="P326" s="51"/>
      <c r="Q326" s="52"/>
      <c r="R326" s="53"/>
      <c r="S326" s="54"/>
      <c r="T326" s="55"/>
      <c r="U326" s="56"/>
      <c r="V326" s="57"/>
      <c r="X326" s="209"/>
    </row>
    <row r="327" spans="1:24" outlineLevel="1" x14ac:dyDescent="0.2">
      <c r="A327" s="332"/>
      <c r="B327" s="305"/>
      <c r="C327" s="81"/>
      <c r="D327" s="43"/>
      <c r="E327" s="43"/>
      <c r="F327" s="43"/>
      <c r="G327" s="43"/>
      <c r="H327" s="218"/>
      <c r="I327" s="157"/>
      <c r="J327" s="45"/>
      <c r="K327" s="76"/>
      <c r="L327" s="79"/>
      <c r="M327" s="48"/>
      <c r="N327" s="78"/>
      <c r="O327" s="50"/>
      <c r="P327" s="51"/>
      <c r="Q327" s="52"/>
      <c r="R327" s="53"/>
      <c r="S327" s="54"/>
      <c r="T327" s="55"/>
      <c r="U327" s="56"/>
      <c r="V327" s="57"/>
      <c r="X327" s="209"/>
    </row>
    <row r="328" spans="1:24" outlineLevel="1" x14ac:dyDescent="0.2">
      <c r="A328" s="333"/>
      <c r="B328" s="215"/>
      <c r="C328" s="81"/>
      <c r="D328" s="43"/>
      <c r="E328" s="43"/>
      <c r="F328" s="43"/>
      <c r="G328" s="43"/>
      <c r="H328" s="218"/>
      <c r="I328" s="157"/>
      <c r="J328" s="45"/>
      <c r="K328" s="76"/>
      <c r="L328" s="79"/>
      <c r="M328" s="48"/>
      <c r="N328" s="78"/>
      <c r="O328" s="50"/>
      <c r="P328" s="51"/>
      <c r="Q328" s="52"/>
      <c r="R328" s="53"/>
      <c r="S328" s="54"/>
      <c r="T328" s="55"/>
      <c r="U328" s="56"/>
      <c r="V328" s="57"/>
      <c r="X328" s="209"/>
    </row>
    <row r="329" spans="1:24" outlineLevel="1" x14ac:dyDescent="0.2">
      <c r="A329" s="335"/>
      <c r="B329" s="325"/>
      <c r="C329" s="81"/>
      <c r="D329" s="43"/>
      <c r="E329" s="43"/>
      <c r="F329" s="43"/>
      <c r="G329" s="43"/>
      <c r="H329" s="218"/>
      <c r="I329" s="157"/>
      <c r="J329" s="45"/>
      <c r="K329" s="76"/>
      <c r="L329" s="79"/>
      <c r="M329" s="48"/>
      <c r="N329" s="78"/>
      <c r="O329" s="50"/>
      <c r="P329" s="51"/>
      <c r="Q329" s="52"/>
      <c r="R329" s="53"/>
      <c r="S329" s="54"/>
      <c r="T329" s="55"/>
      <c r="U329" s="56"/>
      <c r="V329" s="57"/>
      <c r="X329" s="209"/>
    </row>
    <row r="330" spans="1:24" outlineLevel="1" x14ac:dyDescent="0.2">
      <c r="A330" s="333"/>
      <c r="B330" s="215"/>
      <c r="C330" s="81"/>
      <c r="D330" s="43"/>
      <c r="E330" s="43"/>
      <c r="F330" s="43"/>
      <c r="G330" s="43"/>
      <c r="H330" s="218"/>
      <c r="I330" s="157"/>
      <c r="J330" s="45"/>
      <c r="K330" s="76"/>
      <c r="L330" s="79"/>
      <c r="M330" s="48"/>
      <c r="N330" s="78"/>
      <c r="O330" s="50"/>
      <c r="P330" s="51"/>
      <c r="Q330" s="52"/>
      <c r="R330" s="53"/>
      <c r="S330" s="54"/>
      <c r="T330" s="55"/>
      <c r="U330" s="56"/>
      <c r="V330" s="57"/>
      <c r="X330" s="209"/>
    </row>
    <row r="331" spans="1:24" outlineLevel="1" x14ac:dyDescent="0.2">
      <c r="A331" s="335"/>
      <c r="B331" s="325"/>
      <c r="C331" s="81"/>
      <c r="D331" s="43"/>
      <c r="E331" s="43"/>
      <c r="F331" s="43"/>
      <c r="G331" s="43"/>
      <c r="H331" s="218"/>
      <c r="I331" s="157"/>
      <c r="J331" s="45"/>
      <c r="K331" s="76"/>
      <c r="L331" s="79"/>
      <c r="M331" s="48"/>
      <c r="N331" s="78"/>
      <c r="O331" s="50"/>
      <c r="P331" s="51"/>
      <c r="Q331" s="52"/>
      <c r="R331" s="53"/>
      <c r="S331" s="54"/>
      <c r="T331" s="55"/>
      <c r="U331" s="56"/>
      <c r="V331" s="57"/>
      <c r="X331" s="209"/>
    </row>
    <row r="332" spans="1:24" outlineLevel="1" x14ac:dyDescent="0.2">
      <c r="A332" s="335"/>
      <c r="B332" s="325"/>
      <c r="C332" s="81"/>
      <c r="D332" s="43"/>
      <c r="E332" s="43"/>
      <c r="F332" s="43"/>
      <c r="G332" s="43"/>
      <c r="H332" s="218"/>
      <c r="I332" s="157"/>
      <c r="J332" s="45"/>
      <c r="K332" s="76"/>
      <c r="L332" s="79"/>
      <c r="M332" s="48"/>
      <c r="N332" s="78"/>
      <c r="O332" s="50"/>
      <c r="P332" s="51"/>
      <c r="Q332" s="52"/>
      <c r="R332" s="53"/>
      <c r="S332" s="54"/>
      <c r="T332" s="55"/>
      <c r="U332" s="56"/>
      <c r="V332" s="57"/>
      <c r="X332" s="209"/>
    </row>
    <row r="333" spans="1:24" outlineLevel="1" x14ac:dyDescent="0.2">
      <c r="A333" s="332"/>
      <c r="B333" s="305"/>
      <c r="C333" s="81"/>
      <c r="D333" s="43"/>
      <c r="E333" s="43"/>
      <c r="F333" s="43"/>
      <c r="G333" s="43"/>
      <c r="H333" s="218"/>
      <c r="I333" s="157"/>
      <c r="J333" s="45"/>
      <c r="K333" s="76"/>
      <c r="L333" s="79"/>
      <c r="M333" s="48"/>
      <c r="N333" s="78"/>
      <c r="O333" s="50"/>
      <c r="P333" s="51"/>
      <c r="Q333" s="52"/>
      <c r="R333" s="53"/>
      <c r="S333" s="54"/>
      <c r="T333" s="55"/>
      <c r="U333" s="56"/>
      <c r="V333" s="57"/>
      <c r="X333" s="209"/>
    </row>
    <row r="334" spans="1:24" outlineLevel="1" x14ac:dyDescent="0.2">
      <c r="A334" s="333"/>
      <c r="B334" s="215"/>
      <c r="C334" s="81"/>
      <c r="D334" s="43"/>
      <c r="E334" s="43"/>
      <c r="F334" s="43"/>
      <c r="G334" s="43"/>
      <c r="H334" s="218"/>
      <c r="I334" s="157"/>
      <c r="J334" s="45"/>
      <c r="K334" s="76"/>
      <c r="L334" s="79"/>
      <c r="M334" s="48"/>
      <c r="N334" s="78"/>
      <c r="O334" s="50"/>
      <c r="P334" s="51"/>
      <c r="Q334" s="52"/>
      <c r="R334" s="53"/>
      <c r="S334" s="54"/>
      <c r="T334" s="55"/>
      <c r="U334" s="56"/>
      <c r="V334" s="57"/>
      <c r="X334" s="209"/>
    </row>
    <row r="335" spans="1:24" outlineLevel="1" x14ac:dyDescent="0.2">
      <c r="A335" s="335"/>
      <c r="B335" s="325"/>
      <c r="C335" s="81"/>
      <c r="D335" s="43"/>
      <c r="E335" s="43"/>
      <c r="F335" s="43"/>
      <c r="G335" s="43"/>
      <c r="H335" s="218"/>
      <c r="I335" s="157"/>
      <c r="J335" s="45"/>
      <c r="K335" s="76"/>
      <c r="L335" s="79"/>
      <c r="M335" s="48"/>
      <c r="N335" s="78"/>
      <c r="O335" s="50"/>
      <c r="P335" s="51"/>
      <c r="Q335" s="52"/>
      <c r="R335" s="53"/>
      <c r="S335" s="54"/>
      <c r="T335" s="55"/>
      <c r="U335" s="56"/>
      <c r="V335" s="57"/>
      <c r="X335" s="209"/>
    </row>
    <row r="336" spans="1:24" outlineLevel="1" x14ac:dyDescent="0.2">
      <c r="A336" s="333"/>
      <c r="B336" s="215"/>
      <c r="C336" s="81"/>
      <c r="D336" s="43"/>
      <c r="E336" s="43"/>
      <c r="F336" s="43"/>
      <c r="G336" s="43"/>
      <c r="H336" s="218"/>
      <c r="I336" s="157"/>
      <c r="J336" s="45"/>
      <c r="K336" s="76"/>
      <c r="L336" s="79"/>
      <c r="M336" s="48"/>
      <c r="N336" s="78"/>
      <c r="O336" s="50"/>
      <c r="P336" s="51"/>
      <c r="Q336" s="52"/>
      <c r="R336" s="53"/>
      <c r="S336" s="54"/>
      <c r="T336" s="55"/>
      <c r="U336" s="56"/>
      <c r="V336" s="57"/>
      <c r="X336" s="209"/>
    </row>
    <row r="337" spans="1:24" outlineLevel="1" x14ac:dyDescent="0.2">
      <c r="A337" s="335"/>
      <c r="B337" s="325"/>
      <c r="C337" s="81"/>
      <c r="D337" s="43"/>
      <c r="E337" s="43"/>
      <c r="F337" s="43"/>
      <c r="G337" s="43"/>
      <c r="H337" s="218"/>
      <c r="I337" s="157"/>
      <c r="J337" s="45"/>
      <c r="K337" s="76"/>
      <c r="L337" s="79"/>
      <c r="M337" s="48"/>
      <c r="N337" s="78"/>
      <c r="O337" s="50"/>
      <c r="P337" s="51"/>
      <c r="Q337" s="52"/>
      <c r="R337" s="53"/>
      <c r="S337" s="54"/>
      <c r="T337" s="55"/>
      <c r="U337" s="56"/>
      <c r="V337" s="57"/>
      <c r="X337" s="209"/>
    </row>
    <row r="338" spans="1:24" outlineLevel="1" x14ac:dyDescent="0.2">
      <c r="A338" s="333"/>
      <c r="B338" s="215"/>
      <c r="C338" s="81"/>
      <c r="D338" s="43"/>
      <c r="E338" s="43"/>
      <c r="F338" s="43"/>
      <c r="G338" s="43"/>
      <c r="H338" s="218"/>
      <c r="I338" s="157"/>
      <c r="J338" s="45"/>
      <c r="K338" s="76"/>
      <c r="L338" s="79"/>
      <c r="M338" s="48"/>
      <c r="N338" s="78"/>
      <c r="O338" s="50"/>
      <c r="P338" s="51"/>
      <c r="Q338" s="52"/>
      <c r="R338" s="53"/>
      <c r="S338" s="54"/>
      <c r="T338" s="55"/>
      <c r="U338" s="56"/>
      <c r="V338" s="57"/>
      <c r="X338" s="209"/>
    </row>
    <row r="339" spans="1:24" outlineLevel="1" x14ac:dyDescent="0.2">
      <c r="A339" s="335"/>
      <c r="B339" s="325"/>
      <c r="C339" s="81"/>
      <c r="D339" s="43"/>
      <c r="E339" s="43"/>
      <c r="F339" s="43"/>
      <c r="G339" s="43"/>
      <c r="H339" s="218"/>
      <c r="I339" s="157"/>
      <c r="J339" s="45"/>
      <c r="K339" s="76"/>
      <c r="L339" s="79"/>
      <c r="M339" s="48"/>
      <c r="N339" s="78"/>
      <c r="O339" s="50"/>
      <c r="P339" s="51"/>
      <c r="Q339" s="52"/>
      <c r="R339" s="53"/>
      <c r="S339" s="54"/>
      <c r="T339" s="55"/>
      <c r="U339" s="56"/>
      <c r="V339" s="57"/>
      <c r="X339" s="209"/>
    </row>
    <row r="340" spans="1:24" outlineLevel="1" x14ac:dyDescent="0.2">
      <c r="A340" s="333"/>
      <c r="B340" s="215"/>
      <c r="C340" s="81"/>
      <c r="D340" s="43"/>
      <c r="E340" s="43"/>
      <c r="F340" s="43"/>
      <c r="G340" s="43"/>
      <c r="H340" s="218"/>
      <c r="I340" s="157"/>
      <c r="J340" s="45"/>
      <c r="K340" s="76"/>
      <c r="L340" s="79"/>
      <c r="M340" s="48"/>
      <c r="N340" s="78"/>
      <c r="O340" s="50"/>
      <c r="P340" s="51"/>
      <c r="Q340" s="52"/>
      <c r="R340" s="53"/>
      <c r="S340" s="54"/>
      <c r="T340" s="55"/>
      <c r="U340" s="56"/>
      <c r="V340" s="57"/>
      <c r="X340" s="209"/>
    </row>
    <row r="341" spans="1:24" outlineLevel="1" x14ac:dyDescent="0.2">
      <c r="A341" s="332"/>
      <c r="B341" s="305"/>
      <c r="C341" s="81"/>
      <c r="D341" s="43"/>
      <c r="E341" s="43"/>
      <c r="F341" s="43"/>
      <c r="G341" s="43"/>
      <c r="H341" s="218"/>
      <c r="I341" s="157"/>
      <c r="J341" s="45"/>
      <c r="K341" s="76"/>
      <c r="L341" s="79"/>
      <c r="M341" s="48"/>
      <c r="N341" s="78"/>
      <c r="O341" s="50"/>
      <c r="P341" s="51"/>
      <c r="Q341" s="52"/>
      <c r="R341" s="53"/>
      <c r="S341" s="54"/>
      <c r="T341" s="55"/>
      <c r="U341" s="56"/>
      <c r="V341" s="57"/>
      <c r="X341" s="209"/>
    </row>
    <row r="342" spans="1:24" outlineLevel="1" x14ac:dyDescent="0.2">
      <c r="A342" s="333"/>
      <c r="B342" s="215"/>
      <c r="C342" s="81"/>
      <c r="D342" s="43"/>
      <c r="E342" s="43"/>
      <c r="F342" s="43"/>
      <c r="G342" s="43"/>
      <c r="H342" s="218"/>
      <c r="I342" s="157"/>
      <c r="J342" s="45"/>
      <c r="K342" s="76"/>
      <c r="L342" s="79"/>
      <c r="M342" s="48"/>
      <c r="N342" s="78"/>
      <c r="O342" s="50"/>
      <c r="P342" s="51"/>
      <c r="Q342" s="52"/>
      <c r="R342" s="53"/>
      <c r="S342" s="54"/>
      <c r="T342" s="55"/>
      <c r="U342" s="56"/>
      <c r="V342" s="57"/>
      <c r="X342" s="209"/>
    </row>
    <row r="343" spans="1:24" outlineLevel="1" x14ac:dyDescent="0.2">
      <c r="A343" s="335"/>
      <c r="B343" s="325"/>
      <c r="C343" s="81"/>
      <c r="D343" s="43"/>
      <c r="E343" s="43"/>
      <c r="F343" s="43"/>
      <c r="G343" s="43"/>
      <c r="H343" s="218"/>
      <c r="I343" s="157"/>
      <c r="J343" s="45"/>
      <c r="K343" s="76"/>
      <c r="L343" s="79"/>
      <c r="M343" s="48"/>
      <c r="N343" s="78"/>
      <c r="O343" s="50"/>
      <c r="P343" s="51"/>
      <c r="Q343" s="52"/>
      <c r="R343" s="53"/>
      <c r="S343" s="54"/>
      <c r="T343" s="55"/>
      <c r="U343" s="56"/>
      <c r="V343" s="57"/>
      <c r="X343" s="209"/>
    </row>
    <row r="344" spans="1:24" outlineLevel="1" x14ac:dyDescent="0.2">
      <c r="A344" s="335"/>
      <c r="B344" s="325"/>
      <c r="C344" s="81"/>
      <c r="D344" s="43"/>
      <c r="E344" s="43"/>
      <c r="F344" s="43"/>
      <c r="G344" s="43"/>
      <c r="H344" s="218"/>
      <c r="I344" s="157"/>
      <c r="J344" s="45"/>
      <c r="K344" s="76"/>
      <c r="L344" s="79"/>
      <c r="M344" s="48"/>
      <c r="N344" s="78"/>
      <c r="O344" s="50"/>
      <c r="P344" s="51"/>
      <c r="Q344" s="52"/>
      <c r="R344" s="53"/>
      <c r="S344" s="54"/>
      <c r="T344" s="55"/>
      <c r="U344" s="56"/>
      <c r="V344" s="57"/>
      <c r="X344" s="209"/>
    </row>
    <row r="345" spans="1:24" outlineLevel="1" x14ac:dyDescent="0.2">
      <c r="A345" s="332"/>
      <c r="B345" s="305"/>
      <c r="C345" s="81"/>
      <c r="D345" s="43"/>
      <c r="E345" s="43"/>
      <c r="F345" s="43"/>
      <c r="G345" s="43"/>
      <c r="H345" s="218"/>
      <c r="I345" s="157"/>
      <c r="J345" s="45"/>
      <c r="K345" s="76"/>
      <c r="L345" s="79"/>
      <c r="M345" s="48"/>
      <c r="N345" s="78"/>
      <c r="O345" s="50"/>
      <c r="P345" s="51"/>
      <c r="Q345" s="52"/>
      <c r="R345" s="53"/>
      <c r="S345" s="54"/>
      <c r="T345" s="55"/>
      <c r="U345" s="56"/>
      <c r="V345" s="57"/>
      <c r="X345" s="209"/>
    </row>
    <row r="346" spans="1:24" outlineLevel="1" x14ac:dyDescent="0.2">
      <c r="A346" s="333"/>
      <c r="B346" s="215"/>
      <c r="C346" s="81"/>
      <c r="D346" s="43"/>
      <c r="E346" s="43"/>
      <c r="F346" s="43"/>
      <c r="G346" s="43"/>
      <c r="H346" s="218"/>
      <c r="I346" s="157"/>
      <c r="J346" s="45"/>
      <c r="K346" s="76"/>
      <c r="L346" s="79"/>
      <c r="M346" s="48"/>
      <c r="N346" s="78"/>
      <c r="O346" s="50"/>
      <c r="P346" s="51"/>
      <c r="Q346" s="52"/>
      <c r="R346" s="53"/>
      <c r="S346" s="54"/>
      <c r="T346" s="55"/>
      <c r="U346" s="56"/>
      <c r="V346" s="57"/>
      <c r="X346" s="209"/>
    </row>
    <row r="347" spans="1:24" outlineLevel="1" x14ac:dyDescent="0.2">
      <c r="A347" s="335"/>
      <c r="B347" s="325"/>
      <c r="C347" s="81"/>
      <c r="D347" s="43"/>
      <c r="E347" s="43"/>
      <c r="F347" s="43"/>
      <c r="G347" s="43"/>
      <c r="H347" s="218"/>
      <c r="I347" s="157"/>
      <c r="J347" s="45"/>
      <c r="K347" s="76"/>
      <c r="L347" s="79"/>
      <c r="M347" s="48"/>
      <c r="N347" s="78"/>
      <c r="O347" s="50"/>
      <c r="P347" s="51"/>
      <c r="Q347" s="52"/>
      <c r="R347" s="53"/>
      <c r="S347" s="54"/>
      <c r="T347" s="55"/>
      <c r="U347" s="56"/>
      <c r="V347" s="57"/>
      <c r="X347" s="209"/>
    </row>
    <row r="348" spans="1:24" outlineLevel="1" x14ac:dyDescent="0.2">
      <c r="A348" s="333"/>
      <c r="B348" s="215"/>
      <c r="C348" s="81"/>
      <c r="D348" s="43"/>
      <c r="E348" s="43"/>
      <c r="F348" s="43"/>
      <c r="G348" s="43"/>
      <c r="H348" s="218"/>
      <c r="I348" s="157"/>
      <c r="J348" s="45"/>
      <c r="K348" s="76"/>
      <c r="L348" s="79"/>
      <c r="M348" s="48"/>
      <c r="N348" s="78"/>
      <c r="O348" s="50"/>
      <c r="P348" s="51"/>
      <c r="Q348" s="52"/>
      <c r="R348" s="53"/>
      <c r="S348" s="54"/>
      <c r="T348" s="55"/>
      <c r="U348" s="56"/>
      <c r="V348" s="57"/>
      <c r="X348" s="209"/>
    </row>
    <row r="349" spans="1:24" outlineLevel="1" x14ac:dyDescent="0.2">
      <c r="A349" s="332"/>
      <c r="B349" s="305"/>
      <c r="C349" s="81"/>
      <c r="D349" s="43"/>
      <c r="E349" s="43"/>
      <c r="F349" s="43"/>
      <c r="G349" s="43"/>
      <c r="H349" s="218"/>
      <c r="I349" s="157"/>
      <c r="J349" s="45"/>
      <c r="K349" s="76"/>
      <c r="L349" s="79"/>
      <c r="M349" s="48"/>
      <c r="N349" s="78"/>
      <c r="O349" s="50"/>
      <c r="P349" s="51"/>
      <c r="Q349" s="52"/>
      <c r="R349" s="53"/>
      <c r="S349" s="54"/>
      <c r="T349" s="55"/>
      <c r="U349" s="56"/>
      <c r="V349" s="57"/>
      <c r="X349" s="209"/>
    </row>
    <row r="350" spans="1:24" outlineLevel="1" x14ac:dyDescent="0.2">
      <c r="A350" s="339"/>
      <c r="B350" s="340"/>
      <c r="C350" s="81"/>
      <c r="D350" s="43"/>
      <c r="E350" s="43"/>
      <c r="F350" s="43"/>
      <c r="G350" s="43"/>
      <c r="H350" s="218"/>
      <c r="I350" s="157"/>
      <c r="J350" s="45"/>
      <c r="K350" s="76"/>
      <c r="L350" s="79"/>
      <c r="M350" s="48"/>
      <c r="N350" s="78"/>
      <c r="O350" s="50"/>
      <c r="P350" s="51"/>
      <c r="Q350" s="52"/>
      <c r="R350" s="53"/>
      <c r="S350" s="54"/>
      <c r="T350" s="55"/>
      <c r="U350" s="56"/>
      <c r="V350" s="57"/>
      <c r="X350" s="209"/>
    </row>
    <row r="351" spans="1:24" outlineLevel="1" x14ac:dyDescent="0.2">
      <c r="A351" s="335"/>
      <c r="B351" s="325"/>
      <c r="C351" s="81"/>
      <c r="D351" s="43"/>
      <c r="E351" s="43"/>
      <c r="F351" s="43"/>
      <c r="G351" s="43"/>
      <c r="H351" s="218"/>
      <c r="I351" s="157"/>
      <c r="J351" s="45"/>
      <c r="K351" s="76"/>
      <c r="L351" s="79"/>
      <c r="M351" s="48"/>
      <c r="N351" s="78"/>
      <c r="O351" s="50"/>
      <c r="P351" s="51"/>
      <c r="Q351" s="52"/>
      <c r="R351" s="53"/>
      <c r="S351" s="54"/>
      <c r="T351" s="55"/>
      <c r="U351" s="56"/>
      <c r="V351" s="57"/>
      <c r="X351" s="209"/>
    </row>
    <row r="352" spans="1:24" outlineLevel="1" x14ac:dyDescent="0.2">
      <c r="A352" s="335"/>
      <c r="B352" s="325"/>
      <c r="C352" s="81"/>
      <c r="D352" s="43"/>
      <c r="E352" s="43"/>
      <c r="F352" s="43"/>
      <c r="G352" s="43"/>
      <c r="H352" s="218"/>
      <c r="I352" s="157"/>
      <c r="J352" s="45"/>
      <c r="K352" s="76"/>
      <c r="L352" s="79"/>
      <c r="M352" s="48"/>
      <c r="N352" s="78"/>
      <c r="O352" s="50"/>
      <c r="P352" s="51"/>
      <c r="Q352" s="52"/>
      <c r="R352" s="53"/>
      <c r="S352" s="54"/>
      <c r="T352" s="55"/>
      <c r="U352" s="56"/>
      <c r="V352" s="57"/>
      <c r="X352" s="209"/>
    </row>
    <row r="353" spans="1:24" outlineLevel="1" x14ac:dyDescent="0.2">
      <c r="A353" s="332"/>
      <c r="B353" s="305"/>
      <c r="C353" s="81"/>
      <c r="D353" s="43"/>
      <c r="E353" s="43"/>
      <c r="F353" s="43"/>
      <c r="G353" s="43"/>
      <c r="H353" s="218"/>
      <c r="I353" s="157"/>
      <c r="J353" s="45"/>
      <c r="K353" s="76"/>
      <c r="L353" s="79"/>
      <c r="M353" s="48"/>
      <c r="N353" s="78"/>
      <c r="O353" s="50"/>
      <c r="P353" s="51"/>
      <c r="Q353" s="52"/>
      <c r="R353" s="53"/>
      <c r="S353" s="54"/>
      <c r="T353" s="55"/>
      <c r="U353" s="56"/>
      <c r="V353" s="57"/>
      <c r="X353" s="209"/>
    </row>
    <row r="354" spans="1:24" outlineLevel="1" x14ac:dyDescent="0.2">
      <c r="A354" s="333"/>
      <c r="B354" s="215"/>
      <c r="C354" s="81"/>
      <c r="D354" s="43"/>
      <c r="E354" s="43"/>
      <c r="F354" s="43"/>
      <c r="G354" s="43"/>
      <c r="H354" s="218"/>
      <c r="I354" s="157"/>
      <c r="J354" s="45"/>
      <c r="K354" s="76"/>
      <c r="L354" s="79"/>
      <c r="M354" s="48"/>
      <c r="N354" s="78"/>
      <c r="O354" s="50"/>
      <c r="P354" s="51"/>
      <c r="Q354" s="52"/>
      <c r="R354" s="53"/>
      <c r="S354" s="54"/>
      <c r="T354" s="55"/>
      <c r="U354" s="56"/>
      <c r="V354" s="57"/>
      <c r="X354" s="209"/>
    </row>
    <row r="355" spans="1:24" outlineLevel="1" x14ac:dyDescent="0.2">
      <c r="A355" s="335"/>
      <c r="B355" s="325"/>
      <c r="C355" s="81"/>
      <c r="D355" s="43"/>
      <c r="E355" s="43"/>
      <c r="F355" s="43"/>
      <c r="G355" s="43"/>
      <c r="H355" s="218"/>
      <c r="I355" s="157"/>
      <c r="J355" s="45"/>
      <c r="K355" s="76"/>
      <c r="L355" s="79"/>
      <c r="M355" s="48"/>
      <c r="N355" s="78"/>
      <c r="O355" s="50"/>
      <c r="P355" s="51"/>
      <c r="Q355" s="52"/>
      <c r="R355" s="53"/>
      <c r="S355" s="54"/>
      <c r="T355" s="55"/>
      <c r="U355" s="56"/>
      <c r="V355" s="57"/>
      <c r="X355" s="209"/>
    </row>
    <row r="356" spans="1:24" outlineLevel="1" x14ac:dyDescent="0.2">
      <c r="A356" s="333"/>
      <c r="B356" s="215"/>
      <c r="C356" s="81"/>
      <c r="D356" s="43"/>
      <c r="E356" s="43"/>
      <c r="F356" s="43"/>
      <c r="G356" s="43"/>
      <c r="H356" s="218"/>
      <c r="I356" s="157"/>
      <c r="J356" s="45"/>
      <c r="K356" s="76"/>
      <c r="L356" s="79"/>
      <c r="M356" s="48"/>
      <c r="N356" s="78"/>
      <c r="O356" s="50"/>
      <c r="P356" s="51"/>
      <c r="Q356" s="52"/>
      <c r="R356" s="53"/>
      <c r="S356" s="54"/>
      <c r="T356" s="55"/>
      <c r="U356" s="56"/>
      <c r="V356" s="57"/>
      <c r="X356" s="209"/>
    </row>
    <row r="357" spans="1:24" outlineLevel="1" x14ac:dyDescent="0.2">
      <c r="A357" s="335"/>
      <c r="B357" s="325"/>
      <c r="C357" s="81"/>
      <c r="D357" s="43"/>
      <c r="E357" s="43"/>
      <c r="F357" s="43"/>
      <c r="G357" s="43"/>
      <c r="H357" s="218"/>
      <c r="I357" s="157"/>
      <c r="J357" s="45"/>
      <c r="K357" s="76"/>
      <c r="L357" s="79"/>
      <c r="M357" s="48"/>
      <c r="N357" s="78"/>
      <c r="O357" s="50"/>
      <c r="P357" s="51"/>
      <c r="Q357" s="52"/>
      <c r="R357" s="53"/>
      <c r="S357" s="54"/>
      <c r="T357" s="55"/>
      <c r="U357" s="56"/>
      <c r="V357" s="57"/>
      <c r="X357" s="209"/>
    </row>
    <row r="358" spans="1:24" outlineLevel="1" x14ac:dyDescent="0.2">
      <c r="A358" s="335"/>
      <c r="B358" s="325"/>
      <c r="C358" s="81"/>
      <c r="D358" s="43"/>
      <c r="E358" s="43"/>
      <c r="F358" s="43"/>
      <c r="G358" s="43"/>
      <c r="H358" s="218"/>
      <c r="I358" s="157"/>
      <c r="J358" s="45"/>
      <c r="K358" s="76"/>
      <c r="L358" s="79"/>
      <c r="M358" s="48"/>
      <c r="N358" s="78"/>
      <c r="O358" s="50"/>
      <c r="P358" s="51"/>
      <c r="Q358" s="52"/>
      <c r="R358" s="53"/>
      <c r="S358" s="54"/>
      <c r="T358" s="55"/>
      <c r="U358" s="56"/>
      <c r="V358" s="57"/>
      <c r="X358" s="209"/>
    </row>
    <row r="359" spans="1:24" hidden="1" outlineLevel="1" x14ac:dyDescent="0.2">
      <c r="A359" s="329"/>
      <c r="B359" s="81"/>
      <c r="C359" s="81"/>
      <c r="D359" s="43"/>
      <c r="E359" s="43"/>
      <c r="F359" s="43"/>
      <c r="G359" s="43"/>
      <c r="H359" s="218"/>
      <c r="I359" s="157"/>
      <c r="J359" s="45"/>
      <c r="K359" s="76"/>
      <c r="L359" s="79"/>
      <c r="M359" s="48"/>
      <c r="N359" s="78"/>
      <c r="O359" s="50"/>
      <c r="P359" s="51"/>
      <c r="Q359" s="52"/>
      <c r="R359" s="53"/>
      <c r="S359" s="54"/>
      <c r="T359" s="55"/>
      <c r="U359" s="56"/>
      <c r="V359" s="57"/>
      <c r="X359" s="209"/>
    </row>
    <row r="360" spans="1:24" hidden="1" outlineLevel="1" x14ac:dyDescent="0.2">
      <c r="A360" s="329"/>
      <c r="B360" s="81"/>
      <c r="C360" s="81"/>
      <c r="D360" s="43"/>
      <c r="E360" s="43"/>
      <c r="F360" s="43"/>
      <c r="G360" s="43"/>
      <c r="H360" s="218"/>
      <c r="I360" s="157"/>
      <c r="J360" s="45"/>
      <c r="K360" s="76"/>
      <c r="L360" s="79"/>
      <c r="M360" s="48"/>
      <c r="N360" s="78"/>
      <c r="O360" s="50"/>
      <c r="P360" s="51"/>
      <c r="Q360" s="52"/>
      <c r="R360" s="53"/>
      <c r="S360" s="54"/>
      <c r="T360" s="55"/>
      <c r="U360" s="56"/>
      <c r="V360" s="57"/>
      <c r="X360" s="209"/>
    </row>
    <row r="361" spans="1:24" hidden="1" outlineLevel="1" x14ac:dyDescent="0.2">
      <c r="A361" s="329"/>
      <c r="B361" s="81"/>
      <c r="C361" s="81"/>
      <c r="D361" s="43"/>
      <c r="E361" s="43"/>
      <c r="F361" s="43"/>
      <c r="G361" s="43"/>
      <c r="H361" s="218"/>
      <c r="I361" s="157"/>
      <c r="J361" s="45"/>
      <c r="K361" s="76"/>
      <c r="L361" s="79"/>
      <c r="M361" s="48"/>
      <c r="N361" s="78"/>
      <c r="O361" s="50"/>
      <c r="P361" s="51"/>
      <c r="Q361" s="52"/>
      <c r="R361" s="53"/>
      <c r="S361" s="54"/>
      <c r="T361" s="55"/>
      <c r="U361" s="56"/>
      <c r="V361" s="57"/>
      <c r="X361" s="209"/>
    </row>
    <row r="362" spans="1:24" hidden="1" outlineLevel="1" x14ac:dyDescent="0.2">
      <c r="A362" s="329"/>
      <c r="B362" s="81"/>
      <c r="C362" s="81"/>
      <c r="D362" s="43"/>
      <c r="E362" s="43"/>
      <c r="F362" s="43"/>
      <c r="G362" s="43"/>
      <c r="H362" s="218"/>
      <c r="I362" s="157"/>
      <c r="J362" s="45"/>
      <c r="K362" s="76"/>
      <c r="L362" s="79"/>
      <c r="M362" s="48"/>
      <c r="N362" s="78"/>
      <c r="O362" s="50"/>
      <c r="P362" s="51"/>
      <c r="Q362" s="52"/>
      <c r="R362" s="53"/>
      <c r="S362" s="54"/>
      <c r="T362" s="55"/>
      <c r="U362" s="56"/>
      <c r="V362" s="57"/>
      <c r="X362" s="209"/>
    </row>
    <row r="363" spans="1:24" hidden="1" outlineLevel="1" x14ac:dyDescent="0.2">
      <c r="A363" s="329"/>
      <c r="B363" s="81"/>
      <c r="C363" s="81"/>
      <c r="D363" s="43"/>
      <c r="E363" s="43"/>
      <c r="F363" s="43"/>
      <c r="G363" s="43"/>
      <c r="H363" s="218"/>
      <c r="I363" s="157"/>
      <c r="J363" s="45"/>
      <c r="K363" s="76"/>
      <c r="L363" s="79"/>
      <c r="M363" s="48"/>
      <c r="N363" s="78"/>
      <c r="O363" s="50"/>
      <c r="P363" s="51"/>
      <c r="Q363" s="52"/>
      <c r="R363" s="53"/>
      <c r="S363" s="54"/>
      <c r="T363" s="55"/>
      <c r="U363" s="56"/>
      <c r="V363" s="57"/>
      <c r="X363" s="209"/>
    </row>
    <row r="364" spans="1:24" hidden="1" outlineLevel="1" x14ac:dyDescent="0.2">
      <c r="A364" s="329"/>
      <c r="B364" s="81"/>
      <c r="C364" s="81"/>
      <c r="D364" s="43"/>
      <c r="E364" s="43"/>
      <c r="F364" s="43"/>
      <c r="G364" s="43"/>
      <c r="H364" s="218"/>
      <c r="I364" s="157"/>
      <c r="J364" s="45"/>
      <c r="K364" s="76"/>
      <c r="L364" s="79"/>
      <c r="M364" s="48"/>
      <c r="N364" s="78"/>
      <c r="O364" s="50"/>
      <c r="P364" s="51"/>
      <c r="Q364" s="52"/>
      <c r="R364" s="53"/>
      <c r="S364" s="54"/>
      <c r="T364" s="55"/>
      <c r="U364" s="56"/>
      <c r="V364" s="57"/>
      <c r="X364" s="209"/>
    </row>
    <row r="365" spans="1:24" hidden="1" outlineLevel="1" x14ac:dyDescent="0.2">
      <c r="A365" s="329"/>
      <c r="B365" s="81"/>
      <c r="C365" s="81"/>
      <c r="D365" s="43"/>
      <c r="E365" s="43"/>
      <c r="F365" s="43"/>
      <c r="G365" s="43"/>
      <c r="H365" s="218"/>
      <c r="I365" s="157"/>
      <c r="J365" s="45"/>
      <c r="K365" s="76"/>
      <c r="L365" s="79"/>
      <c r="M365" s="48"/>
      <c r="N365" s="78"/>
      <c r="O365" s="50"/>
      <c r="P365" s="51"/>
      <c r="Q365" s="52"/>
      <c r="R365" s="53"/>
      <c r="S365" s="54"/>
      <c r="T365" s="55"/>
      <c r="U365" s="56"/>
      <c r="V365" s="57"/>
      <c r="X365" s="209"/>
    </row>
    <row r="366" spans="1:24" hidden="1" outlineLevel="1" x14ac:dyDescent="0.2">
      <c r="A366" s="329"/>
      <c r="B366" s="81"/>
      <c r="C366" s="81"/>
      <c r="D366" s="43"/>
      <c r="E366" s="43"/>
      <c r="F366" s="43"/>
      <c r="G366" s="43"/>
      <c r="H366" s="218"/>
      <c r="I366" s="157"/>
      <c r="J366" s="45"/>
      <c r="K366" s="76"/>
      <c r="L366" s="79"/>
      <c r="M366" s="48"/>
      <c r="N366" s="78"/>
      <c r="O366" s="50"/>
      <c r="P366" s="51"/>
      <c r="Q366" s="52"/>
      <c r="R366" s="53"/>
      <c r="S366" s="54"/>
      <c r="T366" s="55"/>
      <c r="U366" s="56"/>
      <c r="V366" s="57"/>
      <c r="X366" s="209"/>
    </row>
    <row r="367" spans="1:24" hidden="1" outlineLevel="1" x14ac:dyDescent="0.2">
      <c r="A367" s="329"/>
      <c r="B367" s="81"/>
      <c r="C367" s="81"/>
      <c r="D367" s="43"/>
      <c r="E367" s="43"/>
      <c r="F367" s="43"/>
      <c r="G367" s="43"/>
      <c r="H367" s="218"/>
      <c r="I367" s="157"/>
      <c r="J367" s="45"/>
      <c r="K367" s="76"/>
      <c r="L367" s="79"/>
      <c r="M367" s="48"/>
      <c r="N367" s="78"/>
      <c r="O367" s="50"/>
      <c r="P367" s="51"/>
      <c r="Q367" s="52"/>
      <c r="R367" s="53"/>
      <c r="S367" s="54"/>
      <c r="T367" s="55"/>
      <c r="U367" s="56"/>
      <c r="V367" s="57"/>
      <c r="X367" s="209"/>
    </row>
    <row r="368" spans="1:24" hidden="1" outlineLevel="1" x14ac:dyDescent="0.2">
      <c r="A368" s="329"/>
      <c r="B368" s="81"/>
      <c r="C368" s="81"/>
      <c r="D368" s="43"/>
      <c r="E368" s="43"/>
      <c r="F368" s="43"/>
      <c r="G368" s="43"/>
      <c r="H368" s="218"/>
      <c r="I368" s="157"/>
      <c r="J368" s="45"/>
      <c r="K368" s="76"/>
      <c r="L368" s="79"/>
      <c r="M368" s="48"/>
      <c r="N368" s="78"/>
      <c r="O368" s="50"/>
      <c r="P368" s="51"/>
      <c r="Q368" s="52"/>
      <c r="R368" s="53"/>
      <c r="S368" s="54"/>
      <c r="T368" s="55"/>
      <c r="U368" s="56"/>
      <c r="V368" s="57"/>
      <c r="X368" s="211"/>
    </row>
    <row r="369" spans="1:24" hidden="1" outlineLevel="1" x14ac:dyDescent="0.2">
      <c r="A369" s="329"/>
      <c r="B369" s="81"/>
      <c r="C369" s="81"/>
      <c r="D369" s="43"/>
      <c r="E369" s="43"/>
      <c r="F369" s="43"/>
      <c r="G369" s="43"/>
      <c r="H369" s="218"/>
      <c r="I369" s="157"/>
      <c r="J369" s="45"/>
      <c r="K369" s="76"/>
      <c r="L369" s="79"/>
      <c r="M369" s="48"/>
      <c r="N369" s="78"/>
      <c r="O369" s="50"/>
      <c r="P369" s="51"/>
      <c r="Q369" s="52"/>
      <c r="R369" s="53"/>
      <c r="S369" s="54"/>
      <c r="T369" s="55"/>
      <c r="U369" s="56"/>
      <c r="V369" s="57"/>
      <c r="X369" s="209"/>
    </row>
    <row r="370" spans="1:24" hidden="1" outlineLevel="1" x14ac:dyDescent="0.2">
      <c r="A370" s="329"/>
      <c r="B370" s="81"/>
      <c r="C370" s="81"/>
      <c r="D370" s="43"/>
      <c r="E370" s="43"/>
      <c r="F370" s="43"/>
      <c r="G370" s="43"/>
      <c r="H370" s="218"/>
      <c r="I370" s="157"/>
      <c r="J370" s="45"/>
      <c r="K370" s="76"/>
      <c r="L370" s="79"/>
      <c r="M370" s="48"/>
      <c r="N370" s="78"/>
      <c r="O370" s="50"/>
      <c r="P370" s="51"/>
      <c r="Q370" s="52"/>
      <c r="R370" s="53"/>
      <c r="S370" s="54"/>
      <c r="T370" s="55"/>
      <c r="U370" s="56"/>
      <c r="V370" s="57"/>
      <c r="X370" s="209"/>
    </row>
    <row r="371" spans="1:24" hidden="1" outlineLevel="1" x14ac:dyDescent="0.2">
      <c r="A371" s="329"/>
      <c r="B371" s="81"/>
      <c r="C371" s="81"/>
      <c r="D371" s="43"/>
      <c r="E371" s="43"/>
      <c r="F371" s="43"/>
      <c r="G371" s="43"/>
      <c r="H371" s="218"/>
      <c r="I371" s="157"/>
      <c r="J371" s="45"/>
      <c r="K371" s="76"/>
      <c r="L371" s="79"/>
      <c r="M371" s="48"/>
      <c r="N371" s="78"/>
      <c r="O371" s="50"/>
      <c r="P371" s="51"/>
      <c r="Q371" s="52"/>
      <c r="R371" s="53"/>
      <c r="S371" s="54"/>
      <c r="T371" s="55"/>
      <c r="U371" s="56"/>
      <c r="V371" s="57"/>
      <c r="X371" s="209"/>
    </row>
    <row r="372" spans="1:24" hidden="1" outlineLevel="1" x14ac:dyDescent="0.2">
      <c r="A372" s="329"/>
      <c r="B372" s="81"/>
      <c r="C372" s="81"/>
      <c r="D372" s="43"/>
      <c r="E372" s="43"/>
      <c r="F372" s="43"/>
      <c r="G372" s="43"/>
      <c r="H372" s="218"/>
      <c r="I372" s="157"/>
      <c r="J372" s="45"/>
      <c r="K372" s="76"/>
      <c r="L372" s="79"/>
      <c r="M372" s="48"/>
      <c r="N372" s="78"/>
      <c r="O372" s="50"/>
      <c r="P372" s="51"/>
      <c r="Q372" s="52"/>
      <c r="R372" s="53"/>
      <c r="S372" s="54"/>
      <c r="T372" s="55"/>
      <c r="U372" s="56"/>
      <c r="V372" s="57"/>
      <c r="X372" s="209"/>
    </row>
    <row r="373" spans="1:24" hidden="1" outlineLevel="1" x14ac:dyDescent="0.2">
      <c r="A373" s="329"/>
      <c r="B373" s="81"/>
      <c r="C373" s="81"/>
      <c r="D373" s="43"/>
      <c r="E373" s="43"/>
      <c r="F373" s="43"/>
      <c r="G373" s="43"/>
      <c r="H373" s="218"/>
      <c r="I373" s="157"/>
      <c r="J373" s="45"/>
      <c r="K373" s="76"/>
      <c r="L373" s="79"/>
      <c r="M373" s="48"/>
      <c r="N373" s="78"/>
      <c r="O373" s="50"/>
      <c r="P373" s="51"/>
      <c r="Q373" s="52"/>
      <c r="R373" s="53"/>
      <c r="S373" s="54"/>
      <c r="T373" s="55"/>
      <c r="U373" s="56"/>
      <c r="V373" s="57"/>
      <c r="X373" s="211"/>
    </row>
    <row r="374" spans="1:24" hidden="1" outlineLevel="1" x14ac:dyDescent="0.2">
      <c r="A374" s="329"/>
      <c r="B374" s="81"/>
      <c r="C374" s="81"/>
      <c r="D374" s="43"/>
      <c r="E374" s="43"/>
      <c r="F374" s="43"/>
      <c r="G374" s="43"/>
      <c r="H374" s="218"/>
      <c r="I374" s="157"/>
      <c r="J374" s="45"/>
      <c r="K374" s="76"/>
      <c r="L374" s="79"/>
      <c r="M374" s="48"/>
      <c r="N374" s="78"/>
      <c r="O374" s="50"/>
      <c r="P374" s="51"/>
      <c r="Q374" s="52"/>
      <c r="R374" s="53"/>
      <c r="S374" s="54"/>
      <c r="T374" s="55"/>
      <c r="U374" s="56"/>
      <c r="V374" s="57"/>
      <c r="X374" s="209"/>
    </row>
    <row r="375" spans="1:24" hidden="1" outlineLevel="1" x14ac:dyDescent="0.2">
      <c r="A375" s="329"/>
      <c r="B375" s="81"/>
      <c r="C375" s="81"/>
      <c r="D375" s="43"/>
      <c r="E375" s="43"/>
      <c r="F375" s="43"/>
      <c r="G375" s="43"/>
      <c r="H375" s="218"/>
      <c r="I375" s="157"/>
      <c r="J375" s="45"/>
      <c r="K375" s="76"/>
      <c r="L375" s="79"/>
      <c r="M375" s="48"/>
      <c r="N375" s="78"/>
      <c r="O375" s="50"/>
      <c r="P375" s="51"/>
      <c r="Q375" s="52"/>
      <c r="R375" s="53"/>
      <c r="S375" s="54"/>
      <c r="T375" s="55"/>
      <c r="U375" s="56"/>
      <c r="V375" s="57"/>
      <c r="X375" s="209"/>
    </row>
    <row r="376" spans="1:24" hidden="1" outlineLevel="1" x14ac:dyDescent="0.2">
      <c r="A376" s="329"/>
      <c r="B376" s="81"/>
      <c r="C376" s="81"/>
      <c r="D376" s="43"/>
      <c r="E376" s="43"/>
      <c r="F376" s="43"/>
      <c r="G376" s="43"/>
      <c r="H376" s="218"/>
      <c r="I376" s="157"/>
      <c r="J376" s="45"/>
      <c r="K376" s="76"/>
      <c r="L376" s="79"/>
      <c r="M376" s="48"/>
      <c r="N376" s="78"/>
      <c r="O376" s="50"/>
      <c r="P376" s="51"/>
      <c r="Q376" s="52"/>
      <c r="R376" s="53"/>
      <c r="S376" s="54"/>
      <c r="T376" s="55"/>
      <c r="U376" s="56"/>
      <c r="V376" s="57"/>
      <c r="X376" s="209"/>
    </row>
    <row r="377" spans="1:24" hidden="1" outlineLevel="1" x14ac:dyDescent="0.2">
      <c r="A377" s="329"/>
      <c r="B377" s="81"/>
      <c r="C377" s="81"/>
      <c r="D377" s="43"/>
      <c r="E377" s="43"/>
      <c r="F377" s="43"/>
      <c r="G377" s="43"/>
      <c r="H377" s="218"/>
      <c r="I377" s="157"/>
      <c r="J377" s="45"/>
      <c r="K377" s="76"/>
      <c r="L377" s="79"/>
      <c r="M377" s="48"/>
      <c r="N377" s="78"/>
      <c r="O377" s="50"/>
      <c r="P377" s="51"/>
      <c r="Q377" s="52"/>
      <c r="R377" s="53"/>
      <c r="S377" s="54"/>
      <c r="T377" s="55"/>
      <c r="U377" s="56"/>
      <c r="V377" s="57"/>
      <c r="X377" s="209"/>
    </row>
    <row r="378" spans="1:24" hidden="1" outlineLevel="1" x14ac:dyDescent="0.2">
      <c r="A378" s="329"/>
      <c r="B378" s="81"/>
      <c r="C378" s="81"/>
      <c r="D378" s="43"/>
      <c r="E378" s="43"/>
      <c r="F378" s="43"/>
      <c r="G378" s="43"/>
      <c r="H378" s="218"/>
      <c r="I378" s="157"/>
      <c r="J378" s="45"/>
      <c r="K378" s="76"/>
      <c r="L378" s="79"/>
      <c r="M378" s="48"/>
      <c r="N378" s="78"/>
      <c r="O378" s="50"/>
      <c r="P378" s="51"/>
      <c r="Q378" s="52"/>
      <c r="R378" s="53"/>
      <c r="S378" s="54"/>
      <c r="T378" s="55"/>
      <c r="U378" s="56"/>
      <c r="V378" s="57"/>
      <c r="X378" s="209"/>
    </row>
    <row r="379" spans="1:24" hidden="1" outlineLevel="1" x14ac:dyDescent="0.2">
      <c r="A379" s="329"/>
      <c r="B379" s="81"/>
      <c r="C379" s="81"/>
      <c r="D379" s="43"/>
      <c r="E379" s="43"/>
      <c r="F379" s="43"/>
      <c r="G379" s="43"/>
      <c r="H379" s="218"/>
      <c r="I379" s="157"/>
      <c r="J379" s="45"/>
      <c r="K379" s="76"/>
      <c r="L379" s="79"/>
      <c r="M379" s="48"/>
      <c r="N379" s="78"/>
      <c r="O379" s="50"/>
      <c r="P379" s="51"/>
      <c r="Q379" s="52"/>
      <c r="R379" s="53"/>
      <c r="S379" s="54"/>
      <c r="T379" s="55"/>
      <c r="U379" s="56"/>
      <c r="V379" s="57"/>
      <c r="X379" s="211"/>
    </row>
    <row r="380" spans="1:24" hidden="1" outlineLevel="1" x14ac:dyDescent="0.2">
      <c r="A380" s="329"/>
      <c r="B380" s="81"/>
      <c r="C380" s="81"/>
      <c r="D380" s="43"/>
      <c r="E380" s="43"/>
      <c r="F380" s="43"/>
      <c r="G380" s="43"/>
      <c r="H380" s="218"/>
      <c r="I380" s="157"/>
      <c r="J380" s="45"/>
      <c r="K380" s="76"/>
      <c r="L380" s="79"/>
      <c r="M380" s="48"/>
      <c r="N380" s="78"/>
      <c r="O380" s="50"/>
      <c r="P380" s="51"/>
      <c r="Q380" s="52"/>
      <c r="R380" s="53"/>
      <c r="S380" s="54"/>
      <c r="T380" s="55"/>
      <c r="U380" s="56"/>
      <c r="V380" s="57"/>
      <c r="X380" s="209"/>
    </row>
    <row r="381" spans="1:24" hidden="1" outlineLevel="1" x14ac:dyDescent="0.2">
      <c r="A381" s="329"/>
      <c r="B381" s="81"/>
      <c r="C381" s="81"/>
      <c r="D381" s="43"/>
      <c r="E381" s="43"/>
      <c r="F381" s="43"/>
      <c r="G381" s="43"/>
      <c r="H381" s="218"/>
      <c r="I381" s="157"/>
      <c r="J381" s="45"/>
      <c r="K381" s="76"/>
      <c r="L381" s="79"/>
      <c r="M381" s="48"/>
      <c r="N381" s="78"/>
      <c r="O381" s="50"/>
      <c r="P381" s="51"/>
      <c r="Q381" s="52"/>
      <c r="R381" s="53"/>
      <c r="S381" s="54"/>
      <c r="T381" s="55"/>
      <c r="U381" s="56"/>
      <c r="V381" s="57"/>
      <c r="X381" s="212"/>
    </row>
    <row r="382" spans="1:24" hidden="1" outlineLevel="1" x14ac:dyDescent="0.2">
      <c r="A382" s="329"/>
      <c r="B382" s="81"/>
      <c r="C382" s="81"/>
      <c r="D382" s="43"/>
      <c r="E382" s="43"/>
      <c r="F382" s="43"/>
      <c r="G382" s="43"/>
      <c r="H382" s="218"/>
      <c r="I382" s="157"/>
      <c r="J382" s="45"/>
      <c r="K382" s="76"/>
      <c r="L382" s="79"/>
      <c r="M382" s="48"/>
      <c r="N382" s="78"/>
      <c r="O382" s="50"/>
      <c r="P382" s="51"/>
      <c r="Q382" s="52"/>
      <c r="R382" s="53"/>
      <c r="S382" s="54"/>
      <c r="T382" s="55"/>
      <c r="U382" s="56"/>
      <c r="V382" s="57"/>
      <c r="X382" s="209"/>
    </row>
    <row r="383" spans="1:24" hidden="1" outlineLevel="1" x14ac:dyDescent="0.2">
      <c r="A383" s="329"/>
      <c r="B383" s="81"/>
      <c r="C383" s="81"/>
      <c r="D383" s="43"/>
      <c r="E383" s="43"/>
      <c r="F383" s="43"/>
      <c r="G383" s="43"/>
      <c r="H383" s="218"/>
      <c r="I383" s="157"/>
      <c r="J383" s="45"/>
      <c r="K383" s="76"/>
      <c r="L383" s="79"/>
      <c r="M383" s="48"/>
      <c r="N383" s="78"/>
      <c r="O383" s="50"/>
      <c r="P383" s="51"/>
      <c r="Q383" s="52"/>
      <c r="R383" s="53"/>
      <c r="S383" s="54"/>
      <c r="T383" s="55"/>
      <c r="U383" s="56"/>
      <c r="V383" s="57"/>
      <c r="X383" s="209"/>
    </row>
    <row r="384" spans="1:24" hidden="1" outlineLevel="1" x14ac:dyDescent="0.2">
      <c r="A384" s="329"/>
      <c r="B384" s="81"/>
      <c r="C384" s="81"/>
      <c r="D384" s="43"/>
      <c r="E384" s="43"/>
      <c r="F384" s="43"/>
      <c r="G384" s="43"/>
      <c r="H384" s="218"/>
      <c r="I384" s="157"/>
      <c r="J384" s="45"/>
      <c r="K384" s="76"/>
      <c r="L384" s="79"/>
      <c r="M384" s="48"/>
      <c r="N384" s="78"/>
      <c r="O384" s="50"/>
      <c r="P384" s="51"/>
      <c r="Q384" s="52"/>
      <c r="R384" s="53"/>
      <c r="S384" s="54"/>
      <c r="T384" s="55"/>
      <c r="U384" s="56"/>
      <c r="V384" s="57"/>
      <c r="X384" s="209"/>
    </row>
    <row r="385" spans="1:24" hidden="1" outlineLevel="1" x14ac:dyDescent="0.2">
      <c r="A385" s="329"/>
      <c r="B385" s="81"/>
      <c r="C385" s="81"/>
      <c r="D385" s="43"/>
      <c r="E385" s="43"/>
      <c r="F385" s="43"/>
      <c r="G385" s="43"/>
      <c r="H385" s="218"/>
      <c r="I385" s="157"/>
      <c r="J385" s="45"/>
      <c r="K385" s="76"/>
      <c r="L385" s="79"/>
      <c r="M385" s="48"/>
      <c r="N385" s="78"/>
      <c r="O385" s="50"/>
      <c r="P385" s="51"/>
      <c r="Q385" s="52"/>
      <c r="R385" s="53"/>
      <c r="S385" s="54"/>
      <c r="T385" s="55"/>
      <c r="U385" s="56"/>
      <c r="V385" s="57"/>
      <c r="X385" s="209"/>
    </row>
    <row r="386" spans="1:24" hidden="1" outlineLevel="1" x14ac:dyDescent="0.2">
      <c r="A386" s="329"/>
      <c r="B386" s="81"/>
      <c r="C386" s="81"/>
      <c r="D386" s="43"/>
      <c r="E386" s="43"/>
      <c r="F386" s="43"/>
      <c r="G386" s="43"/>
      <c r="H386" s="218"/>
      <c r="I386" s="157"/>
      <c r="J386" s="45"/>
      <c r="K386" s="76"/>
      <c r="L386" s="79"/>
      <c r="M386" s="48"/>
      <c r="N386" s="78"/>
      <c r="O386" s="50"/>
      <c r="P386" s="51"/>
      <c r="Q386" s="52"/>
      <c r="R386" s="53"/>
      <c r="S386" s="54"/>
      <c r="T386" s="55"/>
      <c r="U386" s="56"/>
      <c r="V386" s="57"/>
      <c r="X386" s="211"/>
    </row>
    <row r="387" spans="1:24" hidden="1" outlineLevel="1" x14ac:dyDescent="0.2">
      <c r="A387" s="329"/>
      <c r="B387" s="81"/>
      <c r="C387" s="81"/>
      <c r="D387" s="43"/>
      <c r="E387" s="43"/>
      <c r="F387" s="43"/>
      <c r="G387" s="43"/>
      <c r="H387" s="218"/>
      <c r="I387" s="157"/>
      <c r="J387" s="45"/>
      <c r="K387" s="76"/>
      <c r="L387" s="79"/>
      <c r="M387" s="48"/>
      <c r="N387" s="78"/>
      <c r="O387" s="50"/>
      <c r="P387" s="51"/>
      <c r="Q387" s="52"/>
      <c r="R387" s="53"/>
      <c r="S387" s="54"/>
      <c r="T387" s="55"/>
      <c r="U387" s="56"/>
      <c r="V387" s="57"/>
      <c r="X387" s="209"/>
    </row>
    <row r="388" spans="1:24" hidden="1" outlineLevel="1" x14ac:dyDescent="0.2">
      <c r="A388" s="329"/>
      <c r="B388" s="81"/>
      <c r="C388" s="81"/>
      <c r="D388" s="43"/>
      <c r="E388" s="43"/>
      <c r="F388" s="43"/>
      <c r="G388" s="43"/>
      <c r="H388" s="218"/>
      <c r="I388" s="157"/>
      <c r="J388" s="45"/>
      <c r="K388" s="76"/>
      <c r="L388" s="79"/>
      <c r="M388" s="48"/>
      <c r="N388" s="78"/>
      <c r="O388" s="50"/>
      <c r="P388" s="51"/>
      <c r="Q388" s="52"/>
      <c r="R388" s="53"/>
      <c r="S388" s="54"/>
      <c r="T388" s="55"/>
      <c r="U388" s="56"/>
      <c r="V388" s="57"/>
    </row>
    <row r="389" spans="1:24" hidden="1" outlineLevel="1" x14ac:dyDescent="0.2">
      <c r="A389" s="329"/>
      <c r="B389" s="81"/>
      <c r="C389" s="81"/>
      <c r="D389" s="43"/>
      <c r="E389" s="43"/>
      <c r="F389" s="43"/>
      <c r="G389" s="43"/>
      <c r="H389" s="218"/>
      <c r="I389" s="157"/>
      <c r="J389" s="45"/>
      <c r="K389" s="76"/>
      <c r="L389" s="79"/>
      <c r="M389" s="48"/>
      <c r="N389" s="78"/>
      <c r="O389" s="50"/>
      <c r="P389" s="51"/>
      <c r="Q389" s="52"/>
      <c r="R389" s="53"/>
      <c r="S389" s="54"/>
      <c r="T389" s="55"/>
      <c r="U389" s="56"/>
      <c r="V389" s="57"/>
    </row>
    <row r="390" spans="1:24" hidden="1" outlineLevel="1" x14ac:dyDescent="0.2">
      <c r="A390" s="329"/>
      <c r="B390" s="81"/>
      <c r="C390" s="81"/>
      <c r="D390" s="43"/>
      <c r="E390" s="43"/>
      <c r="F390" s="43"/>
      <c r="G390" s="43"/>
      <c r="H390" s="218"/>
      <c r="I390" s="157"/>
      <c r="J390" s="45"/>
      <c r="K390" s="76"/>
      <c r="L390" s="79"/>
      <c r="M390" s="48"/>
      <c r="N390" s="78"/>
      <c r="O390" s="50"/>
      <c r="P390" s="51"/>
      <c r="Q390" s="52"/>
      <c r="R390" s="53"/>
      <c r="S390" s="54"/>
      <c r="T390" s="55"/>
      <c r="U390" s="56"/>
      <c r="V390" s="57"/>
    </row>
    <row r="391" spans="1:24" hidden="1" outlineLevel="1" x14ac:dyDescent="0.2">
      <c r="A391" s="329"/>
      <c r="B391" s="81"/>
      <c r="C391" s="81"/>
      <c r="D391" s="43"/>
      <c r="E391" s="43"/>
      <c r="F391" s="43"/>
      <c r="G391" s="43"/>
      <c r="H391" s="218"/>
      <c r="I391" s="157"/>
      <c r="J391" s="45"/>
      <c r="K391" s="76"/>
      <c r="L391" s="79"/>
      <c r="M391" s="48"/>
      <c r="N391" s="78"/>
      <c r="O391" s="50"/>
      <c r="P391" s="51"/>
      <c r="Q391" s="52"/>
      <c r="R391" s="53"/>
      <c r="S391" s="54"/>
      <c r="T391" s="55"/>
      <c r="U391" s="56"/>
      <c r="V391" s="57"/>
    </row>
    <row r="392" spans="1:24" hidden="1" outlineLevel="1" x14ac:dyDescent="0.2">
      <c r="A392" s="329"/>
      <c r="B392" s="81"/>
      <c r="C392" s="81"/>
      <c r="D392" s="43"/>
      <c r="E392" s="43"/>
      <c r="F392" s="43"/>
      <c r="G392" s="43"/>
      <c r="H392" s="218"/>
      <c r="I392" s="157"/>
      <c r="J392" s="45"/>
      <c r="K392" s="76"/>
      <c r="L392" s="79"/>
      <c r="M392" s="48"/>
      <c r="N392" s="78"/>
      <c r="O392" s="50"/>
      <c r="P392" s="51"/>
      <c r="Q392" s="52"/>
      <c r="R392" s="53"/>
      <c r="S392" s="54"/>
      <c r="T392" s="55"/>
      <c r="U392" s="56"/>
      <c r="V392" s="57"/>
    </row>
    <row r="393" spans="1:24" hidden="1" outlineLevel="1" x14ac:dyDescent="0.2">
      <c r="A393" s="329"/>
      <c r="B393" s="81"/>
      <c r="C393" s="81"/>
      <c r="D393" s="43"/>
      <c r="E393" s="43"/>
      <c r="F393" s="43"/>
      <c r="G393" s="43"/>
      <c r="H393" s="218"/>
      <c r="I393" s="157"/>
      <c r="J393" s="45"/>
      <c r="K393" s="76"/>
      <c r="L393" s="79"/>
      <c r="M393" s="48"/>
      <c r="N393" s="78"/>
      <c r="O393" s="50"/>
      <c r="P393" s="51"/>
      <c r="Q393" s="52"/>
      <c r="R393" s="53"/>
      <c r="S393" s="54"/>
      <c r="T393" s="55"/>
      <c r="U393" s="56"/>
      <c r="V393" s="57"/>
    </row>
    <row r="394" spans="1:24" hidden="1" outlineLevel="1" x14ac:dyDescent="0.2">
      <c r="A394" s="329"/>
      <c r="B394" s="81"/>
      <c r="C394" s="81"/>
      <c r="D394" s="43"/>
      <c r="E394" s="43"/>
      <c r="F394" s="43"/>
      <c r="G394" s="43"/>
      <c r="H394" s="218"/>
      <c r="I394" s="157"/>
      <c r="J394" s="45"/>
      <c r="K394" s="76"/>
      <c r="L394" s="79"/>
      <c r="M394" s="48"/>
      <c r="N394" s="78"/>
      <c r="O394" s="50"/>
      <c r="P394" s="51"/>
      <c r="Q394" s="52"/>
      <c r="R394" s="53"/>
      <c r="S394" s="54"/>
      <c r="T394" s="55"/>
      <c r="U394" s="56"/>
      <c r="V394" s="57"/>
    </row>
    <row r="395" spans="1:24" hidden="1" outlineLevel="1" x14ac:dyDescent="0.2">
      <c r="A395" s="329"/>
      <c r="B395" s="81"/>
      <c r="C395" s="81"/>
      <c r="D395" s="43"/>
      <c r="E395" s="43"/>
      <c r="F395" s="43"/>
      <c r="G395" s="43"/>
      <c r="H395" s="218"/>
      <c r="I395" s="157"/>
      <c r="J395" s="45"/>
      <c r="K395" s="76"/>
      <c r="L395" s="79"/>
      <c r="M395" s="48"/>
      <c r="N395" s="78"/>
      <c r="O395" s="50"/>
      <c r="P395" s="51"/>
      <c r="Q395" s="52"/>
      <c r="R395" s="53"/>
      <c r="S395" s="54"/>
      <c r="T395" s="55"/>
      <c r="U395" s="56"/>
      <c r="V395" s="57"/>
    </row>
    <row r="396" spans="1:24" hidden="1" outlineLevel="1" x14ac:dyDescent="0.2">
      <c r="A396" s="329"/>
      <c r="B396" s="81"/>
      <c r="C396" s="81"/>
      <c r="D396" s="43"/>
      <c r="E396" s="43"/>
      <c r="F396" s="43"/>
      <c r="G396" s="43"/>
      <c r="H396" s="218"/>
      <c r="I396" s="157"/>
      <c r="J396" s="45"/>
      <c r="K396" s="76"/>
      <c r="L396" s="79"/>
      <c r="M396" s="48"/>
      <c r="N396" s="78"/>
      <c r="O396" s="50"/>
      <c r="P396" s="51"/>
      <c r="Q396" s="52"/>
      <c r="R396" s="53"/>
      <c r="S396" s="54"/>
      <c r="T396" s="55"/>
      <c r="U396" s="56"/>
      <c r="V396" s="57"/>
    </row>
    <row r="397" spans="1:24" hidden="1" outlineLevel="1" x14ac:dyDescent="0.2">
      <c r="A397" s="329"/>
      <c r="B397" s="81"/>
      <c r="C397" s="81"/>
      <c r="D397" s="43"/>
      <c r="E397" s="43"/>
      <c r="F397" s="43"/>
      <c r="G397" s="43"/>
      <c r="H397" s="218"/>
      <c r="I397" s="157"/>
      <c r="J397" s="45"/>
      <c r="K397" s="76"/>
      <c r="L397" s="79"/>
      <c r="M397" s="48"/>
      <c r="N397" s="78"/>
      <c r="O397" s="50"/>
      <c r="P397" s="51"/>
      <c r="Q397" s="52"/>
      <c r="R397" s="53"/>
      <c r="S397" s="54"/>
      <c r="T397" s="55"/>
      <c r="U397" s="56"/>
      <c r="V397" s="57"/>
    </row>
    <row r="398" spans="1:24" hidden="1" outlineLevel="1" x14ac:dyDescent="0.2">
      <c r="A398" s="329"/>
      <c r="B398" s="81"/>
      <c r="C398" s="81"/>
      <c r="D398" s="43"/>
      <c r="E398" s="43"/>
      <c r="F398" s="43"/>
      <c r="G398" s="43"/>
      <c r="H398" s="218"/>
      <c r="I398" s="157"/>
      <c r="J398" s="45"/>
      <c r="K398" s="76"/>
      <c r="L398" s="79"/>
      <c r="M398" s="48"/>
      <c r="N398" s="78"/>
      <c r="O398" s="50"/>
      <c r="P398" s="51"/>
      <c r="Q398" s="52"/>
      <c r="R398" s="53"/>
      <c r="S398" s="54"/>
      <c r="T398" s="55"/>
      <c r="U398" s="56"/>
      <c r="V398" s="57"/>
    </row>
    <row r="399" spans="1:24" hidden="1" outlineLevel="1" x14ac:dyDescent="0.2">
      <c r="A399" s="329"/>
      <c r="B399" s="81"/>
      <c r="C399" s="81"/>
      <c r="D399" s="43"/>
      <c r="E399" s="43"/>
      <c r="F399" s="43"/>
      <c r="G399" s="43"/>
      <c r="H399" s="218"/>
      <c r="I399" s="157"/>
      <c r="J399" s="45"/>
      <c r="K399" s="76"/>
      <c r="L399" s="79"/>
      <c r="M399" s="48"/>
      <c r="N399" s="78"/>
      <c r="O399" s="50"/>
      <c r="P399" s="51"/>
      <c r="Q399" s="52"/>
      <c r="R399" s="53"/>
      <c r="S399" s="54"/>
      <c r="T399" s="55"/>
      <c r="U399" s="56"/>
      <c r="V399" s="57"/>
    </row>
    <row r="400" spans="1:24" hidden="1" outlineLevel="1" x14ac:dyDescent="0.2">
      <c r="A400" s="329"/>
      <c r="B400" s="81"/>
      <c r="C400" s="81"/>
      <c r="D400" s="43"/>
      <c r="E400" s="43"/>
      <c r="F400" s="43"/>
      <c r="G400" s="43"/>
      <c r="H400" s="218"/>
      <c r="I400" s="157"/>
      <c r="J400" s="45"/>
      <c r="K400" s="76"/>
      <c r="L400" s="79"/>
      <c r="M400" s="48"/>
      <c r="N400" s="78"/>
      <c r="O400" s="50"/>
      <c r="P400" s="51"/>
      <c r="Q400" s="52"/>
      <c r="R400" s="53"/>
      <c r="S400" s="54"/>
      <c r="T400" s="55"/>
      <c r="U400" s="56"/>
      <c r="V400" s="57"/>
    </row>
    <row r="401" spans="1:24" hidden="1" outlineLevel="1" x14ac:dyDescent="0.2">
      <c r="A401" s="329"/>
      <c r="B401" s="81"/>
      <c r="C401" s="81"/>
      <c r="D401" s="43"/>
      <c r="E401" s="43"/>
      <c r="F401" s="43"/>
      <c r="G401" s="43"/>
      <c r="H401" s="218"/>
      <c r="I401" s="157"/>
      <c r="J401" s="45"/>
      <c r="K401" s="76"/>
      <c r="L401" s="79"/>
      <c r="M401" s="48"/>
      <c r="N401" s="78"/>
      <c r="O401" s="50"/>
      <c r="P401" s="51"/>
      <c r="Q401" s="52"/>
      <c r="R401" s="53"/>
      <c r="S401" s="54"/>
      <c r="T401" s="55"/>
      <c r="U401" s="56"/>
      <c r="V401" s="57"/>
      <c r="X401" s="209"/>
    </row>
    <row r="402" spans="1:24" hidden="1" outlineLevel="1" x14ac:dyDescent="0.2">
      <c r="A402" s="329"/>
      <c r="B402" s="81"/>
      <c r="C402" s="81"/>
      <c r="D402" s="43"/>
      <c r="E402" s="43"/>
      <c r="F402" s="43"/>
      <c r="G402" s="43"/>
      <c r="H402" s="218"/>
      <c r="I402" s="157"/>
      <c r="J402" s="45"/>
      <c r="K402" s="76"/>
      <c r="L402" s="79"/>
      <c r="M402" s="48"/>
      <c r="N402" s="78"/>
      <c r="O402" s="50"/>
      <c r="P402" s="51"/>
      <c r="Q402" s="52"/>
      <c r="R402" s="53"/>
      <c r="S402" s="54"/>
      <c r="T402" s="55"/>
      <c r="U402" s="56"/>
      <c r="V402" s="57"/>
    </row>
    <row r="403" spans="1:24" hidden="1" outlineLevel="1" x14ac:dyDescent="0.2">
      <c r="A403" s="329"/>
      <c r="B403" s="81"/>
      <c r="C403" s="81"/>
      <c r="D403" s="43"/>
      <c r="E403" s="43"/>
      <c r="F403" s="43"/>
      <c r="G403" s="43"/>
      <c r="H403" s="218"/>
      <c r="I403" s="157"/>
      <c r="J403" s="45"/>
      <c r="K403" s="76"/>
      <c r="L403" s="79"/>
      <c r="M403" s="48"/>
      <c r="N403" s="78"/>
      <c r="O403" s="50"/>
      <c r="P403" s="51"/>
      <c r="Q403" s="52"/>
      <c r="R403" s="53"/>
      <c r="S403" s="54"/>
      <c r="T403" s="55"/>
      <c r="U403" s="56"/>
      <c r="V403" s="57"/>
    </row>
    <row r="404" spans="1:24" hidden="1" outlineLevel="1" x14ac:dyDescent="0.2">
      <c r="A404" s="329"/>
      <c r="B404" s="81"/>
      <c r="C404" s="81"/>
      <c r="D404" s="43"/>
      <c r="E404" s="43"/>
      <c r="F404" s="43"/>
      <c r="G404" s="43"/>
      <c r="H404" s="218"/>
      <c r="I404" s="157"/>
      <c r="J404" s="45"/>
      <c r="K404" s="76"/>
      <c r="L404" s="79"/>
      <c r="M404" s="48"/>
      <c r="N404" s="78"/>
      <c r="O404" s="50"/>
      <c r="P404" s="51"/>
      <c r="Q404" s="52"/>
      <c r="R404" s="53"/>
      <c r="S404" s="54"/>
      <c r="T404" s="55"/>
      <c r="U404" s="56"/>
      <c r="V404" s="57"/>
    </row>
    <row r="405" spans="1:24" hidden="1" outlineLevel="1" x14ac:dyDescent="0.2">
      <c r="A405" s="329"/>
      <c r="B405" s="81"/>
      <c r="C405" s="81"/>
      <c r="D405" s="43"/>
      <c r="E405" s="43"/>
      <c r="F405" s="43"/>
      <c r="G405" s="43"/>
      <c r="H405" s="218"/>
      <c r="I405" s="157"/>
      <c r="J405" s="45"/>
      <c r="K405" s="76"/>
      <c r="L405" s="79"/>
      <c r="M405" s="48"/>
      <c r="N405" s="78"/>
      <c r="O405" s="50"/>
      <c r="P405" s="51"/>
      <c r="Q405" s="52"/>
      <c r="R405" s="53"/>
      <c r="S405" s="54"/>
      <c r="T405" s="55"/>
      <c r="U405" s="56"/>
      <c r="V405" s="57"/>
    </row>
    <row r="406" spans="1:24" hidden="1" outlineLevel="1" x14ac:dyDescent="0.2">
      <c r="A406" s="329"/>
      <c r="B406" s="81"/>
      <c r="C406" s="81"/>
      <c r="D406" s="43"/>
      <c r="E406" s="43"/>
      <c r="F406" s="43"/>
      <c r="G406" s="43"/>
      <c r="H406" s="218"/>
      <c r="I406" s="157"/>
      <c r="J406" s="45"/>
      <c r="K406" s="76"/>
      <c r="L406" s="79"/>
      <c r="M406" s="48"/>
      <c r="N406" s="78"/>
      <c r="O406" s="50"/>
      <c r="P406" s="51"/>
      <c r="Q406" s="52"/>
      <c r="R406" s="53"/>
      <c r="S406" s="54"/>
      <c r="T406" s="55"/>
      <c r="U406" s="56"/>
      <c r="V406" s="57"/>
    </row>
    <row r="407" spans="1:24" outlineLevel="1" x14ac:dyDescent="0.2">
      <c r="A407" s="337"/>
      <c r="B407" s="81"/>
      <c r="C407" s="82"/>
      <c r="D407" s="83"/>
      <c r="E407" s="83"/>
      <c r="F407" s="83"/>
      <c r="G407" s="83"/>
      <c r="H407" s="218"/>
      <c r="I407" s="59"/>
      <c r="J407" s="28"/>
      <c r="K407" s="62"/>
      <c r="L407" s="30"/>
      <c r="M407" s="31"/>
      <c r="N407" s="32"/>
      <c r="O407" s="33"/>
      <c r="P407" s="69"/>
      <c r="Q407" s="62"/>
      <c r="R407" s="63"/>
      <c r="S407" s="64"/>
      <c r="T407" s="70"/>
      <c r="U407" s="89"/>
      <c r="V407" s="71"/>
    </row>
    <row r="408" spans="1:24" outlineLevel="1" x14ac:dyDescent="0.2">
      <c r="A408" s="337"/>
      <c r="B408" s="81"/>
      <c r="C408" s="82"/>
      <c r="D408" s="83"/>
      <c r="E408" s="83"/>
      <c r="F408" s="83"/>
      <c r="G408" s="83"/>
      <c r="H408" s="218"/>
      <c r="I408" s="59"/>
      <c r="J408" s="28"/>
      <c r="K408" s="62"/>
      <c r="L408" s="79"/>
      <c r="M408" s="60"/>
      <c r="N408" s="88"/>
      <c r="O408" s="61"/>
      <c r="P408" s="51"/>
      <c r="Q408" s="52"/>
      <c r="R408" s="67"/>
      <c r="S408" s="54"/>
      <c r="T408" s="55"/>
      <c r="U408" s="56"/>
      <c r="V408" s="68"/>
    </row>
    <row r="409" spans="1:24" outlineLevel="1" x14ac:dyDescent="0.2">
      <c r="A409" s="337"/>
      <c r="B409" s="81"/>
      <c r="C409" s="82"/>
      <c r="D409" s="83"/>
      <c r="E409" s="83"/>
      <c r="F409" s="83"/>
      <c r="G409" s="83"/>
      <c r="H409" s="218"/>
      <c r="I409" s="59"/>
      <c r="J409" s="28"/>
      <c r="K409" s="62"/>
      <c r="L409" s="79"/>
      <c r="M409" s="60"/>
      <c r="N409" s="88"/>
      <c r="O409" s="61"/>
      <c r="P409" s="51"/>
      <c r="Q409" s="52"/>
      <c r="R409" s="67"/>
      <c r="S409" s="54"/>
      <c r="T409" s="55"/>
      <c r="U409" s="56"/>
      <c r="V409" s="68"/>
      <c r="W409" s="351"/>
    </row>
    <row r="410" spans="1:24" outlineLevel="1" x14ac:dyDescent="0.2">
      <c r="A410" s="338"/>
      <c r="B410" s="81"/>
      <c r="C410" s="82"/>
      <c r="D410" s="83"/>
      <c r="E410" s="83"/>
      <c r="F410" s="83"/>
      <c r="G410" s="83"/>
      <c r="H410" s="218"/>
      <c r="I410" s="59"/>
      <c r="J410" s="28"/>
      <c r="K410" s="62"/>
      <c r="L410" s="79"/>
      <c r="M410" s="60"/>
      <c r="N410" s="88"/>
      <c r="O410" s="61"/>
      <c r="P410" s="51"/>
      <c r="Q410" s="52"/>
      <c r="R410" s="67"/>
      <c r="S410" s="54"/>
      <c r="T410" s="55"/>
      <c r="U410" s="56"/>
      <c r="V410" s="68"/>
    </row>
    <row r="411" spans="1:24" outlineLevel="1" x14ac:dyDescent="0.2">
      <c r="A411" s="338"/>
      <c r="B411" s="81"/>
      <c r="C411" s="82"/>
      <c r="D411" s="83"/>
      <c r="E411" s="83"/>
      <c r="F411" s="83"/>
      <c r="G411" s="83"/>
      <c r="H411" s="218"/>
      <c r="I411" s="59"/>
      <c r="J411" s="28"/>
      <c r="K411" s="62"/>
      <c r="L411" s="79"/>
      <c r="M411" s="60"/>
      <c r="N411" s="88"/>
      <c r="O411" s="61"/>
      <c r="P411" s="51"/>
      <c r="Q411" s="52"/>
      <c r="R411" s="67"/>
      <c r="S411" s="54"/>
      <c r="T411" s="55"/>
      <c r="U411" s="56"/>
      <c r="V411" s="68"/>
    </row>
    <row r="412" spans="1:24" outlineLevel="1" x14ac:dyDescent="0.2">
      <c r="A412" s="81"/>
      <c r="B412" s="81"/>
      <c r="C412" s="82"/>
      <c r="D412" s="83"/>
      <c r="E412" s="83"/>
      <c r="F412" s="83"/>
      <c r="G412" s="83"/>
      <c r="H412" s="218"/>
      <c r="I412" s="59"/>
      <c r="J412" s="28"/>
      <c r="K412" s="62"/>
      <c r="L412" s="79"/>
      <c r="M412" s="60"/>
      <c r="N412" s="88"/>
      <c r="O412" s="61"/>
      <c r="P412" s="51"/>
      <c r="Q412" s="52"/>
      <c r="R412" s="67"/>
      <c r="S412" s="54"/>
      <c r="T412" s="55"/>
      <c r="U412" s="56"/>
      <c r="V412" s="68"/>
    </row>
    <row r="413" spans="1:24" outlineLevel="1" x14ac:dyDescent="0.2">
      <c r="A413" s="81"/>
      <c r="B413" s="81"/>
      <c r="C413" s="82"/>
      <c r="D413" s="83"/>
      <c r="E413" s="83"/>
      <c r="F413" s="83"/>
      <c r="G413" s="83"/>
      <c r="H413" s="218"/>
      <c r="I413" s="59"/>
      <c r="J413" s="28"/>
      <c r="K413" s="62"/>
      <c r="L413" s="79"/>
      <c r="M413" s="60"/>
      <c r="N413" s="88"/>
      <c r="O413" s="61"/>
      <c r="P413" s="51"/>
      <c r="Q413" s="52"/>
      <c r="R413" s="67"/>
      <c r="S413" s="54"/>
      <c r="T413" s="55"/>
      <c r="U413" s="56"/>
      <c r="V413" s="68"/>
    </row>
    <row r="414" spans="1:24" outlineLevel="1" x14ac:dyDescent="0.2">
      <c r="A414" s="81"/>
      <c r="B414" s="81"/>
      <c r="C414" s="82"/>
      <c r="D414" s="83"/>
      <c r="E414" s="83"/>
      <c r="F414" s="83"/>
      <c r="G414" s="83"/>
      <c r="H414" s="218"/>
      <c r="I414" s="59"/>
      <c r="J414" s="28"/>
      <c r="K414" s="62"/>
      <c r="L414" s="79"/>
      <c r="M414" s="60"/>
      <c r="N414" s="88"/>
      <c r="O414" s="61"/>
      <c r="P414" s="51"/>
      <c r="Q414" s="52"/>
      <c r="R414" s="67"/>
      <c r="S414" s="54"/>
      <c r="T414" s="55"/>
      <c r="U414" s="56"/>
      <c r="V414" s="68"/>
    </row>
    <row r="415" spans="1:24" ht="13.5" thickBot="1" x14ac:dyDescent="0.25">
      <c r="A415" s="91"/>
      <c r="B415" s="92"/>
      <c r="C415" s="93"/>
      <c r="D415" s="94"/>
      <c r="E415" s="94"/>
      <c r="F415" s="94"/>
      <c r="G415" s="94"/>
      <c r="H415" s="358"/>
      <c r="I415" s="96"/>
      <c r="J415" s="95"/>
      <c r="K415" s="97"/>
      <c r="L415" s="98"/>
      <c r="M415" s="99"/>
      <c r="N415" s="100"/>
      <c r="O415" s="101"/>
      <c r="P415" s="102"/>
      <c r="Q415" s="97"/>
      <c r="R415" s="103"/>
      <c r="S415" s="104"/>
      <c r="T415" s="105"/>
      <c r="U415" s="106"/>
      <c r="V415" s="107"/>
      <c r="W415" s="351"/>
    </row>
    <row r="416" spans="1:24" x14ac:dyDescent="0.2">
      <c r="I416" s="108"/>
    </row>
    <row r="417" spans="1:14" x14ac:dyDescent="0.2">
      <c r="A417" s="163"/>
      <c r="B417" s="109"/>
      <c r="C417" s="109"/>
      <c r="I417" s="108"/>
    </row>
    <row r="418" spans="1:14" x14ac:dyDescent="0.2">
      <c r="A418" s="2"/>
      <c r="I418" s="108"/>
    </row>
    <row r="419" spans="1:14" x14ac:dyDescent="0.2">
      <c r="I419" s="108"/>
    </row>
    <row r="420" spans="1:14" x14ac:dyDescent="0.2">
      <c r="I420" s="108"/>
    </row>
    <row r="421" spans="1:14" ht="15" x14ac:dyDescent="0.2">
      <c r="B421" s="164"/>
      <c r="I421" s="197"/>
      <c r="J421" s="198"/>
      <c r="K421" s="198"/>
    </row>
    <row r="422" spans="1:14" x14ac:dyDescent="0.2">
      <c r="B422" s="166"/>
      <c r="C422" s="167"/>
      <c r="D422" s="166"/>
      <c r="I422" s="198"/>
      <c r="J422" s="199"/>
      <c r="K422" s="198"/>
    </row>
    <row r="423" spans="1:14" x14ac:dyDescent="0.2">
      <c r="B423" s="166"/>
      <c r="C423" s="168"/>
      <c r="D423" s="169"/>
      <c r="I423" s="198"/>
      <c r="J423" s="200"/>
      <c r="K423" s="198"/>
      <c r="M423" s="90"/>
    </row>
    <row r="424" spans="1:14" x14ac:dyDescent="0.2">
      <c r="B424" s="166"/>
      <c r="C424" s="171"/>
      <c r="D424" s="172"/>
      <c r="I424" s="198"/>
      <c r="J424" s="200"/>
      <c r="K424" s="198"/>
      <c r="M424" s="90"/>
    </row>
    <row r="425" spans="1:14" x14ac:dyDescent="0.2">
      <c r="B425" s="166"/>
      <c r="C425" s="171"/>
      <c r="D425" s="172"/>
      <c r="I425" s="198"/>
      <c r="J425" s="200"/>
      <c r="K425" s="198"/>
      <c r="M425" s="90"/>
    </row>
    <row r="426" spans="1:14" x14ac:dyDescent="0.2">
      <c r="B426" s="166"/>
      <c r="C426" s="348"/>
      <c r="D426" s="172"/>
      <c r="I426" s="198"/>
      <c r="J426" s="200"/>
      <c r="K426" s="198"/>
      <c r="M426" s="90"/>
    </row>
    <row r="427" spans="1:14" x14ac:dyDescent="0.2">
      <c r="B427" s="166"/>
      <c r="C427" s="171"/>
      <c r="D427" s="172"/>
      <c r="I427" s="198"/>
      <c r="J427" s="200"/>
      <c r="K427" s="198"/>
      <c r="M427" s="90"/>
    </row>
    <row r="428" spans="1:14" x14ac:dyDescent="0.2">
      <c r="A428" s="110"/>
      <c r="B428" s="166"/>
      <c r="C428" s="348"/>
      <c r="D428" s="172"/>
      <c r="I428" s="198"/>
      <c r="J428" s="198"/>
      <c r="K428" s="198"/>
      <c r="M428" s="90"/>
    </row>
    <row r="429" spans="1:14" x14ac:dyDescent="0.2">
      <c r="B429" s="166"/>
      <c r="C429" s="171"/>
      <c r="D429" s="172"/>
      <c r="I429" s="198"/>
      <c r="J429" s="200"/>
      <c r="K429" s="198"/>
      <c r="M429" s="90"/>
    </row>
    <row r="430" spans="1:14" x14ac:dyDescent="0.2">
      <c r="B430" s="166"/>
      <c r="C430" s="173"/>
      <c r="D430" s="174"/>
      <c r="I430" s="198"/>
      <c r="J430" s="200"/>
      <c r="K430" s="198"/>
      <c r="M430" s="90"/>
    </row>
    <row r="431" spans="1:14" x14ac:dyDescent="0.2">
      <c r="I431" s="198"/>
      <c r="J431" s="198"/>
      <c r="K431" s="198"/>
      <c r="N431" s="165"/>
    </row>
    <row r="432" spans="1:14" x14ac:dyDescent="0.2">
      <c r="C432" s="175"/>
      <c r="D432" s="176"/>
      <c r="K432" s="90"/>
      <c r="N432" s="165"/>
    </row>
    <row r="433" spans="2:15" x14ac:dyDescent="0.2">
      <c r="O433" s="137"/>
    </row>
    <row r="434" spans="2:15" ht="15" x14ac:dyDescent="0.2">
      <c r="B434" s="164"/>
      <c r="D434" s="180"/>
      <c r="O434" s="170"/>
    </row>
    <row r="435" spans="2:15" x14ac:dyDescent="0.2">
      <c r="B435" s="181"/>
      <c r="C435" s="182"/>
      <c r="D435" s="181"/>
      <c r="O435" s="170"/>
    </row>
    <row r="436" spans="2:15" x14ac:dyDescent="0.2">
      <c r="B436" s="181"/>
      <c r="C436" s="183"/>
      <c r="D436" s="184"/>
      <c r="I436" s="201"/>
      <c r="J436" s="202"/>
      <c r="O436" s="170"/>
    </row>
    <row r="437" spans="2:15" x14ac:dyDescent="0.2">
      <c r="B437" s="181"/>
      <c r="C437" s="185"/>
      <c r="D437" s="186"/>
      <c r="I437" s="203"/>
      <c r="J437" s="204"/>
      <c r="O437" s="170"/>
    </row>
    <row r="438" spans="2:15" x14ac:dyDescent="0.2">
      <c r="B438" s="181"/>
      <c r="C438" s="185"/>
      <c r="D438" s="186"/>
      <c r="I438" s="203"/>
      <c r="J438" s="204"/>
      <c r="O438" s="170"/>
    </row>
    <row r="439" spans="2:15" x14ac:dyDescent="0.2">
      <c r="B439" s="181"/>
      <c r="C439" s="185"/>
      <c r="D439" s="186"/>
      <c r="I439" s="203"/>
      <c r="J439" s="204"/>
      <c r="O439" s="170"/>
    </row>
    <row r="440" spans="2:15" x14ac:dyDescent="0.2">
      <c r="B440" s="181"/>
      <c r="C440" s="185"/>
      <c r="D440" s="186"/>
      <c r="I440" s="203"/>
      <c r="J440" s="204"/>
      <c r="O440" s="170"/>
    </row>
    <row r="441" spans="2:15" x14ac:dyDescent="0.2">
      <c r="B441" s="181"/>
      <c r="C441" s="185"/>
      <c r="D441" s="186"/>
      <c r="I441" s="203"/>
      <c r="J441" s="204"/>
      <c r="O441" s="170"/>
    </row>
    <row r="442" spans="2:15" x14ac:dyDescent="0.2">
      <c r="B442" s="181"/>
      <c r="C442" s="185"/>
      <c r="D442" s="186"/>
      <c r="I442" s="203"/>
      <c r="J442" s="204"/>
      <c r="O442" s="170"/>
    </row>
    <row r="443" spans="2:15" x14ac:dyDescent="0.2">
      <c r="B443" s="181"/>
      <c r="C443" s="185"/>
      <c r="D443" s="186"/>
      <c r="I443" s="205"/>
      <c r="J443" s="204"/>
      <c r="O443" s="170"/>
    </row>
    <row r="444" spans="2:15" x14ac:dyDescent="0.2">
      <c r="B444" s="181"/>
      <c r="C444" s="349"/>
      <c r="D444" s="187"/>
      <c r="I444" s="206"/>
      <c r="J444" s="207"/>
      <c r="O444" s="170"/>
    </row>
    <row r="445" spans="2:15" x14ac:dyDescent="0.2">
      <c r="C445" s="137"/>
      <c r="D445" s="137"/>
      <c r="J445" s="177"/>
      <c r="K445" s="178"/>
      <c r="O445" s="170"/>
    </row>
    <row r="446" spans="2:15" x14ac:dyDescent="0.2">
      <c r="B446" s="179"/>
      <c r="C446" s="175"/>
      <c r="D446" s="188"/>
      <c r="I446" s="175"/>
      <c r="J446" s="188"/>
      <c r="K446" s="90"/>
      <c r="O446" s="170"/>
    </row>
    <row r="447" spans="2:15" x14ac:dyDescent="0.2">
      <c r="O447" s="170"/>
    </row>
    <row r="448" spans="2:15" x14ac:dyDescent="0.2">
      <c r="O448" s="170"/>
    </row>
    <row r="449" spans="15:15" x14ac:dyDescent="0.2">
      <c r="O449" s="170"/>
    </row>
    <row r="450" spans="15:15" x14ac:dyDescent="0.2">
      <c r="O450" s="170"/>
    </row>
    <row r="451" spans="15:15" x14ac:dyDescent="0.2">
      <c r="O451" s="170"/>
    </row>
    <row r="452" spans="15:15" x14ac:dyDescent="0.2">
      <c r="O452" s="170"/>
    </row>
    <row r="453" spans="15:15" x14ac:dyDescent="0.2">
      <c r="O453" s="170"/>
    </row>
    <row r="454" spans="15:15" x14ac:dyDescent="0.2">
      <c r="O454" s="170"/>
    </row>
    <row r="455" spans="15:15" x14ac:dyDescent="0.2">
      <c r="O455" s="170"/>
    </row>
    <row r="456" spans="15:15" x14ac:dyDescent="0.2">
      <c r="O456" s="170"/>
    </row>
    <row r="457" spans="15:15" x14ac:dyDescent="0.2">
      <c r="O457" s="170"/>
    </row>
    <row r="458" spans="15:15" x14ac:dyDescent="0.2">
      <c r="O458" s="170"/>
    </row>
    <row r="459" spans="15:15" x14ac:dyDescent="0.2">
      <c r="O459" s="170"/>
    </row>
    <row r="460" spans="15:15" x14ac:dyDescent="0.2">
      <c r="O460" s="170"/>
    </row>
    <row r="461" spans="15:15" x14ac:dyDescent="0.2">
      <c r="O461" s="170"/>
    </row>
  </sheetData>
  <phoneticPr fontId="11" type="noConversion"/>
  <pageMargins left="0.39370078740157483" right="0.39370078740157483" top="1.9291338582677167" bottom="0.51181102362204722" header="0.51181102362204722" footer="0.51181102362204722"/>
  <pageSetup paperSize="8" scale="53" firstPageNumber="0" fitToHeight="0" orientation="portrait" verticalDpi="300" r:id="rId1"/>
  <headerFooter alignWithMargins="0">
    <oddHeader>&amp;L&amp;"Arial,Fett"&amp;12Rohrnetzberechnung &amp;C&amp;"Arial,Fett"&amp;12Plusanlage überkristich CO&amp;Y2 &amp;R&amp;"Times New Roman,Standard"&amp;12 30.07.2009/Sc</oddHeader>
    <oddFooter>&amp;C&amp;P/&amp;N</oddFooter>
  </headerFooter>
  <rowBreaks count="4" manualBreakCount="4">
    <brk id="140" max="21" man="1"/>
    <brk id="172" max="21" man="1"/>
    <brk id="358" max="21" man="1"/>
    <brk id="406" max="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  <pageSetUpPr fitToPage="1"/>
  </sheetPr>
  <dimension ref="A1:V101"/>
  <sheetViews>
    <sheetView topLeftCell="A4" zoomScaleNormal="100" workbookViewId="0">
      <selection activeCell="H10" sqref="H10"/>
    </sheetView>
  </sheetViews>
  <sheetFormatPr baseColWidth="10" defaultRowHeight="12.75" outlineLevelRow="1" outlineLevelCol="1" x14ac:dyDescent="0.2"/>
  <cols>
    <col min="1" max="1" width="54.5703125" bestFit="1" customWidth="1"/>
    <col min="2" max="2" width="12.42578125" customWidth="1"/>
    <col min="3" max="3" width="8.5703125" customWidth="1"/>
    <col min="4" max="4" width="7.140625" customWidth="1" collapsed="1"/>
    <col min="5" max="7" width="11.42578125" hidden="1" customWidth="1" outlineLevel="1"/>
    <col min="8" max="8" width="8.5703125" customWidth="1" collapsed="1"/>
    <col min="9" max="9" width="8.5703125" hidden="1" customWidth="1" outlineLevel="1"/>
    <col min="10" max="12" width="8.7109375" hidden="1" customWidth="1" outlineLevel="1"/>
    <col min="13" max="13" width="10.7109375" hidden="1" customWidth="1" outlineLevel="1"/>
    <col min="14" max="14" width="10" hidden="1" customWidth="1" outlineLevel="1"/>
    <col min="15" max="15" width="9.7109375" hidden="1" customWidth="1" outlineLevel="1"/>
    <col min="16" max="16" width="11.42578125" hidden="1" customWidth="1" outlineLevel="1"/>
    <col min="17" max="17" width="9.28515625" customWidth="1" collapsed="1"/>
    <col min="18" max="20" width="11.42578125" hidden="1" customWidth="1" outlineLevel="1"/>
    <col min="21" max="21" width="11.42578125" collapsed="1"/>
  </cols>
  <sheetData>
    <row r="1" spans="1:22" x14ac:dyDescent="0.2">
      <c r="A1" s="1" t="s">
        <v>41</v>
      </c>
      <c r="J1" t="s">
        <v>119</v>
      </c>
      <c r="Q1" t="s">
        <v>129</v>
      </c>
      <c r="T1" t="s">
        <v>42</v>
      </c>
    </row>
    <row r="2" spans="1:22" x14ac:dyDescent="0.2">
      <c r="A2" s="2" t="s">
        <v>1</v>
      </c>
      <c r="J2" t="s">
        <v>120</v>
      </c>
      <c r="L2" t="s">
        <v>121</v>
      </c>
    </row>
    <row r="4" spans="1:22" ht="13.5" x14ac:dyDescent="0.25">
      <c r="A4" s="3" t="s">
        <v>2</v>
      </c>
      <c r="B4" s="3" t="s">
        <v>3</v>
      </c>
      <c r="C4" s="4" t="s">
        <v>4</v>
      </c>
      <c r="D4" s="3" t="s">
        <v>5</v>
      </c>
      <c r="E4" s="5" t="s">
        <v>6</v>
      </c>
      <c r="F4" s="5" t="s">
        <v>6</v>
      </c>
      <c r="G4" s="5" t="s">
        <v>6</v>
      </c>
      <c r="H4" s="3" t="s">
        <v>5</v>
      </c>
      <c r="I4" s="6" t="s">
        <v>7</v>
      </c>
      <c r="J4" s="7" t="s">
        <v>8</v>
      </c>
      <c r="K4" s="3" t="s">
        <v>9</v>
      </c>
      <c r="L4" s="8" t="s">
        <v>10</v>
      </c>
      <c r="M4" s="7" t="s">
        <v>11</v>
      </c>
      <c r="N4" s="7" t="s">
        <v>117</v>
      </c>
      <c r="O4" s="8" t="s">
        <v>14</v>
      </c>
      <c r="P4" s="9" t="s">
        <v>15</v>
      </c>
      <c r="Q4" s="9" t="s">
        <v>16</v>
      </c>
      <c r="R4" s="9" t="s">
        <v>17</v>
      </c>
      <c r="S4" s="10" t="s">
        <v>18</v>
      </c>
      <c r="T4" s="11" t="s">
        <v>19</v>
      </c>
      <c r="U4" s="11" t="s">
        <v>19</v>
      </c>
    </row>
    <row r="5" spans="1:22" ht="14.25" x14ac:dyDescent="0.2">
      <c r="A5" s="156" t="s">
        <v>118</v>
      </c>
      <c r="B5" s="12" t="s">
        <v>20</v>
      </c>
      <c r="C5" s="12" t="s">
        <v>21</v>
      </c>
      <c r="D5" s="13" t="s">
        <v>22</v>
      </c>
      <c r="E5" s="14" t="s">
        <v>23</v>
      </c>
      <c r="F5" s="14" t="s">
        <v>23</v>
      </c>
      <c r="G5" s="14" t="s">
        <v>23</v>
      </c>
      <c r="H5" s="13" t="s">
        <v>24</v>
      </c>
      <c r="I5" s="12" t="s">
        <v>25</v>
      </c>
      <c r="J5" s="12" t="s">
        <v>26</v>
      </c>
      <c r="K5" s="12" t="s">
        <v>27</v>
      </c>
      <c r="L5" s="12" t="s">
        <v>28</v>
      </c>
      <c r="M5" s="12" t="s">
        <v>29</v>
      </c>
      <c r="N5" s="12" t="s">
        <v>31</v>
      </c>
      <c r="O5" s="12" t="s">
        <v>32</v>
      </c>
      <c r="P5" s="15" t="s">
        <v>33</v>
      </c>
      <c r="Q5" s="15" t="s">
        <v>34</v>
      </c>
      <c r="R5" s="15" t="s">
        <v>31</v>
      </c>
      <c r="S5" s="12" t="s">
        <v>25</v>
      </c>
      <c r="T5" s="111" t="s">
        <v>31</v>
      </c>
      <c r="U5" s="15" t="s">
        <v>35</v>
      </c>
      <c r="V5" s="16"/>
    </row>
    <row r="6" spans="1:22" x14ac:dyDescent="0.2">
      <c r="A6" s="17"/>
      <c r="B6" s="19"/>
      <c r="C6" s="19"/>
      <c r="D6" s="20"/>
      <c r="E6" s="20" t="s">
        <v>36</v>
      </c>
      <c r="F6" s="20" t="s">
        <v>36</v>
      </c>
      <c r="G6" s="20" t="s">
        <v>36</v>
      </c>
      <c r="H6" s="20"/>
      <c r="I6" s="19"/>
      <c r="J6" s="19"/>
      <c r="K6" s="19"/>
      <c r="L6" s="19"/>
      <c r="M6" s="19"/>
      <c r="N6" s="19"/>
      <c r="O6" s="19"/>
      <c r="P6" s="21"/>
      <c r="Q6" s="21"/>
      <c r="R6" s="21"/>
      <c r="S6" s="19"/>
      <c r="T6" s="21"/>
      <c r="U6" s="22"/>
      <c r="V6" s="16"/>
    </row>
    <row r="7" spans="1:22" x14ac:dyDescent="0.2">
      <c r="A7" s="112"/>
      <c r="B7" s="24"/>
      <c r="C7" s="25"/>
      <c r="D7" s="26"/>
      <c r="E7" s="26"/>
      <c r="F7" s="26"/>
      <c r="G7" s="26"/>
      <c r="H7" s="113"/>
      <c r="I7" s="114"/>
      <c r="J7" s="222">
        <f>457.28-190.32</f>
        <v>266.95999999999998</v>
      </c>
      <c r="K7" s="114">
        <f>1/L7</f>
        <v>30.571690614490979</v>
      </c>
      <c r="L7" s="114">
        <v>3.2710000000000003E-2</v>
      </c>
      <c r="M7" s="114"/>
      <c r="N7" s="114"/>
      <c r="O7" s="114"/>
      <c r="P7" s="114"/>
      <c r="Q7" s="114"/>
      <c r="R7" s="114"/>
      <c r="S7" s="114"/>
      <c r="T7" s="114"/>
      <c r="U7" s="162">
        <f>+U50+U48+U46+U32+U20+U12+U10</f>
        <v>0.58314742770544825</v>
      </c>
    </row>
    <row r="8" spans="1:22" outlineLevel="1" x14ac:dyDescent="0.2">
      <c r="A8" s="23" t="s">
        <v>43</v>
      </c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66"/>
    </row>
    <row r="9" spans="1:22" outlineLevel="1" x14ac:dyDescent="0.2">
      <c r="A9" s="40"/>
      <c r="B9" s="41"/>
      <c r="C9" s="42"/>
      <c r="D9" s="58"/>
      <c r="E9" s="58"/>
      <c r="F9" s="58"/>
      <c r="G9" s="58"/>
      <c r="H9" s="58"/>
      <c r="I9" s="58"/>
      <c r="J9" s="58"/>
      <c r="K9" s="26"/>
      <c r="L9" s="58"/>
      <c r="M9" s="58"/>
      <c r="N9" s="26"/>
      <c r="O9" s="58"/>
      <c r="P9" s="58"/>
      <c r="Q9" s="58"/>
      <c r="R9" s="58"/>
      <c r="S9" s="58"/>
      <c r="T9" s="26"/>
      <c r="U9" s="66"/>
    </row>
    <row r="10" spans="1:22" outlineLevel="1" x14ac:dyDescent="0.2">
      <c r="A10" s="224" t="s">
        <v>199</v>
      </c>
      <c r="B10" s="41">
        <f>+B11+B12+2.8</f>
        <v>44.54</v>
      </c>
      <c r="C10" s="42">
        <f>7.3+10+5.5+5.22+20</f>
        <v>48.019999999999996</v>
      </c>
      <c r="D10" s="43">
        <f>IF(H10&gt;50,G10,IF(H10&lt;=22,E10,IF(H10=28,F10,IF(H10=35,F10,IF(H10=42,F10)))))</f>
        <v>32</v>
      </c>
      <c r="E10" s="43" t="b">
        <f>IF(H10=10,H10-2,IF(H10=12,H10-2,IF(H10=15,H10-2,IF(H10=18,H10-2,IF(H10=22,H10-2)))))</f>
        <v>0</v>
      </c>
      <c r="F10" s="43">
        <f>IF(H10=28,H10-3,IF(H10=35,H10-3,IF(H10=42,H10-3)))</f>
        <v>32</v>
      </c>
      <c r="G10" s="43" t="b">
        <f>IF(H10=54,50)</f>
        <v>0</v>
      </c>
      <c r="H10" s="44">
        <v>35</v>
      </c>
      <c r="I10" s="157">
        <f>(0.3164/(S10^0.25))</f>
        <v>8.7152089155095609E-3</v>
      </c>
      <c r="J10" s="115">
        <f>$J$7</f>
        <v>266.95999999999998</v>
      </c>
      <c r="K10" s="46">
        <f>$K$7</f>
        <v>30.571690614490979</v>
      </c>
      <c r="L10" s="116">
        <f>SUM(1/K10)</f>
        <v>3.2710000000000003E-2</v>
      </c>
      <c r="M10" s="48">
        <v>1.2499999999999999E-7</v>
      </c>
      <c r="N10" s="117">
        <v>41000</v>
      </c>
      <c r="O10" s="118">
        <f>SUM(B10/J10)</f>
        <v>0.166841474378184</v>
      </c>
      <c r="P10" s="52">
        <f>SUM(O10*L10*3600)</f>
        <v>19.646584656877437</v>
      </c>
      <c r="Q10" s="53">
        <f>(P10/3600/(((D10/1000)^2*PI())/4))</f>
        <v>6.7857010916133529</v>
      </c>
      <c r="R10" s="67">
        <f>SUM((Q10^2*K10)/2)</f>
        <v>703.84804806974398</v>
      </c>
      <c r="S10" s="55">
        <f>SUM(((D10/1000)*Q10)/M10)</f>
        <v>1737139.4794530184</v>
      </c>
      <c r="T10" s="56">
        <f>SUM(I10/(D10/1000)*R10)*C10</f>
        <v>9205.108039791965</v>
      </c>
      <c r="U10" s="57">
        <f>SUM(T10/N10)*1.3</f>
        <v>0.29186927931047696</v>
      </c>
    </row>
    <row r="11" spans="1:22" outlineLevel="1" x14ac:dyDescent="0.2">
      <c r="A11" s="224" t="s">
        <v>188</v>
      </c>
      <c r="B11" s="41">
        <v>5.5</v>
      </c>
      <c r="C11" s="42">
        <v>5</v>
      </c>
      <c r="D11" s="43">
        <f>IF(H11&gt;50,G11,IF(H11&lt;=22,E11,IF(H11=28,F11,IF(H11=35,F11,IF(H11=42,F11)))))</f>
        <v>13</v>
      </c>
      <c r="E11" s="43">
        <f>IF(H11=10,H11-2,IF(H11=12,H11-2,IF(H11=15,H11-2,IF(H11=18,H11-2,IF(H11=22,H11-2)))))</f>
        <v>13</v>
      </c>
      <c r="F11" s="43" t="b">
        <f>IF(H11=28,H11-3,IF(H11=35,H11-3,IF(H11=42,H11-3)))</f>
        <v>0</v>
      </c>
      <c r="G11" s="43" t="b">
        <f>IF(H11=54,50)</f>
        <v>0</v>
      </c>
      <c r="H11" s="44">
        <v>15</v>
      </c>
      <c r="I11" s="157">
        <f>(0.3164/(S11^0.25))</f>
        <v>1.1737430304803481E-2</v>
      </c>
      <c r="J11" s="115">
        <f t="shared" ref="J11:J51" si="0">$J$7</f>
        <v>266.95999999999998</v>
      </c>
      <c r="K11" s="46">
        <f t="shared" ref="K11:K51" si="1">$K$7</f>
        <v>30.571690614490979</v>
      </c>
      <c r="L11" s="116">
        <f>SUM(1/K11)</f>
        <v>3.2710000000000003E-2</v>
      </c>
      <c r="M11" s="48">
        <v>1.2499999999999999E-7</v>
      </c>
      <c r="N11" s="117">
        <v>41000</v>
      </c>
      <c r="O11" s="118">
        <f>SUM(B11/J11)</f>
        <v>2.0602337428828291E-2</v>
      </c>
      <c r="P11" s="52">
        <f>SUM(O11*L11*3600)</f>
        <v>2.4260488462691048</v>
      </c>
      <c r="Q11" s="53">
        <f>(P11/3600/(((D11/1000)^2*PI())/4))</f>
        <v>5.0771553723355396</v>
      </c>
      <c r="R11" s="67">
        <f>SUM((Q11^2*K11)/2)</f>
        <v>394.0309794380255</v>
      </c>
      <c r="S11" s="55">
        <f>SUM(((D11/1000)*Q11)/M11)</f>
        <v>528024.15872289613</v>
      </c>
      <c r="T11" s="56">
        <f>SUM(I11/(D11/1000)*R11)*C11</f>
        <v>1778.8119842643378</v>
      </c>
      <c r="U11" s="57">
        <f>SUM(T11/N11)*1.3</f>
        <v>5.6401355598625344E-2</v>
      </c>
    </row>
    <row r="12" spans="1:22" outlineLevel="1" x14ac:dyDescent="0.2">
      <c r="A12" s="224" t="s">
        <v>198</v>
      </c>
      <c r="B12" s="41">
        <f>+B14+B20</f>
        <v>36.24</v>
      </c>
      <c r="C12" s="42">
        <f>3.3+11.9</f>
        <v>15.2</v>
      </c>
      <c r="D12" s="43">
        <f>IF(H12&gt;50,G12,IF(H12&lt;=22,E12,IF(H12=28,F12,IF(H12=35,F12,IF(H12=42,F12)))))</f>
        <v>32</v>
      </c>
      <c r="E12" s="43" t="b">
        <f>IF(H12=10,H12-2,IF(H12=12,H12-2,IF(H12=15,H12-2,IF(H12=18,H12-2,IF(H12=22,H12-2)))))</f>
        <v>0</v>
      </c>
      <c r="F12" s="43">
        <f>IF(H12=28,H12-3,IF(H12=35,H12-3,IF(H12=42,H12-3)))</f>
        <v>32</v>
      </c>
      <c r="G12" s="43" t="b">
        <f>IF(H12=54,50)</f>
        <v>0</v>
      </c>
      <c r="H12" s="44">
        <v>35</v>
      </c>
      <c r="I12" s="157">
        <f>(0.3164/(S12^0.25))</f>
        <v>9.1763148887180589E-3</v>
      </c>
      <c r="J12" s="115">
        <f t="shared" si="0"/>
        <v>266.95999999999998</v>
      </c>
      <c r="K12" s="46">
        <f t="shared" si="1"/>
        <v>30.571690614490979</v>
      </c>
      <c r="L12" s="116">
        <f>SUM(1/K12)</f>
        <v>3.2710000000000003E-2</v>
      </c>
      <c r="M12" s="48">
        <v>1.2499999999999999E-7</v>
      </c>
      <c r="N12" s="117">
        <v>41000</v>
      </c>
      <c r="O12" s="118">
        <f>SUM(B12/J12)</f>
        <v>0.13575067425831588</v>
      </c>
      <c r="P12" s="52">
        <f>SUM(O12*L12*3600)</f>
        <v>15.985456397962247</v>
      </c>
      <c r="Q12" s="53">
        <f>(P12/3600/(((D12/1000)^2*PI())/4))</f>
        <v>5.5211901113621007</v>
      </c>
      <c r="R12" s="67">
        <f>SUM((Q12^2*K12)/2)</f>
        <v>465.96668061453141</v>
      </c>
      <c r="S12" s="55">
        <f>SUM(((D12/1000)*Q12)/M12)</f>
        <v>1413424.6685086978</v>
      </c>
      <c r="T12" s="56">
        <f>SUM(I12/(D12/1000)*R12)*C12</f>
        <v>2031.0320697605871</v>
      </c>
      <c r="U12" s="57">
        <f>SUM(T12/N12)*1.3</f>
        <v>6.4398577821677155E-2</v>
      </c>
    </row>
    <row r="13" spans="1:22" outlineLevel="1" x14ac:dyDescent="0.2">
      <c r="A13" s="304"/>
      <c r="B13" s="305"/>
      <c r="C13" s="306"/>
      <c r="D13" s="307"/>
      <c r="E13" s="307"/>
      <c r="F13" s="307"/>
      <c r="G13" s="307"/>
      <c r="H13" s="308"/>
      <c r="I13" s="309"/>
      <c r="J13" s="341"/>
      <c r="K13" s="311"/>
      <c r="L13" s="342"/>
      <c r="M13" s="313"/>
      <c r="N13" s="343"/>
      <c r="O13" s="344"/>
      <c r="P13" s="317"/>
      <c r="Q13" s="318"/>
      <c r="R13" s="345"/>
      <c r="S13" s="320"/>
      <c r="T13" s="321"/>
      <c r="U13" s="322"/>
    </row>
    <row r="14" spans="1:22" outlineLevel="1" x14ac:dyDescent="0.2">
      <c r="A14" s="224" t="s">
        <v>187</v>
      </c>
      <c r="B14" s="41">
        <f>+B15+B16</f>
        <v>6</v>
      </c>
      <c r="C14" s="42">
        <f>3.9+2+3.8</f>
        <v>9.6999999999999993</v>
      </c>
      <c r="D14" s="43">
        <f>IF(H14&gt;50,G14,IF(H14&lt;=22,E14,IF(H14=28,F14,IF(H14=35,F14,IF(H14=42,F14)))))</f>
        <v>16</v>
      </c>
      <c r="E14" s="43">
        <f>IF(H14=10,H14-2,IF(H14=12,H14-2,IF(H14=15,H14-2,IF(H14=18,H14-2,IF(H14=22,H14-2)))))</f>
        <v>16</v>
      </c>
      <c r="F14" s="43" t="b">
        <f>IF(H14=28,H14-3,IF(H14=35,H14-3,IF(H14=42,H14-3)))</f>
        <v>0</v>
      </c>
      <c r="G14" s="43" t="b">
        <f>IF(H14=54,50)</f>
        <v>0</v>
      </c>
      <c r="H14" s="44">
        <v>18</v>
      </c>
      <c r="I14" s="157">
        <f>(0.3164/(S14^0.25))</f>
        <v>1.2096787284148884E-2</v>
      </c>
      <c r="J14" s="115">
        <f t="shared" si="0"/>
        <v>266.95999999999998</v>
      </c>
      <c r="K14" s="46">
        <f t="shared" si="1"/>
        <v>30.571690614490979</v>
      </c>
      <c r="L14" s="116">
        <f>SUM(1/K14)</f>
        <v>3.2710000000000003E-2</v>
      </c>
      <c r="M14" s="48">
        <v>1.2499999999999999E-7</v>
      </c>
      <c r="N14" s="117">
        <v>41000</v>
      </c>
      <c r="O14" s="118">
        <f>SUM(B14/J14)</f>
        <v>2.2475277195085408E-2</v>
      </c>
      <c r="P14" s="52">
        <f>SUM(O14*L14*3600)</f>
        <v>2.6465987413844774</v>
      </c>
      <c r="Q14" s="53">
        <f>(P14/3600/(((D14/1000)^2*PI())/4))</f>
        <v>3.6564172922927809</v>
      </c>
      <c r="R14" s="67">
        <f>SUM((Q14^2*K14)/2)</f>
        <v>204.36238788409767</v>
      </c>
      <c r="S14" s="55">
        <f>SUM(((D14/1000)*Q14)/M14)</f>
        <v>468021.41341347597</v>
      </c>
      <c r="T14" s="56">
        <f>SUM(I14/(D14/1000)*R14)*C14</f>
        <v>1498.7278031632593</v>
      </c>
      <c r="U14" s="57">
        <f>SUM(T14/N14)*1.3</f>
        <v>4.7520637661274075E-2</v>
      </c>
    </row>
    <row r="15" spans="1:22" outlineLevel="1" x14ac:dyDescent="0.2">
      <c r="A15" s="224" t="s">
        <v>186</v>
      </c>
      <c r="B15" s="41">
        <v>2.1800000000000002</v>
      </c>
      <c r="C15" s="42">
        <v>3</v>
      </c>
      <c r="D15" s="43">
        <f>IF(H15&gt;50,G15,IF(H15&lt;=22,E15,IF(H15=28,F15,IF(H15=35,F15,IF(H15=42,F15)))))</f>
        <v>10</v>
      </c>
      <c r="E15" s="43">
        <f>IF(H15=10,H15-2,IF(H15=12,H15-2,IF(H15=15,H15-2,IF(H15=18,H15-2,IF(H15=22,H15-2)))))</f>
        <v>10</v>
      </c>
      <c r="F15" s="43" t="b">
        <f>IF(H15=28,H15-3,IF(H15=35,H15-3,IF(H15=42,H15-3)))</f>
        <v>0</v>
      </c>
      <c r="G15" s="43" t="b">
        <f>IF(H15=54,50)</f>
        <v>0</v>
      </c>
      <c r="H15" s="44">
        <v>12</v>
      </c>
      <c r="I15" s="157">
        <f>(0.3164/(S15^0.25))</f>
        <v>1.3853634880368027E-2</v>
      </c>
      <c r="J15" s="115">
        <f t="shared" si="0"/>
        <v>266.95999999999998</v>
      </c>
      <c r="K15" s="46">
        <f t="shared" si="1"/>
        <v>30.571690614490979</v>
      </c>
      <c r="L15" s="116">
        <f>SUM(1/K15)</f>
        <v>3.2710000000000003E-2</v>
      </c>
      <c r="M15" s="48">
        <v>1.2499999999999999E-7</v>
      </c>
      <c r="N15" s="117">
        <v>41000</v>
      </c>
      <c r="O15" s="118">
        <f>SUM(B15/J15)</f>
        <v>8.1660173808810327E-3</v>
      </c>
      <c r="P15" s="52">
        <f>SUM(O15*L15*3600)</f>
        <v>0.961597542703027</v>
      </c>
      <c r="Q15" s="53">
        <f>(P15/3600/(((D15/1000)^2*PI())/4))</f>
        <v>3.4009556041379256</v>
      </c>
      <c r="R15" s="67">
        <f>SUM((Q15^2*K15)/2)</f>
        <v>176.80371478626051</v>
      </c>
      <c r="S15" s="55">
        <f>SUM(((D15/1000)*Q15)/M15)</f>
        <v>272076.44833103404</v>
      </c>
      <c r="T15" s="56">
        <f>SUM(I15/(D15/1000)*R15)*C15</f>
        <v>734.81223304247362</v>
      </c>
      <c r="U15" s="57">
        <f>SUM(T15/N15)*1.3</f>
        <v>2.3298924462322335E-2</v>
      </c>
    </row>
    <row r="16" spans="1:22" outlineLevel="1" x14ac:dyDescent="0.2">
      <c r="A16" s="224" t="s">
        <v>185</v>
      </c>
      <c r="B16" s="41">
        <f>+B17+B18</f>
        <v>3.8200000000000003</v>
      </c>
      <c r="C16" s="42">
        <v>3</v>
      </c>
      <c r="D16" s="43">
        <f t="shared" ref="D16:D41" si="2">IF(H16&gt;50,G16,IF(H16&lt;=22,E16,IF(H16=28,F16,IF(H16=35,F16,IF(H16=42,F16)))))</f>
        <v>13</v>
      </c>
      <c r="E16" s="43">
        <f t="shared" ref="E16:E41" si="3">IF(H16=10,H16-2,IF(H16=12,H16-2,IF(H16=15,H16-2,IF(H16=18,H16-2,IF(H16=22,H16-2)))))</f>
        <v>13</v>
      </c>
      <c r="F16" s="43" t="b">
        <f t="shared" ref="F16:F41" si="4">IF(H16=28,H16-3,IF(H16=35,H16-3,IF(H16=42,H16-3)))</f>
        <v>0</v>
      </c>
      <c r="G16" s="43" t="b">
        <f t="shared" ref="G16:G41" si="5">IF(H16=54,50)</f>
        <v>0</v>
      </c>
      <c r="H16" s="44">
        <v>15</v>
      </c>
      <c r="I16" s="157">
        <f t="shared" ref="I16:I41" si="6">(0.3164/(S16^0.25))</f>
        <v>1.2857243179555397E-2</v>
      </c>
      <c r="J16" s="115">
        <f t="shared" si="0"/>
        <v>266.95999999999998</v>
      </c>
      <c r="K16" s="46">
        <f t="shared" si="1"/>
        <v>30.571690614490979</v>
      </c>
      <c r="L16" s="116">
        <f t="shared" ref="L16:L41" si="7">SUM(1/K16)</f>
        <v>3.2710000000000003E-2</v>
      </c>
      <c r="M16" s="48">
        <v>1.2499999999999999E-7</v>
      </c>
      <c r="N16" s="117">
        <v>41000</v>
      </c>
      <c r="O16" s="118">
        <f t="shared" ref="O16:O41" si="8">SUM(B16/J16)</f>
        <v>1.4309259814204377E-2</v>
      </c>
      <c r="P16" s="52">
        <f t="shared" ref="P16:P41" si="9">SUM(O16*L16*3600)</f>
        <v>1.6850011986814508</v>
      </c>
      <c r="Q16" s="53">
        <f t="shared" ref="Q16:Q41" si="10">(P16/3600/(((D16/1000)^2*PI())/4))</f>
        <v>3.5263151858766832</v>
      </c>
      <c r="R16" s="67">
        <f t="shared" ref="R16:R41" si="11">SUM((Q16^2*K16)/2)</f>
        <v>190.07793931740304</v>
      </c>
      <c r="S16" s="55">
        <f t="shared" ref="S16:S41" si="12">SUM(((D16/1000)*Q16)/M16)</f>
        <v>366736.77933117509</v>
      </c>
      <c r="T16" s="56">
        <f t="shared" ref="T16:T41" si="13">SUM(I16/(D16/1000)*R16)*C16</f>
        <v>563.97191281675964</v>
      </c>
      <c r="U16" s="57">
        <f t="shared" ref="U16:U41" si="14">SUM(T16/N16)*1.3</f>
        <v>1.7882036260043598E-2</v>
      </c>
    </row>
    <row r="17" spans="1:22" outlineLevel="1" x14ac:dyDescent="0.2">
      <c r="A17" s="224" t="s">
        <v>184</v>
      </c>
      <c r="B17" s="41">
        <v>2.1800000000000002</v>
      </c>
      <c r="C17" s="42">
        <v>1</v>
      </c>
      <c r="D17" s="43">
        <f t="shared" si="2"/>
        <v>10</v>
      </c>
      <c r="E17" s="43">
        <f t="shared" si="3"/>
        <v>10</v>
      </c>
      <c r="F17" s="43" t="b">
        <f t="shared" si="4"/>
        <v>0</v>
      </c>
      <c r="G17" s="43" t="b">
        <f t="shared" si="5"/>
        <v>0</v>
      </c>
      <c r="H17" s="44">
        <v>12</v>
      </c>
      <c r="I17" s="157">
        <f t="shared" si="6"/>
        <v>1.3853634880368027E-2</v>
      </c>
      <c r="J17" s="115">
        <f t="shared" si="0"/>
        <v>266.95999999999998</v>
      </c>
      <c r="K17" s="46">
        <f t="shared" si="1"/>
        <v>30.571690614490979</v>
      </c>
      <c r="L17" s="116">
        <f t="shared" si="7"/>
        <v>3.2710000000000003E-2</v>
      </c>
      <c r="M17" s="48">
        <v>1.2499999999999999E-7</v>
      </c>
      <c r="N17" s="117">
        <v>41000</v>
      </c>
      <c r="O17" s="118">
        <f t="shared" si="8"/>
        <v>8.1660173808810327E-3</v>
      </c>
      <c r="P17" s="52">
        <f t="shared" si="9"/>
        <v>0.961597542703027</v>
      </c>
      <c r="Q17" s="53">
        <f t="shared" si="10"/>
        <v>3.4009556041379256</v>
      </c>
      <c r="R17" s="67">
        <f t="shared" si="11"/>
        <v>176.80371478626051</v>
      </c>
      <c r="S17" s="55">
        <f t="shared" si="12"/>
        <v>272076.44833103404</v>
      </c>
      <c r="T17" s="56">
        <f t="shared" si="13"/>
        <v>244.93741101415787</v>
      </c>
      <c r="U17" s="57">
        <f t="shared" si="14"/>
        <v>7.7663081541074451E-3</v>
      </c>
    </row>
    <row r="18" spans="1:22" outlineLevel="1" x14ac:dyDescent="0.2">
      <c r="A18" s="224" t="s">
        <v>183</v>
      </c>
      <c r="B18" s="41">
        <v>1.64</v>
      </c>
      <c r="C18" s="42">
        <v>2.5</v>
      </c>
      <c r="D18" s="43">
        <f t="shared" si="2"/>
        <v>10</v>
      </c>
      <c r="E18" s="43">
        <f t="shared" si="3"/>
        <v>10</v>
      </c>
      <c r="F18" s="43" t="b">
        <f t="shared" si="4"/>
        <v>0</v>
      </c>
      <c r="G18" s="43" t="b">
        <f t="shared" si="5"/>
        <v>0</v>
      </c>
      <c r="H18" s="44">
        <v>12</v>
      </c>
      <c r="I18" s="157">
        <f t="shared" si="6"/>
        <v>1.4875339923603374E-2</v>
      </c>
      <c r="J18" s="115">
        <f t="shared" si="0"/>
        <v>266.95999999999998</v>
      </c>
      <c r="K18" s="46">
        <f t="shared" si="1"/>
        <v>30.571690614490979</v>
      </c>
      <c r="L18" s="116">
        <f t="shared" si="7"/>
        <v>3.2710000000000003E-2</v>
      </c>
      <c r="M18" s="48">
        <v>1.2499999999999999E-7</v>
      </c>
      <c r="N18" s="117">
        <v>41000</v>
      </c>
      <c r="O18" s="118">
        <f t="shared" si="8"/>
        <v>6.1432424333233444E-3</v>
      </c>
      <c r="P18" s="52">
        <f t="shared" si="9"/>
        <v>0.72340365597842382</v>
      </c>
      <c r="Q18" s="53">
        <f t="shared" si="10"/>
        <v>2.5585170599936684</v>
      </c>
      <c r="R18" s="67">
        <f t="shared" si="11"/>
        <v>100.06128930416759</v>
      </c>
      <c r="S18" s="55">
        <f t="shared" si="12"/>
        <v>204681.36479949349</v>
      </c>
      <c r="T18" s="56">
        <f t="shared" si="13"/>
        <v>372.1114228983779</v>
      </c>
      <c r="U18" s="57">
        <f t="shared" si="14"/>
        <v>1.1798654872387591E-2</v>
      </c>
    </row>
    <row r="19" spans="1:22" outlineLevel="1" x14ac:dyDescent="0.2">
      <c r="A19" s="304"/>
      <c r="B19" s="305"/>
      <c r="C19" s="306"/>
      <c r="D19" s="307"/>
      <c r="E19" s="307"/>
      <c r="F19" s="307"/>
      <c r="G19" s="307"/>
      <c r="H19" s="308"/>
      <c r="I19" s="309"/>
      <c r="J19" s="341"/>
      <c r="K19" s="311"/>
      <c r="L19" s="342"/>
      <c r="M19" s="313"/>
      <c r="N19" s="343"/>
      <c r="O19" s="344"/>
      <c r="P19" s="317"/>
      <c r="Q19" s="318"/>
      <c r="R19" s="345"/>
      <c r="S19" s="320"/>
      <c r="T19" s="321"/>
      <c r="U19" s="322"/>
    </row>
    <row r="20" spans="1:22" outlineLevel="1" x14ac:dyDescent="0.2">
      <c r="A20" s="224" t="s">
        <v>197</v>
      </c>
      <c r="B20" s="41">
        <f>+B22+B32</f>
        <v>30.240000000000002</v>
      </c>
      <c r="C20" s="42">
        <f>0.5+2+1.5+2.5</f>
        <v>6.5</v>
      </c>
      <c r="D20" s="43">
        <f t="shared" si="2"/>
        <v>32</v>
      </c>
      <c r="E20" s="43" t="b">
        <f t="shared" si="3"/>
        <v>0</v>
      </c>
      <c r="F20" s="43">
        <f t="shared" si="4"/>
        <v>32</v>
      </c>
      <c r="G20" s="43" t="b">
        <f t="shared" si="5"/>
        <v>0</v>
      </c>
      <c r="H20" s="44">
        <v>35</v>
      </c>
      <c r="I20" s="157">
        <f t="shared" si="6"/>
        <v>9.601076026248356E-3</v>
      </c>
      <c r="J20" s="115">
        <f t="shared" si="0"/>
        <v>266.95999999999998</v>
      </c>
      <c r="K20" s="46">
        <f t="shared" si="1"/>
        <v>30.571690614490979</v>
      </c>
      <c r="L20" s="116">
        <f t="shared" si="7"/>
        <v>3.2710000000000003E-2</v>
      </c>
      <c r="M20" s="48">
        <v>1.2499999999999999E-7</v>
      </c>
      <c r="N20" s="117">
        <v>41000</v>
      </c>
      <c r="O20" s="118">
        <f t="shared" si="8"/>
        <v>0.11327539706323046</v>
      </c>
      <c r="P20" s="52">
        <f t="shared" si="9"/>
        <v>13.338857656577769</v>
      </c>
      <c r="Q20" s="53">
        <f t="shared" si="10"/>
        <v>4.6070857882889049</v>
      </c>
      <c r="R20" s="67">
        <f t="shared" si="11"/>
        <v>324.44572700479364</v>
      </c>
      <c r="S20" s="55">
        <f t="shared" si="12"/>
        <v>1179413.9618019597</v>
      </c>
      <c r="T20" s="56">
        <f t="shared" si="13"/>
        <v>632.74008105840244</v>
      </c>
      <c r="U20" s="57">
        <f t="shared" si="14"/>
        <v>2.0062490375022515E-2</v>
      </c>
    </row>
    <row r="21" spans="1:22" outlineLevel="1" x14ac:dyDescent="0.2">
      <c r="A21" s="304"/>
      <c r="B21" s="305"/>
      <c r="C21" s="306"/>
      <c r="D21" s="307"/>
      <c r="E21" s="307"/>
      <c r="F21" s="307"/>
      <c r="G21" s="307"/>
      <c r="H21" s="308"/>
      <c r="I21" s="309"/>
      <c r="J21" s="341"/>
      <c r="K21" s="311"/>
      <c r="L21" s="342"/>
      <c r="M21" s="313"/>
      <c r="N21" s="343"/>
      <c r="O21" s="344"/>
      <c r="P21" s="317"/>
      <c r="Q21" s="318"/>
      <c r="R21" s="345"/>
      <c r="S21" s="320"/>
      <c r="T21" s="321"/>
      <c r="U21" s="322"/>
    </row>
    <row r="22" spans="1:22" outlineLevel="1" x14ac:dyDescent="0.2">
      <c r="A22" s="224" t="s">
        <v>195</v>
      </c>
      <c r="B22" s="41">
        <f>+B24+B28</f>
        <v>11.5</v>
      </c>
      <c r="C22" s="42">
        <f>16+0.5+7.5</f>
        <v>24</v>
      </c>
      <c r="D22" s="43">
        <f t="shared" si="2"/>
        <v>20</v>
      </c>
      <c r="E22" s="43">
        <f t="shared" si="3"/>
        <v>20</v>
      </c>
      <c r="F22" s="43" t="b">
        <f t="shared" si="4"/>
        <v>0</v>
      </c>
      <c r="G22" s="43" t="b">
        <f t="shared" si="5"/>
        <v>0</v>
      </c>
      <c r="H22" s="44">
        <v>22</v>
      </c>
      <c r="I22" s="157">
        <f t="shared" si="6"/>
        <v>1.0870784829299849E-2</v>
      </c>
      <c r="J22" s="115">
        <f t="shared" si="0"/>
        <v>266.95999999999998</v>
      </c>
      <c r="K22" s="46">
        <f t="shared" si="1"/>
        <v>30.571690614490979</v>
      </c>
      <c r="L22" s="116">
        <f t="shared" si="7"/>
        <v>3.2710000000000003E-2</v>
      </c>
      <c r="M22" s="48">
        <v>1.2499999999999999E-7</v>
      </c>
      <c r="N22" s="117">
        <v>41000</v>
      </c>
      <c r="O22" s="118">
        <f t="shared" si="8"/>
        <v>4.3077614623913699E-2</v>
      </c>
      <c r="P22" s="52">
        <f t="shared" si="9"/>
        <v>5.0726475876535817</v>
      </c>
      <c r="Q22" s="53">
        <f t="shared" si="10"/>
        <v>4.4852052118791441</v>
      </c>
      <c r="R22" s="67">
        <f t="shared" si="11"/>
        <v>307.50635574240044</v>
      </c>
      <c r="S22" s="55">
        <f t="shared" si="12"/>
        <v>717632.83390066319</v>
      </c>
      <c r="T22" s="56">
        <f t="shared" si="13"/>
        <v>4011.402512301323</v>
      </c>
      <c r="U22" s="57">
        <f t="shared" si="14"/>
        <v>0.12719081136565169</v>
      </c>
    </row>
    <row r="23" spans="1:22" outlineLevel="1" x14ac:dyDescent="0.2">
      <c r="A23" s="304"/>
      <c r="B23" s="305"/>
      <c r="C23" s="306"/>
      <c r="D23" s="307"/>
      <c r="E23" s="307"/>
      <c r="F23" s="307"/>
      <c r="G23" s="307"/>
      <c r="H23" s="308"/>
      <c r="I23" s="309"/>
      <c r="J23" s="341"/>
      <c r="K23" s="311"/>
      <c r="L23" s="342"/>
      <c r="M23" s="313"/>
      <c r="N23" s="343"/>
      <c r="O23" s="344"/>
      <c r="P23" s="317"/>
      <c r="Q23" s="318"/>
      <c r="R23" s="345"/>
      <c r="S23" s="320"/>
      <c r="T23" s="321"/>
      <c r="U23" s="322"/>
    </row>
    <row r="24" spans="1:22" outlineLevel="1" x14ac:dyDescent="0.2">
      <c r="A24" s="224" t="s">
        <v>182</v>
      </c>
      <c r="B24" s="41">
        <f>+B25+B26</f>
        <v>3.6</v>
      </c>
      <c r="C24" s="42">
        <v>9</v>
      </c>
      <c r="D24" s="43">
        <f t="shared" si="2"/>
        <v>13</v>
      </c>
      <c r="E24" s="43">
        <f t="shared" si="3"/>
        <v>13</v>
      </c>
      <c r="F24" s="43" t="b">
        <f t="shared" si="4"/>
        <v>0</v>
      </c>
      <c r="G24" s="43" t="b">
        <f t="shared" si="5"/>
        <v>0</v>
      </c>
      <c r="H24" s="44">
        <v>15</v>
      </c>
      <c r="I24" s="157">
        <f t="shared" si="6"/>
        <v>1.3049325784197789E-2</v>
      </c>
      <c r="J24" s="115">
        <f t="shared" si="0"/>
        <v>266.95999999999998</v>
      </c>
      <c r="K24" s="46">
        <f t="shared" si="1"/>
        <v>30.571690614490979</v>
      </c>
      <c r="L24" s="116">
        <f t="shared" si="7"/>
        <v>3.2710000000000003E-2</v>
      </c>
      <c r="M24" s="48">
        <v>1.2499999999999999E-7</v>
      </c>
      <c r="N24" s="117">
        <v>41000</v>
      </c>
      <c r="O24" s="118">
        <f t="shared" si="8"/>
        <v>1.3485166317051244E-2</v>
      </c>
      <c r="P24" s="52">
        <f t="shared" si="9"/>
        <v>1.5879592448306865</v>
      </c>
      <c r="Q24" s="53">
        <f t="shared" si="10"/>
        <v>3.3232289709832616</v>
      </c>
      <c r="R24" s="67">
        <f t="shared" si="11"/>
        <v>168.81459482700194</v>
      </c>
      <c r="S24" s="55">
        <f t="shared" si="12"/>
        <v>345615.8129822592</v>
      </c>
      <c r="T24" s="56">
        <f t="shared" si="13"/>
        <v>1525.0961388633916</v>
      </c>
      <c r="U24" s="57">
        <f t="shared" si="14"/>
        <v>4.8356706842009982E-2</v>
      </c>
    </row>
    <row r="25" spans="1:22" outlineLevel="1" x14ac:dyDescent="0.2">
      <c r="A25" s="224" t="s">
        <v>181</v>
      </c>
      <c r="B25" s="41">
        <v>1.8</v>
      </c>
      <c r="C25" s="42">
        <v>2</v>
      </c>
      <c r="D25" s="43">
        <f t="shared" si="2"/>
        <v>10</v>
      </c>
      <c r="E25" s="43">
        <f t="shared" si="3"/>
        <v>10</v>
      </c>
      <c r="F25" s="43" t="b">
        <f t="shared" si="4"/>
        <v>0</v>
      </c>
      <c r="G25" s="43" t="b">
        <f t="shared" si="5"/>
        <v>0</v>
      </c>
      <c r="H25" s="44">
        <v>12</v>
      </c>
      <c r="I25" s="157">
        <f t="shared" si="6"/>
        <v>1.4533149280356544E-2</v>
      </c>
      <c r="J25" s="115">
        <f t="shared" si="0"/>
        <v>266.95999999999998</v>
      </c>
      <c r="K25" s="46">
        <f t="shared" si="1"/>
        <v>30.571690614490979</v>
      </c>
      <c r="L25" s="116">
        <f t="shared" si="7"/>
        <v>3.2710000000000003E-2</v>
      </c>
      <c r="M25" s="48">
        <v>1.2499999999999999E-7</v>
      </c>
      <c r="N25" s="117">
        <v>41000</v>
      </c>
      <c r="O25" s="118">
        <f t="shared" si="8"/>
        <v>6.7425831585256222E-3</v>
      </c>
      <c r="P25" s="52">
        <f t="shared" si="9"/>
        <v>0.79397962241534326</v>
      </c>
      <c r="Q25" s="53">
        <f t="shared" si="10"/>
        <v>2.8081284804808559</v>
      </c>
      <c r="R25" s="67">
        <f t="shared" si="11"/>
        <v>120.53784107135006</v>
      </c>
      <c r="S25" s="55">
        <f t="shared" si="12"/>
        <v>224650.27843846849</v>
      </c>
      <c r="T25" s="56">
        <f t="shared" si="13"/>
        <v>350.35888764436447</v>
      </c>
      <c r="U25" s="57">
        <f t="shared" si="14"/>
        <v>1.1108940339943266E-2</v>
      </c>
    </row>
    <row r="26" spans="1:22" outlineLevel="1" x14ac:dyDescent="0.2">
      <c r="A26" s="224" t="s">
        <v>180</v>
      </c>
      <c r="B26" s="41">
        <v>1.8</v>
      </c>
      <c r="C26" s="42">
        <v>2</v>
      </c>
      <c r="D26" s="43">
        <f t="shared" si="2"/>
        <v>10</v>
      </c>
      <c r="E26" s="43">
        <f t="shared" si="3"/>
        <v>10</v>
      </c>
      <c r="F26" s="43" t="b">
        <f t="shared" si="4"/>
        <v>0</v>
      </c>
      <c r="G26" s="43" t="b">
        <f t="shared" si="5"/>
        <v>0</v>
      </c>
      <c r="H26" s="44">
        <v>12</v>
      </c>
      <c r="I26" s="157">
        <f t="shared" si="6"/>
        <v>1.4533149280356544E-2</v>
      </c>
      <c r="J26" s="115">
        <f t="shared" si="0"/>
        <v>266.95999999999998</v>
      </c>
      <c r="K26" s="46">
        <f t="shared" si="1"/>
        <v>30.571690614490979</v>
      </c>
      <c r="L26" s="116">
        <f t="shared" si="7"/>
        <v>3.2710000000000003E-2</v>
      </c>
      <c r="M26" s="48">
        <v>1.2499999999999999E-7</v>
      </c>
      <c r="N26" s="117">
        <v>41000</v>
      </c>
      <c r="O26" s="118">
        <f t="shared" si="8"/>
        <v>6.7425831585256222E-3</v>
      </c>
      <c r="P26" s="52">
        <f t="shared" si="9"/>
        <v>0.79397962241534326</v>
      </c>
      <c r="Q26" s="53">
        <f t="shared" si="10"/>
        <v>2.8081284804808559</v>
      </c>
      <c r="R26" s="67">
        <f t="shared" si="11"/>
        <v>120.53784107135006</v>
      </c>
      <c r="S26" s="55">
        <f t="shared" si="12"/>
        <v>224650.27843846849</v>
      </c>
      <c r="T26" s="56">
        <f t="shared" si="13"/>
        <v>350.35888764436447</v>
      </c>
      <c r="U26" s="57">
        <f t="shared" si="14"/>
        <v>1.1108940339943266E-2</v>
      </c>
    </row>
    <row r="27" spans="1:22" outlineLevel="1" x14ac:dyDescent="0.2">
      <c r="A27" s="304"/>
      <c r="B27" s="305"/>
      <c r="C27" s="306"/>
      <c r="D27" s="307"/>
      <c r="E27" s="307"/>
      <c r="F27" s="307"/>
      <c r="G27" s="307"/>
      <c r="H27" s="308"/>
      <c r="I27" s="309"/>
      <c r="J27" s="341"/>
      <c r="K27" s="311"/>
      <c r="L27" s="342"/>
      <c r="M27" s="313"/>
      <c r="N27" s="343"/>
      <c r="O27" s="344"/>
      <c r="P27" s="317"/>
      <c r="Q27" s="318"/>
      <c r="R27" s="345"/>
      <c r="S27" s="320"/>
      <c r="T27" s="321"/>
      <c r="U27" s="322"/>
    </row>
    <row r="28" spans="1:22" outlineLevel="1" x14ac:dyDescent="0.2">
      <c r="A28" s="224" t="s">
        <v>194</v>
      </c>
      <c r="B28" s="41">
        <f>+B29+B30</f>
        <v>7.8999999999999995</v>
      </c>
      <c r="C28" s="42">
        <v>5.5</v>
      </c>
      <c r="D28" s="43">
        <f t="shared" si="2"/>
        <v>16</v>
      </c>
      <c r="E28" s="43">
        <f t="shared" si="3"/>
        <v>16</v>
      </c>
      <c r="F28" s="43" t="b">
        <f t="shared" si="4"/>
        <v>0</v>
      </c>
      <c r="G28" s="43" t="b">
        <f t="shared" si="5"/>
        <v>0</v>
      </c>
      <c r="H28" s="44">
        <v>18</v>
      </c>
      <c r="I28" s="157">
        <f t="shared" si="6"/>
        <v>1.1292785619542426E-2</v>
      </c>
      <c r="J28" s="115">
        <f t="shared" si="0"/>
        <v>266.95999999999998</v>
      </c>
      <c r="K28" s="46">
        <f t="shared" si="1"/>
        <v>30.571690614490979</v>
      </c>
      <c r="L28" s="116">
        <f t="shared" si="7"/>
        <v>3.2710000000000003E-2</v>
      </c>
      <c r="M28" s="48">
        <v>1.2499999999999999E-7</v>
      </c>
      <c r="N28" s="117">
        <v>41000</v>
      </c>
      <c r="O28" s="118">
        <f t="shared" si="8"/>
        <v>2.9592448306862452E-2</v>
      </c>
      <c r="P28" s="52">
        <f t="shared" si="9"/>
        <v>3.4846883428228952</v>
      </c>
      <c r="Q28" s="53">
        <f t="shared" si="10"/>
        <v>4.8142827681854952</v>
      </c>
      <c r="R28" s="67">
        <f t="shared" si="11"/>
        <v>354.28490632907051</v>
      </c>
      <c r="S28" s="55">
        <f t="shared" si="12"/>
        <v>616228.19432774337</v>
      </c>
      <c r="T28" s="56">
        <f t="shared" si="13"/>
        <v>1375.2968265485151</v>
      </c>
      <c r="U28" s="57">
        <f t="shared" si="14"/>
        <v>4.360697254909926E-2</v>
      </c>
    </row>
    <row r="29" spans="1:22" outlineLevel="1" x14ac:dyDescent="0.2">
      <c r="A29" s="224" t="s">
        <v>179</v>
      </c>
      <c r="B29" s="41">
        <v>5.0999999999999996</v>
      </c>
      <c r="C29" s="42">
        <v>9</v>
      </c>
      <c r="D29" s="43">
        <f t="shared" si="2"/>
        <v>13</v>
      </c>
      <c r="E29" s="43">
        <f t="shared" si="3"/>
        <v>13</v>
      </c>
      <c r="F29" s="43" t="b">
        <f t="shared" si="4"/>
        <v>0</v>
      </c>
      <c r="G29" s="43" t="b">
        <f t="shared" si="5"/>
        <v>0</v>
      </c>
      <c r="H29" s="44">
        <v>15</v>
      </c>
      <c r="I29" s="157">
        <f t="shared" si="6"/>
        <v>1.1961100924395897E-2</v>
      </c>
      <c r="J29" s="115">
        <f t="shared" si="0"/>
        <v>266.95999999999998</v>
      </c>
      <c r="K29" s="46">
        <f t="shared" si="1"/>
        <v>30.571690614490979</v>
      </c>
      <c r="L29" s="116">
        <f t="shared" si="7"/>
        <v>3.2710000000000003E-2</v>
      </c>
      <c r="M29" s="48">
        <v>1.2499999999999999E-7</v>
      </c>
      <c r="N29" s="117">
        <v>41000</v>
      </c>
      <c r="O29" s="118">
        <f t="shared" si="8"/>
        <v>1.9103985615822595E-2</v>
      </c>
      <c r="P29" s="52">
        <f t="shared" si="9"/>
        <v>2.2496089301768056</v>
      </c>
      <c r="Q29" s="53">
        <f t="shared" si="10"/>
        <v>4.7079077088929537</v>
      </c>
      <c r="R29" s="67">
        <f t="shared" si="11"/>
        <v>338.80151322919136</v>
      </c>
      <c r="S29" s="55">
        <f t="shared" si="12"/>
        <v>489622.40172486717</v>
      </c>
      <c r="T29" s="56">
        <f t="shared" si="13"/>
        <v>2805.5347567424374</v>
      </c>
      <c r="U29" s="57">
        <f t="shared" si="14"/>
        <v>8.8955980091833392E-2</v>
      </c>
    </row>
    <row r="30" spans="1:22" outlineLevel="1" x14ac:dyDescent="0.2">
      <c r="A30" s="224" t="s">
        <v>193</v>
      </c>
      <c r="B30" s="41">
        <v>2.8</v>
      </c>
      <c r="C30" s="42">
        <v>3</v>
      </c>
      <c r="D30" s="43">
        <f t="shared" si="2"/>
        <v>10</v>
      </c>
      <c r="E30" s="43">
        <f t="shared" si="3"/>
        <v>10</v>
      </c>
      <c r="F30" s="43" t="b">
        <f t="shared" si="4"/>
        <v>0</v>
      </c>
      <c r="G30" s="43" t="b">
        <f t="shared" si="5"/>
        <v>0</v>
      </c>
      <c r="H30" s="44">
        <v>12</v>
      </c>
      <c r="I30" s="157">
        <f t="shared" si="6"/>
        <v>1.3013327301192692E-2</v>
      </c>
      <c r="J30" s="115">
        <f t="shared" si="0"/>
        <v>266.95999999999998</v>
      </c>
      <c r="K30" s="46">
        <f t="shared" si="1"/>
        <v>30.571690614490979</v>
      </c>
      <c r="L30" s="116">
        <f t="shared" si="7"/>
        <v>3.2710000000000003E-2</v>
      </c>
      <c r="M30" s="48">
        <v>1.2499999999999999E-7</v>
      </c>
      <c r="N30" s="117">
        <v>41000</v>
      </c>
      <c r="O30" s="118">
        <f t="shared" si="8"/>
        <v>1.0488462691039856E-2</v>
      </c>
      <c r="P30" s="52">
        <f t="shared" si="9"/>
        <v>1.2350794126460893</v>
      </c>
      <c r="Q30" s="53">
        <f t="shared" si="10"/>
        <v>4.3681998585257755</v>
      </c>
      <c r="R30" s="67">
        <f t="shared" si="11"/>
        <v>291.67181296277295</v>
      </c>
      <c r="S30" s="55">
        <f t="shared" si="12"/>
        <v>349455.98868206207</v>
      </c>
      <c r="T30" s="56">
        <f t="shared" si="13"/>
        <v>1138.6862299850466</v>
      </c>
      <c r="U30" s="57">
        <f t="shared" si="14"/>
        <v>3.6104685340989283E-2</v>
      </c>
    </row>
    <row r="31" spans="1:22" outlineLevel="1" x14ac:dyDescent="0.2">
      <c r="A31" s="304"/>
      <c r="B31" s="305"/>
      <c r="C31" s="306"/>
      <c r="D31" s="307"/>
      <c r="E31" s="307"/>
      <c r="F31" s="307"/>
      <c r="G31" s="307"/>
      <c r="H31" s="308"/>
      <c r="I31" s="309"/>
      <c r="J31" s="341"/>
      <c r="K31" s="311"/>
      <c r="L31" s="342"/>
      <c r="M31" s="313"/>
      <c r="N31" s="343"/>
      <c r="O31" s="344"/>
      <c r="P31" s="317"/>
      <c r="Q31" s="318"/>
      <c r="R31" s="345"/>
      <c r="S31" s="320"/>
      <c r="T31" s="321"/>
      <c r="U31" s="322"/>
    </row>
    <row r="32" spans="1:22" outlineLevel="1" x14ac:dyDescent="0.2">
      <c r="A32" s="302" t="s">
        <v>196</v>
      </c>
      <c r="B32" s="41">
        <f>+B34+B46</f>
        <v>18.740000000000002</v>
      </c>
      <c r="C32" s="42">
        <f>4.5+3+1.5</f>
        <v>9</v>
      </c>
      <c r="D32" s="43">
        <f t="shared" si="2"/>
        <v>20</v>
      </c>
      <c r="E32" s="43">
        <f t="shared" si="3"/>
        <v>20</v>
      </c>
      <c r="F32" s="43" t="b">
        <f t="shared" si="4"/>
        <v>0</v>
      </c>
      <c r="G32" s="43" t="b">
        <f t="shared" si="5"/>
        <v>0</v>
      </c>
      <c r="H32" s="44">
        <v>22</v>
      </c>
      <c r="I32" s="157">
        <f t="shared" si="6"/>
        <v>9.6215039630534373E-3</v>
      </c>
      <c r="J32" s="115">
        <f t="shared" si="0"/>
        <v>266.95999999999998</v>
      </c>
      <c r="K32" s="46">
        <f t="shared" si="1"/>
        <v>30.571690614490979</v>
      </c>
      <c r="L32" s="116">
        <f t="shared" si="7"/>
        <v>3.2710000000000003E-2</v>
      </c>
      <c r="M32" s="48">
        <v>1.2499999999999999E-7</v>
      </c>
      <c r="N32" s="117">
        <v>41000</v>
      </c>
      <c r="O32" s="118">
        <f t="shared" si="8"/>
        <v>7.0197782439316764E-2</v>
      </c>
      <c r="P32" s="52">
        <f t="shared" si="9"/>
        <v>8.2662100689241864</v>
      </c>
      <c r="Q32" s="53">
        <f t="shared" si="10"/>
        <v>7.30893440614045</v>
      </c>
      <c r="R32" s="67">
        <f t="shared" si="11"/>
        <v>816.57783786706898</v>
      </c>
      <c r="S32" s="55">
        <f t="shared" si="12"/>
        <v>1169429.5049824722</v>
      </c>
      <c r="T32" s="56">
        <f t="shared" si="13"/>
        <v>3535.5181064308249</v>
      </c>
      <c r="U32" s="57">
        <f t="shared" si="14"/>
        <v>0.11210179361853835</v>
      </c>
      <c r="V32" t="s">
        <v>192</v>
      </c>
    </row>
    <row r="33" spans="1:21" outlineLevel="1" x14ac:dyDescent="0.2">
      <c r="A33" s="304"/>
      <c r="B33" s="305"/>
      <c r="C33" s="306"/>
      <c r="D33" s="307"/>
      <c r="E33" s="307"/>
      <c r="F33" s="307"/>
      <c r="G33" s="307"/>
      <c r="H33" s="308"/>
      <c r="I33" s="309"/>
      <c r="J33" s="341"/>
      <c r="K33" s="311"/>
      <c r="L33" s="342"/>
      <c r="M33" s="313"/>
      <c r="N33" s="343"/>
      <c r="O33" s="344"/>
      <c r="P33" s="317"/>
      <c r="Q33" s="318"/>
      <c r="R33" s="345"/>
      <c r="S33" s="320"/>
      <c r="T33" s="321"/>
      <c r="U33" s="322"/>
    </row>
    <row r="34" spans="1:21" outlineLevel="1" x14ac:dyDescent="0.2">
      <c r="A34" s="224" t="s">
        <v>178</v>
      </c>
      <c r="B34" s="41">
        <f>+B35+B36</f>
        <v>12.57</v>
      </c>
      <c r="C34" s="42">
        <v>0.5</v>
      </c>
      <c r="D34" s="43">
        <f>IF(H34&gt;50,G34,IF(H34&lt;=22,E34,IF(H34=28,F34,IF(H34=35,F34,IF(H34=42,F34)))))</f>
        <v>16</v>
      </c>
      <c r="E34" s="43">
        <f>IF(H34=10,H34-2,IF(H34=12,H34-2,IF(H34=15,H34-2,IF(H34=18,H34-2,IF(H34=22,H34-2)))))</f>
        <v>16</v>
      </c>
      <c r="F34" s="43" t="b">
        <f>IF(H34=28,H34-3,IF(H34=35,H34-3,IF(H34=42,H34-3)))</f>
        <v>0</v>
      </c>
      <c r="G34" s="43" t="b">
        <f t="shared" si="5"/>
        <v>0</v>
      </c>
      <c r="H34" s="44">
        <v>18</v>
      </c>
      <c r="I34" s="157">
        <f>(0.3164/(S34^0.25))</f>
        <v>1.0054813904514594E-2</v>
      </c>
      <c r="J34" s="115">
        <f t="shared" si="0"/>
        <v>266.95999999999998</v>
      </c>
      <c r="K34" s="46">
        <f t="shared" si="1"/>
        <v>30.571690614490979</v>
      </c>
      <c r="L34" s="116">
        <f t="shared" si="7"/>
        <v>3.2710000000000003E-2</v>
      </c>
      <c r="M34" s="48">
        <v>1.2499999999999999E-7</v>
      </c>
      <c r="N34" s="117">
        <v>41000</v>
      </c>
      <c r="O34" s="118">
        <f>SUM(B34/J34)</f>
        <v>4.7085705723703929E-2</v>
      </c>
      <c r="P34" s="52">
        <f>SUM(O34*L34*3600)</f>
        <v>5.5446243632004801</v>
      </c>
      <c r="Q34" s="53">
        <f>(P34/3600/(((D34/1000)^2*PI())/4))</f>
        <v>7.6601942273533759</v>
      </c>
      <c r="R34" s="67">
        <f>SUM((Q34^2*K34)/2)</f>
        <v>896.95162948300185</v>
      </c>
      <c r="S34" s="55">
        <f>SUM(((D34/1000)*Q34)/M34)</f>
        <v>980504.86110123224</v>
      </c>
      <c r="T34" s="56">
        <f>SUM(I34/(D34/1000)*R34)*C34</f>
        <v>281.83380361883468</v>
      </c>
      <c r="U34" s="57">
        <f>SUM(T34/N34)*1.3</f>
        <v>8.9361937732801242E-3</v>
      </c>
    </row>
    <row r="35" spans="1:21" outlineLevel="1" x14ac:dyDescent="0.2">
      <c r="A35" s="224" t="s">
        <v>177</v>
      </c>
      <c r="B35" s="41">
        <v>2.79</v>
      </c>
      <c r="C35" s="42">
        <v>2</v>
      </c>
      <c r="D35" s="43">
        <f>IF(H35&gt;50,G35,IF(H35&lt;=22,E35,IF(H35=28,F35,IF(H35=35,F35,IF(H35=42,F35)))))</f>
        <v>10</v>
      </c>
      <c r="E35" s="43">
        <f>IF(H35=10,H35-2,IF(H35=12,H35-2,IF(H35=15,H35-2,IF(H35=18,H35-2,IF(H35=22,H35-2)))))</f>
        <v>10</v>
      </c>
      <c r="F35" s="43" t="b">
        <f>IF(H35=28,H35-3,IF(H35=35,H35-3,IF(H35=42,H35-3)))</f>
        <v>0</v>
      </c>
      <c r="G35" s="43" t="b">
        <f t="shared" si="5"/>
        <v>0</v>
      </c>
      <c r="H35" s="44">
        <v>12</v>
      </c>
      <c r="I35" s="157">
        <f>(0.3164/(S35^0.25))</f>
        <v>1.3024972348459946E-2</v>
      </c>
      <c r="J35" s="115">
        <f t="shared" si="0"/>
        <v>266.95999999999998</v>
      </c>
      <c r="K35" s="46">
        <f t="shared" si="1"/>
        <v>30.571690614490979</v>
      </c>
      <c r="L35" s="116">
        <f t="shared" si="7"/>
        <v>3.2710000000000003E-2</v>
      </c>
      <c r="M35" s="48">
        <v>1.2499999999999999E-7</v>
      </c>
      <c r="N35" s="117">
        <v>41000</v>
      </c>
      <c r="O35" s="118">
        <f>SUM(B35/J35)</f>
        <v>1.0451003895714715E-2</v>
      </c>
      <c r="P35" s="52">
        <f>SUM(O35*L35*3600)</f>
        <v>1.2306684147437821</v>
      </c>
      <c r="Q35" s="53">
        <f>(P35/3600/(((D35/1000)^2*PI())/4))</f>
        <v>4.3525991447453265</v>
      </c>
      <c r="R35" s="67">
        <f>SUM((Q35^2*K35)/2)</f>
        <v>289.59216317391844</v>
      </c>
      <c r="S35" s="55">
        <f>SUM(((D35/1000)*Q35)/M35)</f>
        <v>348207.93157962617</v>
      </c>
      <c r="T35" s="56">
        <f>SUM(I35/(D35/1000)*R35)*C35</f>
        <v>754.38598353419775</v>
      </c>
      <c r="U35" s="57">
        <f>SUM(T35/N35)*1.3</f>
        <v>2.3919555575474562E-2</v>
      </c>
    </row>
    <row r="36" spans="1:21" outlineLevel="1" x14ac:dyDescent="0.2">
      <c r="A36" s="224" t="s">
        <v>176</v>
      </c>
      <c r="B36" s="41">
        <f>+B37+B38</f>
        <v>9.7800000000000011</v>
      </c>
      <c r="C36" s="42">
        <v>2</v>
      </c>
      <c r="D36" s="43">
        <f t="shared" si="2"/>
        <v>16</v>
      </c>
      <c r="E36" s="43">
        <f t="shared" si="3"/>
        <v>16</v>
      </c>
      <c r="F36" s="43" t="b">
        <f t="shared" si="4"/>
        <v>0</v>
      </c>
      <c r="G36" s="43" t="b">
        <f t="shared" si="5"/>
        <v>0</v>
      </c>
      <c r="H36" s="44">
        <v>18</v>
      </c>
      <c r="I36" s="157">
        <f t="shared" si="6"/>
        <v>1.0705899021110894E-2</v>
      </c>
      <c r="J36" s="115">
        <f t="shared" si="0"/>
        <v>266.95999999999998</v>
      </c>
      <c r="K36" s="46">
        <f t="shared" si="1"/>
        <v>30.571690614490979</v>
      </c>
      <c r="L36" s="116">
        <f t="shared" si="7"/>
        <v>3.2710000000000003E-2</v>
      </c>
      <c r="M36" s="48">
        <v>1.2499999999999999E-7</v>
      </c>
      <c r="N36" s="117">
        <v>41000</v>
      </c>
      <c r="O36" s="118">
        <f t="shared" si="8"/>
        <v>3.6634701827989218E-2</v>
      </c>
      <c r="P36" s="52">
        <f t="shared" si="9"/>
        <v>4.3139559484566989</v>
      </c>
      <c r="Q36" s="53">
        <f t="shared" si="10"/>
        <v>5.9599601864372334</v>
      </c>
      <c r="R36" s="67">
        <f t="shared" si="11"/>
        <v>542.97042836925925</v>
      </c>
      <c r="S36" s="55">
        <f t="shared" si="12"/>
        <v>762874.90386396588</v>
      </c>
      <c r="T36" s="56">
        <f t="shared" si="13"/>
        <v>726.62332219632685</v>
      </c>
      <c r="U36" s="57">
        <f t="shared" si="14"/>
        <v>2.3039276069639632E-2</v>
      </c>
    </row>
    <row r="37" spans="1:21" outlineLevel="1" x14ac:dyDescent="0.2">
      <c r="A37" s="224" t="s">
        <v>175</v>
      </c>
      <c r="B37" s="41">
        <v>2.79</v>
      </c>
      <c r="C37" s="42">
        <v>1</v>
      </c>
      <c r="D37" s="43">
        <f t="shared" si="2"/>
        <v>10</v>
      </c>
      <c r="E37" s="43">
        <f t="shared" si="3"/>
        <v>10</v>
      </c>
      <c r="F37" s="43" t="b">
        <f t="shared" si="4"/>
        <v>0</v>
      </c>
      <c r="G37" s="43" t="b">
        <f t="shared" si="5"/>
        <v>0</v>
      </c>
      <c r="H37" s="44">
        <v>12</v>
      </c>
      <c r="I37" s="157">
        <f t="shared" si="6"/>
        <v>1.3024972348459946E-2</v>
      </c>
      <c r="J37" s="115">
        <f t="shared" si="0"/>
        <v>266.95999999999998</v>
      </c>
      <c r="K37" s="46">
        <f t="shared" si="1"/>
        <v>30.571690614490979</v>
      </c>
      <c r="L37" s="116">
        <f t="shared" si="7"/>
        <v>3.2710000000000003E-2</v>
      </c>
      <c r="M37" s="48">
        <v>1.2499999999999999E-7</v>
      </c>
      <c r="N37" s="117">
        <v>41000</v>
      </c>
      <c r="O37" s="118">
        <f t="shared" si="8"/>
        <v>1.0451003895714715E-2</v>
      </c>
      <c r="P37" s="52">
        <f t="shared" si="9"/>
        <v>1.2306684147437821</v>
      </c>
      <c r="Q37" s="53">
        <f t="shared" si="10"/>
        <v>4.3525991447453265</v>
      </c>
      <c r="R37" s="67">
        <f t="shared" si="11"/>
        <v>289.59216317391844</v>
      </c>
      <c r="S37" s="55">
        <f t="shared" si="12"/>
        <v>348207.93157962617</v>
      </c>
      <c r="T37" s="56">
        <f t="shared" si="13"/>
        <v>377.19299176709887</v>
      </c>
      <c r="U37" s="57">
        <f t="shared" si="14"/>
        <v>1.1959777787737281E-2</v>
      </c>
    </row>
    <row r="38" spans="1:21" outlineLevel="1" x14ac:dyDescent="0.2">
      <c r="A38" s="224" t="s">
        <v>174</v>
      </c>
      <c r="B38" s="41">
        <f>+B39+B40</f>
        <v>6.99</v>
      </c>
      <c r="C38" s="42">
        <f>5.21+1.6</f>
        <v>6.8100000000000005</v>
      </c>
      <c r="D38" s="43">
        <f t="shared" si="2"/>
        <v>16</v>
      </c>
      <c r="E38" s="43">
        <f t="shared" si="3"/>
        <v>16</v>
      </c>
      <c r="F38" s="43" t="b">
        <f t="shared" si="4"/>
        <v>0</v>
      </c>
      <c r="G38" s="43" t="b">
        <f t="shared" si="5"/>
        <v>0</v>
      </c>
      <c r="H38" s="44">
        <v>18</v>
      </c>
      <c r="I38" s="157">
        <f t="shared" si="6"/>
        <v>1.1643634454039197E-2</v>
      </c>
      <c r="J38" s="115">
        <f t="shared" si="0"/>
        <v>266.95999999999998</v>
      </c>
      <c r="K38" s="46">
        <f t="shared" si="1"/>
        <v>30.571690614490979</v>
      </c>
      <c r="L38" s="116">
        <f t="shared" si="7"/>
        <v>3.2710000000000003E-2</v>
      </c>
      <c r="M38" s="48">
        <v>1.2499999999999999E-7</v>
      </c>
      <c r="N38" s="117">
        <v>41000</v>
      </c>
      <c r="O38" s="118">
        <f t="shared" si="8"/>
        <v>2.6183697932274499E-2</v>
      </c>
      <c r="P38" s="52">
        <f t="shared" si="9"/>
        <v>3.083287533712916</v>
      </c>
      <c r="Q38" s="53">
        <f t="shared" si="10"/>
        <v>4.25972614552109</v>
      </c>
      <c r="R38" s="67">
        <f t="shared" si="11"/>
        <v>277.36574189599452</v>
      </c>
      <c r="S38" s="55">
        <f t="shared" si="12"/>
        <v>545244.94662669953</v>
      </c>
      <c r="T38" s="56">
        <f t="shared" si="13"/>
        <v>1374.5752220198406</v>
      </c>
      <c r="U38" s="57">
        <f t="shared" si="14"/>
        <v>4.358409240550714E-2</v>
      </c>
    </row>
    <row r="39" spans="1:21" outlineLevel="1" x14ac:dyDescent="0.2">
      <c r="A39" s="224" t="s">
        <v>170</v>
      </c>
      <c r="B39" s="41">
        <v>2.1</v>
      </c>
      <c r="C39" s="42">
        <v>2.2799999999999998</v>
      </c>
      <c r="D39" s="43">
        <f t="shared" si="2"/>
        <v>10</v>
      </c>
      <c r="E39" s="43">
        <f t="shared" si="3"/>
        <v>10</v>
      </c>
      <c r="F39" s="43" t="b">
        <f t="shared" si="4"/>
        <v>0</v>
      </c>
      <c r="G39" s="43" t="b">
        <f t="shared" si="5"/>
        <v>0</v>
      </c>
      <c r="H39" s="44">
        <v>12</v>
      </c>
      <c r="I39" s="157">
        <f t="shared" si="6"/>
        <v>1.3983730230840071E-2</v>
      </c>
      <c r="J39" s="115">
        <f t="shared" si="0"/>
        <v>266.95999999999998</v>
      </c>
      <c r="K39" s="46">
        <f t="shared" si="1"/>
        <v>30.571690614490979</v>
      </c>
      <c r="L39" s="116">
        <f t="shared" si="7"/>
        <v>3.2710000000000003E-2</v>
      </c>
      <c r="M39" s="48">
        <v>1.2499999999999999E-7</v>
      </c>
      <c r="N39" s="117">
        <v>41000</v>
      </c>
      <c r="O39" s="118">
        <f t="shared" si="8"/>
        <v>7.8663470182798925E-3</v>
      </c>
      <c r="P39" s="52">
        <f t="shared" si="9"/>
        <v>0.92630955948456717</v>
      </c>
      <c r="Q39" s="53">
        <f t="shared" si="10"/>
        <v>3.2761498938943316</v>
      </c>
      <c r="R39" s="67">
        <f t="shared" si="11"/>
        <v>164.06539479155975</v>
      </c>
      <c r="S39" s="55">
        <f t="shared" si="12"/>
        <v>262091.99151154657</v>
      </c>
      <c r="T39" s="56">
        <f t="shared" si="13"/>
        <v>523.08813838376943</v>
      </c>
      <c r="U39" s="57">
        <f t="shared" si="14"/>
        <v>1.6585721460948787E-2</v>
      </c>
    </row>
    <row r="40" spans="1:21" outlineLevel="1" x14ac:dyDescent="0.2">
      <c r="A40" s="224" t="s">
        <v>201</v>
      </c>
      <c r="B40" s="41">
        <f>+B41+B42</f>
        <v>4.8900000000000006</v>
      </c>
      <c r="C40" s="42">
        <v>1.8</v>
      </c>
      <c r="D40" s="43">
        <f t="shared" si="2"/>
        <v>13</v>
      </c>
      <c r="E40" s="43">
        <f t="shared" si="3"/>
        <v>13</v>
      </c>
      <c r="F40" s="43" t="b">
        <f t="shared" si="4"/>
        <v>0</v>
      </c>
      <c r="G40" s="43" t="b">
        <f t="shared" si="5"/>
        <v>0</v>
      </c>
      <c r="H40" s="44">
        <v>15</v>
      </c>
      <c r="I40" s="157">
        <f t="shared" si="6"/>
        <v>1.2087499916624431E-2</v>
      </c>
      <c r="J40" s="115">
        <f t="shared" si="0"/>
        <v>266.95999999999998</v>
      </c>
      <c r="K40" s="46">
        <f t="shared" si="1"/>
        <v>30.571690614490979</v>
      </c>
      <c r="L40" s="116">
        <f t="shared" si="7"/>
        <v>3.2710000000000003E-2</v>
      </c>
      <c r="M40" s="48">
        <v>1.2499999999999999E-7</v>
      </c>
      <c r="N40" s="117">
        <v>41000</v>
      </c>
      <c r="O40" s="118">
        <f t="shared" si="8"/>
        <v>1.8317350913994609E-2</v>
      </c>
      <c r="P40" s="52">
        <f t="shared" si="9"/>
        <v>2.1569779742283495</v>
      </c>
      <c r="Q40" s="53">
        <f t="shared" si="10"/>
        <v>4.5140526855855976</v>
      </c>
      <c r="R40" s="67">
        <f t="shared" si="11"/>
        <v>311.47465069157056</v>
      </c>
      <c r="S40" s="55">
        <f t="shared" si="12"/>
        <v>469461.47930090217</v>
      </c>
      <c r="T40" s="56">
        <f t="shared" si="13"/>
        <v>521.30074351361304</v>
      </c>
      <c r="U40" s="57">
        <f t="shared" si="14"/>
        <v>1.6529047965065782E-2</v>
      </c>
    </row>
    <row r="41" spans="1:21" outlineLevel="1" x14ac:dyDescent="0.2">
      <c r="A41" s="224" t="s">
        <v>171</v>
      </c>
      <c r="B41" s="41">
        <v>1.9</v>
      </c>
      <c r="C41" s="42">
        <v>1</v>
      </c>
      <c r="D41" s="43">
        <f t="shared" si="2"/>
        <v>10</v>
      </c>
      <c r="E41" s="43">
        <f t="shared" si="3"/>
        <v>10</v>
      </c>
      <c r="F41" s="43" t="b">
        <f t="shared" si="4"/>
        <v>0</v>
      </c>
      <c r="G41" s="43" t="b">
        <f t="shared" si="5"/>
        <v>0</v>
      </c>
      <c r="H41" s="44">
        <v>12</v>
      </c>
      <c r="I41" s="157">
        <f t="shared" si="6"/>
        <v>1.4338029201700783E-2</v>
      </c>
      <c r="J41" s="115">
        <f t="shared" si="0"/>
        <v>266.95999999999998</v>
      </c>
      <c r="K41" s="46">
        <f t="shared" si="1"/>
        <v>30.571690614490979</v>
      </c>
      <c r="L41" s="116">
        <f t="shared" si="7"/>
        <v>3.2710000000000003E-2</v>
      </c>
      <c r="M41" s="48">
        <v>1.2499999999999999E-7</v>
      </c>
      <c r="N41" s="117">
        <v>41000</v>
      </c>
      <c r="O41" s="118">
        <f t="shared" si="8"/>
        <v>7.1171711117770453E-3</v>
      </c>
      <c r="P41" s="52">
        <f t="shared" si="9"/>
        <v>0.83808960143841782</v>
      </c>
      <c r="Q41" s="53">
        <f t="shared" si="10"/>
        <v>2.9641356182853476</v>
      </c>
      <c r="R41" s="67">
        <f t="shared" si="11"/>
        <v>134.30296489739925</v>
      </c>
      <c r="S41" s="55">
        <f t="shared" si="12"/>
        <v>237130.84946282781</v>
      </c>
      <c r="T41" s="56">
        <f t="shared" si="13"/>
        <v>192.56398325739056</v>
      </c>
      <c r="U41" s="57">
        <f t="shared" si="14"/>
        <v>6.1056872740148233E-3</v>
      </c>
    </row>
    <row r="42" spans="1:21" outlineLevel="1" x14ac:dyDescent="0.2">
      <c r="A42" s="224" t="s">
        <v>200</v>
      </c>
      <c r="B42" s="41">
        <f>+B43+B44</f>
        <v>2.99</v>
      </c>
      <c r="C42" s="42">
        <v>2.8</v>
      </c>
      <c r="D42" s="43">
        <f>IF(H42&gt;50,G42,IF(H42&lt;=22,E42,IF(H42=28,F42,IF(H42=35,F42,IF(H42=42,F42)))))</f>
        <v>10</v>
      </c>
      <c r="E42" s="43">
        <f>IF(H42=10,H42-2,IF(H42=12,H42-2,IF(H42=15,H42-2,IF(H42=18,H42-2,IF(H42=22,H42-2)))))</f>
        <v>10</v>
      </c>
      <c r="F42" s="43" t="b">
        <f>IF(H42=28,H42-3,IF(H42=35,H42-3,IF(H42=42,H42-3)))</f>
        <v>0</v>
      </c>
      <c r="G42" s="43" t="b">
        <f>IF(H42=54,50)</f>
        <v>0</v>
      </c>
      <c r="H42" s="44">
        <v>12</v>
      </c>
      <c r="I42" s="157">
        <f>(0.3164/(S42^0.25))</f>
        <v>1.2801476512165578E-2</v>
      </c>
      <c r="J42" s="115">
        <f t="shared" si="0"/>
        <v>266.95999999999998</v>
      </c>
      <c r="K42" s="46">
        <f t="shared" si="1"/>
        <v>30.571690614490979</v>
      </c>
      <c r="L42" s="116">
        <f>SUM(1/K42)</f>
        <v>3.2710000000000003E-2</v>
      </c>
      <c r="M42" s="48">
        <v>1.2499999999999999E-7</v>
      </c>
      <c r="N42" s="117">
        <v>41000</v>
      </c>
      <c r="O42" s="118">
        <f>SUM(B42/J42)</f>
        <v>1.1200179802217563E-2</v>
      </c>
      <c r="P42" s="52">
        <f>SUM(O42*L42*3600)</f>
        <v>1.3188883727899314</v>
      </c>
      <c r="Q42" s="53">
        <f>(P42/3600/(((D42/1000)^2*PI())/4))</f>
        <v>4.6646134203543115</v>
      </c>
      <c r="R42" s="67">
        <f>SUM((Q42^2*K42)/2)</f>
        <v>332.59887437098052</v>
      </c>
      <c r="S42" s="55">
        <f>SUM(((D42/1000)*Q42)/M42)</f>
        <v>373169.07362834498</v>
      </c>
      <c r="T42" s="56">
        <f>SUM(I42/(D42/1000)*R42)*C42</f>
        <v>1192.1718699051885</v>
      </c>
      <c r="U42" s="57">
        <f>SUM(T42/N42)*1.3</f>
        <v>3.7800571484798658E-2</v>
      </c>
    </row>
    <row r="43" spans="1:21" outlineLevel="1" x14ac:dyDescent="0.2">
      <c r="A43" s="224" t="s">
        <v>172</v>
      </c>
      <c r="B43" s="41">
        <v>2.1</v>
      </c>
      <c r="C43" s="42">
        <v>1</v>
      </c>
      <c r="D43" s="43">
        <f>IF(H43&gt;50,G43,IF(H43&lt;=22,E43,IF(H43=28,F43,IF(H43=35,F43,IF(H43=42,F43)))))</f>
        <v>10</v>
      </c>
      <c r="E43" s="43">
        <f>IF(H43=10,H43-2,IF(H43=12,H43-2,IF(H43=15,H43-2,IF(H43=18,H43-2,IF(H43=22,H43-2)))))</f>
        <v>10</v>
      </c>
      <c r="F43" s="43" t="b">
        <f>IF(H43=28,H43-3,IF(H43=35,H43-3,IF(H43=42,H43-3)))</f>
        <v>0</v>
      </c>
      <c r="G43" s="43" t="b">
        <f>IF(H43=54,50)</f>
        <v>0</v>
      </c>
      <c r="H43" s="44">
        <v>12</v>
      </c>
      <c r="I43" s="157">
        <f>(0.3164/(S43^0.25))</f>
        <v>1.3983730230840071E-2</v>
      </c>
      <c r="J43" s="115">
        <f t="shared" si="0"/>
        <v>266.95999999999998</v>
      </c>
      <c r="K43" s="46">
        <f t="shared" si="1"/>
        <v>30.571690614490979</v>
      </c>
      <c r="L43" s="116">
        <f>SUM(1/K43)</f>
        <v>3.2710000000000003E-2</v>
      </c>
      <c r="M43" s="48">
        <v>1.2499999999999999E-7</v>
      </c>
      <c r="N43" s="117">
        <v>41000</v>
      </c>
      <c r="O43" s="118">
        <f>SUM(B43/J43)</f>
        <v>7.8663470182798925E-3</v>
      </c>
      <c r="P43" s="52">
        <f>SUM(O43*L43*3600)</f>
        <v>0.92630955948456717</v>
      </c>
      <c r="Q43" s="53">
        <f>(P43/3600/(((D43/1000)^2*PI())/4))</f>
        <v>3.2761498938943316</v>
      </c>
      <c r="R43" s="67">
        <f>SUM((Q43^2*K43)/2)</f>
        <v>164.06539479155975</v>
      </c>
      <c r="S43" s="55">
        <f>SUM(((D43/1000)*Q43)/M43)</f>
        <v>262091.99151154657</v>
      </c>
      <c r="T43" s="56">
        <f>SUM(I43/(D43/1000)*R43)*C43</f>
        <v>229.42462209814451</v>
      </c>
      <c r="U43" s="57">
        <f>SUM(T43/N43)*1.3</f>
        <v>7.2744392372582406E-3</v>
      </c>
    </row>
    <row r="44" spans="1:21" outlineLevel="1" x14ac:dyDescent="0.2">
      <c r="A44" s="224" t="s">
        <v>173</v>
      </c>
      <c r="B44" s="41">
        <v>0.89</v>
      </c>
      <c r="C44" s="42">
        <v>3</v>
      </c>
      <c r="D44" s="43">
        <f>IF(H44&gt;50,G44,IF(H44&lt;=22,E44,IF(H44=28,F44,IF(H44=35,F44,IF(H44=42,F44)))))</f>
        <v>10</v>
      </c>
      <c r="E44" s="43">
        <f>IF(H44=10,H44-2,IF(H44=12,H44-2,IF(H44=15,H44-2,IF(H44=18,H44-2,IF(H44=22,H44-2)))))</f>
        <v>10</v>
      </c>
      <c r="F44" s="43" t="b">
        <f>IF(H44=28,H44-3,IF(H44=35,H44-3,IF(H44=42,H44-3)))</f>
        <v>0</v>
      </c>
      <c r="G44" s="43" t="b">
        <f>IF(H44=54,50)</f>
        <v>0</v>
      </c>
      <c r="H44" s="44">
        <v>12</v>
      </c>
      <c r="I44" s="157">
        <f>(0.3164/(S44^0.25))</f>
        <v>1.7331268844600786E-2</v>
      </c>
      <c r="J44" s="115">
        <f t="shared" si="0"/>
        <v>266.95999999999998</v>
      </c>
      <c r="K44" s="46">
        <f t="shared" si="1"/>
        <v>30.571690614490979</v>
      </c>
      <c r="L44" s="116">
        <f>SUM(1/K44)</f>
        <v>3.2710000000000003E-2</v>
      </c>
      <c r="M44" s="48">
        <v>1.2499999999999999E-7</v>
      </c>
      <c r="N44" s="117">
        <v>41000</v>
      </c>
      <c r="O44" s="118">
        <f>SUM(B44/J44)</f>
        <v>3.3338327839376688E-3</v>
      </c>
      <c r="P44" s="52">
        <f>SUM(O44*L44*3600)</f>
        <v>0.39257881330536415</v>
      </c>
      <c r="Q44" s="53">
        <f>(P44/3600/(((D44/1000)^2*PI())/4))</f>
        <v>1.3884635264599787</v>
      </c>
      <c r="R44" s="67">
        <f>SUM((Q44^2*K44)/2)</f>
        <v>29.468525898955669</v>
      </c>
      <c r="S44" s="55">
        <f>SUM(((D44/1000)*Q44)/M44)</f>
        <v>111077.08211679831</v>
      </c>
      <c r="T44" s="56">
        <f>SUM(I44/(D44/1000)*R44)*C44</f>
        <v>153.21808344266452</v>
      </c>
      <c r="U44" s="57">
        <f>SUM(T44/N44)*1.3</f>
        <v>4.8581343530600951E-3</v>
      </c>
    </row>
    <row r="45" spans="1:21" outlineLevel="1" x14ac:dyDescent="0.2">
      <c r="A45" s="304"/>
      <c r="B45" s="305"/>
      <c r="C45" s="306"/>
      <c r="D45" s="307"/>
      <c r="E45" s="307"/>
      <c r="F45" s="307"/>
      <c r="G45" s="307"/>
      <c r="H45" s="308"/>
      <c r="I45" s="309"/>
      <c r="J45" s="341"/>
      <c r="K45" s="311"/>
      <c r="L45" s="342"/>
      <c r="M45" s="313"/>
      <c r="N45" s="343"/>
      <c r="O45" s="344"/>
      <c r="P45" s="317"/>
      <c r="Q45" s="318"/>
      <c r="R45" s="345"/>
      <c r="S45" s="320"/>
      <c r="T45" s="321"/>
      <c r="U45" s="322"/>
    </row>
    <row r="46" spans="1:21" outlineLevel="1" x14ac:dyDescent="0.2">
      <c r="A46" s="224" t="s">
        <v>191</v>
      </c>
      <c r="B46" s="41">
        <f>+B47+B48</f>
        <v>6.17</v>
      </c>
      <c r="C46" s="42">
        <v>3</v>
      </c>
      <c r="D46" s="43">
        <f>IF(H46&gt;50,G46,IF(H46&lt;=22,E46,IF(H46=28,F46,IF(H46=35,F46,IF(H46=42,F46)))))</f>
        <v>13</v>
      </c>
      <c r="E46" s="43">
        <f>IF(H46=10,H46-2,IF(H46=12,H46-2,IF(H46=15,H46-2,IF(H46=18,H46-2,IF(H46=22,H46-2)))))</f>
        <v>13</v>
      </c>
      <c r="F46" s="43" t="b">
        <f>IF(H46=28,H46-3,IF(H46=35,H46-3,IF(H46=42,H46-3)))</f>
        <v>0</v>
      </c>
      <c r="G46" s="43" t="b">
        <f>IF(H46=54,50)</f>
        <v>0</v>
      </c>
      <c r="H46" s="44">
        <v>15</v>
      </c>
      <c r="I46" s="157">
        <f t="shared" ref="I46:I51" si="15">(0.3164/(S46^0.25))</f>
        <v>1.1404924322804275E-2</v>
      </c>
      <c r="J46" s="115">
        <f t="shared" si="0"/>
        <v>266.95999999999998</v>
      </c>
      <c r="K46" s="46">
        <f t="shared" si="1"/>
        <v>30.571690614490979</v>
      </c>
      <c r="L46" s="116">
        <f t="shared" ref="L46:L51" si="16">SUM(1/K46)</f>
        <v>3.2710000000000003E-2</v>
      </c>
      <c r="M46" s="48">
        <v>1.2499999999999999E-7</v>
      </c>
      <c r="N46" s="117">
        <v>41000</v>
      </c>
      <c r="O46" s="118">
        <f t="shared" ref="O46:O51" si="17">SUM(B46/J46)</f>
        <v>2.3112076715612828E-2</v>
      </c>
      <c r="P46" s="52">
        <f t="shared" ref="P46:P51" si="18">SUM(O46*L46*3600)</f>
        <v>2.7215857057237045</v>
      </c>
      <c r="Q46" s="53">
        <f t="shared" ref="Q46:Q51" si="19">(P46/3600/(((D46/1000)^2*PI())/4))</f>
        <v>5.6956452086018681</v>
      </c>
      <c r="R46" s="67">
        <f t="shared" ref="R46:R51" si="20">SUM((Q46^2*K46)/2)</f>
        <v>495.8785439050659</v>
      </c>
      <c r="S46" s="55">
        <f t="shared" ref="S46:S51" si="21">SUM(((D46/1000)*Q46)/M46)</f>
        <v>592347.10169459425</v>
      </c>
      <c r="T46" s="56">
        <f t="shared" ref="T46:T51" si="22">SUM(I46/(D46/1000)*R46)*C46</f>
        <v>1305.1055230476125</v>
      </c>
      <c r="U46" s="57">
        <f t="shared" ref="U46:U51" si="23">SUM(T46/N46)*1.3</f>
        <v>4.1381394633216988E-2</v>
      </c>
    </row>
    <row r="47" spans="1:21" outlineLevel="1" x14ac:dyDescent="0.2">
      <c r="A47" s="224" t="s">
        <v>167</v>
      </c>
      <c r="B47" s="41">
        <v>2.79</v>
      </c>
      <c r="C47" s="42">
        <v>2</v>
      </c>
      <c r="D47" s="43">
        <f>IF(H47&gt;50,G47,IF(H47&lt;=22,E47,IF(H47=28,F47,IF(H47=35,F47,IF(H47=42,F47)))))</f>
        <v>10</v>
      </c>
      <c r="E47" s="43">
        <f>IF(H47=10,H47-2,IF(H47=12,H47-2,IF(H47=15,H47-2,IF(H47=18,H47-2,IF(H47=22,H47-2)))))</f>
        <v>10</v>
      </c>
      <c r="F47" s="43" t="b">
        <f>IF(H47=28,H47-3,IF(H47=35,H47-3,IF(H47=42,H47-3)))</f>
        <v>0</v>
      </c>
      <c r="G47" s="43" t="b">
        <f>IF(H47=54,50)</f>
        <v>0</v>
      </c>
      <c r="H47" s="44">
        <v>12</v>
      </c>
      <c r="I47" s="157">
        <f t="shared" si="15"/>
        <v>1.3024972348459946E-2</v>
      </c>
      <c r="J47" s="115">
        <f t="shared" si="0"/>
        <v>266.95999999999998</v>
      </c>
      <c r="K47" s="46">
        <f t="shared" si="1"/>
        <v>30.571690614490979</v>
      </c>
      <c r="L47" s="116">
        <f t="shared" si="16"/>
        <v>3.2710000000000003E-2</v>
      </c>
      <c r="M47" s="48">
        <v>1.2499999999999999E-7</v>
      </c>
      <c r="N47" s="117">
        <v>41000</v>
      </c>
      <c r="O47" s="118">
        <f t="shared" si="17"/>
        <v>1.0451003895714715E-2</v>
      </c>
      <c r="P47" s="52">
        <f t="shared" si="18"/>
        <v>1.2306684147437821</v>
      </c>
      <c r="Q47" s="53">
        <f t="shared" si="19"/>
        <v>4.3525991447453265</v>
      </c>
      <c r="R47" s="67">
        <f t="shared" si="20"/>
        <v>289.59216317391844</v>
      </c>
      <c r="S47" s="55">
        <f t="shared" si="21"/>
        <v>348207.93157962617</v>
      </c>
      <c r="T47" s="56">
        <f t="shared" si="22"/>
        <v>754.38598353419775</v>
      </c>
      <c r="U47" s="57">
        <f t="shared" si="23"/>
        <v>2.3919555575474562E-2</v>
      </c>
    </row>
    <row r="48" spans="1:21" outlineLevel="1" x14ac:dyDescent="0.2">
      <c r="A48" s="224" t="s">
        <v>190</v>
      </c>
      <c r="B48" s="41">
        <f>+B49+B50</f>
        <v>3.38</v>
      </c>
      <c r="C48" s="42">
        <f>2.5+1.5+4.5</f>
        <v>8.5</v>
      </c>
      <c r="D48" s="43">
        <f>IF(H48&gt;50,G48,IF(H48&lt;=22,E48,IF(H48=28,F48,IF(H48=35,F48,IF(H48=42,F48)))))</f>
        <v>13</v>
      </c>
      <c r="E48" s="43">
        <f>IF(H48=10,H48-2,IF(H48=12,H48-2,IF(H48=15,H48-2,IF(H48=18,H48-2,IF(H48=22,H48-2)))))</f>
        <v>13</v>
      </c>
      <c r="F48" s="43" t="b">
        <f>IF(H48=28,H48-3,IF(H48=35,H48-3,IF(H48=42,H48-3)))</f>
        <v>0</v>
      </c>
      <c r="G48" s="43" t="b">
        <f>IF(H48=54,50)</f>
        <v>0</v>
      </c>
      <c r="H48" s="44">
        <v>15</v>
      </c>
      <c r="I48" s="157">
        <f t="shared" si="15"/>
        <v>1.3256672391270647E-2</v>
      </c>
      <c r="J48" s="115">
        <f t="shared" si="0"/>
        <v>266.95999999999998</v>
      </c>
      <c r="K48" s="46">
        <f t="shared" si="1"/>
        <v>30.571690614490979</v>
      </c>
      <c r="L48" s="116">
        <f t="shared" si="16"/>
        <v>3.2710000000000003E-2</v>
      </c>
      <c r="M48" s="48">
        <v>1.2499999999999999E-7</v>
      </c>
      <c r="N48" s="117">
        <v>41000</v>
      </c>
      <c r="O48" s="118">
        <f t="shared" si="17"/>
        <v>1.2661072819898112E-2</v>
      </c>
      <c r="P48" s="52">
        <f t="shared" si="18"/>
        <v>1.4909172909799222</v>
      </c>
      <c r="Q48" s="53">
        <f t="shared" si="19"/>
        <v>3.12014275608984</v>
      </c>
      <c r="R48" s="67">
        <f t="shared" si="20"/>
        <v>148.81214947080255</v>
      </c>
      <c r="S48" s="55">
        <f t="shared" si="21"/>
        <v>324494.84663334332</v>
      </c>
      <c r="T48" s="56">
        <f t="shared" si="22"/>
        <v>1289.877558745342</v>
      </c>
      <c r="U48" s="57">
        <f t="shared" si="23"/>
        <v>4.0898556740705964E-2</v>
      </c>
    </row>
    <row r="49" spans="1:21" outlineLevel="1" x14ac:dyDescent="0.2">
      <c r="A49" s="224" t="s">
        <v>169</v>
      </c>
      <c r="B49" s="41">
        <v>1.69</v>
      </c>
      <c r="C49" s="42">
        <v>1</v>
      </c>
      <c r="D49" s="43">
        <f>IF(H49&gt;50,G49,IF(H49&lt;=22,E49,IF(H49=28,F49,IF(H49=35,F49,IF(H49=42,F49)))))</f>
        <v>10</v>
      </c>
      <c r="E49" s="43">
        <f>IF(H49=10,H49-2,IF(H49=12,H49-2,IF(H49=15,H49-2,IF(H49=18,H49-2,IF(H49=22,H49-2)))))</f>
        <v>10</v>
      </c>
      <c r="F49" s="43" t="b">
        <f>IF(H49=28,H49-3,IF(H49=35,H49-3,IF(H49=42,H49-3)))</f>
        <v>0</v>
      </c>
      <c r="G49" s="43" t="b">
        <f>IF(H49=54,50)</f>
        <v>0</v>
      </c>
      <c r="H49" s="44">
        <v>12</v>
      </c>
      <c r="I49" s="157">
        <f t="shared" si="15"/>
        <v>1.4764073026395161E-2</v>
      </c>
      <c r="J49" s="115">
        <f t="shared" si="0"/>
        <v>266.95999999999998</v>
      </c>
      <c r="K49" s="46">
        <f t="shared" si="1"/>
        <v>30.571690614490979</v>
      </c>
      <c r="L49" s="116">
        <f t="shared" si="16"/>
        <v>3.2710000000000003E-2</v>
      </c>
      <c r="M49" s="48">
        <v>1.2499999999999999E-7</v>
      </c>
      <c r="N49" s="117">
        <v>41000</v>
      </c>
      <c r="O49" s="118">
        <f t="shared" si="17"/>
        <v>6.3305364099490559E-3</v>
      </c>
      <c r="P49" s="52">
        <f t="shared" si="18"/>
        <v>0.7454586454899611</v>
      </c>
      <c r="Q49" s="53">
        <f t="shared" si="19"/>
        <v>2.6365206288959144</v>
      </c>
      <c r="R49" s="67">
        <f t="shared" si="20"/>
        <v>106.25559502588975</v>
      </c>
      <c r="S49" s="55">
        <f t="shared" si="21"/>
        <v>210921.65031167315</v>
      </c>
      <c r="T49" s="56">
        <f t="shared" si="22"/>
        <v>156.87653644253066</v>
      </c>
      <c r="U49" s="57">
        <f t="shared" si="23"/>
        <v>4.974134082324143E-3</v>
      </c>
    </row>
    <row r="50" spans="1:21" outlineLevel="1" x14ac:dyDescent="0.2">
      <c r="A50" s="40" t="s">
        <v>168</v>
      </c>
      <c r="B50" s="41">
        <v>1.69</v>
      </c>
      <c r="C50" s="42">
        <v>2.5</v>
      </c>
      <c r="D50" s="43">
        <f>IF(H50&gt;50,G50,IF(H50&lt;=22,E50,IF(H50=28,F50,IF(H50=35,F50,IF(H50=42,F50)))))</f>
        <v>10</v>
      </c>
      <c r="E50" s="43">
        <f>IF(H50=10,H50-2,IF(H50=12,H50-2,IF(H50=15,H50-2,IF(H50=18,H50-2,IF(H50=22,H50-2)))))</f>
        <v>10</v>
      </c>
      <c r="F50" s="43" t="b">
        <f>IF(H50=28,H50-3,IF(H50=35,H50-3,IF(H50=42,H50-3)))</f>
        <v>0</v>
      </c>
      <c r="G50" s="43" t="b">
        <f>IF(H50=54,50)</f>
        <v>0</v>
      </c>
      <c r="H50" s="44">
        <v>12</v>
      </c>
      <c r="I50" s="157">
        <f t="shared" si="15"/>
        <v>1.4764073026395161E-2</v>
      </c>
      <c r="J50" s="115">
        <f t="shared" si="0"/>
        <v>266.95999999999998</v>
      </c>
      <c r="K50" s="46">
        <f t="shared" si="1"/>
        <v>30.571690614490979</v>
      </c>
      <c r="L50" s="116">
        <f t="shared" si="16"/>
        <v>3.2710000000000003E-2</v>
      </c>
      <c r="M50" s="48">
        <v>1.2499999999999999E-7</v>
      </c>
      <c r="N50" s="117">
        <v>41000</v>
      </c>
      <c r="O50" s="118">
        <f t="shared" si="17"/>
        <v>6.3305364099490559E-3</v>
      </c>
      <c r="P50" s="52">
        <f t="shared" si="18"/>
        <v>0.7454586454899611</v>
      </c>
      <c r="Q50" s="53">
        <f t="shared" si="19"/>
        <v>2.6365206288959144</v>
      </c>
      <c r="R50" s="67">
        <f t="shared" si="20"/>
        <v>106.25559502588975</v>
      </c>
      <c r="S50" s="55">
        <f t="shared" si="21"/>
        <v>210921.65031167315</v>
      </c>
      <c r="T50" s="56">
        <f t="shared" si="22"/>
        <v>392.19134110632666</v>
      </c>
      <c r="U50" s="57">
        <f t="shared" si="23"/>
        <v>1.2435335205810359E-2</v>
      </c>
    </row>
    <row r="51" spans="1:21" outlineLevel="1" x14ac:dyDescent="0.2">
      <c r="A51" s="40"/>
      <c r="B51" s="41"/>
      <c r="C51" s="42"/>
      <c r="D51" s="43" t="b">
        <f t="shared" ref="D51:D62" si="24">IF(H51&gt;50,G51,IF(H51&lt;=22,E51,IF(H51=28,F51,IF(H51=35,F51,IF(H51=42,F51)))))</f>
        <v>0</v>
      </c>
      <c r="E51" s="43" t="b">
        <f t="shared" ref="E51:E62" si="25">IF(H51=10,H51-2,IF(H51=12,H51-2,IF(H51=15,H51-2,IF(H51=18,H51-2,IF(H51=22,H51-2)))))</f>
        <v>0</v>
      </c>
      <c r="F51" s="43" t="b">
        <f t="shared" ref="F51:F62" si="26">IF(H51=28,H51-3,IF(H51=35,H51-3,IF(H51=42,H51-3)))</f>
        <v>0</v>
      </c>
      <c r="G51" s="43" t="b">
        <f t="shared" ref="G51:G62" si="27">IF(H51=54,50)</f>
        <v>0</v>
      </c>
      <c r="H51" s="44"/>
      <c r="I51" s="157" t="e">
        <f t="shared" si="15"/>
        <v>#DIV/0!</v>
      </c>
      <c r="J51" s="115">
        <f t="shared" si="0"/>
        <v>266.95999999999998</v>
      </c>
      <c r="K51" s="46">
        <f t="shared" si="1"/>
        <v>30.571690614490979</v>
      </c>
      <c r="L51" s="116">
        <f t="shared" si="16"/>
        <v>3.2710000000000003E-2</v>
      </c>
      <c r="M51" s="48">
        <v>1.2499999999999999E-7</v>
      </c>
      <c r="N51" s="117">
        <v>41000</v>
      </c>
      <c r="O51" s="118">
        <f t="shared" si="17"/>
        <v>0</v>
      </c>
      <c r="P51" s="52">
        <f t="shared" si="18"/>
        <v>0</v>
      </c>
      <c r="Q51" s="53" t="e">
        <f t="shared" si="19"/>
        <v>#DIV/0!</v>
      </c>
      <c r="R51" s="67" t="e">
        <f t="shared" si="20"/>
        <v>#DIV/0!</v>
      </c>
      <c r="S51" s="55" t="e">
        <f t="shared" si="21"/>
        <v>#DIV/0!</v>
      </c>
      <c r="T51" s="56" t="e">
        <f t="shared" si="22"/>
        <v>#DIV/0!</v>
      </c>
      <c r="U51" s="57" t="e">
        <f t="shared" si="23"/>
        <v>#DIV/0!</v>
      </c>
    </row>
    <row r="52" spans="1:21" outlineLevel="1" x14ac:dyDescent="0.2">
      <c r="A52" s="159" t="s">
        <v>123</v>
      </c>
      <c r="B52" s="41"/>
      <c r="C52" s="42"/>
      <c r="D52" s="43" t="b">
        <f t="shared" si="24"/>
        <v>0</v>
      </c>
      <c r="E52" s="43" t="b">
        <f t="shared" si="25"/>
        <v>0</v>
      </c>
      <c r="F52" s="43" t="b">
        <f t="shared" si="26"/>
        <v>0</v>
      </c>
      <c r="G52" s="43" t="b">
        <f t="shared" si="27"/>
        <v>0</v>
      </c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123"/>
    </row>
    <row r="53" spans="1:21" outlineLevel="1" x14ac:dyDescent="0.2">
      <c r="A53" s="159" t="s">
        <v>124</v>
      </c>
      <c r="B53" s="41">
        <v>2.2000000000000002</v>
      </c>
      <c r="C53" s="42"/>
      <c r="D53" s="43" t="b">
        <f t="shared" si="24"/>
        <v>0</v>
      </c>
      <c r="E53" s="43" t="b">
        <f t="shared" si="25"/>
        <v>0</v>
      </c>
      <c r="F53" s="43" t="b">
        <f t="shared" si="26"/>
        <v>0</v>
      </c>
      <c r="G53" s="43" t="b">
        <f t="shared" si="27"/>
        <v>0</v>
      </c>
      <c r="H53" s="119"/>
      <c r="I53" s="59"/>
      <c r="J53" s="120"/>
      <c r="K53" s="120"/>
      <c r="L53" s="120"/>
      <c r="M53" s="120"/>
      <c r="N53" s="120"/>
      <c r="O53" s="120"/>
      <c r="P53" s="120"/>
      <c r="Q53" s="120"/>
      <c r="R53" s="120"/>
      <c r="S53" s="120" t="s">
        <v>130</v>
      </c>
      <c r="T53" s="121">
        <f>SUM(T10,T12,T15,T43,T46,T48,T50)</f>
        <v>15187.551387592452</v>
      </c>
      <c r="U53" s="122">
        <f>SUM(U10,U12,U15,U43,U46,U48,U50)</f>
        <v>0.48155650741146805</v>
      </c>
    </row>
    <row r="54" spans="1:21" outlineLevel="1" x14ac:dyDescent="0.2">
      <c r="A54" s="159" t="s">
        <v>125</v>
      </c>
      <c r="B54" s="41">
        <v>2.52</v>
      </c>
      <c r="C54" s="42"/>
      <c r="D54" s="43" t="b">
        <f t="shared" si="24"/>
        <v>0</v>
      </c>
      <c r="E54" s="43" t="b">
        <f t="shared" si="25"/>
        <v>0</v>
      </c>
      <c r="F54" s="43" t="b">
        <f t="shared" si="26"/>
        <v>0</v>
      </c>
      <c r="G54" s="43" t="b">
        <f t="shared" si="27"/>
        <v>0</v>
      </c>
      <c r="H54" s="11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120"/>
      <c r="T54" s="121"/>
      <c r="U54" s="123"/>
    </row>
    <row r="55" spans="1:21" outlineLevel="1" x14ac:dyDescent="0.2">
      <c r="A55" s="159" t="s">
        <v>126</v>
      </c>
      <c r="B55" s="41">
        <f>SUM(B53:B54)</f>
        <v>4.7200000000000006</v>
      </c>
      <c r="C55" s="42"/>
      <c r="D55" s="43" t="b">
        <f t="shared" si="24"/>
        <v>0</v>
      </c>
      <c r="E55" s="43" t="b">
        <f t="shared" si="25"/>
        <v>0</v>
      </c>
      <c r="F55" s="43" t="b">
        <f t="shared" si="26"/>
        <v>0</v>
      </c>
      <c r="G55" s="43" t="b">
        <f t="shared" si="27"/>
        <v>0</v>
      </c>
      <c r="H55" s="119"/>
      <c r="I55" s="59"/>
      <c r="J55" s="124"/>
      <c r="K55" s="62"/>
      <c r="L55" s="30"/>
      <c r="M55" s="31"/>
      <c r="N55" s="33"/>
      <c r="O55" s="69"/>
      <c r="P55" s="62"/>
      <c r="Q55" s="63"/>
      <c r="R55" s="63"/>
      <c r="S55" s="120"/>
      <c r="T55" s="74"/>
      <c r="U55" s="125"/>
    </row>
    <row r="56" spans="1:21" outlineLevel="1" x14ac:dyDescent="0.2">
      <c r="A56" s="160" t="s">
        <v>127</v>
      </c>
      <c r="B56" s="161">
        <f>SUM(B50,B55)</f>
        <v>6.41</v>
      </c>
      <c r="C56" s="42" t="s">
        <v>128</v>
      </c>
      <c r="D56" s="43" t="b">
        <f t="shared" si="24"/>
        <v>0</v>
      </c>
      <c r="E56" s="43" t="b">
        <f t="shared" si="25"/>
        <v>0</v>
      </c>
      <c r="F56" s="43" t="b">
        <f t="shared" si="26"/>
        <v>0</v>
      </c>
      <c r="G56" s="43" t="b">
        <f t="shared" si="27"/>
        <v>0</v>
      </c>
      <c r="H56" s="119"/>
      <c r="I56" s="59"/>
      <c r="J56" s="124"/>
      <c r="K56" s="62"/>
      <c r="L56" s="30"/>
      <c r="M56" s="31"/>
      <c r="N56" s="33"/>
      <c r="O56" s="69"/>
      <c r="P56" s="62"/>
      <c r="Q56" s="63"/>
      <c r="R56" s="63"/>
      <c r="S56" s="120"/>
      <c r="T56" s="74"/>
      <c r="U56" s="158"/>
    </row>
    <row r="57" spans="1:21" x14ac:dyDescent="0.2">
      <c r="A57" s="126"/>
      <c r="B57" s="41"/>
      <c r="C57" s="42"/>
      <c r="D57" s="43" t="b">
        <f t="shared" si="24"/>
        <v>0</v>
      </c>
      <c r="E57" s="43" t="b">
        <f t="shared" si="25"/>
        <v>0</v>
      </c>
      <c r="F57" s="43" t="b">
        <f t="shared" si="26"/>
        <v>0</v>
      </c>
      <c r="G57" s="43" t="b">
        <f t="shared" si="27"/>
        <v>0</v>
      </c>
      <c r="H57" s="119"/>
      <c r="I57" s="59"/>
      <c r="J57" s="124"/>
      <c r="K57" s="62"/>
      <c r="L57" s="30"/>
      <c r="M57" s="31"/>
      <c r="N57" s="33"/>
      <c r="O57" s="69"/>
      <c r="P57" s="62"/>
      <c r="Q57" s="63"/>
      <c r="R57" s="63"/>
      <c r="S57" s="65"/>
      <c r="T57" s="74"/>
      <c r="U57" s="66"/>
    </row>
    <row r="58" spans="1:21" x14ac:dyDescent="0.2">
      <c r="A58" s="127" t="s">
        <v>47</v>
      </c>
      <c r="B58" s="41"/>
      <c r="C58" s="42"/>
      <c r="D58" s="43" t="b">
        <f t="shared" si="24"/>
        <v>0</v>
      </c>
      <c r="E58" s="43" t="b">
        <f t="shared" si="25"/>
        <v>0</v>
      </c>
      <c r="F58" s="43" t="b">
        <f t="shared" si="26"/>
        <v>0</v>
      </c>
      <c r="G58" s="43" t="b">
        <f t="shared" si="27"/>
        <v>0</v>
      </c>
      <c r="H58" s="119"/>
      <c r="I58" s="59"/>
      <c r="J58" s="124"/>
      <c r="K58" s="62"/>
      <c r="L58" s="30"/>
      <c r="M58" s="31"/>
      <c r="N58" s="33"/>
      <c r="O58" s="69"/>
      <c r="P58" s="62"/>
      <c r="Q58" s="63"/>
      <c r="R58" s="63"/>
      <c r="S58" s="65"/>
      <c r="T58" s="74"/>
      <c r="U58" s="66"/>
    </row>
    <row r="59" spans="1:21" outlineLevel="1" x14ac:dyDescent="0.2">
      <c r="A59" s="127" t="s">
        <v>48</v>
      </c>
      <c r="B59" s="41">
        <v>22.94</v>
      </c>
      <c r="C59" s="42">
        <v>10</v>
      </c>
      <c r="D59" s="43">
        <f t="shared" si="24"/>
        <v>20</v>
      </c>
      <c r="E59" s="43">
        <f t="shared" si="25"/>
        <v>20</v>
      </c>
      <c r="F59" s="43" t="b">
        <f t="shared" si="26"/>
        <v>0</v>
      </c>
      <c r="G59" s="43" t="b">
        <f t="shared" si="27"/>
        <v>0</v>
      </c>
      <c r="H59" s="119">
        <v>22</v>
      </c>
      <c r="I59" s="157">
        <f>(0.3164/(S59^0.25))</f>
        <v>1.2580817680056429E-2</v>
      </c>
      <c r="J59" s="115">
        <f>$J$7</f>
        <v>266.95999999999998</v>
      </c>
      <c r="K59" s="76">
        <v>46.56</v>
      </c>
      <c r="L59" s="79">
        <f>SUM(1/K59)</f>
        <v>2.147766323024055E-2</v>
      </c>
      <c r="M59" s="128">
        <v>2.9369999999999999E-7</v>
      </c>
      <c r="N59" s="117">
        <v>72250</v>
      </c>
      <c r="O59" s="118">
        <f>SUM(B59/J59)</f>
        <v>8.5930476475876552E-2</v>
      </c>
      <c r="P59" s="52">
        <f>SUM(O59*L59*3600)</f>
        <v>6.6441090058667438</v>
      </c>
      <c r="Q59" s="53">
        <f>(P59/3600/(((D59/1000)^2*PI())/4))</f>
        <v>5.8746821706948387</v>
      </c>
      <c r="R59" s="67">
        <f>SUM((Q59^2*K59)/2)</f>
        <v>803.43681332350627</v>
      </c>
      <c r="S59" s="55">
        <f>SUM(((D59/1000)*Q59)/M59)</f>
        <v>400046.45357132034</v>
      </c>
      <c r="T59" s="129">
        <f>SUM(I59/(D59/1000)*R59)*C59</f>
        <v>5053.9460329342819</v>
      </c>
      <c r="U59" s="57">
        <f>SUM(T59/N59)*1.3</f>
        <v>9.0936053187744878E-2</v>
      </c>
    </row>
    <row r="60" spans="1:21" outlineLevel="1" x14ac:dyDescent="0.2">
      <c r="A60" s="127"/>
      <c r="B60" s="41">
        <v>22.94</v>
      </c>
      <c r="C60" s="42">
        <v>5</v>
      </c>
      <c r="D60" s="43">
        <f t="shared" si="24"/>
        <v>25</v>
      </c>
      <c r="E60" s="43" t="b">
        <f t="shared" si="25"/>
        <v>0</v>
      </c>
      <c r="F60" s="43">
        <f t="shared" si="26"/>
        <v>25</v>
      </c>
      <c r="G60" s="43" t="b">
        <f t="shared" si="27"/>
        <v>0</v>
      </c>
      <c r="H60" s="119">
        <v>28</v>
      </c>
      <c r="I60" s="157">
        <f>(0.3164/(S60^0.25))</f>
        <v>1.330259508547665E-2</v>
      </c>
      <c r="J60" s="115">
        <f>$J$7</f>
        <v>266.95999999999998</v>
      </c>
      <c r="K60" s="62">
        <v>46.56</v>
      </c>
      <c r="L60" s="79">
        <f>SUM(1/K60)</f>
        <v>2.147766323024055E-2</v>
      </c>
      <c r="M60" s="130">
        <v>2.9369999999999999E-7</v>
      </c>
      <c r="N60" s="33">
        <v>72250</v>
      </c>
      <c r="O60" s="118">
        <f>SUM(B60/J60)</f>
        <v>8.5930476475876552E-2</v>
      </c>
      <c r="P60" s="52">
        <f>SUM(O60*L60*3600)</f>
        <v>6.6441090058667438</v>
      </c>
      <c r="Q60" s="67">
        <f>(P60/3600/(((D60/1000)^2*PI())/4))</f>
        <v>3.7597965892446963</v>
      </c>
      <c r="R60" s="67">
        <f>SUM((Q60^2*K60)/2)</f>
        <v>329.08771873730808</v>
      </c>
      <c r="S60" s="55">
        <f>SUM(((D60/1000)*Q60)/M60)</f>
        <v>320037.16285705625</v>
      </c>
      <c r="T60" s="129">
        <f>SUM(I60/(D60/1000)*R60)*C60</f>
        <v>875.54413399312716</v>
      </c>
      <c r="U60" s="68">
        <f>SUM(T60/N60)*1.3</f>
        <v>1.575373528292132E-2</v>
      </c>
    </row>
    <row r="61" spans="1:21" outlineLevel="1" x14ac:dyDescent="0.2">
      <c r="A61" s="127"/>
      <c r="B61" s="41"/>
      <c r="C61" s="42"/>
      <c r="D61" s="43" t="b">
        <f t="shared" si="24"/>
        <v>0</v>
      </c>
      <c r="E61" s="43" t="b">
        <f t="shared" si="25"/>
        <v>0</v>
      </c>
      <c r="F61" s="43" t="b">
        <f t="shared" si="26"/>
        <v>0</v>
      </c>
      <c r="G61" s="43" t="b">
        <f t="shared" si="27"/>
        <v>0</v>
      </c>
      <c r="H61" s="119"/>
      <c r="I61" s="157" t="e">
        <f>(0.3164/(S61^0.25))</f>
        <v>#DIV/0!</v>
      </c>
      <c r="J61" s="115">
        <f>$J$7</f>
        <v>266.95999999999998</v>
      </c>
      <c r="K61" s="62">
        <v>46.56</v>
      </c>
      <c r="L61" s="79">
        <f>SUM(1/K61)</f>
        <v>2.147766323024055E-2</v>
      </c>
      <c r="M61" s="130">
        <v>2.9369999999999999E-7</v>
      </c>
      <c r="N61" s="33">
        <v>72250</v>
      </c>
      <c r="O61" s="118">
        <f>SUM(B61/J61)</f>
        <v>0</v>
      </c>
      <c r="P61" s="52">
        <f>SUM(O61*L61*3600)</f>
        <v>0</v>
      </c>
      <c r="Q61" s="67" t="e">
        <f>(P61/3600/(((D61/1000)^2*PI())/4))</f>
        <v>#DIV/0!</v>
      </c>
      <c r="R61" s="67" t="e">
        <f>SUM((Q61^2*K61)/2)</f>
        <v>#DIV/0!</v>
      </c>
      <c r="S61" s="55" t="e">
        <f>SUM(((D61/1000)*Q61)/M61)</f>
        <v>#DIV/0!</v>
      </c>
      <c r="T61" s="129" t="e">
        <f>SUM(I61/(D61/1000)*R61)*C61</f>
        <v>#DIV/0!</v>
      </c>
      <c r="U61" s="68" t="e">
        <f>SUM(T61/N61)*1.3</f>
        <v>#DIV/0!</v>
      </c>
    </row>
    <row r="62" spans="1:21" outlineLevel="1" x14ac:dyDescent="0.2">
      <c r="A62" s="127"/>
      <c r="B62" s="41"/>
      <c r="C62" s="42"/>
      <c r="D62" s="43" t="b">
        <f t="shared" si="24"/>
        <v>0</v>
      </c>
      <c r="E62" s="43" t="b">
        <f t="shared" si="25"/>
        <v>0</v>
      </c>
      <c r="F62" s="43" t="b">
        <f t="shared" si="26"/>
        <v>0</v>
      </c>
      <c r="G62" s="43" t="b">
        <f t="shared" si="27"/>
        <v>0</v>
      </c>
      <c r="H62" s="119"/>
      <c r="I62" s="157" t="e">
        <f>(0.3164/(S62^0.25))</f>
        <v>#DIV/0!</v>
      </c>
      <c r="J62" s="115">
        <f>$J$7</f>
        <v>266.95999999999998</v>
      </c>
      <c r="K62" s="62">
        <v>46.56</v>
      </c>
      <c r="L62" s="79">
        <f>SUM(1/K62)</f>
        <v>2.147766323024055E-2</v>
      </c>
      <c r="M62" s="130">
        <v>2.9369999999999999E-7</v>
      </c>
      <c r="N62" s="33">
        <v>72250</v>
      </c>
      <c r="O62" s="118">
        <f>SUM(B62/J62)</f>
        <v>0</v>
      </c>
      <c r="P62" s="52">
        <f>SUM(O62*L62*3600)</f>
        <v>0</v>
      </c>
      <c r="Q62" s="67" t="e">
        <f>(P62/3600/(((D62/1000)^2*PI())/4))</f>
        <v>#DIV/0!</v>
      </c>
      <c r="R62" s="67" t="e">
        <f>SUM((Q62^2*K62)/2)</f>
        <v>#DIV/0!</v>
      </c>
      <c r="S62" s="55" t="e">
        <f>SUM(((D62/1000)*Q62)/M62)</f>
        <v>#DIV/0!</v>
      </c>
      <c r="T62" s="129" t="e">
        <f>SUM(I62/(D62/1000)*R62)*C62</f>
        <v>#DIV/0!</v>
      </c>
      <c r="U62" s="68" t="e">
        <f>SUM(T62/N62)*1.3</f>
        <v>#DIV/0!</v>
      </c>
    </row>
    <row r="63" spans="1:21" x14ac:dyDescent="0.2">
      <c r="A63" s="126"/>
      <c r="B63" s="41"/>
      <c r="C63" s="42"/>
      <c r="D63" s="73"/>
      <c r="E63" s="73"/>
      <c r="F63" s="73"/>
      <c r="G63" s="73"/>
      <c r="H63" s="119"/>
      <c r="I63" s="59"/>
      <c r="J63" s="124"/>
      <c r="K63" s="62"/>
      <c r="L63" s="30"/>
      <c r="M63" s="31"/>
      <c r="N63" s="33"/>
      <c r="O63" s="69"/>
      <c r="P63" s="62"/>
      <c r="Q63" s="63"/>
      <c r="R63" s="63"/>
      <c r="S63" s="65"/>
      <c r="T63" s="74"/>
      <c r="U63" s="66"/>
    </row>
    <row r="64" spans="1:21" x14ac:dyDescent="0.2">
      <c r="A64" s="131" t="s">
        <v>39</v>
      </c>
      <c r="B64" s="41"/>
      <c r="C64" s="42"/>
      <c r="D64" s="58"/>
      <c r="E64" s="58"/>
      <c r="F64" s="58"/>
      <c r="G64" s="58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66"/>
    </row>
    <row r="65" spans="1:21" outlineLevel="1" x14ac:dyDescent="0.2">
      <c r="A65" s="131" t="str">
        <f>A10</f>
        <v>12+11+10+9+4+5+8+7+6+G10+91+G11+G12+1+2+3+90</v>
      </c>
      <c r="B65" s="41">
        <f t="shared" ref="B65:C67" si="28">SUM(B10)</f>
        <v>44.54</v>
      </c>
      <c r="C65" s="42">
        <f t="shared" si="28"/>
        <v>48.019999999999996</v>
      </c>
      <c r="D65" s="43">
        <f t="shared" ref="D65:D77" si="29">IF(H65&gt;50,G65,IF(H65&lt;=22,E65,IF(H65=28,F65,IF(H65=35,F65,IF(H65=42,F65)))))</f>
        <v>8</v>
      </c>
      <c r="E65" s="43">
        <f t="shared" ref="E65:E77" si="30">IF(H65=10,H65-2,IF(H65=12,H65-2,IF(H65=15,H65-2,IF(H65=18,H65-2,IF(H65=22,H65-2)))))</f>
        <v>8</v>
      </c>
      <c r="F65" s="43" t="b">
        <f t="shared" ref="F65:F77" si="31">IF(H65=28,H65-3,IF(H65=35,H65-3,IF(H65=42,H65-3)))</f>
        <v>0</v>
      </c>
      <c r="G65" s="43" t="b">
        <f t="shared" ref="G65:G77" si="32">IF(H65=54,50)</f>
        <v>0</v>
      </c>
      <c r="H65" s="44">
        <v>10</v>
      </c>
      <c r="I65" s="157">
        <f t="shared" ref="I65:I77" si="33">(0.3164/(S65^0.25))</f>
        <v>7.7658620738450396E-2</v>
      </c>
      <c r="J65" s="115">
        <v>254</v>
      </c>
      <c r="K65" s="76">
        <v>993</v>
      </c>
      <c r="L65" s="79">
        <f t="shared" ref="L65:L77" si="34">SUM(1/K65)</f>
        <v>1.0070493454179255E-3</v>
      </c>
      <c r="M65" s="132">
        <v>1.02E-4</v>
      </c>
      <c r="N65" s="117">
        <v>83730</v>
      </c>
      <c r="O65" s="118">
        <f t="shared" ref="O65:O76" si="35">SUM(B65/J65)</f>
        <v>0.17535433070866141</v>
      </c>
      <c r="P65" s="52">
        <f t="shared" ref="P65:P76" si="36">SUM(O65*L65*3600)</f>
        <v>0.63572567024288129</v>
      </c>
      <c r="Q65" s="53">
        <f t="shared" ref="Q65:Q76" si="37">(P65/3600/(((D65/1000)^2*PI())/4))</f>
        <v>3.5131556551931529</v>
      </c>
      <c r="R65" s="67">
        <f t="shared" ref="R65:R76" si="38">SUM((Q65^2*K65)/2)</f>
        <v>6127.9334095061613</v>
      </c>
      <c r="S65" s="55">
        <f t="shared" ref="S65:S76" si="39">SUM(((D65/1000)*Q65)/M65)</f>
        <v>275.54162001514925</v>
      </c>
      <c r="T65" s="129">
        <f t="shared" ref="T65:T76" si="40">SUM(I65/(D65/1000)*R65)*C65</f>
        <v>2856510.8564973073</v>
      </c>
      <c r="U65" s="57">
        <f t="shared" ref="U65:U76" si="41">SUM(T65/N65)*1.3</f>
        <v>44.350461166206848</v>
      </c>
    </row>
    <row r="66" spans="1:21" outlineLevel="1" x14ac:dyDescent="0.2">
      <c r="A66" s="131" t="str">
        <f>A11</f>
        <v>90</v>
      </c>
      <c r="B66" s="41">
        <f t="shared" si="28"/>
        <v>5.5</v>
      </c>
      <c r="C66" s="42">
        <f t="shared" si="28"/>
        <v>5</v>
      </c>
      <c r="D66" s="43">
        <f t="shared" si="29"/>
        <v>8</v>
      </c>
      <c r="E66" s="43">
        <f t="shared" si="30"/>
        <v>8</v>
      </c>
      <c r="F66" s="43" t="b">
        <f t="shared" si="31"/>
        <v>0</v>
      </c>
      <c r="G66" s="43" t="b">
        <f t="shared" si="32"/>
        <v>0</v>
      </c>
      <c r="H66" s="44">
        <v>10</v>
      </c>
      <c r="I66" s="157">
        <f t="shared" si="33"/>
        <v>0.13100460251504634</v>
      </c>
      <c r="J66" s="115">
        <v>254</v>
      </c>
      <c r="K66" s="76">
        <v>993</v>
      </c>
      <c r="L66" s="79">
        <f t="shared" si="34"/>
        <v>1.0070493454179255E-3</v>
      </c>
      <c r="M66" s="132">
        <v>1.02E-4</v>
      </c>
      <c r="N66" s="117">
        <v>83730</v>
      </c>
      <c r="O66" s="118">
        <f t="shared" si="35"/>
        <v>2.1653543307086614E-2</v>
      </c>
      <c r="P66" s="52">
        <f t="shared" si="36"/>
        <v>7.8502271808169002E-2</v>
      </c>
      <c r="Q66" s="53">
        <f t="shared" si="37"/>
        <v>0.43382029868797356</v>
      </c>
      <c r="R66" s="67">
        <f t="shared" si="38"/>
        <v>93.441325596423269</v>
      </c>
      <c r="S66" s="55">
        <f t="shared" si="39"/>
        <v>34.025121465723416</v>
      </c>
      <c r="T66" s="129">
        <f t="shared" si="40"/>
        <v>7650.7773238990358</v>
      </c>
      <c r="U66" s="57">
        <f t="shared" si="41"/>
        <v>0.11878670155343063</v>
      </c>
    </row>
    <row r="67" spans="1:21" outlineLevel="1" x14ac:dyDescent="0.2">
      <c r="A67" s="131" t="str">
        <f>A12</f>
        <v>12+11+10+9+4+5+8+7+6+G10+91+G11+G12+1+2+3</v>
      </c>
      <c r="B67" s="41">
        <f t="shared" si="28"/>
        <v>36.24</v>
      </c>
      <c r="C67" s="42">
        <f t="shared" si="28"/>
        <v>15.2</v>
      </c>
      <c r="D67" s="43">
        <f t="shared" si="29"/>
        <v>8</v>
      </c>
      <c r="E67" s="43">
        <f t="shared" si="30"/>
        <v>8</v>
      </c>
      <c r="F67" s="43" t="b">
        <f t="shared" si="31"/>
        <v>0</v>
      </c>
      <c r="G67" s="43" t="b">
        <f t="shared" si="32"/>
        <v>0</v>
      </c>
      <c r="H67" s="44">
        <v>10</v>
      </c>
      <c r="I67" s="157">
        <f t="shared" si="33"/>
        <v>8.1767398191840798E-2</v>
      </c>
      <c r="J67" s="115">
        <v>254</v>
      </c>
      <c r="K67" s="76">
        <v>993</v>
      </c>
      <c r="L67" s="79">
        <f t="shared" si="34"/>
        <v>1.0070493454179255E-3</v>
      </c>
      <c r="M67" s="132">
        <v>1.02E-4</v>
      </c>
      <c r="N67" s="117">
        <v>83730</v>
      </c>
      <c r="O67" s="118">
        <f t="shared" si="35"/>
        <v>0.14267716535433073</v>
      </c>
      <c r="P67" s="52">
        <f t="shared" si="36"/>
        <v>0.5172586055141899</v>
      </c>
      <c r="Q67" s="53">
        <f t="shared" si="37"/>
        <v>2.8584813862640295</v>
      </c>
      <c r="R67" s="67">
        <f t="shared" si="38"/>
        <v>4056.859712384301</v>
      </c>
      <c r="S67" s="55">
        <f t="shared" si="39"/>
        <v>224.19461853051212</v>
      </c>
      <c r="T67" s="129">
        <f t="shared" si="40"/>
        <v>630265.84067083127</v>
      </c>
      <c r="U67" s="57">
        <f t="shared" si="41"/>
        <v>9.7855678116813642</v>
      </c>
    </row>
    <row r="68" spans="1:21" outlineLevel="1" x14ac:dyDescent="0.2">
      <c r="A68" s="131" t="str">
        <f>A42</f>
        <v>9+10</v>
      </c>
      <c r="B68" s="41">
        <f t="shared" ref="B68:C70" si="42">SUM(B42)</f>
        <v>2.99</v>
      </c>
      <c r="C68" s="42">
        <f t="shared" si="42"/>
        <v>2.8</v>
      </c>
      <c r="D68" s="43">
        <f t="shared" si="29"/>
        <v>10</v>
      </c>
      <c r="E68" s="43">
        <f t="shared" si="30"/>
        <v>10</v>
      </c>
      <c r="F68" s="43" t="b">
        <f t="shared" si="31"/>
        <v>0</v>
      </c>
      <c r="G68" s="43" t="b">
        <f t="shared" si="32"/>
        <v>0</v>
      </c>
      <c r="H68" s="44">
        <v>12</v>
      </c>
      <c r="I68" s="157">
        <f t="shared" si="33"/>
        <v>0.16131952415815703</v>
      </c>
      <c r="J68" s="115">
        <v>254</v>
      </c>
      <c r="K68" s="76">
        <v>993</v>
      </c>
      <c r="L68" s="79">
        <f t="shared" si="34"/>
        <v>1.0070493454179255E-3</v>
      </c>
      <c r="M68" s="132">
        <v>1.02E-4</v>
      </c>
      <c r="N68" s="117">
        <v>83730</v>
      </c>
      <c r="O68" s="118">
        <f t="shared" si="35"/>
        <v>1.1771653543307087E-2</v>
      </c>
      <c r="P68" s="52">
        <f t="shared" si="36"/>
        <v>4.267668958298642E-2</v>
      </c>
      <c r="Q68" s="53">
        <f t="shared" si="37"/>
        <v>0.15093791337623746</v>
      </c>
      <c r="R68" s="67">
        <f t="shared" si="38"/>
        <v>11.311388959255979</v>
      </c>
      <c r="S68" s="55">
        <f t="shared" si="39"/>
        <v>14.797834644729162</v>
      </c>
      <c r="T68" s="129">
        <f t="shared" si="40"/>
        <v>510.92940765300159</v>
      </c>
      <c r="U68" s="57">
        <f t="shared" si="41"/>
        <v>7.9327389221175455E-3</v>
      </c>
    </row>
    <row r="69" spans="1:21" outlineLevel="1" x14ac:dyDescent="0.2">
      <c r="A69" s="131" t="str">
        <f>A43</f>
        <v>10</v>
      </c>
      <c r="B69" s="41">
        <f t="shared" si="42"/>
        <v>2.1</v>
      </c>
      <c r="C69" s="42">
        <f t="shared" si="42"/>
        <v>1</v>
      </c>
      <c r="D69" s="43">
        <f t="shared" si="29"/>
        <v>8</v>
      </c>
      <c r="E69" s="43">
        <f t="shared" si="30"/>
        <v>8</v>
      </c>
      <c r="F69" s="43" t="b">
        <f t="shared" si="31"/>
        <v>0</v>
      </c>
      <c r="G69" s="43" t="b">
        <f t="shared" si="32"/>
        <v>0</v>
      </c>
      <c r="H69" s="44">
        <v>10</v>
      </c>
      <c r="I69" s="157">
        <f t="shared" si="33"/>
        <v>0.16665655587499692</v>
      </c>
      <c r="J69" s="115">
        <v>254</v>
      </c>
      <c r="K69" s="76">
        <v>993</v>
      </c>
      <c r="L69" s="79">
        <f t="shared" si="34"/>
        <v>1.0070493454179255E-3</v>
      </c>
      <c r="M69" s="132">
        <v>1.02E-4</v>
      </c>
      <c r="N69" s="117">
        <v>83730</v>
      </c>
      <c r="O69" s="118">
        <f>SUM(B69/J69)</f>
        <v>8.2677165354330708E-3</v>
      </c>
      <c r="P69" s="52">
        <f>SUM(O69*L69*3600)</f>
        <v>2.9973594690391795E-2</v>
      </c>
      <c r="Q69" s="53">
        <f>(P69/3600/(((D69/1000)^2*PI())/4))</f>
        <v>0.1656404776808626</v>
      </c>
      <c r="R69" s="67">
        <f>SUM((Q69^2*K69)/2)</f>
        <v>13.622355235709964</v>
      </c>
      <c r="S69" s="55">
        <f>SUM(((D69/1000)*Q69)/M69)</f>
        <v>12.991410014185302</v>
      </c>
      <c r="T69" s="129">
        <f>SUM(I69/(D69/1000)*R69)*C69</f>
        <v>283.7818508111443</v>
      </c>
      <c r="U69" s="57">
        <f>SUM(T69/N69)*1.3</f>
        <v>4.4060241974738755E-3</v>
      </c>
    </row>
    <row r="70" spans="1:21" outlineLevel="1" x14ac:dyDescent="0.2">
      <c r="A70" s="131" t="str">
        <f>A44</f>
        <v>9</v>
      </c>
      <c r="B70" s="41">
        <f t="shared" si="42"/>
        <v>0.89</v>
      </c>
      <c r="C70" s="42">
        <f t="shared" si="42"/>
        <v>3</v>
      </c>
      <c r="D70" s="43">
        <f t="shared" si="29"/>
        <v>10</v>
      </c>
      <c r="E70" s="43">
        <f t="shared" si="30"/>
        <v>10</v>
      </c>
      <c r="F70" s="43" t="b">
        <f t="shared" si="31"/>
        <v>0</v>
      </c>
      <c r="G70" s="43" t="b">
        <f t="shared" si="32"/>
        <v>0</v>
      </c>
      <c r="H70" s="44">
        <v>12</v>
      </c>
      <c r="I70" s="157">
        <f t="shared" si="33"/>
        <v>0.21840231010939251</v>
      </c>
      <c r="J70" s="115">
        <v>254</v>
      </c>
      <c r="K70" s="76">
        <v>993</v>
      </c>
      <c r="L70" s="79">
        <f t="shared" si="34"/>
        <v>1.0070493454179255E-3</v>
      </c>
      <c r="M70" s="132">
        <v>1.02E-4</v>
      </c>
      <c r="N70" s="117">
        <v>83730</v>
      </c>
      <c r="O70" s="118">
        <f t="shared" si="35"/>
        <v>3.5039370078740156E-3</v>
      </c>
      <c r="P70" s="52">
        <f t="shared" si="36"/>
        <v>1.270309489259462E-2</v>
      </c>
      <c r="Q70" s="53">
        <f t="shared" si="37"/>
        <v>4.4928007660485401E-2</v>
      </c>
      <c r="R70" s="67">
        <f t="shared" si="38"/>
        <v>1.0021980956171253</v>
      </c>
      <c r="S70" s="55">
        <f t="shared" si="39"/>
        <v>4.4047066333809219</v>
      </c>
      <c r="T70" s="129">
        <f t="shared" si="40"/>
        <v>65.66471378100421</v>
      </c>
      <c r="U70" s="57">
        <f t="shared" si="41"/>
        <v>1.0195166357972706E-3</v>
      </c>
    </row>
    <row r="71" spans="1:21" outlineLevel="1" x14ac:dyDescent="0.2">
      <c r="A71" s="131" t="str">
        <f t="shared" ref="A71:A77" si="43">A46</f>
        <v>8+7+6</v>
      </c>
      <c r="B71" s="41">
        <f t="shared" ref="B71:C77" si="44">SUM(B46)</f>
        <v>6.17</v>
      </c>
      <c r="C71" s="42">
        <f t="shared" si="44"/>
        <v>3</v>
      </c>
      <c r="D71" s="43">
        <f t="shared" si="29"/>
        <v>13</v>
      </c>
      <c r="E71" s="43">
        <f t="shared" si="30"/>
        <v>13</v>
      </c>
      <c r="F71" s="43" t="b">
        <f t="shared" si="31"/>
        <v>0</v>
      </c>
      <c r="G71" s="43" t="b">
        <f t="shared" si="32"/>
        <v>0</v>
      </c>
      <c r="H71" s="44">
        <v>15</v>
      </c>
      <c r="I71" s="157">
        <f t="shared" si="33"/>
        <v>0.14372068433404001</v>
      </c>
      <c r="J71" s="115">
        <v>254</v>
      </c>
      <c r="K71" s="76">
        <v>993</v>
      </c>
      <c r="L71" s="79">
        <f t="shared" si="34"/>
        <v>1.0070493454179255E-3</v>
      </c>
      <c r="M71" s="132">
        <v>1.02E-4</v>
      </c>
      <c r="N71" s="117">
        <v>83730</v>
      </c>
      <c r="O71" s="118">
        <f t="shared" si="35"/>
        <v>2.4291338582677166E-2</v>
      </c>
      <c r="P71" s="52">
        <f t="shared" si="36"/>
        <v>8.8065275828436859E-2</v>
      </c>
      <c r="Q71" s="53">
        <f t="shared" si="37"/>
        <v>0.18430011785466058</v>
      </c>
      <c r="R71" s="67">
        <f t="shared" si="38"/>
        <v>16.864383853576545</v>
      </c>
      <c r="S71" s="55">
        <f t="shared" si="39"/>
        <v>23.489230706966545</v>
      </c>
      <c r="T71" s="129">
        <f t="shared" si="40"/>
        <v>559.32941268645129</v>
      </c>
      <c r="U71" s="57">
        <f t="shared" si="41"/>
        <v>8.6842020362162507E-3</v>
      </c>
    </row>
    <row r="72" spans="1:21" outlineLevel="1" x14ac:dyDescent="0.2">
      <c r="A72" s="131" t="str">
        <f t="shared" si="43"/>
        <v>6</v>
      </c>
      <c r="B72" s="41">
        <f t="shared" si="44"/>
        <v>2.79</v>
      </c>
      <c r="C72" s="42">
        <f t="shared" si="44"/>
        <v>2</v>
      </c>
      <c r="D72" s="43">
        <f t="shared" si="29"/>
        <v>8</v>
      </c>
      <c r="E72" s="43">
        <f t="shared" si="30"/>
        <v>8</v>
      </c>
      <c r="F72" s="43" t="b">
        <f t="shared" si="31"/>
        <v>0</v>
      </c>
      <c r="G72" s="43" t="b">
        <f t="shared" si="32"/>
        <v>0</v>
      </c>
      <c r="H72" s="44">
        <v>10</v>
      </c>
      <c r="I72" s="157">
        <f t="shared" si="33"/>
        <v>0.15523018508853206</v>
      </c>
      <c r="J72" s="115">
        <v>254</v>
      </c>
      <c r="K72" s="76">
        <v>993</v>
      </c>
      <c r="L72" s="79">
        <f t="shared" si="34"/>
        <v>1.0070493454179255E-3</v>
      </c>
      <c r="M72" s="132">
        <v>1.02E-4</v>
      </c>
      <c r="N72" s="117">
        <v>83730</v>
      </c>
      <c r="O72" s="118">
        <f t="shared" si="35"/>
        <v>1.0984251968503937E-2</v>
      </c>
      <c r="P72" s="52">
        <f t="shared" si="36"/>
        <v>3.9822061517234816E-2</v>
      </c>
      <c r="Q72" s="53">
        <f t="shared" si="37"/>
        <v>0.22006520606171748</v>
      </c>
      <c r="R72" s="67">
        <f t="shared" si="38"/>
        <v>24.044847027276635</v>
      </c>
      <c r="S72" s="55">
        <f t="shared" si="39"/>
        <v>17.260016161703334</v>
      </c>
      <c r="T72" s="129">
        <f t="shared" si="40"/>
        <v>933.12151361739802</v>
      </c>
      <c r="U72" s="57">
        <f t="shared" si="41"/>
        <v>1.4487733998598082E-2</v>
      </c>
    </row>
    <row r="73" spans="1:21" outlineLevel="1" x14ac:dyDescent="0.2">
      <c r="A73" s="131" t="str">
        <f t="shared" si="43"/>
        <v>8+7</v>
      </c>
      <c r="B73" s="41">
        <f t="shared" si="44"/>
        <v>3.38</v>
      </c>
      <c r="C73" s="42">
        <f t="shared" si="44"/>
        <v>8.5</v>
      </c>
      <c r="D73" s="43">
        <f t="shared" si="29"/>
        <v>16</v>
      </c>
      <c r="E73" s="43">
        <f t="shared" si="30"/>
        <v>16</v>
      </c>
      <c r="F73" s="43" t="b">
        <f t="shared" si="31"/>
        <v>0</v>
      </c>
      <c r="G73" s="43" t="b">
        <f t="shared" si="32"/>
        <v>0</v>
      </c>
      <c r="H73" s="44">
        <v>18</v>
      </c>
      <c r="I73" s="157">
        <f t="shared" si="33"/>
        <v>0.17595659531813954</v>
      </c>
      <c r="J73" s="115">
        <v>254</v>
      </c>
      <c r="K73" s="76">
        <v>993</v>
      </c>
      <c r="L73" s="79">
        <f t="shared" si="34"/>
        <v>1.0070493454179255E-3</v>
      </c>
      <c r="M73" s="132">
        <v>1.02E-4</v>
      </c>
      <c r="N73" s="117">
        <v>83730</v>
      </c>
      <c r="O73" s="118">
        <f t="shared" si="35"/>
        <v>1.3307086614173227E-2</v>
      </c>
      <c r="P73" s="52">
        <f t="shared" si="36"/>
        <v>4.8243214311202036E-2</v>
      </c>
      <c r="Q73" s="53">
        <f t="shared" si="37"/>
        <v>6.6650573162061383E-2</v>
      </c>
      <c r="R73" s="67">
        <f t="shared" si="38"/>
        <v>2.2056014052557393</v>
      </c>
      <c r="S73" s="55">
        <f t="shared" si="39"/>
        <v>10.454991868558649</v>
      </c>
      <c r="T73" s="129">
        <f t="shared" si="40"/>
        <v>206.17287300815525</v>
      </c>
      <c r="U73" s="57">
        <f t="shared" si="41"/>
        <v>3.2010597744010728E-3</v>
      </c>
    </row>
    <row r="74" spans="1:21" outlineLevel="1" x14ac:dyDescent="0.2">
      <c r="A74" s="131" t="str">
        <f t="shared" si="43"/>
        <v>7</v>
      </c>
      <c r="B74" s="41">
        <f t="shared" si="44"/>
        <v>1.69</v>
      </c>
      <c r="C74" s="42">
        <f t="shared" si="44"/>
        <v>1</v>
      </c>
      <c r="D74" s="43">
        <f t="shared" si="29"/>
        <v>8</v>
      </c>
      <c r="E74" s="43">
        <f t="shared" si="30"/>
        <v>8</v>
      </c>
      <c r="F74" s="43" t="b">
        <f t="shared" si="31"/>
        <v>0</v>
      </c>
      <c r="G74" s="43" t="b">
        <f t="shared" si="32"/>
        <v>0</v>
      </c>
      <c r="H74" s="44">
        <v>10</v>
      </c>
      <c r="I74" s="157">
        <f t="shared" si="33"/>
        <v>0.17595659531813954</v>
      </c>
      <c r="J74" s="115">
        <v>254</v>
      </c>
      <c r="K74" s="76">
        <v>993</v>
      </c>
      <c r="L74" s="79">
        <f t="shared" si="34"/>
        <v>1.0070493454179255E-3</v>
      </c>
      <c r="M74" s="132">
        <v>1.02E-4</v>
      </c>
      <c r="N74" s="117">
        <v>83730</v>
      </c>
      <c r="O74" s="118">
        <f t="shared" si="35"/>
        <v>6.6535433070866136E-3</v>
      </c>
      <c r="P74" s="52">
        <f t="shared" si="36"/>
        <v>2.4121607155601018E-2</v>
      </c>
      <c r="Q74" s="53">
        <f t="shared" si="37"/>
        <v>0.13330114632412277</v>
      </c>
      <c r="R74" s="67">
        <f t="shared" si="38"/>
        <v>8.8224056210229573</v>
      </c>
      <c r="S74" s="55">
        <f t="shared" si="39"/>
        <v>10.454991868558649</v>
      </c>
      <c r="T74" s="129">
        <f t="shared" si="40"/>
        <v>194.04505694885199</v>
      </c>
      <c r="U74" s="57">
        <f t="shared" si="41"/>
        <v>3.012762140612774E-3</v>
      </c>
    </row>
    <row r="75" spans="1:21" outlineLevel="1" x14ac:dyDescent="0.2">
      <c r="A75" s="131" t="str">
        <f t="shared" si="43"/>
        <v>8</v>
      </c>
      <c r="B75" s="41">
        <f t="shared" si="44"/>
        <v>1.69</v>
      </c>
      <c r="C75" s="42">
        <f t="shared" si="44"/>
        <v>2.5</v>
      </c>
      <c r="D75" s="43">
        <f t="shared" si="29"/>
        <v>8</v>
      </c>
      <c r="E75" s="43">
        <f t="shared" si="30"/>
        <v>8</v>
      </c>
      <c r="F75" s="43" t="b">
        <f t="shared" si="31"/>
        <v>0</v>
      </c>
      <c r="G75" s="43" t="b">
        <f t="shared" si="32"/>
        <v>0</v>
      </c>
      <c r="H75" s="44">
        <v>10</v>
      </c>
      <c r="I75" s="157">
        <f t="shared" si="33"/>
        <v>0.17595659531813954</v>
      </c>
      <c r="J75" s="115">
        <v>254</v>
      </c>
      <c r="K75" s="76">
        <v>993</v>
      </c>
      <c r="L75" s="79">
        <f t="shared" si="34"/>
        <v>1.0070493454179255E-3</v>
      </c>
      <c r="M75" s="132">
        <v>1.02E-4</v>
      </c>
      <c r="N75" s="117">
        <v>83730</v>
      </c>
      <c r="O75" s="118">
        <f t="shared" si="35"/>
        <v>6.6535433070866136E-3</v>
      </c>
      <c r="P75" s="52">
        <f t="shared" si="36"/>
        <v>2.4121607155601018E-2</v>
      </c>
      <c r="Q75" s="53">
        <f t="shared" si="37"/>
        <v>0.13330114632412277</v>
      </c>
      <c r="R75" s="67">
        <f t="shared" si="38"/>
        <v>8.8224056210229573</v>
      </c>
      <c r="S75" s="55">
        <f t="shared" si="39"/>
        <v>10.454991868558649</v>
      </c>
      <c r="T75" s="129">
        <f t="shared" si="40"/>
        <v>485.11264237212998</v>
      </c>
      <c r="U75" s="57">
        <f t="shared" si="41"/>
        <v>7.5319053515319357E-3</v>
      </c>
    </row>
    <row r="76" spans="1:21" outlineLevel="1" x14ac:dyDescent="0.2">
      <c r="A76" s="131">
        <f t="shared" si="43"/>
        <v>0</v>
      </c>
      <c r="B76" s="41">
        <f t="shared" si="44"/>
        <v>0</v>
      </c>
      <c r="C76" s="42">
        <f t="shared" si="44"/>
        <v>0</v>
      </c>
      <c r="D76" s="43">
        <f t="shared" si="29"/>
        <v>8</v>
      </c>
      <c r="E76" s="43">
        <f t="shared" si="30"/>
        <v>8</v>
      </c>
      <c r="F76" s="43" t="b">
        <f t="shared" si="31"/>
        <v>0</v>
      </c>
      <c r="G76" s="43" t="b">
        <f t="shared" si="32"/>
        <v>0</v>
      </c>
      <c r="H76" s="44">
        <v>10</v>
      </c>
      <c r="I76" s="157" t="e">
        <f t="shared" si="33"/>
        <v>#DIV/0!</v>
      </c>
      <c r="J76" s="115">
        <v>254</v>
      </c>
      <c r="K76" s="76">
        <v>993</v>
      </c>
      <c r="L76" s="79">
        <f t="shared" si="34"/>
        <v>1.0070493454179255E-3</v>
      </c>
      <c r="M76" s="132">
        <v>1.02E-4</v>
      </c>
      <c r="N76" s="117">
        <v>83730</v>
      </c>
      <c r="O76" s="118">
        <f t="shared" si="35"/>
        <v>0</v>
      </c>
      <c r="P76" s="52">
        <f t="shared" si="36"/>
        <v>0</v>
      </c>
      <c r="Q76" s="53">
        <f t="shared" si="37"/>
        <v>0</v>
      </c>
      <c r="R76" s="67">
        <f t="shared" si="38"/>
        <v>0</v>
      </c>
      <c r="S76" s="55">
        <f t="shared" si="39"/>
        <v>0</v>
      </c>
      <c r="T76" s="129" t="e">
        <f t="shared" si="40"/>
        <v>#DIV/0!</v>
      </c>
      <c r="U76" s="57" t="e">
        <f t="shared" si="41"/>
        <v>#DIV/0!</v>
      </c>
    </row>
    <row r="77" spans="1:21" outlineLevel="1" x14ac:dyDescent="0.2">
      <c r="A77" s="131" t="str">
        <f t="shared" si="43"/>
        <v xml:space="preserve">Bemerkungen: </v>
      </c>
      <c r="B77" s="41">
        <f t="shared" si="44"/>
        <v>0</v>
      </c>
      <c r="C77" s="42">
        <f t="shared" si="44"/>
        <v>0</v>
      </c>
      <c r="D77" s="43">
        <f t="shared" si="29"/>
        <v>16</v>
      </c>
      <c r="E77" s="43">
        <f t="shared" si="30"/>
        <v>16</v>
      </c>
      <c r="F77" s="43" t="b">
        <f t="shared" si="31"/>
        <v>0</v>
      </c>
      <c r="G77" s="43" t="b">
        <f t="shared" si="32"/>
        <v>0</v>
      </c>
      <c r="H77" s="133">
        <v>18</v>
      </c>
      <c r="I77" s="157" t="e">
        <f t="shared" si="33"/>
        <v>#DIV/0!</v>
      </c>
      <c r="J77" s="115">
        <v>254</v>
      </c>
      <c r="K77" s="76">
        <v>993</v>
      </c>
      <c r="L77" s="79">
        <f t="shared" si="34"/>
        <v>1.0070493454179255E-3</v>
      </c>
      <c r="M77" s="132">
        <v>1.02E-4</v>
      </c>
      <c r="N77" s="117">
        <v>83730</v>
      </c>
      <c r="O77" s="118">
        <f>SUM(B77/J77)</f>
        <v>0</v>
      </c>
      <c r="P77" s="52">
        <f>SUM(O77*L77*3600)</f>
        <v>0</v>
      </c>
      <c r="Q77" s="53">
        <f>(P77/3600/(((D77/1000)^2*PI())/4))</f>
        <v>0</v>
      </c>
      <c r="R77" s="67">
        <f>SUM((Q77^2*K77)/2)</f>
        <v>0</v>
      </c>
      <c r="S77" s="55">
        <f>SUM(((D77/1000)*Q77)/M77)</f>
        <v>0</v>
      </c>
      <c r="T77" s="129" t="e">
        <f>SUM(I77/(D77/1000)*R77)*C77</f>
        <v>#DIV/0!</v>
      </c>
      <c r="U77" s="57" t="e">
        <f>SUM(T77/N77)*1.3</f>
        <v>#DIV/0!</v>
      </c>
    </row>
    <row r="78" spans="1:21" outlineLevel="1" x14ac:dyDescent="0.2">
      <c r="A78" s="87"/>
      <c r="B78" s="81"/>
      <c r="C78" s="82"/>
      <c r="D78" s="83"/>
      <c r="E78" s="83"/>
      <c r="F78" s="83"/>
      <c r="G78" s="83"/>
      <c r="H78" s="133"/>
      <c r="I78" s="59"/>
      <c r="J78" s="120"/>
      <c r="K78" s="120"/>
      <c r="L78" s="120"/>
      <c r="M78" s="120"/>
      <c r="N78" s="120"/>
      <c r="O78" s="120"/>
      <c r="P78" s="120"/>
      <c r="Q78" s="120"/>
      <c r="R78" s="120"/>
      <c r="S78" s="120" t="s">
        <v>44</v>
      </c>
      <c r="T78" s="121" t="e">
        <f>SUM(T65,T67,T71,T73,T76,T77)</f>
        <v>#DIV/0!</v>
      </c>
      <c r="U78" s="122" t="e">
        <f>SUM(U65,U67,U71,U73,U76,U77)</f>
        <v>#DIV/0!</v>
      </c>
    </row>
    <row r="79" spans="1:21" outlineLevel="1" x14ac:dyDescent="0.2">
      <c r="A79" s="87"/>
      <c r="B79" s="81"/>
      <c r="C79" s="82"/>
      <c r="D79" s="83"/>
      <c r="E79" s="83"/>
      <c r="F79" s="83"/>
      <c r="G79" s="83"/>
      <c r="H79" s="133"/>
      <c r="I79" s="59"/>
      <c r="J79" s="120"/>
      <c r="K79" s="120"/>
      <c r="L79" s="120"/>
      <c r="M79" s="120"/>
      <c r="N79" s="120"/>
      <c r="O79" s="120"/>
      <c r="P79" s="120"/>
      <c r="Q79" s="120"/>
      <c r="R79" s="120"/>
      <c r="S79" s="120" t="s">
        <v>45</v>
      </c>
      <c r="T79" s="121" t="e">
        <f>SUM(T68,T70,T71,T73,T77)</f>
        <v>#DIV/0!</v>
      </c>
      <c r="U79" s="123" t="e">
        <f>SUM(U68,U70,U71,U73,U77)</f>
        <v>#DIV/0!</v>
      </c>
    </row>
    <row r="80" spans="1:21" outlineLevel="1" x14ac:dyDescent="0.2">
      <c r="A80" s="87"/>
      <c r="B80" s="81"/>
      <c r="C80" s="82"/>
      <c r="D80" s="83"/>
      <c r="E80" s="83"/>
      <c r="F80" s="83"/>
      <c r="G80" s="83"/>
      <c r="H80" s="133"/>
      <c r="I80" s="59"/>
      <c r="J80" s="124"/>
      <c r="K80" s="62"/>
      <c r="L80" s="30"/>
      <c r="M80" s="31"/>
      <c r="N80" s="33"/>
      <c r="O80" s="69"/>
      <c r="P80" s="62"/>
      <c r="Q80" s="63"/>
      <c r="R80" s="63"/>
      <c r="S80" s="120" t="s">
        <v>46</v>
      </c>
      <c r="T80" s="74" t="e">
        <f>SUM(T74,T76,T77)</f>
        <v>#DIV/0!</v>
      </c>
      <c r="U80" s="125" t="e">
        <f>SUM(U74,U76,U77)</f>
        <v>#DIV/0!</v>
      </c>
    </row>
    <row r="81" spans="1:21" outlineLevel="1" x14ac:dyDescent="0.2">
      <c r="A81" s="87"/>
      <c r="B81" s="81"/>
      <c r="C81" s="82"/>
      <c r="D81" s="83"/>
      <c r="E81" s="83"/>
      <c r="F81" s="83"/>
      <c r="G81" s="83"/>
      <c r="H81" s="133"/>
      <c r="I81" s="59"/>
      <c r="J81" s="124"/>
      <c r="K81" s="62"/>
      <c r="L81" s="30"/>
      <c r="M81" s="31"/>
      <c r="N81" s="33"/>
      <c r="O81" s="69"/>
      <c r="P81" s="62"/>
      <c r="Q81" s="63"/>
      <c r="R81" s="63"/>
      <c r="S81" s="65"/>
      <c r="T81" s="74"/>
      <c r="U81" s="66"/>
    </row>
    <row r="82" spans="1:21" x14ac:dyDescent="0.2">
      <c r="A82" s="91"/>
      <c r="B82" s="92"/>
      <c r="C82" s="93"/>
      <c r="D82" s="94"/>
      <c r="E82" s="94"/>
      <c r="F82" s="94"/>
      <c r="G82" s="94"/>
      <c r="H82" s="94"/>
      <c r="I82" s="96"/>
      <c r="J82" s="95"/>
      <c r="K82" s="97"/>
      <c r="L82" s="134"/>
      <c r="M82" s="135"/>
      <c r="N82" s="136"/>
      <c r="O82" s="102"/>
      <c r="P82" s="97"/>
      <c r="Q82" s="103"/>
      <c r="R82" s="103"/>
      <c r="S82" s="105"/>
      <c r="T82" s="106"/>
      <c r="U82" s="107"/>
    </row>
    <row r="83" spans="1:21" x14ac:dyDescent="0.2">
      <c r="I83" s="108"/>
    </row>
    <row r="84" spans="1:21" x14ac:dyDescent="0.2">
      <c r="A84" s="109" t="s">
        <v>40</v>
      </c>
      <c r="B84" s="109"/>
      <c r="C84" s="109"/>
      <c r="I84" s="108"/>
    </row>
    <row r="85" spans="1:21" x14ac:dyDescent="0.2">
      <c r="I85" s="108"/>
    </row>
    <row r="86" spans="1:21" x14ac:dyDescent="0.2">
      <c r="I86" s="108"/>
      <c r="M86">
        <f>164+170</f>
        <v>334</v>
      </c>
    </row>
    <row r="87" spans="1:21" ht="15" x14ac:dyDescent="0.2">
      <c r="B87" s="164" t="s">
        <v>131</v>
      </c>
    </row>
    <row r="88" spans="1:21" x14ac:dyDescent="0.2">
      <c r="B88" s="189"/>
      <c r="C88" s="190" t="s">
        <v>132</v>
      </c>
      <c r="D88" s="189"/>
    </row>
    <row r="89" spans="1:21" x14ac:dyDescent="0.2">
      <c r="B89" s="189">
        <v>10</v>
      </c>
      <c r="C89" s="191"/>
      <c r="D89" s="192" t="s">
        <v>21</v>
      </c>
    </row>
    <row r="90" spans="1:21" x14ac:dyDescent="0.2">
      <c r="B90" s="189">
        <v>12</v>
      </c>
      <c r="C90" s="193">
        <f>+C50+C49+C47+C44+C43+C42+C41+C39+C37+C35+C30+C26+C25+C18+C17+C15</f>
        <v>32.08</v>
      </c>
      <c r="D90" s="194" t="s">
        <v>21</v>
      </c>
    </row>
    <row r="91" spans="1:21" x14ac:dyDescent="0.2">
      <c r="B91" s="189">
        <v>15</v>
      </c>
      <c r="C91" s="193">
        <f>+C48+C46+C40++C29+C24+C16+C11</f>
        <v>39.299999999999997</v>
      </c>
      <c r="D91" s="194" t="s">
        <v>21</v>
      </c>
    </row>
    <row r="92" spans="1:21" x14ac:dyDescent="0.2">
      <c r="B92" s="189">
        <v>18</v>
      </c>
      <c r="C92" s="193">
        <f>+C38+C36+C34+C28+C14</f>
        <v>24.509999999999998</v>
      </c>
      <c r="D92" s="194" t="s">
        <v>21</v>
      </c>
    </row>
    <row r="93" spans="1:21" x14ac:dyDescent="0.2">
      <c r="B93" s="189">
        <v>22</v>
      </c>
      <c r="C93" s="193">
        <f>+C32+C22</f>
        <v>33</v>
      </c>
      <c r="D93" s="194" t="s">
        <v>21</v>
      </c>
    </row>
    <row r="94" spans="1:21" x14ac:dyDescent="0.2">
      <c r="B94" s="189">
        <v>28</v>
      </c>
      <c r="C94" s="193"/>
      <c r="D94" s="194" t="s">
        <v>21</v>
      </c>
    </row>
    <row r="95" spans="1:21" x14ac:dyDescent="0.2">
      <c r="B95" s="189">
        <v>35</v>
      </c>
      <c r="C95" s="195">
        <f>+C20+C12+C10</f>
        <v>69.72</v>
      </c>
      <c r="D95" s="196" t="s">
        <v>21</v>
      </c>
    </row>
    <row r="97" spans="1:9" x14ac:dyDescent="0.2">
      <c r="B97" s="137"/>
      <c r="C97" s="175">
        <f>SUM(C89:C95)</f>
        <v>198.60999999999999</v>
      </c>
      <c r="D97" s="188" t="s">
        <v>21</v>
      </c>
    </row>
    <row r="98" spans="1:9" s="137" customFormat="1" x14ac:dyDescent="0.2">
      <c r="A98"/>
      <c r="B98"/>
      <c r="C98"/>
      <c r="D98"/>
      <c r="E98"/>
      <c r="F98"/>
      <c r="G98"/>
      <c r="H98"/>
      <c r="I98"/>
    </row>
    <row r="101" spans="1:9" x14ac:dyDescent="0.2">
      <c r="D101" s="110"/>
      <c r="E101" s="110"/>
      <c r="F101" s="110"/>
      <c r="G101" s="110"/>
      <c r="H101" s="110"/>
      <c r="I101" s="138"/>
    </row>
  </sheetData>
  <phoneticPr fontId="11" type="noConversion"/>
  <pageMargins left="0.98402777777777772" right="0.39374999999999999" top="1.35" bottom="0.78749999999999998" header="0.51180555555555551" footer="0.51180555555555551"/>
  <pageSetup paperSize="8" scale="99" firstPageNumber="0" orientation="portrait" verticalDpi="300" r:id="rId1"/>
  <headerFooter alignWithMargins="0">
    <oddHeader>&amp;L&amp;"Arial,Fett"&amp;12Rohrnetzberechnung&amp;C&amp;"Arial,Fett"&amp;12Minusanlage CO&amp;Y2</oddHeader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H30"/>
  <sheetViews>
    <sheetView view="pageBreakPreview" zoomScaleNormal="100" zoomScaleSheetLayoutView="100" workbookViewId="0">
      <selection activeCell="O20" sqref="O20"/>
    </sheetView>
  </sheetViews>
  <sheetFormatPr baseColWidth="10" defaultColWidth="14.85546875" defaultRowHeight="15" x14ac:dyDescent="0.2"/>
  <cols>
    <col min="1" max="1" width="8.7109375" style="139" customWidth="1"/>
    <col min="2" max="2" width="15.5703125" style="139" customWidth="1"/>
    <col min="3" max="6" width="8.7109375" style="139" customWidth="1"/>
    <col min="7" max="7" width="14.85546875" style="139" customWidth="1"/>
    <col min="8" max="11" width="8.7109375" style="139" customWidth="1"/>
    <col min="12" max="12" width="6.7109375" style="139" customWidth="1"/>
    <col min="13" max="13" width="12.140625" style="139" bestFit="1" customWidth="1"/>
    <col min="14" max="14" width="13" style="139" customWidth="1"/>
    <col min="15" max="15" width="8.7109375" style="139" customWidth="1"/>
    <col min="16" max="16" width="8" style="139" bestFit="1" customWidth="1"/>
    <col min="17" max="17" width="5.7109375" style="139" bestFit="1" customWidth="1"/>
    <col min="18" max="18" width="6.5703125" style="139" bestFit="1" customWidth="1"/>
    <col min="19" max="19" width="9.5703125" style="139" customWidth="1"/>
    <col min="20" max="20" width="9.5703125" style="139" bestFit="1" customWidth="1"/>
    <col min="21" max="21" width="10.5703125" style="139" customWidth="1"/>
    <col min="22" max="22" width="7.140625" style="139" bestFit="1" customWidth="1"/>
    <col min="23" max="23" width="12.28515625" style="139" bestFit="1" customWidth="1"/>
    <col min="24" max="24" width="7" style="139" bestFit="1" customWidth="1"/>
    <col min="25" max="25" width="8.28515625" style="139" bestFit="1" customWidth="1"/>
    <col min="26" max="26" width="7" style="139" bestFit="1" customWidth="1"/>
    <col min="27" max="27" width="7.42578125" style="139" bestFit="1" customWidth="1"/>
    <col min="28" max="16384" width="14.85546875" style="139"/>
  </cols>
  <sheetData>
    <row r="1" spans="1:34" s="140" customFormat="1" ht="39.75" customHeight="1" thickBot="1" x14ac:dyDescent="0.25">
      <c r="A1" s="361" t="s">
        <v>151</v>
      </c>
      <c r="B1" s="362"/>
      <c r="C1" s="362"/>
      <c r="D1" s="362"/>
      <c r="E1" s="362"/>
      <c r="F1" s="363"/>
      <c r="G1" s="361" t="s">
        <v>152</v>
      </c>
      <c r="H1" s="362"/>
      <c r="I1" s="362"/>
      <c r="J1" s="362"/>
      <c r="K1" s="364"/>
      <c r="L1" s="366" t="s">
        <v>153</v>
      </c>
      <c r="M1" s="367"/>
      <c r="N1" s="367"/>
      <c r="O1" s="367"/>
      <c r="P1" s="367"/>
      <c r="Q1" s="367"/>
      <c r="R1" s="367"/>
      <c r="S1" s="367"/>
      <c r="T1" s="368"/>
      <c r="AB1" s="365" t="s">
        <v>49</v>
      </c>
      <c r="AC1" s="365"/>
      <c r="AD1" s="365"/>
      <c r="AE1" s="365"/>
      <c r="AF1" s="365"/>
      <c r="AG1" s="365"/>
      <c r="AH1" s="365"/>
    </row>
    <row r="2" spans="1:34" s="145" customFormat="1" ht="31.5" x14ac:dyDescent="0.2">
      <c r="A2" s="280" t="s">
        <v>50</v>
      </c>
      <c r="B2" s="281" t="s">
        <v>51</v>
      </c>
      <c r="C2" s="281" t="s">
        <v>52</v>
      </c>
      <c r="D2" s="281" t="s">
        <v>53</v>
      </c>
      <c r="E2" s="281" t="s">
        <v>54</v>
      </c>
      <c r="F2" s="293" t="s">
        <v>55</v>
      </c>
      <c r="G2" s="253" t="s">
        <v>51</v>
      </c>
      <c r="H2" s="142" t="s">
        <v>52</v>
      </c>
      <c r="I2" s="142" t="s">
        <v>53</v>
      </c>
      <c r="J2" s="142" t="s">
        <v>54</v>
      </c>
      <c r="K2" s="277" t="s">
        <v>55</v>
      </c>
      <c r="L2" s="253" t="s">
        <v>38</v>
      </c>
      <c r="M2" s="141" t="s">
        <v>146</v>
      </c>
      <c r="N2" s="142" t="s">
        <v>51</v>
      </c>
      <c r="O2" s="142" t="s">
        <v>52</v>
      </c>
      <c r="P2" s="142" t="s">
        <v>53</v>
      </c>
      <c r="Q2" s="142" t="s">
        <v>54</v>
      </c>
      <c r="R2" s="251" t="s">
        <v>55</v>
      </c>
      <c r="S2" s="298" t="s">
        <v>158</v>
      </c>
      <c r="T2" s="259" t="s">
        <v>157</v>
      </c>
      <c r="U2" s="145" t="s">
        <v>161</v>
      </c>
      <c r="AB2" s="144" t="s">
        <v>38</v>
      </c>
      <c r="AC2" s="141" t="s">
        <v>50</v>
      </c>
      <c r="AD2" s="142" t="s">
        <v>51</v>
      </c>
      <c r="AE2" s="142" t="s">
        <v>52</v>
      </c>
      <c r="AF2" s="142" t="s">
        <v>53</v>
      </c>
      <c r="AG2" s="142" t="s">
        <v>54</v>
      </c>
      <c r="AH2" s="143" t="s">
        <v>55</v>
      </c>
    </row>
    <row r="3" spans="1:34" ht="20.100000000000001" customHeight="1" x14ac:dyDescent="0.25">
      <c r="A3" s="254" t="s">
        <v>56</v>
      </c>
      <c r="B3" s="147" t="s">
        <v>57</v>
      </c>
      <c r="C3" s="148">
        <v>5.0999999999999996</v>
      </c>
      <c r="D3" s="149">
        <v>0.2</v>
      </c>
      <c r="E3" s="149">
        <v>0.02</v>
      </c>
      <c r="F3" s="252">
        <v>0.1</v>
      </c>
      <c r="G3" s="253"/>
      <c r="H3" s="142"/>
      <c r="I3" s="142"/>
      <c r="J3" s="142"/>
      <c r="K3" s="277"/>
      <c r="L3" s="253"/>
      <c r="M3" s="141"/>
      <c r="N3" s="142"/>
      <c r="O3" s="142"/>
      <c r="P3" s="142"/>
      <c r="Q3" s="142"/>
      <c r="R3" s="251"/>
      <c r="S3" s="298"/>
      <c r="T3" s="259"/>
      <c r="AB3" s="146"/>
      <c r="AC3" s="147"/>
      <c r="AD3" s="147" t="s">
        <v>58</v>
      </c>
      <c r="AE3" s="148">
        <v>4</v>
      </c>
      <c r="AF3" s="149">
        <v>0.13</v>
      </c>
      <c r="AG3" s="149">
        <v>0.01</v>
      </c>
      <c r="AH3" s="150">
        <v>0.13</v>
      </c>
    </row>
    <row r="4" spans="1:34" ht="20.100000000000001" customHeight="1" x14ac:dyDescent="0.25">
      <c r="A4" s="254" t="s">
        <v>59</v>
      </c>
      <c r="B4" s="147" t="s">
        <v>60</v>
      </c>
      <c r="C4" s="148">
        <v>8</v>
      </c>
      <c r="D4" s="149">
        <v>0.5</v>
      </c>
      <c r="E4" s="149">
        <v>0.05</v>
      </c>
      <c r="F4" s="252">
        <v>0.19</v>
      </c>
      <c r="G4" s="253" t="s">
        <v>61</v>
      </c>
      <c r="H4" s="262">
        <v>8</v>
      </c>
      <c r="I4" s="263">
        <v>0.5</v>
      </c>
      <c r="J4" s="263">
        <v>0.05</v>
      </c>
      <c r="K4" s="278">
        <v>0.25</v>
      </c>
      <c r="L4" s="253"/>
      <c r="M4" s="261" t="s">
        <v>147</v>
      </c>
      <c r="N4" s="142" t="s">
        <v>134</v>
      </c>
      <c r="O4" s="262">
        <f>10-2</f>
        <v>8</v>
      </c>
      <c r="P4" s="263">
        <f>(PI()*(O4/10)^2)/4</f>
        <v>0.50265482457436694</v>
      </c>
      <c r="Q4" s="263">
        <f>((PI()*(O4/1000)^2)/4)*1000</f>
        <v>5.0265482457436686E-2</v>
      </c>
      <c r="R4" s="264">
        <v>0.22500000000000001</v>
      </c>
      <c r="S4" s="270">
        <v>251</v>
      </c>
      <c r="T4" s="265">
        <v>191</v>
      </c>
      <c r="U4" s="301">
        <v>2.4</v>
      </c>
      <c r="AB4" s="146"/>
      <c r="AC4" s="147"/>
      <c r="AD4" s="147" t="s">
        <v>61</v>
      </c>
      <c r="AE4" s="148">
        <v>8</v>
      </c>
      <c r="AF4" s="149">
        <v>0.5</v>
      </c>
      <c r="AG4" s="149">
        <v>0.05</v>
      </c>
      <c r="AH4" s="150">
        <v>0.23</v>
      </c>
    </row>
    <row r="5" spans="1:34" ht="20.100000000000001" customHeight="1" x14ac:dyDescent="0.25">
      <c r="A5" s="254" t="s">
        <v>62</v>
      </c>
      <c r="B5" s="147" t="s">
        <v>63</v>
      </c>
      <c r="C5" s="148">
        <v>10.9</v>
      </c>
      <c r="D5" s="149">
        <v>0.94</v>
      </c>
      <c r="E5" s="149">
        <v>0.09</v>
      </c>
      <c r="F5" s="252">
        <v>0.3</v>
      </c>
      <c r="G5" s="253" t="s">
        <v>64</v>
      </c>
      <c r="H5" s="262">
        <v>10</v>
      </c>
      <c r="I5" s="263">
        <v>0.79</v>
      </c>
      <c r="J5" s="263">
        <v>0.08</v>
      </c>
      <c r="K5" s="278">
        <v>0.31</v>
      </c>
      <c r="L5" s="253"/>
      <c r="M5" s="261" t="s">
        <v>147</v>
      </c>
      <c r="N5" s="142" t="s">
        <v>135</v>
      </c>
      <c r="O5" s="262">
        <f>12-2</f>
        <v>10</v>
      </c>
      <c r="P5" s="263">
        <f t="shared" ref="P5:P21" si="0">(PI()*(O5/10)^2)/4</f>
        <v>0.78539816339744828</v>
      </c>
      <c r="Q5" s="263">
        <f t="shared" ref="Q5:Q21" si="1">((PI()*(O5/1000)^2)/4)*1000</f>
        <v>7.8539816339744828E-2</v>
      </c>
      <c r="R5" s="264">
        <v>0.27500000000000002</v>
      </c>
      <c r="S5" s="270">
        <v>209</v>
      </c>
      <c r="T5" s="265">
        <v>156</v>
      </c>
      <c r="U5" s="301">
        <v>2.8</v>
      </c>
      <c r="AB5" s="146">
        <v>8</v>
      </c>
      <c r="AC5" s="147" t="s">
        <v>56</v>
      </c>
      <c r="AD5" s="147" t="s">
        <v>65</v>
      </c>
      <c r="AE5" s="148">
        <v>8.9</v>
      </c>
      <c r="AF5" s="149">
        <v>0.62</v>
      </c>
      <c r="AG5" s="149">
        <v>0.06</v>
      </c>
      <c r="AH5" s="150">
        <v>0.65</v>
      </c>
    </row>
    <row r="6" spans="1:34" ht="20.100000000000001" customHeight="1" x14ac:dyDescent="0.25">
      <c r="A6" s="254"/>
      <c r="B6" s="147"/>
      <c r="C6" s="148"/>
      <c r="D6" s="149"/>
      <c r="E6" s="149"/>
      <c r="F6" s="252"/>
      <c r="G6" s="253"/>
      <c r="H6" s="262"/>
      <c r="I6" s="263"/>
      <c r="J6" s="263"/>
      <c r="K6" s="278"/>
      <c r="L6" s="253">
        <v>8</v>
      </c>
      <c r="M6" s="261" t="s">
        <v>147</v>
      </c>
      <c r="N6" s="261" t="s">
        <v>136</v>
      </c>
      <c r="O6" s="262">
        <f>13.5-1.6*2</f>
        <v>10.3</v>
      </c>
      <c r="P6" s="263">
        <f t="shared" si="0"/>
        <v>0.83322891154835288</v>
      </c>
      <c r="Q6" s="263">
        <f t="shared" si="1"/>
        <v>8.3322891154835294E-2</v>
      </c>
      <c r="R6" s="264">
        <v>0.47699999999999998</v>
      </c>
      <c r="S6" s="270">
        <v>197</v>
      </c>
      <c r="T6" s="265">
        <v>231</v>
      </c>
      <c r="U6" s="301">
        <v>3.8</v>
      </c>
      <c r="AB6" s="146"/>
      <c r="AC6" s="147"/>
      <c r="AD6" s="147"/>
      <c r="AE6" s="148"/>
      <c r="AF6" s="149"/>
      <c r="AG6" s="149"/>
      <c r="AH6" s="150"/>
    </row>
    <row r="7" spans="1:34" ht="20.100000000000001" customHeight="1" x14ac:dyDescent="0.25">
      <c r="A7" s="254"/>
      <c r="B7" s="147"/>
      <c r="C7" s="148"/>
      <c r="D7" s="149"/>
      <c r="E7" s="149"/>
      <c r="F7" s="252"/>
      <c r="G7" s="253" t="s">
        <v>68</v>
      </c>
      <c r="H7" s="262">
        <v>13</v>
      </c>
      <c r="I7" s="263">
        <v>1.33</v>
      </c>
      <c r="J7" s="263">
        <v>0.13</v>
      </c>
      <c r="K7" s="278">
        <v>0.39</v>
      </c>
      <c r="L7" s="253"/>
      <c r="M7" s="261" t="s">
        <v>148</v>
      </c>
      <c r="N7" s="142" t="s">
        <v>137</v>
      </c>
      <c r="O7" s="262">
        <f>15-2</f>
        <v>13</v>
      </c>
      <c r="P7" s="263">
        <f t="shared" si="0"/>
        <v>1.3273228961416876</v>
      </c>
      <c r="Q7" s="263">
        <f t="shared" si="1"/>
        <v>0.13273228961416875</v>
      </c>
      <c r="R7" s="264">
        <v>0.35099999999999998</v>
      </c>
      <c r="S7" s="270">
        <v>167</v>
      </c>
      <c r="T7" s="265">
        <v>122</v>
      </c>
      <c r="U7" s="301">
        <v>2.4</v>
      </c>
      <c r="AB7" s="146">
        <v>10</v>
      </c>
      <c r="AC7" s="147" t="s">
        <v>59</v>
      </c>
      <c r="AD7" s="147" t="s">
        <v>72</v>
      </c>
      <c r="AE7" s="148">
        <v>12.6</v>
      </c>
      <c r="AF7" s="149">
        <v>1.25</v>
      </c>
      <c r="AG7" s="149">
        <v>0.12</v>
      </c>
      <c r="AH7" s="150">
        <v>0.86</v>
      </c>
    </row>
    <row r="8" spans="1:34" ht="20.100000000000001" customHeight="1" x14ac:dyDescent="0.25">
      <c r="A8" s="254" t="s">
        <v>66</v>
      </c>
      <c r="B8" s="147" t="s">
        <v>67</v>
      </c>
      <c r="C8" s="148">
        <v>13.9</v>
      </c>
      <c r="D8" s="149">
        <v>1.51</v>
      </c>
      <c r="E8" s="149">
        <v>0.15</v>
      </c>
      <c r="F8" s="252">
        <v>0.42</v>
      </c>
      <c r="G8" s="253"/>
      <c r="H8" s="262"/>
      <c r="I8" s="263"/>
      <c r="J8" s="263"/>
      <c r="K8" s="278"/>
      <c r="L8" s="253">
        <v>10</v>
      </c>
      <c r="M8" s="261" t="s">
        <v>147</v>
      </c>
      <c r="N8" s="261" t="s">
        <v>159</v>
      </c>
      <c r="O8" s="262">
        <f>17.2-1.6*2</f>
        <v>14</v>
      </c>
      <c r="P8" s="263">
        <f t="shared" si="0"/>
        <v>1.5393804002589984</v>
      </c>
      <c r="Q8" s="263">
        <f t="shared" si="1"/>
        <v>0.15393804002589989</v>
      </c>
      <c r="R8" s="264">
        <v>0.59</v>
      </c>
      <c r="S8" s="270">
        <v>227</v>
      </c>
      <c r="T8" s="265">
        <v>167</v>
      </c>
      <c r="U8" s="301">
        <v>4.3</v>
      </c>
      <c r="V8" s="300"/>
      <c r="AB8" s="146">
        <v>15</v>
      </c>
      <c r="AC8" s="147" t="s">
        <v>62</v>
      </c>
      <c r="AD8" s="147" t="s">
        <v>76</v>
      </c>
      <c r="AE8" s="148">
        <v>16.100000000000001</v>
      </c>
      <c r="AF8" s="149">
        <v>2.04</v>
      </c>
      <c r="AG8" s="149">
        <v>0.2</v>
      </c>
      <c r="AH8" s="150">
        <v>1.22</v>
      </c>
    </row>
    <row r="9" spans="1:34" ht="20.100000000000001" customHeight="1" x14ac:dyDescent="0.25">
      <c r="A9" s="254"/>
      <c r="B9" s="147"/>
      <c r="C9" s="148"/>
      <c r="D9" s="149"/>
      <c r="E9" s="149"/>
      <c r="F9" s="252"/>
      <c r="G9" s="253" t="s">
        <v>71</v>
      </c>
      <c r="H9" s="262">
        <v>16</v>
      </c>
      <c r="I9" s="263">
        <v>2.0099999999999998</v>
      </c>
      <c r="J9" s="263">
        <v>0.2</v>
      </c>
      <c r="K9" s="278">
        <v>0.48</v>
      </c>
      <c r="L9" s="253"/>
      <c r="M9" s="261" t="s">
        <v>148</v>
      </c>
      <c r="N9" s="142" t="s">
        <v>138</v>
      </c>
      <c r="O9" s="262">
        <f>18-2</f>
        <v>16</v>
      </c>
      <c r="P9" s="263">
        <f t="shared" si="0"/>
        <v>2.0106192982974678</v>
      </c>
      <c r="Q9" s="263">
        <f t="shared" si="1"/>
        <v>0.20106192982974674</v>
      </c>
      <c r="R9" s="264">
        <v>0.42599999999999999</v>
      </c>
      <c r="S9" s="270">
        <v>139</v>
      </c>
      <c r="T9" s="265">
        <v>100</v>
      </c>
      <c r="U9" s="301">
        <v>2.5</v>
      </c>
      <c r="V9" s="300"/>
      <c r="AB9" s="146">
        <v>20</v>
      </c>
      <c r="AC9" s="147" t="s">
        <v>69</v>
      </c>
      <c r="AD9" s="147" t="s">
        <v>80</v>
      </c>
      <c r="AE9" s="148">
        <v>21.7</v>
      </c>
      <c r="AF9" s="149">
        <v>3.7</v>
      </c>
      <c r="AG9" s="149">
        <v>0.37</v>
      </c>
      <c r="AH9" s="150">
        <v>1.58</v>
      </c>
    </row>
    <row r="10" spans="1:34" ht="20.100000000000001" customHeight="1" x14ac:dyDescent="0.25">
      <c r="A10" s="254" t="s">
        <v>69</v>
      </c>
      <c r="B10" s="147" t="s">
        <v>70</v>
      </c>
      <c r="C10" s="148">
        <v>16.899999999999999</v>
      </c>
      <c r="D10" s="149">
        <v>2.25</v>
      </c>
      <c r="E10" s="149">
        <v>0.23</v>
      </c>
      <c r="F10" s="252">
        <v>0.54</v>
      </c>
      <c r="G10" s="253"/>
      <c r="H10" s="262"/>
      <c r="I10" s="263"/>
      <c r="J10" s="263"/>
      <c r="K10" s="278"/>
      <c r="L10" s="253">
        <v>15</v>
      </c>
      <c r="M10" s="261" t="s">
        <v>147</v>
      </c>
      <c r="N10" s="261" t="s">
        <v>139</v>
      </c>
      <c r="O10" s="262">
        <f>21.3-1.6*2</f>
        <v>18.100000000000001</v>
      </c>
      <c r="P10" s="263">
        <f t="shared" si="0"/>
        <v>2.5730429231063803</v>
      </c>
      <c r="Q10" s="263">
        <f t="shared" si="1"/>
        <v>0.25730429231063806</v>
      </c>
      <c r="R10" s="264">
        <v>0.78900000000000003</v>
      </c>
      <c r="S10" s="270">
        <v>194</v>
      </c>
      <c r="T10" s="265">
        <v>143</v>
      </c>
      <c r="U10" s="301">
        <v>4.8</v>
      </c>
      <c r="V10" s="300"/>
      <c r="AB10" s="146">
        <v>25</v>
      </c>
      <c r="AC10" s="147" t="s">
        <v>84</v>
      </c>
      <c r="AD10" s="147" t="s">
        <v>85</v>
      </c>
      <c r="AE10" s="148">
        <v>27.3</v>
      </c>
      <c r="AF10" s="149">
        <v>5.85</v>
      </c>
      <c r="AG10" s="149">
        <v>0.59</v>
      </c>
      <c r="AH10" s="150">
        <v>2.44</v>
      </c>
    </row>
    <row r="11" spans="1:34" ht="20.100000000000001" customHeight="1" x14ac:dyDescent="0.25">
      <c r="A11" s="254"/>
      <c r="B11" s="147"/>
      <c r="C11" s="148"/>
      <c r="D11" s="149"/>
      <c r="E11" s="149"/>
      <c r="F11" s="252"/>
      <c r="G11" s="253" t="s">
        <v>75</v>
      </c>
      <c r="H11" s="262">
        <v>20</v>
      </c>
      <c r="I11" s="263">
        <v>3.14</v>
      </c>
      <c r="J11" s="263">
        <v>0.31</v>
      </c>
      <c r="K11" s="278">
        <v>0.59</v>
      </c>
      <c r="L11" s="253"/>
      <c r="M11" s="261" t="s">
        <v>148</v>
      </c>
      <c r="N11" s="142" t="s">
        <v>160</v>
      </c>
      <c r="O11" s="262">
        <f>22-1.2*2</f>
        <v>19.600000000000001</v>
      </c>
      <c r="P11" s="263">
        <f>(PI()*(O11/10)^2)/4</f>
        <v>3.0171855845076379</v>
      </c>
      <c r="Q11" s="263">
        <f t="shared" si="1"/>
        <v>0.30171855845076379</v>
      </c>
      <c r="R11" s="264">
        <v>0.52600000000000002</v>
      </c>
      <c r="S11" s="270">
        <v>160</v>
      </c>
      <c r="T11" s="265">
        <v>118</v>
      </c>
      <c r="U11" s="301">
        <v>3.3</v>
      </c>
      <c r="V11" s="300"/>
      <c r="AB11" s="146">
        <v>32</v>
      </c>
      <c r="AC11" s="147" t="s">
        <v>89</v>
      </c>
      <c r="AD11" s="147" t="s">
        <v>90</v>
      </c>
      <c r="AE11" s="148">
        <v>36</v>
      </c>
      <c r="AF11" s="149">
        <v>10.18</v>
      </c>
      <c r="AG11" s="149">
        <v>1.02</v>
      </c>
      <c r="AH11" s="150">
        <v>3.14</v>
      </c>
    </row>
    <row r="12" spans="1:34" ht="20.100000000000001" customHeight="1" x14ac:dyDescent="0.25">
      <c r="A12" s="254" t="s">
        <v>73</v>
      </c>
      <c r="B12" s="147" t="s">
        <v>74</v>
      </c>
      <c r="C12" s="148">
        <v>19.899999999999999</v>
      </c>
      <c r="D12" s="149">
        <v>3.12</v>
      </c>
      <c r="E12" s="149">
        <v>0.31</v>
      </c>
      <c r="F12" s="252">
        <v>0.68</v>
      </c>
      <c r="G12" s="253"/>
      <c r="H12" s="262"/>
      <c r="I12" s="263"/>
      <c r="J12" s="263"/>
      <c r="K12" s="278"/>
      <c r="L12" s="359">
        <v>20</v>
      </c>
      <c r="M12" s="261" t="s">
        <v>148</v>
      </c>
      <c r="N12" s="261" t="s">
        <v>140</v>
      </c>
      <c r="O12" s="262">
        <f>26.9-1.6*2</f>
        <v>23.7</v>
      </c>
      <c r="P12" s="263">
        <f t="shared" si="0"/>
        <v>4.4115029439871272</v>
      </c>
      <c r="Q12" s="263">
        <f t="shared" si="1"/>
        <v>0.44115029439871273</v>
      </c>
      <c r="R12" s="264">
        <v>1.014</v>
      </c>
      <c r="S12" s="270">
        <v>149</v>
      </c>
      <c r="T12" s="265">
        <v>108</v>
      </c>
      <c r="U12" s="301">
        <v>5.5</v>
      </c>
      <c r="V12" s="300"/>
      <c r="AB12" s="146">
        <v>40</v>
      </c>
      <c r="AC12" s="147" t="s">
        <v>94</v>
      </c>
      <c r="AD12" s="147" t="s">
        <v>95</v>
      </c>
      <c r="AE12" s="148">
        <v>41.9</v>
      </c>
      <c r="AF12" s="149">
        <v>13.79</v>
      </c>
      <c r="AG12" s="149">
        <v>1.38</v>
      </c>
      <c r="AH12" s="150">
        <v>3.61</v>
      </c>
    </row>
    <row r="13" spans="1:34" ht="20.100000000000001" customHeight="1" x14ac:dyDescent="0.25">
      <c r="A13" s="254"/>
      <c r="B13" s="147"/>
      <c r="C13" s="148"/>
      <c r="D13" s="149"/>
      <c r="E13" s="149"/>
      <c r="F13" s="252"/>
      <c r="G13" s="253"/>
      <c r="H13" s="262"/>
      <c r="I13" s="263"/>
      <c r="J13" s="263"/>
      <c r="K13" s="278"/>
      <c r="L13" s="360"/>
      <c r="M13" s="261" t="s">
        <v>155</v>
      </c>
      <c r="N13" s="266" t="s">
        <v>144</v>
      </c>
      <c r="O13" s="262">
        <f>26.9-2.6*2</f>
        <v>21.7</v>
      </c>
      <c r="P13" s="263">
        <f t="shared" si="0"/>
        <v>3.6983614116222441</v>
      </c>
      <c r="Q13" s="263">
        <f t="shared" si="1"/>
        <v>0.36983614116222446</v>
      </c>
      <c r="R13" s="267">
        <v>1.5820000000000001</v>
      </c>
      <c r="S13" s="271">
        <v>242</v>
      </c>
      <c r="T13" s="268">
        <v>183</v>
      </c>
      <c r="U13" s="301">
        <v>8.8000000000000007</v>
      </c>
      <c r="V13" s="300"/>
      <c r="AB13" s="146">
        <v>50</v>
      </c>
      <c r="AC13" s="147" t="s">
        <v>98</v>
      </c>
      <c r="AD13" s="147" t="s">
        <v>99</v>
      </c>
      <c r="AE13" s="148">
        <v>53.1</v>
      </c>
      <c r="AF13" s="149">
        <v>22.15</v>
      </c>
      <c r="AG13" s="149">
        <v>2.21</v>
      </c>
      <c r="AH13" s="150">
        <v>5.1100000000000003</v>
      </c>
    </row>
    <row r="14" spans="1:34" ht="20.100000000000001" customHeight="1" x14ac:dyDescent="0.25">
      <c r="A14" s="254"/>
      <c r="B14" s="147"/>
      <c r="C14" s="148"/>
      <c r="D14" s="149"/>
      <c r="E14" s="149"/>
      <c r="F14" s="252"/>
      <c r="G14" s="253" t="s">
        <v>79</v>
      </c>
      <c r="H14" s="262">
        <v>25</v>
      </c>
      <c r="I14" s="263">
        <v>4.91</v>
      </c>
      <c r="J14" s="263">
        <v>0.49</v>
      </c>
      <c r="K14" s="278">
        <v>1.1100000000000001</v>
      </c>
      <c r="L14" s="253"/>
      <c r="M14" s="261" t="s">
        <v>148</v>
      </c>
      <c r="N14" s="142" t="s">
        <v>141</v>
      </c>
      <c r="O14" s="262">
        <f>28-1.5*2</f>
        <v>25</v>
      </c>
      <c r="P14" s="263">
        <f t="shared" si="0"/>
        <v>4.908738521234052</v>
      </c>
      <c r="Q14" s="263">
        <f t="shared" si="1"/>
        <v>0.49087385212340523</v>
      </c>
      <c r="R14" s="267">
        <v>0.995</v>
      </c>
      <c r="S14" s="271">
        <v>134</v>
      </c>
      <c r="T14" s="268">
        <v>96</v>
      </c>
      <c r="U14" s="301">
        <v>5.5</v>
      </c>
      <c r="V14" s="300"/>
      <c r="AB14" s="146">
        <v>65</v>
      </c>
      <c r="AC14" s="147" t="s">
        <v>102</v>
      </c>
      <c r="AD14" s="147" t="s">
        <v>103</v>
      </c>
      <c r="AE14" s="148">
        <v>68.900000000000006</v>
      </c>
      <c r="AF14" s="149">
        <v>37.28</v>
      </c>
      <c r="AG14" s="149">
        <v>3.73</v>
      </c>
      <c r="AH14" s="150">
        <v>6.54</v>
      </c>
    </row>
    <row r="15" spans="1:34" ht="20.100000000000001" customHeight="1" x14ac:dyDescent="0.25">
      <c r="A15" s="254" t="s">
        <v>77</v>
      </c>
      <c r="B15" s="147" t="s">
        <v>78</v>
      </c>
      <c r="C15" s="148">
        <v>26</v>
      </c>
      <c r="D15" s="149">
        <v>5.32</v>
      </c>
      <c r="E15" s="149">
        <v>0.53</v>
      </c>
      <c r="F15" s="252">
        <v>0.98</v>
      </c>
      <c r="G15" s="253"/>
      <c r="H15" s="262"/>
      <c r="I15" s="263"/>
      <c r="J15" s="263"/>
      <c r="K15" s="278"/>
      <c r="L15" s="359">
        <v>25</v>
      </c>
      <c r="M15" s="261" t="s">
        <v>148</v>
      </c>
      <c r="N15" s="261" t="s">
        <v>142</v>
      </c>
      <c r="O15" s="262">
        <f>33.7-1.6*2</f>
        <v>30.500000000000004</v>
      </c>
      <c r="P15" s="263">
        <f t="shared" si="0"/>
        <v>7.306166415004764</v>
      </c>
      <c r="Q15" s="263">
        <f t="shared" si="1"/>
        <v>0.73061664150047645</v>
      </c>
      <c r="R15" s="267">
        <v>1.286</v>
      </c>
      <c r="S15" s="271">
        <v>124</v>
      </c>
      <c r="T15" s="268">
        <v>88</v>
      </c>
      <c r="U15" s="301">
        <v>6.1</v>
      </c>
      <c r="V15" s="300"/>
      <c r="AB15" s="146">
        <v>80</v>
      </c>
      <c r="AC15" s="147" t="s">
        <v>106</v>
      </c>
      <c r="AD15" s="147" t="s">
        <v>107</v>
      </c>
      <c r="AE15" s="148">
        <v>80.900000000000006</v>
      </c>
      <c r="AF15" s="149">
        <v>51.4</v>
      </c>
      <c r="AG15" s="149">
        <v>5.14</v>
      </c>
      <c r="AH15" s="150">
        <v>8.5</v>
      </c>
    </row>
    <row r="16" spans="1:34" ht="20.100000000000001" customHeight="1" x14ac:dyDescent="0.25">
      <c r="A16" s="254"/>
      <c r="B16" s="147"/>
      <c r="C16" s="148"/>
      <c r="D16" s="149"/>
      <c r="E16" s="149"/>
      <c r="F16" s="252"/>
      <c r="G16" s="253"/>
      <c r="H16" s="262"/>
      <c r="I16" s="263"/>
      <c r="J16" s="263"/>
      <c r="K16" s="278"/>
      <c r="L16" s="360"/>
      <c r="M16" s="261" t="s">
        <v>155</v>
      </c>
      <c r="N16" s="266" t="s">
        <v>145</v>
      </c>
      <c r="O16" s="262">
        <f>33.7-3.2*2</f>
        <v>27.300000000000004</v>
      </c>
      <c r="P16" s="263">
        <f t="shared" si="0"/>
        <v>5.853493971984844</v>
      </c>
      <c r="Q16" s="263">
        <f t="shared" si="1"/>
        <v>0.58534939719848433</v>
      </c>
      <c r="R16" s="267">
        <v>2.4780000000000002</v>
      </c>
      <c r="S16" s="271">
        <v>238</v>
      </c>
      <c r="T16" s="268">
        <v>180</v>
      </c>
      <c r="U16" s="301">
        <v>10.8</v>
      </c>
      <c r="V16" s="300"/>
      <c r="AB16" s="146">
        <v>100</v>
      </c>
      <c r="AC16" s="147" t="s">
        <v>110</v>
      </c>
      <c r="AD16" s="147" t="s">
        <v>111</v>
      </c>
      <c r="AE16" s="148">
        <v>106.3</v>
      </c>
      <c r="AF16" s="149">
        <v>88.75</v>
      </c>
      <c r="AG16" s="149">
        <v>8.8699999999999992</v>
      </c>
      <c r="AH16" s="150" t="s">
        <v>112</v>
      </c>
    </row>
    <row r="17" spans="1:34" ht="20.100000000000001" customHeight="1" x14ac:dyDescent="0.25">
      <c r="A17" s="254"/>
      <c r="B17" s="147"/>
      <c r="C17" s="148"/>
      <c r="D17" s="149"/>
      <c r="E17" s="149"/>
      <c r="F17" s="252"/>
      <c r="G17" s="253" t="s">
        <v>83</v>
      </c>
      <c r="H17" s="262">
        <v>32</v>
      </c>
      <c r="I17" s="263">
        <v>8.0399999999999991</v>
      </c>
      <c r="J17" s="263">
        <v>0.8</v>
      </c>
      <c r="K17" s="278">
        <v>1.41</v>
      </c>
      <c r="L17" s="253"/>
      <c r="M17" s="261" t="s">
        <v>148</v>
      </c>
      <c r="N17" s="142" t="s">
        <v>143</v>
      </c>
      <c r="O17" s="262">
        <f>35-1.5*2</f>
        <v>32</v>
      </c>
      <c r="P17" s="263">
        <f t="shared" si="0"/>
        <v>8.0424771931898711</v>
      </c>
      <c r="Q17" s="263">
        <f t="shared" si="1"/>
        <v>0.80424771931898698</v>
      </c>
      <c r="R17" s="264">
        <v>1.258</v>
      </c>
      <c r="S17" s="270">
        <v>108</v>
      </c>
      <c r="T17" s="265">
        <v>76</v>
      </c>
      <c r="U17" s="301">
        <v>6.9</v>
      </c>
      <c r="V17" s="300"/>
      <c r="AB17" s="146">
        <v>125</v>
      </c>
      <c r="AC17" s="147"/>
      <c r="AD17" s="147" t="s">
        <v>113</v>
      </c>
      <c r="AE17" s="148">
        <v>131.69999999999999</v>
      </c>
      <c r="AF17" s="149">
        <v>136.22999999999999</v>
      </c>
      <c r="AG17" s="149">
        <v>13.62</v>
      </c>
      <c r="AH17" s="150">
        <v>13.59</v>
      </c>
    </row>
    <row r="18" spans="1:34" ht="20.100000000000001" customHeight="1" x14ac:dyDescent="0.25">
      <c r="A18" s="254" t="s">
        <v>81</v>
      </c>
      <c r="B18" s="147" t="s">
        <v>82</v>
      </c>
      <c r="C18" s="148">
        <v>32.1</v>
      </c>
      <c r="D18" s="149">
        <v>8.11</v>
      </c>
      <c r="E18" s="149">
        <v>0.81</v>
      </c>
      <c r="F18" s="252">
        <v>1.32</v>
      </c>
      <c r="G18" s="253" t="s">
        <v>88</v>
      </c>
      <c r="H18" s="262">
        <v>39</v>
      </c>
      <c r="I18" s="263">
        <v>11.95</v>
      </c>
      <c r="J18" s="263">
        <v>1.19</v>
      </c>
      <c r="K18" s="278">
        <v>1.7</v>
      </c>
      <c r="L18" s="253"/>
      <c r="M18" s="261" t="s">
        <v>148</v>
      </c>
      <c r="N18" s="142" t="s">
        <v>149</v>
      </c>
      <c r="O18" s="262">
        <f>42-1.5*2</f>
        <v>39</v>
      </c>
      <c r="P18" s="263">
        <f t="shared" si="0"/>
        <v>11.945906065275187</v>
      </c>
      <c r="Q18" s="263">
        <f t="shared" si="1"/>
        <v>1.1945906065275189</v>
      </c>
      <c r="R18" s="264">
        <v>1.502</v>
      </c>
      <c r="S18" s="270">
        <v>97</v>
      </c>
      <c r="T18" s="265">
        <v>68</v>
      </c>
      <c r="U18" s="301">
        <v>7.8</v>
      </c>
      <c r="V18" s="300"/>
      <c r="AB18" s="146">
        <v>150</v>
      </c>
      <c r="AC18" s="147"/>
      <c r="AD18" s="147" t="s">
        <v>114</v>
      </c>
      <c r="AE18" s="148">
        <v>159.30000000000001</v>
      </c>
      <c r="AF18" s="149">
        <v>199.31</v>
      </c>
      <c r="AG18" s="149">
        <v>19.93</v>
      </c>
      <c r="AH18" s="150">
        <v>18.46</v>
      </c>
    </row>
    <row r="19" spans="1:34" ht="20.100000000000001" customHeight="1" x14ac:dyDescent="0.25">
      <c r="A19" s="254" t="s">
        <v>86</v>
      </c>
      <c r="B19" s="147" t="s">
        <v>87</v>
      </c>
      <c r="C19" s="148">
        <v>38.200000000000003</v>
      </c>
      <c r="D19" s="149">
        <v>11.48</v>
      </c>
      <c r="E19" s="149">
        <v>1.1499999999999999</v>
      </c>
      <c r="F19" s="252">
        <v>1.7</v>
      </c>
      <c r="G19" s="260"/>
      <c r="H19" s="272"/>
      <c r="I19" s="273"/>
      <c r="J19" s="273"/>
      <c r="K19" s="279"/>
      <c r="L19" s="253">
        <v>32</v>
      </c>
      <c r="M19" s="261" t="s">
        <v>155</v>
      </c>
      <c r="N19" s="266" t="s">
        <v>150</v>
      </c>
      <c r="O19" s="262">
        <f>42.4-3.2*2</f>
        <v>36</v>
      </c>
      <c r="P19" s="263">
        <f t="shared" si="0"/>
        <v>10.178760197630931</v>
      </c>
      <c r="Q19" s="263">
        <f t="shared" si="1"/>
        <v>1.0178760197630929</v>
      </c>
      <c r="R19" s="264">
        <v>3.1859999999999999</v>
      </c>
      <c r="S19" s="270">
        <v>189</v>
      </c>
      <c r="T19" s="265">
        <v>140</v>
      </c>
      <c r="U19" s="301">
        <v>13.2</v>
      </c>
      <c r="V19" s="300"/>
      <c r="AB19" s="146">
        <v>200</v>
      </c>
      <c r="AC19" s="147"/>
      <c r="AD19" s="147" t="s">
        <v>115</v>
      </c>
      <c r="AE19" s="148">
        <v>212.7</v>
      </c>
      <c r="AF19" s="149">
        <v>355.32</v>
      </c>
      <c r="AG19" s="149">
        <v>35.53</v>
      </c>
      <c r="AH19" s="150">
        <v>17.399999999999999</v>
      </c>
    </row>
    <row r="20" spans="1:34" ht="20.100000000000001" customHeight="1" thickBot="1" x14ac:dyDescent="0.3">
      <c r="A20" s="254"/>
      <c r="B20" s="147"/>
      <c r="C20" s="148"/>
      <c r="D20" s="149"/>
      <c r="E20" s="149"/>
      <c r="F20" s="252"/>
      <c r="G20" s="260"/>
      <c r="H20" s="272"/>
      <c r="I20" s="273"/>
      <c r="J20" s="273"/>
      <c r="K20" s="279"/>
      <c r="L20" s="260">
        <v>40</v>
      </c>
      <c r="M20" s="261" t="s">
        <v>155</v>
      </c>
      <c r="N20" s="299" t="s">
        <v>154</v>
      </c>
      <c r="O20" s="272">
        <f>48.3-3.2*2</f>
        <v>41.9</v>
      </c>
      <c r="P20" s="263">
        <f t="shared" si="0"/>
        <v>13.78852869642194</v>
      </c>
      <c r="Q20" s="263">
        <f t="shared" si="1"/>
        <v>1.378852869642194</v>
      </c>
      <c r="R20" s="274">
        <v>3.6659999999999999</v>
      </c>
      <c r="S20" s="284">
        <v>166</v>
      </c>
      <c r="T20" s="285">
        <v>121</v>
      </c>
      <c r="U20" s="301">
        <v>14.6</v>
      </c>
      <c r="V20" s="300"/>
      <c r="AB20" s="152">
        <v>250</v>
      </c>
      <c r="AC20" s="151"/>
      <c r="AD20" s="151" t="s">
        <v>116</v>
      </c>
      <c r="AE20" s="153">
        <v>266.60000000000002</v>
      </c>
      <c r="AF20" s="154">
        <v>558.23</v>
      </c>
      <c r="AG20" s="154">
        <v>55.82</v>
      </c>
      <c r="AH20" s="155">
        <v>21.7</v>
      </c>
    </row>
    <row r="21" spans="1:34" ht="15.75" x14ac:dyDescent="0.25">
      <c r="A21" s="254"/>
      <c r="B21" s="147"/>
      <c r="C21" s="148"/>
      <c r="D21" s="149"/>
      <c r="E21" s="149"/>
      <c r="F21" s="252"/>
      <c r="G21" s="260" t="s">
        <v>93</v>
      </c>
      <c r="H21" s="272">
        <v>50</v>
      </c>
      <c r="I21" s="273">
        <v>19.63</v>
      </c>
      <c r="J21" s="273">
        <v>1.96</v>
      </c>
      <c r="K21" s="279">
        <v>2.91</v>
      </c>
      <c r="L21" s="294"/>
      <c r="M21" s="261" t="s">
        <v>148</v>
      </c>
      <c r="N21" s="292" t="s">
        <v>156</v>
      </c>
      <c r="O21" s="272">
        <f>54-4</f>
        <v>50</v>
      </c>
      <c r="P21" s="263">
        <f t="shared" si="0"/>
        <v>19.634954084936208</v>
      </c>
      <c r="Q21" s="263">
        <f t="shared" si="1"/>
        <v>1.9634954084936209</v>
      </c>
      <c r="R21" s="271">
        <v>2.6040000000000001</v>
      </c>
      <c r="S21" s="271">
        <v>93</v>
      </c>
      <c r="T21" s="268">
        <v>65</v>
      </c>
      <c r="U21" s="301">
        <v>10.9</v>
      </c>
      <c r="V21" s="300"/>
    </row>
    <row r="22" spans="1:34" ht="15.75" x14ac:dyDescent="0.25">
      <c r="A22" s="254" t="s">
        <v>91</v>
      </c>
      <c r="B22" s="147" t="s">
        <v>92</v>
      </c>
      <c r="C22" s="148">
        <v>50.4</v>
      </c>
      <c r="D22" s="149">
        <v>19.97</v>
      </c>
      <c r="E22" s="149">
        <v>2</v>
      </c>
      <c r="F22" s="252">
        <v>2.6</v>
      </c>
      <c r="G22" s="294"/>
      <c r="H22" s="291"/>
      <c r="I22" s="271"/>
      <c r="J22" s="271"/>
      <c r="K22" s="268"/>
      <c r="L22" s="294"/>
      <c r="M22" s="292"/>
      <c r="N22" s="292"/>
      <c r="O22" s="291"/>
      <c r="P22" s="271"/>
      <c r="Q22" s="271"/>
      <c r="R22" s="271"/>
      <c r="S22" s="271"/>
      <c r="T22" s="268"/>
      <c r="V22" s="300"/>
    </row>
    <row r="23" spans="1:34" ht="15.75" x14ac:dyDescent="0.25">
      <c r="A23" s="254" t="s">
        <v>96</v>
      </c>
      <c r="B23" s="147" t="s">
        <v>97</v>
      </c>
      <c r="C23" s="148">
        <v>62.6</v>
      </c>
      <c r="D23" s="149">
        <v>30.79</v>
      </c>
      <c r="E23" s="149">
        <v>3.08</v>
      </c>
      <c r="F23" s="252">
        <v>3.69</v>
      </c>
      <c r="G23" s="294"/>
      <c r="H23" s="291"/>
      <c r="I23" s="271"/>
      <c r="J23" s="271"/>
      <c r="K23" s="268"/>
      <c r="L23" s="294"/>
      <c r="M23" s="292"/>
      <c r="N23" s="292"/>
      <c r="O23" s="291"/>
      <c r="P23" s="271"/>
      <c r="Q23" s="271"/>
      <c r="R23" s="271"/>
      <c r="S23" s="271"/>
      <c r="T23" s="268"/>
      <c r="V23" s="300"/>
    </row>
    <row r="24" spans="1:34" ht="15.75" x14ac:dyDescent="0.25">
      <c r="A24" s="254" t="s">
        <v>100</v>
      </c>
      <c r="B24" s="147" t="s">
        <v>101</v>
      </c>
      <c r="C24" s="148">
        <v>74.8</v>
      </c>
      <c r="D24" s="149">
        <v>43.96</v>
      </c>
      <c r="E24" s="149">
        <v>4.4000000000000004</v>
      </c>
      <c r="F24" s="252">
        <v>4.96</v>
      </c>
      <c r="G24" s="294"/>
      <c r="H24" s="291"/>
      <c r="I24" s="271"/>
      <c r="J24" s="271"/>
      <c r="K24" s="268"/>
      <c r="L24" s="294"/>
      <c r="M24" s="292"/>
      <c r="N24" s="292"/>
      <c r="O24" s="291"/>
      <c r="P24" s="271"/>
      <c r="Q24" s="271"/>
      <c r="R24" s="271"/>
      <c r="S24" s="271"/>
      <c r="T24" s="268"/>
      <c r="V24" s="300"/>
    </row>
    <row r="25" spans="1:34" ht="15.75" x14ac:dyDescent="0.25">
      <c r="A25" s="254" t="s">
        <v>104</v>
      </c>
      <c r="B25" s="147" t="s">
        <v>105</v>
      </c>
      <c r="C25" s="148">
        <v>87</v>
      </c>
      <c r="D25" s="149">
        <v>59.43</v>
      </c>
      <c r="E25" s="149">
        <v>5.94</v>
      </c>
      <c r="F25" s="252">
        <v>6.38</v>
      </c>
      <c r="G25" s="294"/>
      <c r="H25" s="291"/>
      <c r="I25" s="271"/>
      <c r="J25" s="271"/>
      <c r="K25" s="268"/>
      <c r="L25" s="294"/>
      <c r="M25" s="292"/>
      <c r="N25" s="292"/>
      <c r="O25" s="291"/>
      <c r="P25" s="271"/>
      <c r="Q25" s="271"/>
      <c r="R25" s="271"/>
      <c r="S25" s="271"/>
      <c r="T25" s="268"/>
      <c r="V25" s="300"/>
    </row>
    <row r="26" spans="1:34" ht="16.5" thickBot="1" x14ac:dyDescent="0.3">
      <c r="A26" s="255" t="s">
        <v>108</v>
      </c>
      <c r="B26" s="290" t="s">
        <v>109</v>
      </c>
      <c r="C26" s="256">
        <v>99.2</v>
      </c>
      <c r="D26" s="257">
        <v>77.290000000000006</v>
      </c>
      <c r="E26" s="257">
        <v>7.73</v>
      </c>
      <c r="F26" s="258">
        <v>8</v>
      </c>
      <c r="G26" s="295"/>
      <c r="H26" s="296"/>
      <c r="I26" s="282"/>
      <c r="J26" s="282"/>
      <c r="K26" s="283"/>
      <c r="L26" s="295"/>
      <c r="M26" s="297"/>
      <c r="N26" s="297"/>
      <c r="O26" s="296"/>
      <c r="P26" s="282"/>
      <c r="Q26" s="282"/>
      <c r="R26" s="282"/>
      <c r="S26" s="282"/>
      <c r="T26" s="283"/>
    </row>
    <row r="27" spans="1:34" ht="15.75" x14ac:dyDescent="0.2">
      <c r="A27" s="288"/>
      <c r="B27" s="289"/>
      <c r="C27" s="289"/>
      <c r="D27" s="289"/>
      <c r="E27" s="289"/>
      <c r="F27" s="288"/>
      <c r="G27" s="275"/>
      <c r="H27" s="276"/>
      <c r="I27" s="269"/>
      <c r="J27" s="269"/>
      <c r="K27" s="269"/>
      <c r="L27" s="275"/>
      <c r="M27" s="286"/>
      <c r="N27" s="286"/>
      <c r="O27" s="276"/>
      <c r="P27" s="269"/>
      <c r="Q27" s="269"/>
      <c r="R27" s="269"/>
      <c r="S27" s="269"/>
      <c r="T27" s="269"/>
    </row>
    <row r="28" spans="1:34" ht="15.75" x14ac:dyDescent="0.2">
      <c r="A28" s="288"/>
      <c r="B28" s="289"/>
      <c r="C28" s="289"/>
      <c r="D28" s="289"/>
      <c r="E28" s="289"/>
      <c r="F28" s="288"/>
      <c r="G28" s="275"/>
      <c r="H28" s="276"/>
      <c r="I28" s="269"/>
      <c r="J28" s="269"/>
      <c r="K28" s="269"/>
      <c r="L28" s="275"/>
      <c r="M28" s="286"/>
      <c r="N28" s="286"/>
      <c r="O28" s="276"/>
      <c r="P28" s="269"/>
      <c r="Q28" s="269"/>
      <c r="R28" s="269"/>
      <c r="S28" s="269"/>
      <c r="T28" s="269"/>
    </row>
    <row r="29" spans="1:34" ht="15.75" x14ac:dyDescent="0.2">
      <c r="A29" s="288"/>
      <c r="B29" s="289"/>
      <c r="C29" s="289"/>
      <c r="D29" s="289"/>
      <c r="E29" s="289"/>
      <c r="F29" s="288"/>
      <c r="G29" s="275"/>
      <c r="H29" s="276"/>
      <c r="I29" s="269"/>
      <c r="J29" s="269"/>
      <c r="K29" s="269"/>
      <c r="L29" s="275"/>
      <c r="M29" s="286"/>
      <c r="N29" s="286"/>
      <c r="O29" s="276"/>
      <c r="P29" s="269"/>
      <c r="Q29" s="269"/>
      <c r="R29" s="269"/>
      <c r="S29" s="269"/>
      <c r="T29" s="269"/>
    </row>
    <row r="30" spans="1:34" ht="15.75" x14ac:dyDescent="0.2">
      <c r="A30" s="288"/>
      <c r="B30" s="288"/>
      <c r="C30" s="288"/>
      <c r="D30" s="288"/>
      <c r="E30" s="288"/>
      <c r="F30" s="288"/>
      <c r="G30" s="275"/>
      <c r="H30" s="276"/>
      <c r="I30" s="269"/>
      <c r="J30" s="269"/>
      <c r="K30" s="269"/>
      <c r="L30" s="275"/>
      <c r="M30" s="287"/>
      <c r="N30" s="287"/>
      <c r="O30" s="276"/>
      <c r="P30" s="269"/>
      <c r="Q30" s="269"/>
      <c r="R30" s="269"/>
      <c r="S30" s="269"/>
      <c r="T30" s="269"/>
    </row>
  </sheetData>
  <mergeCells count="6">
    <mergeCell ref="L15:L16"/>
    <mergeCell ref="A1:F1"/>
    <mergeCell ref="G1:K1"/>
    <mergeCell ref="AB1:AH1"/>
    <mergeCell ref="L1:T1"/>
    <mergeCell ref="L12:L13"/>
  </mergeCells>
  <phoneticPr fontId="11" type="noConversion"/>
  <pageMargins left="0.25" right="0.25" top="0.75" bottom="0.75" header="0.3" footer="0.3"/>
  <pageSetup paperSize="9" scale="73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Reseau CO2 MT</vt:lpstr>
      <vt:lpstr>Reseau CO2 BT</vt:lpstr>
      <vt:lpstr>Conduites diametres</vt:lpstr>
      <vt:lpstr>Graph1</vt:lpstr>
      <vt:lpstr>'Conduites diametres'!Zone_d_impression</vt:lpstr>
      <vt:lpstr>'Reseau CO2 BT'!Zone_d_impression</vt:lpstr>
      <vt:lpstr>'Reseau CO2 MT'!Zone_d_impression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Mascali</dc:creator>
  <cp:lastModifiedBy>User</cp:lastModifiedBy>
  <cp:lastPrinted>2014-07-09T08:39:09Z</cp:lastPrinted>
  <dcterms:created xsi:type="dcterms:W3CDTF">2010-04-13T13:29:34Z</dcterms:created>
  <dcterms:modified xsi:type="dcterms:W3CDTF">2014-07-09T13:43:36Z</dcterms:modified>
</cp:coreProperties>
</file>